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FDC567F7-1260-4BC7-B5E3-7C6A1191F3A0}"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E155" i="2" l="1"/>
  <c r="E154" i="2"/>
  <c r="E153" i="2"/>
  <c r="E152" i="2"/>
  <c r="E151" i="2"/>
  <c r="E150" i="2"/>
  <c r="E149" i="2"/>
  <c r="E148" i="2"/>
  <c r="E147" i="2"/>
  <c r="E146" i="2"/>
  <c r="E145" i="2"/>
  <c r="E144" i="2"/>
  <c r="E143" i="2"/>
  <c r="E142" i="2"/>
  <c r="E141" i="2"/>
  <c r="E140" i="2"/>
  <c r="E139" i="2"/>
  <c r="E138" i="2"/>
  <c r="E137" i="2"/>
  <c r="E136" i="2"/>
  <c r="E135" i="2"/>
  <c r="E134" i="2"/>
  <c r="E133" i="2"/>
  <c r="E132" i="2"/>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 r="J8120" i="1"/>
  <c r="J8119" i="1"/>
  <c r="J8118" i="1"/>
  <c r="J8117" i="1"/>
  <c r="J8116" i="1"/>
  <c r="J8115" i="1"/>
  <c r="J8114" i="1"/>
  <c r="J8113" i="1"/>
  <c r="J8112" i="1"/>
  <c r="J8111" i="1"/>
  <c r="J8110" i="1"/>
  <c r="J8109" i="1"/>
  <c r="J8108" i="1"/>
  <c r="J8107" i="1"/>
  <c r="J8106" i="1"/>
  <c r="J8105" i="1"/>
  <c r="J8104" i="1"/>
  <c r="J8103" i="1"/>
  <c r="J8102" i="1"/>
  <c r="J8101" i="1"/>
  <c r="J8100" i="1"/>
  <c r="J8099" i="1"/>
  <c r="J8098" i="1"/>
  <c r="J8097" i="1"/>
  <c r="J8096" i="1"/>
  <c r="J8095" i="1"/>
  <c r="J8094" i="1"/>
  <c r="J8093" i="1"/>
  <c r="J8092" i="1"/>
  <c r="J8091" i="1"/>
  <c r="J8090" i="1"/>
  <c r="J8089" i="1"/>
  <c r="J8088" i="1"/>
  <c r="J8087" i="1"/>
  <c r="J8086" i="1"/>
  <c r="J8085" i="1"/>
  <c r="J8084" i="1"/>
  <c r="J8083" i="1"/>
  <c r="J8082" i="1"/>
  <c r="J8081" i="1"/>
  <c r="J8080" i="1"/>
  <c r="J8079" i="1"/>
  <c r="J8078" i="1"/>
  <c r="J8077" i="1"/>
  <c r="J8076" i="1"/>
  <c r="J8075" i="1"/>
  <c r="J8074" i="1"/>
  <c r="J8073" i="1"/>
  <c r="J8072" i="1"/>
  <c r="J8071" i="1"/>
  <c r="J8070" i="1"/>
  <c r="J8069" i="1"/>
  <c r="J8068" i="1"/>
  <c r="J8067" i="1"/>
  <c r="J8066" i="1"/>
  <c r="J8065" i="1"/>
  <c r="J8064" i="1"/>
  <c r="J8063" i="1"/>
  <c r="J8062" i="1"/>
  <c r="J8061" i="1"/>
  <c r="J8060" i="1"/>
  <c r="J8059" i="1"/>
  <c r="J8058" i="1"/>
  <c r="J8057" i="1"/>
  <c r="J8056" i="1"/>
  <c r="J8055" i="1"/>
  <c r="J8054" i="1"/>
  <c r="J8053" i="1"/>
  <c r="J8052" i="1"/>
  <c r="J8051" i="1"/>
  <c r="J8050" i="1"/>
  <c r="J8049" i="1"/>
  <c r="J8048" i="1"/>
  <c r="J8047" i="1"/>
  <c r="J8046" i="1"/>
  <c r="J8045" i="1"/>
  <c r="J8044" i="1"/>
  <c r="J8043" i="1"/>
  <c r="J8042" i="1"/>
  <c r="J8041" i="1"/>
  <c r="J8040" i="1"/>
  <c r="J8039" i="1"/>
  <c r="J8038" i="1"/>
  <c r="J8037" i="1"/>
  <c r="J8036" i="1"/>
  <c r="J8035" i="1"/>
  <c r="J8034" i="1"/>
  <c r="J8033" i="1"/>
  <c r="J8032" i="1"/>
  <c r="J8031" i="1"/>
  <c r="J8030" i="1"/>
  <c r="J8029" i="1"/>
  <c r="J8028" i="1"/>
  <c r="J8027" i="1"/>
  <c r="J8026" i="1"/>
  <c r="J8025" i="1"/>
  <c r="J8024" i="1"/>
  <c r="J8023" i="1"/>
  <c r="J8022" i="1"/>
  <c r="J8021" i="1"/>
  <c r="J8020" i="1"/>
  <c r="J8019" i="1"/>
  <c r="J8018" i="1"/>
  <c r="J8017" i="1"/>
  <c r="J8016" i="1"/>
  <c r="J8015" i="1"/>
  <c r="J8014" i="1"/>
  <c r="J8013" i="1"/>
  <c r="J8012" i="1"/>
  <c r="J8011" i="1"/>
  <c r="J8010" i="1"/>
  <c r="J8009" i="1"/>
  <c r="J8008" i="1"/>
  <c r="J8007" i="1"/>
  <c r="J8006" i="1"/>
  <c r="J8005" i="1"/>
  <c r="J8004" i="1"/>
  <c r="J8003" i="1"/>
  <c r="J8002" i="1"/>
  <c r="J8001" i="1"/>
  <c r="J8000" i="1"/>
  <c r="J7999" i="1"/>
  <c r="J7998" i="1"/>
  <c r="J7997" i="1"/>
  <c r="J7996" i="1"/>
  <c r="J7995" i="1"/>
  <c r="J7994" i="1"/>
  <c r="J7993" i="1"/>
  <c r="J7992" i="1"/>
  <c r="J7991" i="1"/>
  <c r="J7990" i="1"/>
  <c r="J7989" i="1"/>
  <c r="J7988" i="1"/>
  <c r="J7987" i="1"/>
  <c r="J7986" i="1"/>
  <c r="J7985" i="1"/>
  <c r="J7984" i="1"/>
  <c r="J7983" i="1"/>
  <c r="J7982" i="1"/>
  <c r="J7981" i="1"/>
  <c r="J7980" i="1"/>
  <c r="J7979" i="1"/>
  <c r="J7978" i="1"/>
  <c r="J7977" i="1"/>
  <c r="J7976" i="1"/>
  <c r="J7975" i="1"/>
  <c r="J7974" i="1"/>
  <c r="J7973" i="1"/>
  <c r="J7972" i="1"/>
  <c r="J7971" i="1"/>
  <c r="J7970" i="1"/>
  <c r="J7969" i="1"/>
  <c r="J7968" i="1"/>
  <c r="J7967" i="1"/>
  <c r="J7966" i="1"/>
  <c r="J7965" i="1"/>
  <c r="J7964" i="1"/>
  <c r="J7963" i="1"/>
  <c r="J7962" i="1"/>
  <c r="J7961" i="1"/>
  <c r="J7960" i="1"/>
  <c r="J7959" i="1"/>
  <c r="J7958" i="1"/>
  <c r="J7957" i="1"/>
  <c r="J7956" i="1"/>
  <c r="J7955" i="1"/>
  <c r="J7954" i="1"/>
  <c r="J7953" i="1"/>
  <c r="J7952" i="1"/>
  <c r="J7951" i="1"/>
  <c r="J7950" i="1"/>
  <c r="J7949" i="1"/>
  <c r="J7948" i="1"/>
  <c r="J7947" i="1"/>
  <c r="J7946" i="1"/>
  <c r="J7945" i="1"/>
  <c r="J7944" i="1"/>
  <c r="J7943" i="1"/>
  <c r="J7942" i="1"/>
  <c r="J7941" i="1"/>
  <c r="J7940" i="1"/>
  <c r="J7939" i="1"/>
  <c r="J7938" i="1"/>
  <c r="J7937" i="1"/>
  <c r="J7936" i="1"/>
  <c r="J7935" i="1"/>
  <c r="J7934" i="1"/>
  <c r="J7933" i="1"/>
  <c r="J7932" i="1"/>
  <c r="J7931" i="1"/>
  <c r="J7930" i="1"/>
  <c r="J7929" i="1"/>
  <c r="J7928" i="1"/>
  <c r="J7927" i="1"/>
  <c r="J7926" i="1"/>
  <c r="J7925" i="1"/>
  <c r="J7924" i="1"/>
  <c r="J7923" i="1"/>
  <c r="J7922" i="1"/>
  <c r="J7921" i="1"/>
  <c r="J7920" i="1"/>
  <c r="J7919" i="1"/>
  <c r="J7918" i="1"/>
  <c r="J7917" i="1"/>
  <c r="J7916" i="1"/>
  <c r="J7915" i="1"/>
  <c r="J7914" i="1"/>
  <c r="J7913" i="1"/>
  <c r="J7912" i="1"/>
  <c r="J7911" i="1"/>
  <c r="J7910" i="1"/>
  <c r="J7909" i="1"/>
  <c r="J7908" i="1"/>
  <c r="J7907" i="1"/>
  <c r="J7906" i="1"/>
  <c r="J7905" i="1"/>
  <c r="J7904" i="1"/>
  <c r="J7903" i="1"/>
  <c r="J7902" i="1"/>
  <c r="J7901" i="1"/>
  <c r="J7900" i="1"/>
  <c r="J7899" i="1"/>
  <c r="J7898" i="1"/>
  <c r="J7897" i="1"/>
  <c r="J7896" i="1"/>
  <c r="J7895" i="1"/>
  <c r="J7894" i="1"/>
  <c r="J7893" i="1"/>
  <c r="J7892" i="1"/>
  <c r="J7891" i="1"/>
  <c r="J7890" i="1"/>
  <c r="J7889" i="1"/>
  <c r="J7888" i="1"/>
  <c r="J7887" i="1"/>
  <c r="J7886" i="1"/>
  <c r="J7885" i="1"/>
  <c r="J7884" i="1"/>
  <c r="J7883" i="1"/>
  <c r="J7882" i="1"/>
  <c r="J7881" i="1"/>
  <c r="J7880" i="1"/>
  <c r="J7879" i="1"/>
  <c r="J7878" i="1"/>
  <c r="J7877" i="1"/>
  <c r="J7876" i="1"/>
  <c r="J7875" i="1"/>
  <c r="J7874" i="1"/>
  <c r="J7873" i="1"/>
  <c r="J7872" i="1"/>
  <c r="J7871" i="1"/>
  <c r="J7870" i="1"/>
  <c r="J7869" i="1"/>
  <c r="J7868" i="1"/>
  <c r="J7867" i="1"/>
  <c r="J7866" i="1"/>
  <c r="J7865" i="1"/>
  <c r="J7864" i="1"/>
  <c r="J7863" i="1"/>
  <c r="J7862" i="1"/>
  <c r="J7861" i="1"/>
  <c r="J7860" i="1"/>
  <c r="J7859" i="1"/>
  <c r="J7858" i="1"/>
  <c r="J7857" i="1"/>
  <c r="J7856" i="1"/>
  <c r="J7855" i="1"/>
  <c r="J7854" i="1"/>
  <c r="J7853" i="1"/>
  <c r="J7852" i="1"/>
  <c r="J7851" i="1"/>
  <c r="J7850" i="1"/>
  <c r="J7849" i="1"/>
  <c r="J7848" i="1"/>
  <c r="J7847" i="1"/>
  <c r="J7846" i="1"/>
  <c r="J7845" i="1"/>
  <c r="J7844" i="1"/>
  <c r="J7843" i="1"/>
  <c r="J7842" i="1"/>
  <c r="J7841" i="1"/>
  <c r="J7840" i="1"/>
  <c r="J7839" i="1"/>
  <c r="J7838" i="1"/>
  <c r="J7837" i="1"/>
  <c r="J7836" i="1"/>
  <c r="J7835" i="1"/>
  <c r="J7834" i="1"/>
  <c r="J7833" i="1"/>
  <c r="J7832" i="1"/>
  <c r="J7831" i="1"/>
  <c r="J7830" i="1"/>
  <c r="J7829" i="1"/>
  <c r="J7828" i="1"/>
  <c r="J7827" i="1"/>
  <c r="J7826" i="1"/>
  <c r="J7825" i="1"/>
  <c r="J7824" i="1"/>
  <c r="J7823" i="1"/>
  <c r="J7822" i="1"/>
  <c r="J7821" i="1"/>
  <c r="J7820" i="1"/>
  <c r="J7819" i="1"/>
  <c r="J7818" i="1"/>
  <c r="J7817" i="1"/>
  <c r="J7816" i="1"/>
  <c r="J7815" i="1"/>
  <c r="J7814" i="1"/>
  <c r="J7813" i="1"/>
  <c r="J7812" i="1"/>
  <c r="J7811" i="1"/>
  <c r="J7810" i="1"/>
  <c r="J7809" i="1"/>
  <c r="J7808" i="1"/>
  <c r="J7807" i="1"/>
  <c r="J7806" i="1"/>
  <c r="J7805" i="1"/>
  <c r="J7804" i="1"/>
  <c r="J7803" i="1"/>
  <c r="J7802" i="1"/>
  <c r="J7801" i="1"/>
  <c r="J7800" i="1"/>
  <c r="J7799" i="1"/>
  <c r="J7798" i="1"/>
  <c r="J7797" i="1"/>
  <c r="J7796" i="1"/>
  <c r="J7795" i="1"/>
  <c r="J7794" i="1"/>
  <c r="J7793" i="1"/>
  <c r="J7792" i="1"/>
  <c r="J7791" i="1"/>
  <c r="J7790" i="1"/>
  <c r="J7789" i="1"/>
  <c r="J7788" i="1"/>
  <c r="J7787" i="1"/>
  <c r="J7786" i="1"/>
  <c r="J7785" i="1"/>
  <c r="J7784" i="1"/>
  <c r="J7783" i="1"/>
  <c r="J7782" i="1"/>
  <c r="J7781" i="1"/>
  <c r="J7780" i="1"/>
  <c r="J7779" i="1"/>
  <c r="J7778" i="1"/>
  <c r="J7777" i="1"/>
  <c r="J7776" i="1"/>
  <c r="J7775" i="1"/>
  <c r="J7774" i="1"/>
  <c r="J7773" i="1"/>
  <c r="J7772" i="1"/>
  <c r="J7771" i="1"/>
  <c r="J7770" i="1"/>
  <c r="J7769" i="1"/>
  <c r="J7768" i="1"/>
  <c r="J7767" i="1"/>
  <c r="J7766" i="1"/>
  <c r="J7765" i="1"/>
  <c r="J7764" i="1"/>
  <c r="J7763" i="1"/>
  <c r="J7762" i="1"/>
  <c r="J7761" i="1"/>
  <c r="J7760" i="1"/>
  <c r="J7759" i="1"/>
  <c r="J7758" i="1"/>
  <c r="J7757" i="1"/>
  <c r="J7756" i="1"/>
  <c r="J7755" i="1"/>
  <c r="J7754" i="1"/>
  <c r="J7753" i="1"/>
  <c r="J7752" i="1"/>
  <c r="J7751" i="1"/>
  <c r="J7750" i="1"/>
  <c r="J7749" i="1"/>
  <c r="J7748" i="1"/>
  <c r="J7747" i="1"/>
  <c r="J7746" i="1"/>
  <c r="J7745" i="1"/>
  <c r="J7744" i="1"/>
  <c r="J7743" i="1"/>
  <c r="J7742" i="1"/>
  <c r="J7741" i="1"/>
  <c r="J7740" i="1"/>
  <c r="J7739" i="1"/>
  <c r="J7738" i="1"/>
  <c r="J7737" i="1"/>
  <c r="J7736" i="1"/>
  <c r="J7735" i="1"/>
  <c r="J7734" i="1"/>
  <c r="J7733" i="1"/>
  <c r="J7732" i="1"/>
  <c r="J7731" i="1"/>
  <c r="J7730" i="1"/>
  <c r="J7729" i="1"/>
  <c r="J7728" i="1"/>
  <c r="J7727" i="1"/>
  <c r="J7726" i="1"/>
  <c r="J7725" i="1"/>
  <c r="J7724" i="1"/>
  <c r="J7723" i="1"/>
  <c r="J7722" i="1"/>
  <c r="J7721" i="1"/>
  <c r="J7720" i="1"/>
  <c r="J7719" i="1"/>
  <c r="J7718" i="1"/>
  <c r="J7717" i="1"/>
  <c r="J7716" i="1"/>
  <c r="J7715" i="1"/>
  <c r="J7714" i="1"/>
  <c r="J7713" i="1"/>
  <c r="J7712" i="1"/>
  <c r="J7711" i="1"/>
  <c r="J7710" i="1"/>
  <c r="J7709" i="1"/>
  <c r="J7708" i="1"/>
  <c r="J7707" i="1"/>
  <c r="J7706" i="1"/>
  <c r="J7705" i="1"/>
  <c r="J7704" i="1"/>
  <c r="J7703" i="1"/>
  <c r="J7702" i="1"/>
  <c r="J7701" i="1"/>
  <c r="J7700" i="1"/>
  <c r="J7699" i="1"/>
  <c r="J7698" i="1"/>
  <c r="J7697" i="1"/>
  <c r="J7696" i="1"/>
  <c r="J7695" i="1"/>
  <c r="J7694" i="1"/>
  <c r="J7693" i="1"/>
  <c r="J7692" i="1"/>
  <c r="J7691" i="1"/>
  <c r="J7690" i="1"/>
  <c r="J7689" i="1"/>
  <c r="J7688" i="1"/>
  <c r="J7687" i="1"/>
  <c r="J7686" i="1"/>
  <c r="J7685" i="1"/>
  <c r="J7684" i="1"/>
  <c r="J7683" i="1"/>
  <c r="J7682" i="1"/>
  <c r="J7681" i="1"/>
  <c r="J7680" i="1"/>
  <c r="J7679" i="1"/>
  <c r="J7678" i="1"/>
  <c r="J7677" i="1"/>
  <c r="J7676" i="1"/>
  <c r="J7675" i="1"/>
  <c r="J7674" i="1"/>
  <c r="J7673" i="1"/>
  <c r="J7672" i="1"/>
  <c r="J7671" i="1"/>
  <c r="J7670" i="1"/>
  <c r="J7669" i="1"/>
  <c r="J7668" i="1"/>
  <c r="J7667" i="1"/>
  <c r="J7666" i="1"/>
  <c r="J7665" i="1"/>
  <c r="J7664" i="1"/>
  <c r="J7663" i="1"/>
  <c r="J7662" i="1"/>
  <c r="J7661" i="1"/>
  <c r="J7660" i="1"/>
  <c r="J7659" i="1"/>
  <c r="J7658" i="1"/>
  <c r="J7657" i="1"/>
  <c r="J7656" i="1"/>
  <c r="J7655" i="1"/>
  <c r="J7654" i="1"/>
  <c r="J7653" i="1"/>
  <c r="J7652" i="1"/>
  <c r="J7651" i="1"/>
  <c r="J7650" i="1"/>
  <c r="J7649" i="1"/>
  <c r="J7648" i="1"/>
  <c r="J7647" i="1"/>
  <c r="J7646" i="1"/>
  <c r="J7645" i="1"/>
  <c r="J7644" i="1"/>
  <c r="J7643" i="1"/>
  <c r="J7642" i="1"/>
  <c r="J7641" i="1"/>
  <c r="J7640" i="1"/>
  <c r="J7639" i="1"/>
  <c r="J7638" i="1"/>
  <c r="J7637" i="1"/>
  <c r="J7636" i="1"/>
  <c r="J7635" i="1"/>
  <c r="J7634" i="1"/>
  <c r="J7633" i="1"/>
  <c r="J7632" i="1"/>
  <c r="J7631" i="1"/>
  <c r="J7630" i="1"/>
  <c r="J7629" i="1"/>
  <c r="J7628" i="1"/>
  <c r="J7627" i="1"/>
  <c r="J7626" i="1"/>
  <c r="J7625" i="1"/>
  <c r="J7624" i="1"/>
  <c r="J7623" i="1"/>
  <c r="J7622" i="1"/>
  <c r="J7621" i="1"/>
  <c r="J7620" i="1"/>
  <c r="J7619" i="1"/>
  <c r="J7618" i="1"/>
  <c r="J7617" i="1"/>
  <c r="J7616" i="1"/>
  <c r="J7615" i="1"/>
  <c r="J7614" i="1"/>
  <c r="J7613" i="1"/>
  <c r="J7612" i="1"/>
  <c r="J7611" i="1"/>
  <c r="J7610" i="1"/>
  <c r="J7609" i="1"/>
  <c r="J7608" i="1"/>
  <c r="J7607" i="1"/>
  <c r="J7606" i="1"/>
  <c r="J7605" i="1"/>
  <c r="J7604" i="1"/>
  <c r="J7603" i="1"/>
  <c r="J7602" i="1"/>
  <c r="J7601" i="1"/>
  <c r="J7600" i="1"/>
  <c r="J7599" i="1"/>
  <c r="J7598" i="1"/>
  <c r="J7597" i="1"/>
  <c r="J7596" i="1"/>
  <c r="J7595" i="1"/>
  <c r="J7594" i="1"/>
  <c r="J7593" i="1"/>
  <c r="J7592" i="1"/>
  <c r="J7591" i="1"/>
  <c r="J7590" i="1"/>
  <c r="J7589" i="1"/>
  <c r="J7588" i="1"/>
  <c r="J7587" i="1"/>
  <c r="J7586" i="1"/>
  <c r="J7585" i="1"/>
  <c r="J7584" i="1"/>
  <c r="J7583" i="1"/>
  <c r="J7582" i="1"/>
  <c r="J7581" i="1"/>
  <c r="J7580" i="1"/>
  <c r="J7579" i="1"/>
  <c r="J7578" i="1"/>
  <c r="J7577" i="1"/>
  <c r="J7576" i="1"/>
  <c r="J7575" i="1"/>
  <c r="J7574" i="1"/>
  <c r="J7573" i="1"/>
  <c r="J7572" i="1"/>
  <c r="J7571" i="1"/>
  <c r="J7570" i="1"/>
  <c r="J7569" i="1"/>
  <c r="J7568" i="1"/>
  <c r="J7567" i="1"/>
  <c r="J7566" i="1"/>
  <c r="J7565" i="1"/>
  <c r="J7564" i="1"/>
  <c r="J7563" i="1"/>
  <c r="J7562" i="1"/>
  <c r="J7561" i="1"/>
  <c r="J7560" i="1"/>
  <c r="J7559" i="1"/>
  <c r="J7558" i="1"/>
  <c r="J7557" i="1"/>
  <c r="J7556" i="1"/>
  <c r="J7555" i="1"/>
  <c r="J7554" i="1"/>
  <c r="J7553" i="1"/>
  <c r="J7552" i="1"/>
  <c r="J7551" i="1"/>
  <c r="J7550" i="1"/>
  <c r="J7549" i="1"/>
  <c r="J7548" i="1"/>
  <c r="J7547" i="1"/>
  <c r="J7546" i="1"/>
  <c r="J7545" i="1"/>
  <c r="J7544" i="1"/>
  <c r="J7543" i="1"/>
  <c r="J7542" i="1"/>
  <c r="J7541" i="1"/>
  <c r="J7540" i="1"/>
  <c r="J7539" i="1"/>
  <c r="J7538" i="1"/>
  <c r="J7537" i="1"/>
  <c r="J7536" i="1"/>
  <c r="J7535" i="1"/>
  <c r="J7534" i="1"/>
  <c r="J7533" i="1"/>
  <c r="J7532" i="1"/>
  <c r="J7531" i="1"/>
  <c r="J7530" i="1"/>
  <c r="J7529" i="1"/>
  <c r="J7528" i="1"/>
  <c r="J7527" i="1"/>
  <c r="J7526" i="1"/>
  <c r="J7525" i="1"/>
  <c r="J7524" i="1"/>
  <c r="J7523" i="1"/>
  <c r="J7522" i="1"/>
  <c r="J7521" i="1"/>
  <c r="J7520" i="1"/>
  <c r="J7519" i="1"/>
  <c r="J7518" i="1"/>
  <c r="J7517" i="1"/>
  <c r="J7516" i="1"/>
  <c r="J7515" i="1"/>
  <c r="J7514" i="1"/>
  <c r="J7513" i="1"/>
  <c r="J7512" i="1"/>
  <c r="J7511" i="1"/>
  <c r="J7510" i="1"/>
  <c r="J7509" i="1"/>
  <c r="J7508" i="1"/>
  <c r="J7507" i="1"/>
  <c r="J7506" i="1"/>
  <c r="J7505" i="1"/>
  <c r="J7504" i="1"/>
  <c r="J7503" i="1"/>
  <c r="J7502" i="1"/>
  <c r="J7501" i="1"/>
  <c r="J7500" i="1"/>
  <c r="J7499" i="1"/>
  <c r="J7498" i="1"/>
  <c r="J7497" i="1"/>
  <c r="J7496" i="1"/>
  <c r="J7495" i="1"/>
  <c r="J7494" i="1"/>
  <c r="J7493" i="1"/>
  <c r="J7492" i="1"/>
  <c r="J7491" i="1"/>
  <c r="J7490" i="1"/>
  <c r="J7489" i="1"/>
  <c r="J7488" i="1"/>
  <c r="J7487" i="1"/>
  <c r="J7486" i="1"/>
  <c r="J7485" i="1"/>
  <c r="J7484" i="1"/>
  <c r="J7483" i="1"/>
  <c r="J7482" i="1"/>
  <c r="J7481" i="1"/>
  <c r="J7480" i="1"/>
  <c r="J7479" i="1"/>
  <c r="J7478" i="1"/>
  <c r="J7477" i="1"/>
  <c r="J7476" i="1"/>
  <c r="J7475" i="1"/>
  <c r="J7474" i="1"/>
  <c r="J7473" i="1"/>
  <c r="J7472" i="1"/>
  <c r="J7471" i="1"/>
  <c r="J7470" i="1"/>
  <c r="J7469" i="1"/>
  <c r="J7468" i="1"/>
  <c r="J7467" i="1"/>
  <c r="J7466" i="1"/>
  <c r="J7465" i="1"/>
  <c r="J7464" i="1"/>
  <c r="J7463" i="1"/>
  <c r="J7462" i="1"/>
  <c r="J7461" i="1"/>
  <c r="J7460" i="1"/>
  <c r="J7459" i="1"/>
  <c r="J7458" i="1"/>
  <c r="J7457" i="1"/>
  <c r="J7456" i="1"/>
  <c r="J7455" i="1"/>
  <c r="J7454" i="1"/>
  <c r="J7453" i="1"/>
  <c r="J7452" i="1"/>
  <c r="J7451" i="1"/>
  <c r="J7450" i="1"/>
  <c r="J7449" i="1"/>
  <c r="J7448" i="1"/>
  <c r="J7447" i="1"/>
  <c r="J7446" i="1"/>
  <c r="J7445" i="1"/>
  <c r="J7444" i="1"/>
  <c r="J7443" i="1"/>
  <c r="J7442" i="1"/>
  <c r="J7441" i="1"/>
  <c r="J7440" i="1"/>
  <c r="J7439" i="1"/>
  <c r="J7438" i="1"/>
  <c r="J7437" i="1"/>
  <c r="J7436" i="1"/>
  <c r="J7435" i="1"/>
  <c r="J7434" i="1"/>
  <c r="J7433" i="1"/>
  <c r="J7432" i="1"/>
  <c r="J7431" i="1"/>
  <c r="J7430" i="1"/>
  <c r="J7429" i="1"/>
  <c r="J7428" i="1"/>
  <c r="J7427" i="1"/>
  <c r="J7426" i="1"/>
  <c r="J7425" i="1"/>
  <c r="J7424" i="1"/>
  <c r="J7423" i="1"/>
  <c r="J7422" i="1"/>
  <c r="J7421" i="1"/>
  <c r="J7420" i="1"/>
  <c r="J7419" i="1"/>
  <c r="J7418" i="1"/>
  <c r="J7417" i="1"/>
  <c r="J7416" i="1"/>
  <c r="J7415" i="1"/>
  <c r="J7414" i="1"/>
  <c r="J7413" i="1"/>
  <c r="J7412" i="1"/>
  <c r="J7411" i="1"/>
  <c r="J7410" i="1"/>
  <c r="J7409" i="1"/>
  <c r="J7408" i="1"/>
  <c r="J7407" i="1"/>
  <c r="J7406" i="1"/>
  <c r="J7405" i="1"/>
  <c r="J7404" i="1"/>
  <c r="J7403" i="1"/>
  <c r="J7402" i="1"/>
  <c r="J7401" i="1"/>
  <c r="J7400" i="1"/>
  <c r="J7399" i="1"/>
  <c r="J7398" i="1"/>
  <c r="J7397" i="1"/>
  <c r="J7396" i="1"/>
  <c r="J7395" i="1"/>
  <c r="J7394" i="1"/>
  <c r="J7393" i="1"/>
  <c r="J7392" i="1"/>
  <c r="J7391" i="1"/>
  <c r="J7390" i="1"/>
  <c r="J7389" i="1"/>
  <c r="J7388" i="1"/>
  <c r="J7387" i="1"/>
  <c r="J7386" i="1"/>
  <c r="J7385" i="1"/>
  <c r="J7384" i="1"/>
  <c r="J7383" i="1"/>
  <c r="J7382" i="1"/>
  <c r="J7381" i="1"/>
  <c r="J7380" i="1"/>
  <c r="J7379" i="1"/>
  <c r="J7378" i="1"/>
  <c r="J7377" i="1"/>
  <c r="J7376" i="1"/>
  <c r="J7375" i="1"/>
  <c r="J7374" i="1"/>
  <c r="J7373" i="1"/>
  <c r="J7372" i="1"/>
  <c r="J7371" i="1"/>
  <c r="J7370" i="1"/>
  <c r="J7369" i="1"/>
  <c r="J7368" i="1"/>
  <c r="J7367" i="1"/>
  <c r="J7366" i="1"/>
  <c r="J7365" i="1"/>
  <c r="J7364" i="1"/>
  <c r="J7363" i="1"/>
  <c r="J7362" i="1"/>
  <c r="J7361" i="1"/>
  <c r="J7360" i="1"/>
  <c r="J7359" i="1"/>
  <c r="J7358" i="1"/>
  <c r="J7357" i="1"/>
  <c r="J7356" i="1"/>
  <c r="J7355" i="1"/>
  <c r="J7354" i="1"/>
  <c r="J7353" i="1"/>
  <c r="J7352" i="1"/>
  <c r="J7351" i="1"/>
  <c r="J7350" i="1"/>
  <c r="J7349" i="1"/>
  <c r="J7348" i="1"/>
  <c r="J7347" i="1"/>
  <c r="J7346" i="1"/>
  <c r="J7345" i="1"/>
  <c r="J7344" i="1"/>
  <c r="J7343" i="1"/>
  <c r="J7342" i="1"/>
  <c r="J7341" i="1"/>
  <c r="J7340" i="1"/>
  <c r="J7339" i="1"/>
  <c r="J7338" i="1"/>
  <c r="J7337" i="1"/>
  <c r="J7336" i="1"/>
  <c r="J7335" i="1"/>
  <c r="J7334" i="1"/>
  <c r="J7333" i="1"/>
  <c r="J7332" i="1"/>
  <c r="J7331" i="1"/>
  <c r="J7330" i="1"/>
  <c r="J7329" i="1"/>
  <c r="J7328" i="1"/>
  <c r="J7327" i="1"/>
  <c r="J7326" i="1"/>
  <c r="J7325" i="1"/>
  <c r="J7324" i="1"/>
  <c r="J7323" i="1"/>
  <c r="J7322" i="1"/>
  <c r="J7321" i="1"/>
  <c r="J7320" i="1"/>
  <c r="J7319" i="1"/>
  <c r="J7318" i="1"/>
  <c r="J7317" i="1"/>
  <c r="J7316" i="1"/>
  <c r="J7315" i="1"/>
  <c r="J7314" i="1"/>
  <c r="J7313" i="1"/>
  <c r="J7312" i="1"/>
  <c r="J7311" i="1"/>
  <c r="J7310" i="1"/>
  <c r="J7309" i="1"/>
  <c r="J7308" i="1"/>
  <c r="J7307" i="1"/>
  <c r="J7306" i="1"/>
  <c r="J7305" i="1"/>
  <c r="J7304" i="1"/>
  <c r="J7303" i="1"/>
  <c r="J7302" i="1"/>
  <c r="J7301" i="1"/>
  <c r="J7300" i="1"/>
  <c r="J7299" i="1"/>
  <c r="J7298" i="1"/>
  <c r="J7297" i="1"/>
  <c r="J7296" i="1"/>
  <c r="J7295" i="1"/>
  <c r="J7294" i="1"/>
  <c r="J7293" i="1"/>
  <c r="J7292" i="1"/>
  <c r="J7291" i="1"/>
  <c r="J7290" i="1"/>
  <c r="J7289" i="1"/>
  <c r="J7288" i="1"/>
  <c r="J7287" i="1"/>
  <c r="J7286" i="1"/>
  <c r="J7285" i="1"/>
  <c r="J7284" i="1"/>
  <c r="J7283" i="1"/>
  <c r="J7282" i="1"/>
  <c r="J7281" i="1"/>
  <c r="J7280" i="1"/>
  <c r="J7279" i="1"/>
  <c r="J7278" i="1"/>
  <c r="J7277" i="1"/>
  <c r="J7276" i="1"/>
  <c r="J7275" i="1"/>
  <c r="J7274" i="1"/>
  <c r="J7273" i="1"/>
  <c r="J7272" i="1"/>
  <c r="J7271" i="1"/>
  <c r="J7270" i="1"/>
  <c r="J7269" i="1"/>
  <c r="J7268" i="1"/>
  <c r="J7267" i="1"/>
  <c r="J7266" i="1"/>
  <c r="J7265" i="1"/>
  <c r="J7264" i="1"/>
  <c r="J7263" i="1"/>
  <c r="J7262" i="1"/>
  <c r="J7261" i="1"/>
  <c r="J7260" i="1"/>
  <c r="J7259" i="1"/>
  <c r="J7258" i="1"/>
  <c r="J7257" i="1"/>
  <c r="J7256" i="1"/>
  <c r="J7255" i="1"/>
  <c r="J7254" i="1"/>
  <c r="J7253" i="1"/>
  <c r="J7252" i="1"/>
  <c r="J7251" i="1"/>
  <c r="J7250" i="1"/>
  <c r="J7249" i="1"/>
  <c r="J7248" i="1"/>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<sst xmlns="http://schemas.openxmlformats.org/spreadsheetml/2006/main" count="65865" uniqueCount="18542">
  <si>
    <t>Índice onomástico anual · Gazeta de Madrid</t>
  </si>
  <si>
    <t>Números 1 a 119 · 2 de enero–29 de diciembre de 1801 (cobertura solicitada: 1 de enero–31 de diciembre)</t>
  </si>
  <si>
    <t>Registros: 8.114</t>
  </si>
  <si>
    <t>Ordenación aproximada por apellidos; cada fila enlaza con la página del facsímil oficial.</t>
  </si>
  <si>
    <t>Aviso: la fuente histórica se procesó con OCR. Las filas marcadas «Cotejar OCR» deben verificarse antes de una cita formal.</t>
  </si>
  <si>
    <t>Apellidos y nombre (orden estimado)</t>
  </si>
  <si>
    <t>Nombre leído</t>
  </si>
  <si>
    <t>Motivo de aparición</t>
  </si>
  <si>
    <t>Organismo o sección</t>
  </si>
  <si>
    <t>Fecha</t>
  </si>
  <si>
    <t>Nº Gazeta</t>
  </si>
  <si>
    <t>Página</t>
  </si>
  <si>
    <t>Observaciones</t>
  </si>
  <si>
    <t>Extracto original OCR</t>
  </si>
  <si>
    <t>Facsímil (página)</t>
  </si>
  <si>
    <t>Estado de lectura</t>
  </si>
  <si>
    <t>Aatonio de Larrina, Juan</t>
  </si>
  <si>
    <t>Juan Aatonio de Larrina</t>
  </si>
  <si>
    <t>Mencionado en un anuncio particular, económico o judicial.</t>
  </si>
  <si>
    <t>Avisos y anuncios</t>
  </si>
  <si>
    <t>8 de mayo de 1801</t>
  </si>
  <si>
    <t>Transcripción del OCR histórico; compruebe la grafía en el facsímil.</t>
  </si>
  <si>
    <t>a pragmática sanción de 30 de Agosto, publicada en i.° de Setiembre del citado afio : compuesto por D. Juan Aatonio de Larrina, que obtiene privilegio exclusivo desde la primitiva creamos dé los vales hasta el afio 4t la fecha. Se Hallará á 4 rs. en la calle de! Areaa^, junto á la puerta del Sol , en la c</t>
  </si>
  <si>
    <t>Cotejar OCR</t>
  </si>
  <si>
    <t>Aba, Francisco</t>
  </si>
  <si>
    <t>Francisco Aba</t>
  </si>
  <si>
    <t>Mencionado en un anuncio bibliográfico, artístico o editorial.</t>
  </si>
  <si>
    <t>Libros, estampas y avisos culturales</t>
  </si>
  <si>
    <t>11 de agosto de 1801</t>
  </si>
  <si>
    <t>. latinos-de filosofía con sus discípulos D. Joachín Celina y Perez, Di Ccferino Lagraba y Orobia , D. Francisco Aba*~ día y Lrson, D. Joseph Buc y Palos y D. Francisco Arce35 Palaeió,. presentó á los* mismos juntamente con D. Miguel Ordos y íí^iol y. D¿. Ramón. García y Gal ve en los dias 17 ,,</t>
  </si>
  <si>
    <t>Abadía de Barbará y Llorens, Antonio</t>
  </si>
  <si>
    <t>Antonio Abadía de Barbará y Llorens</t>
  </si>
  <si>
    <t>Mencionado en un nombramiento, ascenso, concesión o disposición oficial.</t>
  </si>
  <si>
    <t>Nombramientos y disposiciones</t>
  </si>
  <si>
    <t>12 de mayo de 1801</t>
  </si>
  <si>
    <t>r de Pozondon, en dicha diócesis : para una Canongía de la colegial de Manrésa^diócesis de Vique, á D. Antonio Abadía de Barbará y Llorens: -para la Canongía llamada Capiscolía de la colegial de Casteilbó , diócesis de ■Urge!, á D. Silvestre Navarro: para otra Canongía de la colegial de Alcañiz, diócesis, dé Gerona,</t>
  </si>
  <si>
    <t>Abadía, Domingo</t>
  </si>
  <si>
    <t>Domingo Abadía</t>
  </si>
  <si>
    <t>Mencionado en una noticia, disposición o aviso de España.</t>
  </si>
  <si>
    <t>Noticias de España</t>
  </si>
  <si>
    <t>3 de julio de 1801</t>
  </si>
  <si>
    <t>ue se devenguen, sino también en los plazos de los capitales. Se cita y emplaza á los acreedores de D. Domingo Abadía, y en especial á los Sres. Pujó, Deucau, Fossau, Estelle, Deschamps, Lerocix, y de la Salle, del comercio de la ciudad de París, y á los Sres, Barrena y compañía, del de Bilbao ,</t>
  </si>
  <si>
    <t>Abadía, Ignacio</t>
  </si>
  <si>
    <t>Ignacio Abadía</t>
  </si>
  <si>
    <t>22 de diciembre de 1801</t>
  </si>
  <si>
    <t>. Infantes D. Carlos y O. Antonio, 32 caballeros Grandes Cruces, D. Tomas Lobo, Ministro Secretario,D. Ignacio Abadía, y Marques de Bondad Real, en calidad de Maestro de Ceremonias y Tesorero, y 31 caballeros pensionistas y supernumerario1:, en las piezas inmediatas á la Real Cámara en el Real si</t>
  </si>
  <si>
    <t>Abal, Juan Antonio</t>
  </si>
  <si>
    <t>Juan Antonio Abal</t>
  </si>
  <si>
    <t>10 de marzo de 1801</t>
  </si>
  <si>
    <t>, y al de fusileros Don Francisco Fernandez ; á segundos Tenientes de granaderos á los de fusileeos D. Juan Antonio Abal , ¡D. Manuel Barranco y D. Gerónimo de la Escosura; á segundos Tenientes á los Subtenientes de granaderos D. Tomas de Ben, D. Francisco Xavier González y D. Tomas Perez, y á los p</t>
  </si>
  <si>
    <t>10 de abril de 1801</t>
  </si>
  <si>
    <t>sta resulta al primer Teniente D. Joseph María Peyralon; á primer Teniente al segundo de granaderos D. Juan Antonio Abal ; á segundo Teniente de granaderos al de fusileros D. Blas de Hore; asegundo Teniente al Subteniente de granaderos D. Matías Retamir; á Subteniente de granaderos al primero de fus</t>
  </si>
  <si>
    <t>Aballe, Joseph</t>
  </si>
  <si>
    <t>Joseph Aballe</t>
  </si>
  <si>
    <t>D. Manuel Torregrosa , este de granaderos, y, D. Juan ¡ Gallo , y i los’ Cadetes D. Joachín Albizu, D. Joseph Aballe, D. Juan Francisco Espinosa, delude Górdoha, y á D. Joseph Gliver : í en el de Extremadura £ segundo;Subtenieiite &lt;ahCadete:,D. Joseph Escola :■ en el de las Ordenes Militares a .</t>
  </si>
  <si>
    <t>6 de noviembre de 1801</t>
  </si>
  <si>
    <t>ndos D. Rafael Maroto, D. Antonio Casanoves, D. Manuel Cadavid, D. Juan Sobrado, D. Joachín Albizu, D. Joseph Aballe y D. Manuel Torregrosa, y á segundos Subtenientes á los Sargentos primeros D. Gabriel Cárdena y D. Francisco Joseph García, al Soldado distinguido del Real cuerpo de artillería D. Jua</t>
  </si>
  <si>
    <t>Abarca Maldonado y Agustina Suárez, Francisco</t>
  </si>
  <si>
    <t>Francisco Abarca Maldonado y Agustina Suárez</t>
  </si>
  <si>
    <t>lla; D. Ramón Francisco de la Palma, vecino de Toledo, como poseedor de los mayorazgos que fundáron D. Francisco Abarca Maldonado y Doña Agustina Suarez, su muger; el í?r. D. Joseph Andonaegui, Teniente General de los Reales exércitos» vecino de Madrid; D. Isidoro Fernandez de la Quintana, como marido de Doña Francisca Xaviera de</t>
  </si>
  <si>
    <t>Abarna, Nicolás</t>
  </si>
  <si>
    <t>Nicolás Abarna</t>
  </si>
  <si>
    <t>20 de enero de 1801</t>
  </si>
  <si>
    <t>a de Cadete de número al supernumerario D. Gerónimo Pietrt, y para Cadete supernumerario al Guardia D. Nicolás Abarna: en la compañía Flamenca Brigadier</t>
  </si>
  <si>
    <t>Abásalo, Luis</t>
  </si>
  <si>
    <t>Luis Abásalo</t>
  </si>
  <si>
    <t>12 de junio de 1801</t>
  </si>
  <si>
    <t>a Ayudante ai primer Teniente 0. Joachín Taberner: en el de Calatrava á Capitán al primer Teniente D. Luis Abásalo: en el de Santiago a primer Teniente al segundo D. Lorenzo Contreras, y á segundo Teniente al Alférez D. Antonio Santa; y en el de dragones de Alnunsa á Capitán al Teniente de gra</t>
  </si>
  <si>
    <t>Abbot</t>
  </si>
  <si>
    <t>Citado en un aviso sobre fallecimiento, parentesco, haberes o derechos de herederos.</t>
  </si>
  <si>
    <t>6 de enero de 1801</t>
  </si>
  <si>
    <t>hortación dirigida á todos los padres de familia para que reduzcan el consumo* de pan en sus casas. Mr. Abbot propuso el1 día 20 en la Cámara de los Comunes se formase* un bilí para comprobar la actual población de la Gran Bretaña, el qual (dixo) es útil en todos tiempos, é indispensable</t>
  </si>
  <si>
    <t>26 de junio de 1801</t>
  </si>
  <si>
    <t>r el precio del pan:.el de 4 libras cuesta ahora 6 rs. y medio. En la Cámara de los Comunes propuso Mr. Abbot el dia 27 que se restableciese en Irlanda la ley marcial; y se acordó que presentase un bilí pata ello. Pidió el mismo día el Procurador general que se señalasen indem</t>
  </si>
  <si>
    <t>Abbot de Dublin</t>
  </si>
  <si>
    <t>Mencionado en una noticia extranjera.</t>
  </si>
  <si>
    <t>Noticias extranjeras</t>
  </si>
  <si>
    <t>29 de septiembre de 1801</t>
  </si>
  <si>
    <t>ualmente en Spithead 20 buques de guerra entre navios y fragatas. ^ -- '••• El to de este mes salió Mr. Abbot de Dublin patfa el Condado de Wieklow á visitar unas minas de oro fecien descubiertas.:</t>
  </si>
  <si>
    <t>Abdon Baxes</t>
  </si>
  <si>
    <t>Mencionado en una relación militar de individuos, procedencia, parentesco o haberes.</t>
  </si>
  <si>
    <t>Relaciones militares y haberes</t>
  </si>
  <si>
    <t>4 de agosto de 1801</t>
  </si>
  <si>
    <t>Supl., p. 2</t>
  </si>
  <si>
    <t>llas en id., gi. g, Abdon Baxes.... ...... Silvestre y 'María Pons............ Sureda en id ..... gi. g, Francisco Baixes......... Silvestre y María Pons.............. Masanet</t>
  </si>
  <si>
    <t>Abdon de Ros</t>
  </si>
  <si>
    <t>Supl., p. 3</t>
  </si>
  <si>
    <t>guiBarón de Aguilac... lar........ ............................. . Id.............. ....... go. ig; D. Abdon de Ros, Conde de Ros...»........... D. Juan y Dofia María Bafiolls.. Id...................... ¿0. bu‘ 4 5» D. Agustín Sagarriga.. D. Juan y Dofia Agustina de Ros.........................</t>
  </si>
  <si>
    <t>Aber, General</t>
  </si>
  <si>
    <t>General Aber</t>
  </si>
  <si>
    <t>2 de enero de 1801</t>
  </si>
  <si>
    <t>rte de las embarcaciones cogidas en dicha isla. Carece de fundamento la noticia divulgada de.que el General Aber^crombie va á Egipto con su exército: pues aseguran tiene orden de esperar bo léjos de Italia la determinación definitiva del Emperador para sostener á las tropas imperiales eon; t</t>
  </si>
  <si>
    <t>Abercornbrie, General</t>
  </si>
  <si>
    <t>General Abercornbrie</t>
  </si>
  <si>
    <t>6 de marzo de 1801</t>
  </si>
  <si>
    <t>ARZO DE 1801. Constantinopía 24 de Diciembre de j8oo. U n cuerpo de 6$ ingleses de los que manda el General Abercornbrie ki llegado á Rhódas, y el Embaxador británico Lord Elgin acaba de enviar allí uno de sus secretarios. El Embaxador argelino está aquí como preso hasta que vuelva su secretario, qu</t>
  </si>
  <si>
    <t>Abercrombie</t>
  </si>
  <si>
    <t>17 de abril de 1801</t>
  </si>
  <si>
    <t>odas las tribus del Asia; y Orlente: que si se requiere, a Y , aseguran) á tentar vm desembarco, 5i Mr. Abercrombie se arriesga. X me atr€vo á abrmar que no parlamenya lo esperan nuestras bayone ^áade que ya hubiera mandado taremos sino á fusilazo^ canon comunicap¡on del contagio que se recobra</t>
  </si>
  <si>
    <t>21 de abril de 1801</t>
  </si>
  <si>
    <t>s amenazas de los rusos, no quiere concurrir á ella, ni concertarse con nuestras tropas. Añaden que Mr. Abercrombie ha recibido orden de desistir de su empresa si no puede executarla sin .exponer á la Puerta á ser atacada por los rusos. En fuerza de estas noticias , que se miran como auténticas</t>
  </si>
  <si>
    <t>22 de mayo de 1801</t>
  </si>
  <si>
    <t>Marzo» parece que había recibido pliegos del Lord Keith con el aviso de que las tropas del mando de Mr. Abercrombie hiciéron el 8 de Marzo un .desembarco en la península de Abukir expuestas al fuego de la artillería formidable jf de la fusilería enemiga; que á toda priesa se había juntado con l</t>
  </si>
  <si>
    <t>Abercrombíe</t>
  </si>
  <si>
    <t>mientos dé caballería tienen drden de .embarcarse para ¡ir quanto' ántes -á reforzar el exército dé'Mr. Abercrombíe. ■. • ‘ i' Se regulan en 500® libras esterlinas las rentas del Electorado de Hártnóvcr,quepicrde el Rey de Inglaterra si la Prusia se queda con aquel país. 1 La inoculación de la</t>
  </si>
  <si>
    <t>29 de mayo de 1801</t>
  </si>
  <si>
    <t>a del Coronel Anstruther al Coronel Brownrigg. Estos documentos son del tenor siguiente: „ Carta de Mr. Abercrombie al Conde Elgin i delante de Alexandría J&lt;Tde Marzo. La esquadra llegó el i.° de este mes á vista de Alexandría, y el 2 ancló en la bahía de Abukir. El mal tiempo impidió se hicies</t>
  </si>
  <si>
    <t>• ■ . . - , Gayró al primer aviso del desembarcó de Mr. Abercrombie. Nuestras’tro* pas se habían adelantado y apostado á 3 millas de Alexandría, en dónde hacían disposiciones para atacar á Menou, el qual habiendo reunido la guarnición de Alexandrí</t>
  </si>
  <si>
    <t>30 de junio de 1801</t>
  </si>
  <si>
    <t>iento , valor y resolución como ha manifestado nuestro exército en Egipto. Me figuro que hallándose Mr. Abercrombie ausente del campamento á causa de las heridas que recibió el 21 de Marzo, ha ocasionado este suceso una suspensión momentánea en nuestras'Operaciones ; y con la pérdida irreparabl</t>
  </si>
  <si>
    <t>Abercrombie y Mr, Coronel</t>
  </si>
  <si>
    <t>Coronel Abercrombie y Mr</t>
  </si>
  <si>
    <t>11 de diciembre de 1801</t>
  </si>
  <si>
    <t>sesión de Alexandría. Una hora después fondeó en Spithead la fragata Carmen, á cuyo bordo venían el Coronel Abercrombie y Mr. SidneySmith con la capitulación de aquella plaza. El General Moore salió 19 dias después del Coronel Abercrombie. Todos los oficiales desembarcaron en Portsmouth, y han llegado á</t>
  </si>
  <si>
    <t>Abercrombie, Coronel</t>
  </si>
  <si>
    <t>Coronel Abercrombie</t>
  </si>
  <si>
    <t>n heridos levemente los Generales Abercrombie, Moore, Nope, Mr. Sidney-Smith y el Coronel Paget. El Coronel Abercrombie lo fué de mas gravedad.__ El Lord Keith me dice en sus últimos pliegos que todo» los heridos se restablecen: cosa tanto mas extraña, quanto todas sus heridas son de metralla y art</t>
  </si>
  <si>
    <t>y Mr. SidneySmith con la capitulación de aquella plaza. El General Moore salió 19 dias después del Coronel Abercrombie. Todos los oficiales desembarcaron en Portsmouth, y han llegado á Londres. Mr. Smith venia con trage turco, sin faltarle el turbante, el chal y el ceñidor con dos pistolas. ‘ La u</t>
  </si>
  <si>
    <t>Abercrombie, General</t>
  </si>
  <si>
    <t>General Abercrombie</t>
  </si>
  <si>
    <t>23 de enero de 1801</t>
  </si>
  <si>
    <t>gobierno se iluminó la ciudad y hubobayle en el teatro. Se ha divulgado que las tropas inglesas del General Abercrombie se dirigen á Egipto para ayudar á los turcos á recobrar aquel país. Sin embargo, otras noticias suponen que desembarcarán en Ñapóles, y que reunidas con varios cuerpos austriacos</t>
  </si>
  <si>
    <t>27 de enero de 1801</t>
  </si>
  <si>
    <t>ssau, y la del General de Laborde habrá entrado ya en Ratisbona. &gt; Londres 24 de Diciembre. . ¿ E 1 General Abercombrie ha pedido ai gobierno le envíe los méiicós Yonng y Pinkard, p ira poner en buen orden los hospitales de su exército. u Por el barco tos Dos amigos, procedente de Mueva-Yorck, se s</t>
  </si>
  <si>
    <t>10 de febrero de 1801</t>
  </si>
  <si>
    <t>e iba de Embden á Sto. Domingo con un cargamento muy interesado. • .* ■. . ■* 'iv—./yEn'caso que el General Abercrombie consiga hacerse dueño de Egiptfe, fundará allí el gobierno ingles una colonia , estableciendo una compañía ■mercante, en los mismos términos y con. las mismas facultades que la co</t>
  </si>
  <si>
    <t>13 de febrero de 1801</t>
  </si>
  <si>
    <t>el regimiento de Hompesch &gt; que es de cazadores de á caballo;y va á incorporarse con las tropas del General Abercrombie en su expedición contra Egipto. Háblase de otra expedición, cuyo mando se confiará al General Mayt» land; y añaden que el Almirante Dickson saldrá en breve de Yarmouth, mandando una</t>
  </si>
  <si>
    <t>27 de febrero de 1801</t>
  </si>
  <si>
    <t>la mayor prontitud su viage de aquí á Venecia, y de fletar allí un barco muy velero para alcanzar á Mr. Abercombrie en Rhódas ó en Chipre. La esquadra grande de Torbay salió el día 23 para su apostadero en Jas aguas de Brest. El gabinete de Petersburgo no ha querido contestar á las representacion</t>
  </si>
  <si>
    <t>&amp;ÓQ General Abercrombie, les lleva orden de que suspendan toda tentativa contra los franceses de Egipto. El día 3 se. juntaron los individuos de la asociación llamada de los Wighs, y comieron en la fonda</t>
  </si>
  <si>
    <t>17 de marzo de 1801</t>
  </si>
  <si>
    <t>r 20 de Enero* mtes de ayer noche tuvo la Puerta noticia de que las tropas inglesas mandadas por el General Abercrombie han llegado á las costas de Caramania; y la esquadra del Lord Keith queda surta en Marmarisa. A lgunas embarcaciones,.que saliéron de Alexaudríá con enfermos, han caído en poder d</t>
  </si>
  <si>
    <t>Abercrómbie, General</t>
  </si>
  <si>
    <t>General Abercrómbie</t>
  </si>
  <si>
    <t>24 de marzo de 1801</t>
  </si>
  <si>
    <t>mo lo deseaba ¿ negociaciones con aquella corte* - .v ■&gt; También ha recibido el gobierno eartas del-General Abercrómbie. Avi&lt;sa desde el Archipiélago con fecha de i.° de Enero, que segyia á su destino; y añade que tentará el desembarcó en Egipto así que haya concertado sus medidas con el Gran Visir</t>
  </si>
  <si>
    <t>14 de abril de 1801</t>
  </si>
  <si>
    <t>y pedir nuevas satisfacciones. . Según las ultimas noticias del Mediterráneo aun no ha intentado el General Abercrombie su desembarco en Egipto,:y la esquadra británica está tó&amp;avía:*ñ el puerto dé.MaGri. *1. i&gt; ■ ve:; JílkL;;-,, , 7 - Sabido es que los ingleses toldaron de los; turcos) él arte de.</t>
  </si>
  <si>
    <t>ey con pliegos del Almirante Kei-th, y al misino tiempo ha llegado el Capitán Aüsten con cartas del General Abercrombie. Nada se ha publicado de lo que avisan estos Generales; pero se dice que un oficial superior empleado en la expedición de Egipto escribe desde Salaba, en Natplia, son fecha de 19</t>
  </si>
  <si>
    <t>to, pues los calores y la ?ed lo destruirían en gran parte. Atendiendo ' á todo esto se duda qué el General Abercrombie insista én su expedición.Stockolmo 28 de Febrero. E 1 dia 17 envió esta corte orden á Mr. Netzel, Encargado de Negocios de Suecia enLóndres, para que se retire inmediatanunté de a</t>
  </si>
  <si>
    <t>24 de abril de 1801</t>
  </si>
  <si>
    <t>o de Irlanda. * , Según las noticias mas recientes de Constafttinopla ha efectuado.su desembarco el General Abercrombie. Este General quiso desembarcar y tomar oasa en Rhódas; pero los turcos se Je opusieron&gt; temiendo que los ingleses se valiesen de ello.para tomar posesión de la isla. . .</t>
  </si>
  <si>
    <t>28 de abril de 1801</t>
  </si>
  <si>
    <t>e que el secretario del Embaxador ingles ha salido de Constantinopia para comunicar esta noticia al General Abercrombie. Prosigue recobrándose el Archiduque Cárlos. Así el gabinete austríaco como el Lord Minto han recibido cartas recientes de Constantinopia con noticia de que el General Abercrombie</t>
  </si>
  <si>
    <t>5 de mayo de 1801</t>
  </si>
  <si>
    <t>ante del General Murat llegáron también a aquel puerto. Las noticias" que trae el Osíris son que el General Abercrombie hizo el 8 de dicho mes su desembarco en Abukir con un cuerpo de' 13 á 14© hombres. Desde aquel dia hasta el 16 repitió sus tentativas, siempre vanas, para encerrar á la guarnición</t>
  </si>
  <si>
    <t>Quedan enRhódas unos mil ingleses, enfermos, y se regula en 10® hombres el número de tropas que el -General Abercrombie lleva á Egipto, con otros 3© entre arnautas 6 albaneses, que se han reclutado en el Archipiélago, y forman un cuerpo baxo las órdenes de Mr. Sidney-Smith. El Almirante ingles Bick</t>
  </si>
  <si>
    <t>os 6® cortados y hechos prisioneros por la caballería francesa: entre ellos dicen se halla el mismo General Abercrombie. Aunque se señala el dia de esta batalla , que suponen fué el 20 de Marzo, conviene esperar su confirmación. París 20 de AbriL E 1 diario que el Prefecto marítimo de Egipto ha rem</t>
  </si>
  <si>
    <t>nas cartas de Constantinopla de 27 de Marzo expresan que en aquella capi-t tal se; aseguraba que el General Abercrombie había conseguido desembarcar en Egipto; pero que poco después le atacó el General Menou, cau-« sándole una pérdida de 3© muertos y 5© prisioneros. Han señalado los Cónsules 32,256</t>
  </si>
  <si>
    <t>uia marchando en coluna, rodeó la defe-i*’ cha del enemigo, y le obligó á abandonar sus puestos. El General Abercrombie mandó repetir el ataque en las alturas inmediatas á ia ciudad , á las qüales;se había retirado el enemigó; péró al récónocerías con atención se advirtió (‘pie lás prótfegíá h arrt</t>
  </si>
  <si>
    <t>2 de junio de 1801</t>
  </si>
  <si>
    <t>. Díces'e igualmente que el Coronel Bryce y el Capitán de ingenieros M’Gennis están prisioneros. El General Abercrombie de resultas de su herida se retiró al navio Fóudroyani, dexando el mando al General Hutchínson, Fasta que se restablezca. El dia 2 llegó aquí de Bombay ei General Mackenzie, quien as</t>
  </si>
  <si>
    <t>5 de junio de 1801</t>
  </si>
  <si>
    <t>de línea, 405 fragatas ó corbetas, y alguna* naves menores.” Se han publicado otras dos cartas del General Abercrombie fechas en el campo de Alexandría á 16 y 18 de Marzo. En la primera refiere que los Sargentos mayores Mackerras y Fleteher, del Real cuerpo de ingenieros, fueron en la fragata Pcné</t>
  </si>
  <si>
    <t>9 de junio de 1801</t>
  </si>
  <si>
    <t>s circunstancias sobre la batalla de 21 de Marzo; y luego dice: ,, Sentimos tener que añadir que el General Abercrombie murió el 29 de Marzo de resultas de sus heridas. El Capitán Baxá llegó el 25 á Abukir, y el dia siguiente desembarcó las tropas que llevaba.” "''í; -[y ‘' lloridoes 12 de Mayo,1'</t>
  </si>
  <si>
    <t>ncés dio contra nuestras líneas el 21 de Marzo por la mañana, mi valeroso y respetable compañero el General Abercrombie recibió desgraciadamente una herida, de que murió el 28 en este navio. Inútil es deciros quanto esta desgracia aflige al exército y á ia esquadra. Incluyo copia del informe que me</t>
  </si>
  <si>
    <t>16 de junio de 1801</t>
  </si>
  <si>
    <t>el exército ingles de Egipto , dar gracias á Ips Generales y Almirantes, y perpetuar la memoria del General Abercrombie con un monumento público. . El General Abercrombie tenia 62 años. , Un cuerpo compuesto de varios destacamentos de Guardias y otras trompas, que estaba destinado para un servicio</t>
  </si>
  <si>
    <t>nsportes entre ingleses y turcos, como también 3 navios y algunas fragatas otomanas. El cadáver del General Abercrombie fué llevado á Malta, en dónde le dieron sepultura. Vienen eft &lt;el parlamentario 168 prisioneros franceses, incluso un «ele de batallón: hay ‘ademas 1 f ¡españoles; Este bwque^ahó.</t>
  </si>
  <si>
    <t>19 de junio de 1801</t>
  </si>
  <si>
    <t>ó Viliemet el 23 á Malta, en donde posteriormente entró la fragata inglesa Flora con el cadáver del General Abercrombie, al qual se dio sepultura con mucha ostentación. Mientras permaneció Villemet en Malta llegaron 20 transportes escoltados por una fragata y cargados de víveres; y el dia 28 salier</t>
  </si>
  <si>
    <t>Abercrombié, General</t>
  </si>
  <si>
    <t>General Abercrombié</t>
  </si>
  <si>
    <t>23 de junio de 1801</t>
  </si>
  <si>
    <t>la Cámara de los Comunes* en que decía que S. M. habia juzgado conveniente conferir á' la viuda del General Abercrombié una Baronía con el título de Abukir, y una pensión de 2© libras esterlinas, gozando de uno y otro ios dos herederos varones de dicho General. En la misma sesión expuso el referido</t>
  </si>
  <si>
    <t>éron los enemigos perdida la batalla no obstante la superioridad de su número, y aun se dice qüe el General Abercrombie había hecho disposiciones para la retirada, poco antes de tentar el último esfuerzo contra nuestra derecha. El valor y empeño con que resistiéron nuestras tropas, mereció la admir</t>
  </si>
  <si>
    <t>ería , artillería y milicias de Edimburgo Irn tomado luto por 4 semanas con motivo de la muerte del General Abercrombie. En los transportes que se envían á Egipto va gran número de cirujanos. Ha llegado á Dublin el Conde de Hardwille, nuevo Virey de Irlanda. En Piimouth entró el dia 28 el barco nom</t>
  </si>
  <si>
    <t>17 de julio de 1801</t>
  </si>
  <si>
    <t>, y por ella se ha sabU do que había entrado en aquella isla una fragata inglesa con el cadáver de! General Abercrombie, el qúal fué enterrado ál pie del castillo de Santelr mo. Poco después se despacharon 200-hombres entre ingleses y malteses, que van á Egipto á reemplazar parte de los ingleses qu</t>
  </si>
  <si>
    <t>7 de agosto de 1801</t>
  </si>
  <si>
    <t>llegan aí puerto de Suda fragatas inglesas á hacer víveres. En la batalla en que perdió la vida el General Abercrombie murieron mas de 8® ingleses; y desde entonces no se han atrevido á emprender un ataqúe contra Alexandría. Casi dicen públicamente que no tienen esperanza deque se logre «u famosa</t>
  </si>
  <si>
    <t>16 de octubre de 1801</t>
  </si>
  <si>
    <t>, y el convenio se firmó el 28 de Junio.-c—Place 8 meses que tendréis noticia de la .expedición del General Abercrombie: habéis hecho quanto era posible por los valerosos soldados de Egipto, á los que miráis como hijos. Despachasteis .á Gantheáume con 5© hombres: si hubiera liegado á tiempo, seria</t>
  </si>
  <si>
    <t>Abercrombie, Teniente General</t>
  </si>
  <si>
    <t>Teniente General Abercrombie</t>
  </si>
  <si>
    <t>según se habían acreditado con tanta confianza. Contiene dicha gazeta extraordinaria una carta del Teniente General Abercrombie al Lord Elgin, Embaxador’en Constañtinoph: pliegos del mismo Lord para el Duque de Yótck y para el Ministro de Estado; y otra carta del Coronel Anstruther al Coronel Brownrigg. Es</t>
  </si>
  <si>
    <t>Ábercrpmbie</t>
  </si>
  <si>
    <t>6 de febrero de 1801</t>
  </si>
  <si>
    <t>parece , á Mr. Home^Popham, mandando unacUvUion de fragatas con destino al már Roxo. j Se sabe que Mr. Ábercrpmbie salid de íetüan para las islas de Malta y Chipre, de donde seguirá a Egipto. Al mismo destino se dirigirá el Gene;r.alr Kray; desde í^ombay; por el mar Roxo con io© hombres de tro</t>
  </si>
  <si>
    <t>Abererombie</t>
  </si>
  <si>
    <t>3 de marzo de 1801</t>
  </si>
  <si>
    <t>fragatas ha» focado de arribada en. Rhodas, y que.. en una dé ellas se baila el Ayudante general de Mr. Abererombie. .s)y-j t rp , : d ;-i ^s! Forsórden delEmbaxadQr británica se. ha ePmprado aquí 'gran cántUai del granos para Maltfi r y pareceiquesepropone camprar jtsuhbien cierto número de ca</t>
  </si>
  <si>
    <t>Abererombie, General</t>
  </si>
  <si>
    <t>General Abererombie</t>
  </si>
  <si>
    <t>13 de marzo de 1801</t>
  </si>
  <si>
    <t>a inglesa y un convoy, que en todo componen 140 velas: traen 18© hombres de desembarco al mando del General Abererombie. Así que hayan hecho aguada y tomado vireres en Rhódas y otros puertos inmediatos, seguirán su viage á Egipto. Constántinopla 31 de Diciembre. S _ egun cartas de Crimea se está al</t>
  </si>
  <si>
    <t>AberoromBie, General</t>
  </si>
  <si>
    <t>General AberoromBie</t>
  </si>
  <si>
    <t>24 de febrero de 1801</t>
  </si>
  <si>
    <t>tas de Cionstantinopla queda esquadra inglesa desttoadacon tropas para Egipto, baxo las órdenes del General AberoromBie* tíonsta de 95 veks ? inclusos 1*3 navios de línea, y que etítró en el golfo dé ^liiOriv frente áf4a ^sla* de Rhódás,jparaíhacer víveres., y concertar desde gilí *0on sil GrárilVi</t>
  </si>
  <si>
    <t>Abhospital, Joseph</t>
  </si>
  <si>
    <t>Joseph Abhospital</t>
  </si>
  <si>
    <t>25 de septiembre de 1801</t>
  </si>
  <si>
    <t>de fusileros D. Bonifacio Kop_penhan,y á secundo Teniente de fusileros al Subteniente de granaderos Don Joseph Abhospital ; y en el de Yann á Subteniente al Cadete D. Francisco Javier Racmy. 2SI Consejo á consulta de la Com*sio'n gubernativa, y con aprobación dé !S. M., ha resuelto la amortización ve</t>
  </si>
  <si>
    <t>Abolaña, Juan de Dios</t>
  </si>
  <si>
    <t>Juan de Dios Abolaña</t>
  </si>
  <si>
    <t>argas, D. Lúeas Belmar y D. Juan Becerra; á primeros Subtenientes á los segundos D. Joseph de Mena, D. Juan de Dios Abolaña, D. Diego Ortiz de Saracho, D. Juan Regis Fernandez Costa y D. Lúeas Ortega, y á segundos Subtenientes á los Cadetes D. Joachín Palacios, D. Juan Manuel Carmona, D. Jesualdo de Ve</t>
  </si>
  <si>
    <t>Abril, Pedro</t>
  </si>
  <si>
    <t>Pedro Abril</t>
  </si>
  <si>
    <t>18 de agosto de 1801</t>
  </si>
  <si>
    <t>agregado en la propia clase D. Buenaventura Zañartu del- Fiehro1, y' á los Tenientes de granaderos D. Pedro Abril y D. Ignacio Bustamante: á Capitanes de los esquadrones sueltos de Milicia# urbanas dé caballería de Guancabamba y Chalaco al Teniente D. Joseph Gavino de la Cruz y al Alférez D. Paul</t>
  </si>
  <si>
    <t>Acedo y Torres, Francisco</t>
  </si>
  <si>
    <t>Francisco Acedo y Torres</t>
  </si>
  <si>
    <t>ildo de la misma santa iglesia , y en su .nombre el referido limo. Sr. D". Joseph Eustaquio Moreno, D. Francisco Acedo y Torres, del Consejo Real, D. Gabriel de Ilevia y Noriega, del Consejo de Ja suprema y general Inquisición,y D. Miguel Ochoa, Auditor de Rota de la Nunciatura; y al limo. Sr. D. Antonio G</t>
  </si>
  <si>
    <t>Acevédo y De Antonio Viilafranca, Domingo</t>
  </si>
  <si>
    <t>Domingo Acevédo y De Antonio Viilafranca</t>
  </si>
  <si>
    <t>tonio González; a primeros Subtenientes á los]segundos Dv-Joseph Alvarez Campana, D. Joseph Conesa, Don Domingo Acevédo y De Antonio Viilafranca; y a segundos Subtenientes^ los Sargentos primeros D. Joseph García, D. Juan Recio y* - n ono Tlkíalge, este v ei primero*de' granaderos, y á los_Cadete* dejos &lt; fanteda de-Volunt</t>
  </si>
  <si>
    <t>Acevedo, Juan Antonio</t>
  </si>
  <si>
    <t>Juan Antonio Acevedo</t>
  </si>
  <si>
    <t>11 de septiembre de 1801</t>
  </si>
  <si>
    <t>o director Don Francisco Ycbra, Alférez de Fragata graduado de la Real Armada, y deí tercer maestro D. Juan Antonio Acevedo, los que se han contimudo en los siguientes dias 3 y 4 por mañana y tarde: habiéndose principiado el primer acto por una oración que leyó el primer maestro. Fuéron examinados suce</t>
  </si>
  <si>
    <t>Actoiir, General</t>
  </si>
  <si>
    <t>General Actoiir</t>
  </si>
  <si>
    <t>21 de julio de 1801</t>
  </si>
  <si>
    <t>va* encargado derarreglar; estos asuntos; ep París., f &gt; ,v ;'v I ^ O ; , Avisan de Ñapóles que el General Actoiir, salid; repentinamente de allí para Palermo-----Han entrado en el puerto de Ancqna 3 fragatas sicilianas, que son parte de los buques de guerra ,de aquella nación cedidos por el R</t>
  </si>
  <si>
    <t>Acton, General</t>
  </si>
  <si>
    <t>General Acton</t>
  </si>
  <si>
    <t>31 de marzo de 1801</t>
  </si>
  <si>
    <t>er de Embaxador bátavo. jry * Roma 12 de Febrero. Príncipe heredero de Nápoles, á quien acompaña el General Acton en calidad de primer Ministro , ha despachado desde aquella ciudad un oficial de graduación para tratir con él General Murat y concluir un armisticio con Francia. Se espera quanto á</t>
  </si>
  <si>
    <t>7 de abril de 1801</t>
  </si>
  <si>
    <t>I 13 de este mes llegó aquí el General Levacheff, Enviado extraordinario del Emperador de Rusia. El General Acton pasó al instante á visitarle* Se le había -dispuesto un alojamiento ostentoso; pero no lo ha admitido, y •ha tomado quarto en casa del General ruso Borosiin , que es su amigo Inti</t>
  </si>
  <si>
    <t>31 de julio de 1801</t>
  </si>
  <si>
    <t>te de las, Tullerías. ’ ... ■ i. Ha salido el‘General Vatriri para Ñapóles , de donde avisan que el General Acton, el Duque de Gravina, y el Embaxador ,de Rusia, quedaban disponiéndose p,»ra ir á Palermo. ' &gt;■- ‘ \ •» En Maceraracapital de la Marca de Ancona, sé reúnen varios desta?» camento?</t>
  </si>
  <si>
    <t>y el Tirol. Ndfoles 17 de Junio. ntes de ayer se embarcaron para Palermo en el navio Arcbímedes el General Acton, el Duque de Gravina y el Ministro de Rusia. Conforme al tratado de paz han evacuado nuestras tropas las plazas de Oriritello, el Castillo-Felipe , Monte-Argentario , Puerto Hércu</t>
  </si>
  <si>
    <t>Adair Cierh, Tomás</t>
  </si>
  <si>
    <t>Tomás Adair Cierh</t>
  </si>
  <si>
    <t>para adquirir noticias mas circunstanciadas 4 D. Roberto Hog de Giassmourt, cerca de Kinghorn, ó á D. Tomás Adair Cierh al Signel de Edimburgo, ámtos pueblos en Ííorte-Bretaña en Inglaterra , ó en Madrid á D. Patricio Joyes é hijos. Manuel Gómez del Rebollar, natural del lugar de Villa-Carriedo en</t>
  </si>
  <si>
    <t>Adalid, Diego</t>
  </si>
  <si>
    <t>Diego Adalid</t>
  </si>
  <si>
    <t>leos de Teniente á D. Toribio Azebal y D. Estéban Ximenéz, y de Portaestandarte al Sargento primero D. Diego Adalid: Subtenencias de bandera en el de Milicias disciplinadas de'infantería dé Arequipa á los Cadetes D. Joseph Romero, D. Joseph Barrera, Don Juan Bautista Arrospide, y á D. Joseph Vi</t>
  </si>
  <si>
    <t>Adams</t>
  </si>
  <si>
    <t>e á la sinceridad con que tan íreqUentemente hé- \ mos repetido nuestras instancias.” Dixo también. Mr. Adams que se habían licenciado los oficiales y soldados del exérclto temporal; y encargóse pusiese la manna del estado en un pie respetáblej yise foi-uficasen losprincipay les puertos d</t>
  </si>
  <si>
    <t>do Mr. Jefferson elegido Presidente del Congreso de los Estados-Unidos americanos en competencia de Mr. Adams, que lo era. Mr. Jefferson pasa por partidario do la Francia, así como su antecesor pasaba por parcial de los ingleses. El Comendador Araujo, que fue Ministro de Portugal cerca de</t>
  </si>
  <si>
    <t>llan en esta corte: de suerte que parece imposible que no resulte algún suceso de gran importancia. Mr. Adams, Ministro plenipotenciario de los Estados-Unidos americanos cerca de S. M. Prusiana,* lia conseguido el retiro que solicitaba hace mucho tiempo. Hasta ahora no se sabe quien le re</t>
  </si>
  <si>
    <t>Adams, Juan</t>
  </si>
  <si>
    <t>Juan Adams</t>
  </si>
  <si>
    <t>o la abertura del Gongreso de los Estados-Unidos en la nue-» ya ciudad de Washington, El Presidente Mr. Juan Adams pronuncio el discurso de estilo dirigido á los individuos del Senado y á los de la Cámara de Representantes* Después de hacer mención de algunos objetos que han de tratarse en el</t>
  </si>
  <si>
    <t>Addigron</t>
  </si>
  <si>
    <t>e á lo^iiiénos el primero exerza.yí conservé, las funciones ds su empleo, tanto mas que: su sucesor Mr. Addigron no ha prestado todavía su juramento, y por consiguiente no. puede .servir oomo Ministro: dé suerte que puede casi decirse que. este pais está sinministerioypues únicamente; lpson</t>
  </si>
  <si>
    <t>Adding</t>
  </si>
  <si>
    <t>?porctos ^pbr^ios d'afipsos;,intentos denmuchas tusonas en ¿mbof Reyijos.,, Había yo crejdp (añadió Mr. Adding ton) que no hubiera llegado;,el casq dérhaperse precisa e,sta(determinación; &gt;y veo con sentimiento que uje ehgañé. No deben’comunicarse aquí los;avisos que se han recibido sobre</t>
  </si>
  <si>
    <t>Addingtoh</t>
  </si>
  <si>
    <t>288 dente en lugar de Mr. Addingtoh; y ño obstante la oposición de Mr. Sheridan quede) elegido Mr. J. Mitford, á cuyo favor hablo Mi. Pitt. Sé han expedido á Plimouth órdenes para que todas las naves de guerra que s</t>
  </si>
  <si>
    <t>Addington</t>
  </si>
  <si>
    <t>podría verificarse un rompimiento con Prusia. En un discurso, que el. nuevo Canciller del Eehiquier Mr. Addington pronunció en la Cámara de los Comunes, dixo que no tenia motivo alguno para creer que la Francia estuviese en disposiciones contrarias á una negociación de paz; pero que solamente</t>
  </si>
  <si>
    <t>uya respuesta llegó aquí el 26, y al dia siguiente se comunicó al Ministro de Negocios extrangeros. Mr. Addington, nuevo Canciller del Echiquier, ha declarado en la Cámara baxa que la actual forma del gobierno de Francia no será un obstáculo para las negociaciones. En la misma Cámara dé los C</t>
  </si>
  <si>
    <t>del palacio de Kew para asistir al Consejo, y al cabo de una hora se restituyó á aquel Real sitio. Mr. Addington presentó el dia 20 un mensage del Rey á la Cámara de los Comunes* en que decía que S. M. habia juzgado conveniente conferir á' la viuda del General Abercrombié una Baronía con el</t>
  </si>
  <si>
    <t>n dado al gobierno informes importantes sobre la seguridad del estado. En los mismos términos habló Mr. Addington; y al cabo se adoptó dicha “propuesta. En una sesión anterior de la Cámara de los Pares se leyó un bilí concediendo facultad para que se cierren y cultiven ciertos terrenos baldío</t>
  </si>
  <si>
    <t>ríos en que puede hacerse un des* embarco se colocarán lanchas cañoneras. Acaba el Rey de regalar á Mr. Addington una hermosa quinta en el parque de Richmond, la qual en otro tiempo servia para los Príncipes de la Real familia. El Almirante Lord S. Vicente escribió el dia 3 al Corregidor de e</t>
  </si>
  <si>
    <t>10 de julio de 1801</t>
  </si>
  <si>
    <t>ceridad ;de las protestas,y declaraciones paqífipas que; con mucha satisfacción le habíamos oido.’* Mr. Addington le respondió: muy sinceros mis deseos por la Fpaz, y espero /que- ’$n¡ p^ránxiu¿nplii'se$ pero ignorp todavía si podré comunicar á la Cámara los infornifcs que rnf piden: lo ciert</t>
  </si>
  <si>
    <t>te que el ciud. Otto tuvo el dia 19 una larga conferencia con el Lord Hawkesbury, á la qual asistió Mr. Addington; y se asegura que los últimos pliegos del gobierno de Francia están concebidos en términos muy comedidos y pacíficos: pues parece cierto que el primer Cónsul, deseoso de que tenga</t>
  </si>
  <si>
    <t>28 de julio de 1801</t>
  </si>
  <si>
    <t>esidir en París, y su próxima partida para Francia, aumenta las esperanzas de la paz. Las sumas que Mr. Addington, nuevo Canciller del Echiquier, ha pedido á la Cámara de los Comunes para los gastos de este año, ascienden á 68.923,970 libras esterlinas, ó 413.543,820 pesos. El Parlamento ha p</t>
  </si>
  <si>
    <t>14 de agosto de 1801</t>
  </si>
  <si>
    <t>elebraron junta general los accionistas de la compañía de la India. El presidente leyó una carta de Mr. Addington en que solicitaba que se suspendiese hasta el mes de Julio del año próximo el pago de 3 millones de libras, que dicha compañía prestó al gobierno el año de 1799, y debían haberse sa</t>
  </si>
  <si>
    <t>9 de octubre de 1801</t>
  </si>
  <si>
    <t>recibió de París, tuvo una conferencia con el Lord Haw kesburi, el qual despachó luego un correo á Mr. Addington , Canciller del Echiquier, que se hallaba en Weymouth, en donde está S. M. Una fragata inglesa y 5 transportes llegaron el 11 de Julio ¿ Malta coa oficiales y saldados franceses d</t>
  </si>
  <si>
    <t>Lord del Almirantazgo, el Duque de Portiand, el Canciller del Reyno , los Lores Kobart y Peiham, y Mr. Addington. La sesión duró muchas horas, y no ha habido otra tan larga desde el principio de las negociaciones. La determinación del consejo se enrió por expreso á S. M. á Weymouth. Parece q</t>
  </si>
  <si>
    <t>a inmensa ciudad de Londres. El ciud. Lauriston se presentó sin perder tiempo al Lord Hawkesbury, á Mr. Addington y al Lord S. Vicente; y comió con el Lord Hawkesbury. Mr. Addington le dixo: „Esta no es una paz ordinaria: es una reconciliación entre las dos primeras naciones del mundo.” El Lord</t>
  </si>
  <si>
    <t>24 de noviembre de 1801</t>
  </si>
  <si>
    <t>s puntos del tiatado definitivo de paz: y siendo así, poco se dilatarán las sesiones del con greso. Mr. Addington ha dirigido al Presidente de la junta de mercaderes el siguiente aviso relativo al derecho de escolta, sobre el qual se habían movido contestaciones muy serias: „ El Procurador (ó</t>
  </si>
  <si>
    <t>1 de diciembre de 1801</t>
  </si>
  <si>
    <t>debemos gracias, no por lo que han adquirido á su país, sino porque lo han salvado &amp;c.” Contestóle Mr. Addington procurando desvanecer sus objeciones, y reconviniéndole de que había tratado de muchos puntos que no deben ventilarse sino quando se presenten y examinen los preliminares; y añadi</t>
  </si>
  <si>
    <t>29 de diciembre de 1801</t>
  </si>
  <si>
    <t>ó en otra sesión que se concediese á los particulares la libertad de hacer el comercio de la India. Mr. Addington se opuso á esta proposición diciendo que 1* compañía oriental sé obligaba á dar cierto nú</t>
  </si>
  <si>
    <t>Addington, Henrique</t>
  </si>
  <si>
    <t>Henrique Addington</t>
  </si>
  <si>
    <t>rlanda. Los que se hallaban presentes prestaron su juramento; yeen la haxa se reeligió por orador á Mr. Henrique Addington.. El dia 24 se juntó otra vez el Parlamento; pero no se trató sino de formalidades de estilo. Ayer debía concurrir el Rey á la Cámara alta y pronunciar el acostumbrado discurso :</t>
  </si>
  <si>
    <t>que se ha publicado de los sugetos qué .tienen ahora parte éh eL{gobierno.—4Los principales ■son s Mr. Henrique Addington,que era Orador ¿presidente de la ^Cámara dé dos Comunes, ;pasa*tá)primér Lord de la Tesorería yChancilier del JEchijquier, d sea Ministro de dlacienda, en lugar de Mr. Pira. ®1 Lo</t>
  </si>
  <si>
    <t>Adelung</t>
  </si>
  <si>
    <t>e le dio su retiro con el grado de Consejero, y 1200 rublos de pensión. Su empleo se ha conferido á Mr. Adelung, Asesor del colegio. Stockolmo jo de Julio. H a enviado el ministerio orden al Coronel Tornquist, que se h illa mandando la fragata Tétis en el Mediterráneo, para que reúna los ba</t>
  </si>
  <si>
    <t>Adeodato San Germán</t>
  </si>
  <si>
    <t>30 de enero de 1801</t>
  </si>
  <si>
    <t>l Llotgé y Don Francisco Tálleda: ae los terceros de los de Sevilla, Ordenes Militares é Hibernia A D. Adeodato San Germán , D. Esteban Cosp y Planas y Don Francisco Joseph Falcó y López: del batallón de Voluntarios de Tarragona á D. Tomas Bartoly; y del segundo de Barcelona á D. Braulio López. En Amé</t>
  </si>
  <si>
    <t>Adolfo de Inglaterra, Príncipe</t>
  </si>
  <si>
    <t>Príncipe Adolfo de Inglaterra</t>
  </si>
  <si>
    <t>ohibiendo se despachen géneros para Inglaterra ó por cuenta de ingleses* Escriben de Berlin que el. Príncipe Adolfo de Inglaterra, Gobernador de Hannóver, llegó.el.i.° de este mes á aquella capital de Prusía, llamado según dicen por el Rey. ¿-.í r i : : U: . . . íEn!AJtonarse &lt;?stá: disponiendo. alojamiento</t>
  </si>
  <si>
    <t>rlas en fuerza de uno dé los artículos del tratado de paz. ?;L "o.' Berlín ? de Marzo. , \ ;*h .. í Príncipe Adolfo de Inglaterra há venido aquí con el nombre de Conde de Northeim. . Acaban de llegar dos correos de Londres con pliegos para el Lord Carisford, Ministro ingles. Dícese que ha recibido orden de e</t>
  </si>
  <si>
    <t>s cuerpos de esta guarnición y de otras inmediatas la tienen para estar prontas al primer aviso. El Príncipe Adolfo de Inglaterra , comandante en xefe de las tropas hannoverianas, saldrá en breve de aquí, habiendo resuelto repentinamente su viage ; irá á Hamburgo , en donde se embarcará para Inglaterra. Asim</t>
  </si>
  <si>
    <t>donde los ingleses introducían sus géneros en Westphalia, y de allí los enviaban á Holanda. ; - El Príncipe Adolfo de Inglaterra, y el Ministro británico Lord'Garisford, han hecho los posibles esfuerzos para impedir la ocupación de dicho Electorado; pero todos han sido vanos, pues persistiendo S. M. en su r</t>
  </si>
  <si>
    <t>s otra por la parte del territorio en que están nuestras tropas. Este Soberano concedió licencia al Príncipe Adolfo de Inglaterra para que pasase por Hannover á recoger sus papeles. Lubeck 8 de Abril. E 1 &lt;y por la mañana entráron aquí las tropas dinamarquesas-, que con otras que vinieron posteriormente form</t>
  </si>
  <si>
    <t>Adolfo Federico, Príncipe</t>
  </si>
  <si>
    <t>Príncipe Adolfo Federico</t>
  </si>
  <si>
    <t>pueblo pequeño que hasta ahora ao había tenido guarnición; y también han ocupado sus contornos. El Príncipe Adolfo Federico, hijo 7.0 del Rey de Inglaterra, Teniente General de las tropas d&amp; Hannóver, está nombrado comandante de la capital de aquel Electorado. f Según avisos de Gluckstadt «se há puesto</t>
  </si>
  <si>
    <t>Adolfo, Príncipe</t>
  </si>
  <si>
    <t>Príncipe Adolfo</t>
  </si>
  <si>
    <t>19 de mayo de 1801</t>
  </si>
  <si>
    <t>de Abril. E 1 Rey se trasladó esta mañana al palacio de Kew, acompañándole el Príncipe de Gales, el Príncipe Adolfo recien llegado de Alemania, los Duques de Kent y Cumberland, y los Generales Gwyne y Monners. Poco después salieron la Reyna y las Princesas Reales.—El Consejo privado acordó el d</t>
  </si>
  <si>
    <t>Adrián Gómez</t>
  </si>
  <si>
    <t>27 de marzo de 1801</t>
  </si>
  <si>
    <t>illar de la. Encina, en el obispado dé Cuenca, vacante por muerte de D. Gabriel Gómez de laTorre* á Don Adrián Gómez: para otra de la parroquial de la villa del Castillo/de la» Guardas, en el arzobispado de Sevilla., vacante por fallecimiento de Do» Francisco Buen4.i*&gt; á.P- Francisco Martínez de</t>
  </si>
  <si>
    <t>Adrián María de Castro</t>
  </si>
  <si>
    <t>1246 nombrar para este empleo al Capitán de fragata de la Real armada Don Adrián María de Castro. En América. Atendiendo el Rey á los distinguidos servicios del Brigadier D. Antonio Samper, Ingeniero en xefe de sus exércitps,,plazas y fronteras, y Ayudante general del Estado</t>
  </si>
  <si>
    <t>Adriano Cardón</t>
  </si>
  <si>
    <t>rpo de Guardias de Corps ha nombrado el Rey Exento supernumerario al Brigadier de la misma compañía D. Adriano Cardón. En el regimiento de Guardias de ‘infantería Española ha promovido el Rey á Gapiran á D. Ramón Melgarejo, primer Teniente de granaderos y Comandante del mismo ^cuerpo. Asimismo ha</t>
  </si>
  <si>
    <t>Adriano y Dofia María Pinen</t>
  </si>
  <si>
    <t>Supl., p. 5</t>
  </si>
  <si>
    <t>.. Joseph y Francisca Palau.......... Finestre en el Rosellon....... ap. ao. D. Juan de Casanaut... D. Adriano y Dofia María Pinen...................... 47. a8. Joseph Navona.......... Joseph y Teresa Te 11 es............. Techia en id..... xa. ap. D. Juan Dubiena........ D. Juan y Doña María de Rollan.......</t>
  </si>
  <si>
    <t>Adriasola, Diego</t>
  </si>
  <si>
    <t>Diego Adriasola</t>
  </si>
  <si>
    <t>Pedro Junco: en el de Valdivia á Capitán al Teniente D. Joseph Carvallo; á Teniente al Subteniente D. Diego Adriasola, y á Subteniente al Cadete D. Juan Angel Cosío. Eí Consejo á consulta de la Comisión gubernativa de Consolidación de Vales, y con aprobación de S. M. ha acordado la quinta amortiz</t>
  </si>
  <si>
    <t>Agapito Agudo</t>
  </si>
  <si>
    <t>Supl., p. 4</t>
  </si>
  <si>
    <t>89. 4. Agapito Agudo... Juan............. Rosa Herrero...... Villar * del CiudadRbdri- •*</t>
  </si>
  <si>
    <t>Agcrbeck, Capitán</t>
  </si>
  <si>
    <t>Capitán Agcrbeck</t>
  </si>
  <si>
    <t>25 de diciembre de 1801</t>
  </si>
  <si>
    <t>openhague 14 de Noviembre. H a salido para la China un navio de la compañía asiática mandado por el Capitán Agcrbeck: otro perteneciente á particulares se ha hecho igualmente á la vela para la India; y mañana saldrá la fragata Iris para nuestras colonias de América. Cada día se reciben noticias</t>
  </si>
  <si>
    <t>Agredano y Morales, Francisco</t>
  </si>
  <si>
    <t>Francisco Agredano y Morales</t>
  </si>
  <si>
    <t>15 de mayo de 1801</t>
  </si>
  <si>
    <t>pitán á D. Baltasar Moorc; primer Teniente á D. Joseph Martínez de la Junquera ; segundo Teniente á Don Francisco Agredano y Morales, y Subteniente á D. Juan Joseph Somoza. En el regimiento provincial de Málaga ha conferiao el Rey Ja Tenencia de granaderos á D. Pedro Alcántara Roxas.y Narvaez, Teniente de fusil</t>
  </si>
  <si>
    <t>Aguado y Bernardo Dávila, Miguel</t>
  </si>
  <si>
    <t>Miguel Aguado y Bernardo Dávila</t>
  </si>
  <si>
    <t>30 de octubre de 1801</t>
  </si>
  <si>
    <t>e viejo9 que linda í norte y oriente con otras de las monjas de Loeches, y á mediodía con &lt;5&gt;tra de D. Miguel Aguado y Bernardo Dávila, vecinos de dicho lugar, de ciber 2 fanegas y 29 estadales, tasada cada fanega en venta á óoo rs., y en renta á 20, que importa 1243 rs* *7 nirs* Otra en Ja vereda del monte viejo</t>
  </si>
  <si>
    <t>Aguado y ÓquenHo, Joseph</t>
  </si>
  <si>
    <t>Joseph Aguado y ÓquenHo</t>
  </si>
  <si>
    <t>9 de enero de 1801</t>
  </si>
  <si>
    <t>; á primeros Subtenientes a los segundos D. Agustín Poncerot, D. Bernardo Álvarez, D. Blas Áivarez, D. Joseph Aguado y ÓquenHo , D. Tomas Canten , D. Guillermo Líons, D. Andrés.Agnado y Oou-ndo , D. Joseph Alvarez , D. Pedro Dalesme y D. Juan O-Laugbhn, v á segundos Subtenientes al Cadete D. Manuel Quarte</t>
  </si>
  <si>
    <t>Aguado, Antonio</t>
  </si>
  <si>
    <t>Antonio Aguado</t>
  </si>
  <si>
    <t>ncia, vacante por promoción de D. Santiago Hernández Milanes al Obispado de Mérida de Maracaybo , á D. Antonio Aguado: para;otra de la de Mondoñédo ¿¿vacante por muerte de'Di Bernardo Pardo, á D. Joseph Morales Carrero: para la Ración de la metropolitana de Toledo, vacante por fallecimiento'de D.</t>
  </si>
  <si>
    <t>Aguado, Manuel</t>
  </si>
  <si>
    <t>Manuel Aguado</t>
  </si>
  <si>
    <t>15 de septiembre de 1801</t>
  </si>
  <si>
    <t>cen la dehesilla de Alcobendas , inmediata' al camino de Fuencatral , que labra Manuel Aguado, vecino de Ajcobeiidas, de cabida de 4, fan. ep ,9.3,0 rs. Quien quisiere hacer, postura acuda aF mismo Sr. Juez porTárreferida escribanía. /i A cons.eqüehcia del Real de ¿reto'dé í 8 de</t>
  </si>
  <si>
    <t>Aguado, Miguel</t>
  </si>
  <si>
    <t>Miguel Aguado</t>
  </si>
  <si>
    <t>eras, que linda con la vereda de la fuente de Higáres y camino de las Paloma ras , y con tierras de D. Miguel Aguado y herederos de D. Pedro Jacinto Aguado; su cab ír 11 celemines y 20 estadales, lasados en venta en 967 rs., y en renta á 40 rs. Cuyas tierras juntas componen 11 fanegos, 11 celemine</t>
  </si>
  <si>
    <t>Aguado, Pedro Jacinto</t>
  </si>
  <si>
    <t>Pedro Jacinto Aguado</t>
  </si>
  <si>
    <t>da del monte viejo, que linda con tierras del vínculo de D. Francisco Beltran y de les herederos de D. Pedro Jacinto Aguado, su caber 4 fanegas y 11 celemines, tasada cada fanega en venta á 450 rs., y en renta á 1 g , que importa 2211 rs. 8 mrs. Otra en la Vegui lia, que la atraviesa el camino de los Y</t>
  </si>
  <si>
    <t>Aguasvivas, Ignacio</t>
  </si>
  <si>
    <t>Ignacio Aguasvivas</t>
  </si>
  <si>
    <t>1 de septiembre de 1801</t>
  </si>
  <si>
    <t>aiz, y no siempre lo tenia con abundancia. .Alicante 2$ de Agosto* . E I Dr. D. Ignacio Aguasvivas, Médico de número de los, Reales exércitos y dei hosp tai militar de esta plaza, animado del singular beneficio que promete al género humano el sin igual hallazgo dei Dr. Jenner, Médico i</t>
  </si>
  <si>
    <t>Aguilar, Gerónimo</t>
  </si>
  <si>
    <t>Gerónimo Aguilar</t>
  </si>
  <si>
    <t>de granaderos al de fusileros D. Juan Santiago Prast; á segundo Teniente al Agregado en esta Clase D. Gerónimo Aguilar, y á segundo Subteniente al Cadete D. Joseph María Guerrero: en el de Asturias á Sargento mayor al Capitán de granaderos» graduado de Teniente Corone], D. Bruno Barrera); y ha nom</t>
  </si>
  <si>
    <t>el regimiento de infantería de Zaragoza se ha servido promover el Rey á primer Teniente ai segundo D. Gerónimo Aguilar; á segundo Teniente ai Subteniente de granaderos D. Ambrosio Villaba; á esta resulta al primer Subteniente D.'Joachín-Ramón Cabero; á primer Subteniente al segundo D. Francisco de</t>
  </si>
  <si>
    <t>Agusti, Félix</t>
  </si>
  <si>
    <t>Félix Agusti</t>
  </si>
  <si>
    <t>Argandona; a esta resulta al primer Subteniente D. Andrés Quintana; á primer Subteniente al segundo D. Félix Agusti, y á segundo Subteniente al Cadete D. Francisco Samper: en el de Córdoba á Ayudante al primer Teniente D. Andrés Vivas; á esta resulta al segundo Teniente de granaderos D. Francis</t>
  </si>
  <si>
    <t>Ahumada, Joseph</t>
  </si>
  <si>
    <t>Joseph Ahumada</t>
  </si>
  <si>
    <t>4 de diciembre de 1801</t>
  </si>
  <si>
    <t>al de fusileros D. Ramón Domenech; á primer Tejiente al segundo ¿^granaderos, graduadode Capitán , D. Joseph Ahumada; á segundo Temente dé granaderos al de fusileros D. Clemente Palacio ; i ésta resulta al primer Subteniente Di Manuel Martínez; á primer Subteniente al segnrido Luís Sánchez de la</t>
  </si>
  <si>
    <t>Aíanuel Clavijo</t>
  </si>
  <si>
    <t>26 de mayo de 1801</t>
  </si>
  <si>
    <t>Teniente Cura del Sagrario de la misma iglesia. Atendiendo S. M. al mérito y servicios que contraxo D. Aíanuel Clavijo, Abogado de la Audiencia de México, en el empleo de Asesor de la renta del tabaco de Nueva España recientemente suprimido, ha venido en conferirle la plaza de Teniente Letrado Ase</t>
  </si>
  <si>
    <t>Aíasdevall, Joseph</t>
  </si>
  <si>
    <t>Joseph Aíasdevall</t>
  </si>
  <si>
    <t>ración, suponiendo que debía en gran parte el alivio á las instrucciones y método que había dictado D. Joseph Aíasdevall, envió aquel Soberano á dicho facultativo el título de su primer Médico de Cámara. Con motivo de retirarse ahora D. Joseph Coll de Tánger, concluida su comisión, ha escrito Muley</t>
  </si>
  <si>
    <t>Aibarado, Francisco</t>
  </si>
  <si>
    <t>Francisco Aibarado</t>
  </si>
  <si>
    <t>27 de octubre de 1801</t>
  </si>
  <si>
    <t>a y Briones , á D. Mauricio Dionis: pira una Ración de la catedral de Orense, vacante por muerte de D. Francisco Aibarado, á D. Ramón &gt;seph Novoa, Cura de S. Vicente de Couceyro, en aqudli dioet-sis: para otra Ración de la de Zamora, vacante por ascenso de D. Rafael Ore a una Canon, ía de Burgos, á D</t>
  </si>
  <si>
    <t>Aibini, General</t>
  </si>
  <si>
    <t>General Aibini</t>
  </si>
  <si>
    <t>ndo la una de ellas muy grave. El General Augereau destacó una partida de caballería al alcance del General Aibini, y á hacer correrías en el pais á fin de inquietar y conmover á sus habitantes. El dia siguiente ocupamos á Aschaft’entrargo,y nos apostamos mas allá de la ciudad. Siguió marchand</t>
  </si>
  <si>
    <t>AÍbirea y Leyva, Manuel</t>
  </si>
  <si>
    <t>Manuel AÍbirea y Leyva</t>
  </si>
  <si>
    <t>8 de septiembre de 1801</t>
  </si>
  <si>
    <t>ntél de granaderos D# Tuan: Pabló fCásaño¿ vas , yál Capitán de cazadores dehde milicias de Toledo. D. Manuel AÍbirea y Leyva: en el de Mallorca á Capitan al primer Teniente dé :¿rár1adétqs Dé Manuel Bermudez; á primer Teniente dé granaderos al de fusileros D. Joseph Fernandez; á primer Teniente ai segun</t>
  </si>
  <si>
    <t>Aicayde, Agustín</t>
  </si>
  <si>
    <t>Agustín Aicayde</t>
  </si>
  <si>
    <t>stimular su aplicación: se finalizó el acto con una oración en elogio de las nobles artes* que díxo D. Agustín Aicayde; y el numeroso concurso manifestó la mas decidida complacencia por los adelantamientos de las artes, y el aprovechamiento de los alumnos. En la Real casa de la academia se han exp</t>
  </si>
  <si>
    <t>Aiday, Miguel Joseph</t>
  </si>
  <si>
    <t>Miguel Joseph Aiday</t>
  </si>
  <si>
    <t>que este dexa, al Medio-Racionero P. Eduardo Espinosa de los Monteros;, y para esta Media-Ración a D. Miguel Joseph Aiday ^ Cura de Santiago de Undameo de la misma diócesis.. Atendiendo el Rey á los buenos servicios y circunstancias del Dr. Don N .rciso Espárragos* Gallardo, Médico y Cirujano mayor d</t>
  </si>
  <si>
    <t>AiexandroSanchez Sebastián</t>
  </si>
  <si>
    <t>. ......... 40. 44. AiexandroSanchez Sebastian ... Feliciana Gómez.. Carmena....... Madrid............ 3&lt;5. 17. Corneiio Fernandez............. ...... Valentín. ... María Alonso...... Vi í i alta........ . Burg</t>
  </si>
  <si>
    <t>Aiigereau, General</t>
  </si>
  <si>
    <t>General Aiigereau</t>
  </si>
  <si>
    <t>20 de marzo de 1801</t>
  </si>
  <si>
    <t>^¿cttfedtdíua'riÓs. Los ‘primero^ sé cobrarán' &lt;f0 París 23 de Febrero. .a llegado á esta ciudad el General Aiigereau.. x „:i Noticioso, el Ministro de^Pólicta de qué 'Mr. Cazalés se habla embarqa«k&gt;r.én^Dodvres á fiñ~de entrad én ‘Francia por Calais ,pHa enviado órdéil á aquebpuerto para qué lo</t>
  </si>
  <si>
    <t>Aivarez Palma, Blas Joachín</t>
  </si>
  <si>
    <t>Blas Joachín Aivarez Palma</t>
  </si>
  <si>
    <t>ervido nombrar para la Dignidad de Prior y Canongía de la catedral dé Sigiienza, que obtiene el Sr. D. Blas Joachin Aivarez Palma, y resultará vacante por su promoción al obispado de Albarracin, á D. Joseph Brihuega y Ortega: para la Pabordía de la colegial de Manresa, diócesis de Vique, á D. Juan Agustín Ga</t>
  </si>
  <si>
    <t>Áivarez, Blas</t>
  </si>
  <si>
    <t>Blas Áivarez</t>
  </si>
  <si>
    <t>D. Benito Albini; á primeros Subtenientes a los segundos D. Agustín Poncerot, D. Bernardo Álvarez, D. Blas Áivarez, D. Joseph Aguado y ÓquenHo , D. Tomas Canten , D. Guillermo Líons, D. Andrés.Agnado y Oou-ndo , D. Joseph Alvarez , D. Pedro Dalesme y D. Juan O-Laugbhn, v á segundos Subteniente</t>
  </si>
  <si>
    <t>AJmeras, General</t>
  </si>
  <si>
    <t>General AJmeras</t>
  </si>
  <si>
    <t>ificar A Giza, y asegurar quanto fuese posible nuestra inmensa línea. Al llegar al Cayro me dixo el General AJmeras que había despachado varios correos con aviso de la llegada de los ingleses y del Capitán Baxá á Terrané. Rodeado por tres exércitos numerosos, y que todos los días? se reforzaban</t>
  </si>
  <si>
    <t>Akermann, Capitán</t>
  </si>
  <si>
    <t>Capitán Akermann</t>
  </si>
  <si>
    <t>Falmouth escriben que ha entrado en aquel puerto la embarcación prusiana nombrada Wrow-Elisabeth , Capitán Akermann, apresada por la chalupa' inglesa de guerra denominada Spitfíre. A proposición de Mr. Pitt suspendió ayer la Cámara de los Comunes sus sesiones hasta el dia 29. Pocos dias ántes s</t>
  </si>
  <si>
    <t>Alagon, Gregorio</t>
  </si>
  <si>
    <t>Gregorio Alagon</t>
  </si>
  <si>
    <t>ros á los Sargentos primeros D. Juan Calvo y Antequera, D. Fernando Rodríguez, D. Mariano Cevallós, D. Gregorio Alagon, D. Luis Vargas y D. Diego Orellana, y á Subtenientes de.bandera á D. Pedro Estrada, D. Diego de la Vaca y Don Bartolomé del Peso, también Sargentos primeros del mismo cuerpo: á S</t>
  </si>
  <si>
    <t>Alano Torralba, Francisco</t>
  </si>
  <si>
    <t>Francisco Alano Torralba</t>
  </si>
  <si>
    <t>edos Rios : en el nde Amérrcá % Capitán al Ayudante delde milicias dé Granada, graduado de Gapir n, Don Francisco Alano Torralba; y en el ide Barbón i segundo Teniente al Subteniente de granaderos D. Pascual gordas á Subteniente de, * granadera aT dé. fusilcnós 6* Juap Ducros; á íprimerc Subteniente al segu</t>
  </si>
  <si>
    <t>Alarcon, Andrés</t>
  </si>
  <si>
    <t>Andrés Alarcon</t>
  </si>
  <si>
    <t>dos Subtenientes al Sargento primero D. Francisco García, y á 3ós Cadetes de los de Africa y Saboya D. Andrés Alarcon y D. Antonio Ordonfez: en el primer batallón de Voluntarios de Aragoti a segundo Ayudante al primer Teniente D. Manuel Carbón; á primer Teniente al segundo D. Ramón Garcés; á esta res</t>
  </si>
  <si>
    <t>Alarcon, Melchor</t>
  </si>
  <si>
    <t>Melchor Alarcon</t>
  </si>
  <si>
    <t>zabal; Compañía d¿ fusileros al Teniente D. Pascual Cárdenas; Tenencia de granaderos al Subteniente D. Melchor Alarcon; Tenencias de fusileros á D. Manuel de la Rey naga, D. Domingo Canigniani, D. Silverio de Beingolea y D. Damián Alarcon; Subtenencia de granaderos á D. Andrés Canales; Subtenencia</t>
  </si>
  <si>
    <t>Alaría Sánchez, Manuel</t>
  </si>
  <si>
    <t>Manuel Alaría Sánchez</t>
  </si>
  <si>
    <t>sdado y Carrasco: en el de Ecija Tenencias de fusileros á los Subtenientes D. Joseph María Sánchez, D. Manuel Alaría Sánchez y D. Joseph María de Córdoba; la Subtenencia de cazadores á D. Manuel Vázquez, y Subtenencia de bandera á D, Alvaro Cataño: en el de León Subtenencias de fusileros á D. Vicente Fernan</t>
  </si>
  <si>
    <t>Albini</t>
  </si>
  <si>
    <t>o hasta Wurtzburgb : de forma que dichas tropas maguntinas se hallan cercadas de enemigos.. Intentó Mr. Albini retirarse con ellas hacia Elfurth; pero el Landgrave de Hesse-Cassel y el Elector de Maguncia le negaron el tránsito por sus respectivos estados; y solamente á fuerza de instancia</t>
  </si>
  <si>
    <t>Albini, Benito</t>
  </si>
  <si>
    <t>Benito Albini</t>
  </si>
  <si>
    <t>ello,D.Miguei 1 uictll,f)on Manuel de Olmedo, D. Joachín Buil, D. Carlos Stonor, D. Felipe Ancora v D. Benito Albini; á primeros Subtenientes a los segundos D. Agustín Poncerot, D. Bernardo Álvarez, D. Blas Áivarez, D. Joseph Aguado y ÓquenHo , D. Tomas Canten , D. Guillermo Líons, D. Andrés.Agn</t>
  </si>
  <si>
    <t>Albini, General</t>
  </si>
  <si>
    <t>General Albini</t>
  </si>
  <si>
    <t>reito galo-bátavo . (parto del; qual estaba empleado en-el sitio de Wurtzburgo) por su izquierda al General Albini con 2© hombres, por su frente el cuerpo de Simbschen, que constuba.de unos 12®, y en la misma dirección el cuerpo de Klenau compuesto de 15®. combatientes, que apostados no léjos</t>
  </si>
  <si>
    <t>Albino Mexía, Pedro</t>
  </si>
  <si>
    <t>Pedro Albino Mexía</t>
  </si>
  <si>
    <t>7 de julio de 1801</t>
  </si>
  <si>
    <t>r para la Chantría de la catedral de Comayagua, vacante por fallecimiento ae D. Eugenio Recuenco, á D. Pedro Albino Mexía: para el Arcedianato vacante en la metropolitana de Manila, en las Islas Filipinas, á D. Francisco Díaz Durana; para la Chantría, que este dexa, al Maestrescuela D. Raymundo de Mi</t>
  </si>
  <si>
    <t>Albino Mexiá, Pedro</t>
  </si>
  <si>
    <t>Pedro Albino Mexiá</t>
  </si>
  <si>
    <t>eph Antonio Errazurriz: para la Canonjía de la catedral de Nicaragua, va-** cante por traslación de D. Pedro Albino Mexiá á la Chantría de la do Coimyagua., á D. Juan Joseph de Ceiaya , Cura Vicario del partido de San Juan de Ojojona, en dicha diócesis ; y para una Ración do la metropolitana de Manil</t>
  </si>
  <si>
    <t>Albizu, Joachín</t>
  </si>
  <si>
    <t>Joachín Albizu</t>
  </si>
  <si>
    <t>. Juan Sobrado , ¡ D. Manuel Torregrosa , este de granaderos, y, D. Juan ¡ Gallo , y i los’ Cadetes D. Joachín Albizu, D. Joseph Aballe, D. Juan Francisco Espinosa, delude Górdoha, y á D. Joseph Gliver : í en el de Extremadura £ segundo;Subtenieiite &lt;ahCadete:,D. Joseph Escola :■ en el de las Ord</t>
  </si>
  <si>
    <t>enientes á los segundos D. Rafael Maroto, D. Antonio Casanoves, D. Manuel Cadavid, D. Juan Sobrado, D. Joachín Albizu, D. Joseph Aballe y D. Manuel Torregrosa, y á segundos Subtenientes á los Sargentos primeros D. Gabriel Cárdena y D. Francisco Joseph García, al Soldado distinguido del Real cuerp</t>
  </si>
  <si>
    <t>Albo, Francisco</t>
  </si>
  <si>
    <t>Francisco Albo</t>
  </si>
  <si>
    <t>35. 14. Francisco Albo..,. Vicente..... Escolástica Mar- ■ • ticez................ Freyjeyro..... Vivero.............. 34* 7* Nicolás C</t>
  </si>
  <si>
    <t>Alcántara Roxas, Pedro</t>
  </si>
  <si>
    <t>Pedro Alcántara Roxas</t>
  </si>
  <si>
    <t>oseph Somoza. En el regimiento provincial de Málaga ha conferiao el Rey Ja Tenencia de granaderos á D. Pedro Alcántara Roxas.y Narvaez, Teniente de fusileros; Tenencias de esta clase á D. Antonio de Zea y Zea, Subteniente de granaderos, y. D. Juan Montemayor-y*Priego, Subteniente de fusileros; la Subten</t>
  </si>
  <si>
    <t>Alcázar, Pedro</t>
  </si>
  <si>
    <t>Pedro Alcázar</t>
  </si>
  <si>
    <t>18 de junio de 1801</t>
  </si>
  <si>
    <t>57 (extraord.)</t>
  </si>
  <si>
    <t>se desempeñado con inteligencia y valor: fue ligeramente contuso el Subteniente del-referido cuerpo Don Pedro Alcázar: igualmente quedaron contusos un sargento y tres artilleros. ' Como los enemigos tiraban al pueblo, se dirigieron dos lanchas de fuerza á pesar de la marea y fuerte corriente á ca</t>
  </si>
  <si>
    <t>Alcober, Tomás</t>
  </si>
  <si>
    <t>Tomás Alcober</t>
  </si>
  <si>
    <t>da......... a8. ip. Tomas Alcober.... Joseph.......... Antonia Collado.. Denia........... Idem................ 88. 31. Roque de Orrego. Agustín......... Vicenta González. Coba...............Viver</t>
  </si>
  <si>
    <t>Alcocer, Fernando</t>
  </si>
  <si>
    <t>Fernando Alcocer</t>
  </si>
  <si>
    <t>e de granaderos al de fusileros D. Bernabé Chauri ; á segundo Teniente al Subteniente de granaderos D. Fernando Alcocer; á Subteniente de granaderos al de fusileros D. Ramón Sánchez de la Guerra; á primer Subteniente al.segundo D. Manuel Virizucla, y á esta resulta al Cadete D. Fernando Antonio Muñ</t>
  </si>
  <si>
    <t>Aldebert, Esteban</t>
  </si>
  <si>
    <t>Esteban Aldebert</t>
  </si>
  <si>
    <t>da,que sacó de un manuscrito español y publicó éa-francés Mr. Ls-Sagc , traducido-al castellano por D. Esteban Aldebert : 2 tomos en 8.° Se hallarán en las librerías de Castillo y de la ¿ viuda de Cerro, red de S. Luis. . ’ ♦ * Agamenón vengado , tragedia , por D. Vicente García de la Huerta. Sofon</t>
  </si>
  <si>
    <t>Aldecoa, Miguel Francisco</t>
  </si>
  <si>
    <t>Miguel Francisco Aldecoa</t>
  </si>
  <si>
    <t>1 de mayo de 1801</t>
  </si>
  <si>
    <t>neficio simple servidero dé la parroquia dé Vtlldtés^en 4a diócesis de Jaén j vacante por muerte de D. Miguel Francisco Aldecoa, á Don Bernardo Señan: para la Prestamera de la parroquia dé Valdemorillo, en el obispado de Cuenca, vacante por fallecimiento de D. Mareos Celestino Ganeedo, y el Beneficio de Va</t>
  </si>
  <si>
    <t>o: para un Beneficio de la villa de Alcaudete, en la diócesis de Jaén, vacante por fallecimiento de D. Miguel Francisco Aldecoa, á D. Juan Joseph Rodrigo de Mena: para otro de.Viilalvilla, en la diócesis de Toledo, vacante por dimisión que ha hecho de él D. Juan Antonio Cutanda, á D. Gabriel de Prado y Ten</t>
  </si>
  <si>
    <t>Aldrete, Joseph</t>
  </si>
  <si>
    <t>Joseph Aldrete</t>
  </si>
  <si>
    <t>23 de octubre de 1801</t>
  </si>
  <si>
    <t>ph María Ortega,Subteniente de la propia clase : en el de Murcia á Capitán de fusileros al Teniente D. Joseph Aldrete; á Teniente de fusileros al Subteniente de cazadores D. Luis loa** ñez, y á su resulta á D. Antonio Tancredi, Subteniente de fusileros: en el de Málaga á Teniente de fusileros á D</t>
  </si>
  <si>
    <t>Alemán, Pablo</t>
  </si>
  <si>
    <t>Pablo Alemán</t>
  </si>
  <si>
    <t>Cadete* dejos &lt; fanteda de-Voluntarios de Castilla, Extremadura, Zamora, Princesa, Maillorca y León D. Pablo Alemán, D. Francisco Obregon, D. Joseph Landazeri, D. Joseph Navarro , D, Felipe de La Roque y D. Manuel Rotaeta: en el dVValencia á segundo Teniente al Subteniente de granaderos, gradea</t>
  </si>
  <si>
    <t>Alemany, Gerónimo</t>
  </si>
  <si>
    <t>Gerónimo Alemany</t>
  </si>
  <si>
    <t>llermo Chichery; á Capitán al Ayudante D. Joseph Muñoz; á Ayudante al primer Teniente de granaderos D. Gerónimo Alemany; á primer Teniente de granaderos al de fusileros D. Antonio León; á primer Teniente al segundo de granaderos D. Joachín Juano; á esta resulta al segundo Teniente D. Joseph Casous;</t>
  </si>
  <si>
    <t>Álfcjres María Bustos</t>
  </si>
  <si>
    <t>16 de enero de 1801</t>
  </si>
  <si>
    <t>ivo general de Indias, en Sevilla, que se halla vacante ppr tnuerte de D. Pedro Reales y Colarte, á D. Álfcjres María Bustos, Guardia de Corps de la Compañía Americana. Aunque en las gazetas de 14, 18 y 21 de Noviembre ultimo, números 92,93 y á4,en que se anunció, al publiqp la renovación de los vales d</t>
  </si>
  <si>
    <t>Alfonso</t>
  </si>
  <si>
    <t>13 de enero de 1801</t>
  </si>
  <si>
    <t>Por Real privilegio del Sr. Rey D. Alfonso, de 26 de Agosto de I297&gt; se concedió a la villa de lamajon pudiese celebrar un mercado el martes de cada semana, con varias prerogativas y exenciones ; y habiéndose acudido ál Co</t>
  </si>
  <si>
    <t>Alfonso de Soto</t>
  </si>
  <si>
    <t>endoso á favor de D. Manuel de Arce. Quien sepa de él avisará en esta corte al expresado Arce , ó á D. Alfonso de Soto , cambista , carrera de S, Gerónimo , núm. 12. En virtud de Real facultad de S. M. y Sres, del Consejo de la ‘Cámara de Castilla se venden las heredades de sembradura y otras úric</t>
  </si>
  <si>
    <t>Alfonso Fernández de Córdoba</t>
  </si>
  <si>
    <t>n de Aguilar *. en el del Infante á Comandante deésqua•dron al Sargento mayor, graduado de Coronel, D. Alfonso Fernandez dé Córdoba : en el de Calatrava á Portaestandarte al Sargento D. Joachín del Campo ; y en .él de voluntarios de España á Alférez al Cadete D. Joseph María CaballerQ. También lia nombrado S.</t>
  </si>
  <si>
    <t>Alfonso Fernando de Irrisafri</t>
  </si>
  <si>
    <t>s exercicios para 8 dias y con meditaciones : sacado dei que compuso^el R. P. Francisco GuiUoréypor D. Alfonso Fernando dé Irrisafri ; tráta: dé los pasatiempos:de la" brevédad dedos-placeres^ del cuidado desordenado del cuerpo, de la profanidad, de las visitas, obligación de la oracidh cotidiana y otras devoci</t>
  </si>
  <si>
    <t>Alfonso Herrero y Díaz</t>
  </si>
  <si>
    <t>Subteniente de granaderos al primer Subteniente D. Juan de Torres; á primer Subteniente al segundo D. Alfonso Herrero y Diaz, y á segundo Subteniente al Cadete del de Mallorca D. Joseph María Herrero: en el de Navarra á Teniente Coronel al Comandante del tercer batallón, graduado de Coronel, D. Cayetano</t>
  </si>
  <si>
    <t>Alfonso Palomo</t>
  </si>
  <si>
    <t>ldo, y arreglado en todas sus partes al de los Reales estudios de S. Isidro de Madrid. El preceptor D. Alfonso Palomo y el referido D. Agustín Martínez del Campo hiciéron traducir á los alumnos de las primeras clases en las Selectas sagradas y profanas de Rollin, añadiendo muchas preguntas, á las que</t>
  </si>
  <si>
    <t>Alfonso Ramos</t>
  </si>
  <si>
    <t>a el remate de dos casas pertenecientes á la memoria fundada p&lt; r Dofi:t Catalina García Mot tero y D. Alfonso Ramos su hijo: ]i una sita en la cade de Hcrtaleza de esta certe, núm. 45, maní. 303, tasada en rs* &gt; y tiene de sitio 7543- pies * y la otra en la misma calle, frente á la anterior , n</t>
  </si>
  <si>
    <t>Alfonso Rolan de Tordesillas</t>
  </si>
  <si>
    <t>3 de febrero de 1801</t>
  </si>
  <si>
    <t>o Bprja Earreandi................ 244*270. . D. Antonio Labroche......... ................ 244,258. D. Alfonso Rolan de Tordesillas.............. ........ 182,283. r D. Luis Seoane Ibero..;............ ................... *82,313. D. Pedro de Cárdenas.................................. 403,921. i /1 villa de Fi</t>
  </si>
  <si>
    <t>Alfonso Vázquez, Luis</t>
  </si>
  <si>
    <t>Luis Alfonso Vázquez</t>
  </si>
  <si>
    <t>la Ración de la metropolitana de Toledo, vacante por fallecimiento'de D. Mateo Gerónimo Añchuelo, á D. Luis Alfonso Vázquez, Capellán de Coro de la misma iglesia : para él Beneficio de la parroquial dé Mnriel, 'en' la diócesis dé Avila, vacante por muerte de D. Fernando Monroya* á D. Berriardó Herreró,</t>
  </si>
  <si>
    <t>Alfós, Joseph</t>
  </si>
  <si>
    <t>Joseph Alfós</t>
  </si>
  <si>
    <t>Zamora: para tres Raciones de la parroquial de Azanuy, en la misma diócesis, 4 D. Antonio Carrera, D. Joseph Alfós, y D. Joseph Ximenez de Bagues: para un Beneficio de la catedral de Lérida á D. Joseph Pont; y para el Beneficio de la parroquial de Chinchilla, en la diócesis de Cartagena, vacan</t>
  </si>
  <si>
    <t>Algué, Joseph</t>
  </si>
  <si>
    <t>Joseph Algué</t>
  </si>
  <si>
    <t>os segundos D. Tomas Padrinas y D. Francisco Candías, y á segundos Subtenientes al Sargento primero D. Joseph Algué y á los Cadetes, del primer batallón de Voluntarios de Barcelona D. Jacinto Liados y D. Juan leran; y en el de Cazadores voluntarios de Barbastro á primer Teniente al segundo D. Mar</t>
  </si>
  <si>
    <t>Allaglio, General</t>
  </si>
  <si>
    <t>General Allaglio</t>
  </si>
  <si>
    <t>á Wurtzburgo, y el dia 29 rodeó aquella plaza, resultando una leve pérdida por una y otra parte. El General Allaglio, á quien se intimó la rendición de la plaza y del castillo, ofreció entregar la primera: y en efecto el dia 30 la ocupamos por capitulación. Ei General en xefe dexó al General Dum</t>
  </si>
  <si>
    <t>Almansa y Yillaseñor, Tomás</t>
  </si>
  <si>
    <t>Tomás Almansa y Yillaseñor</t>
  </si>
  <si>
    <t>olitana de Toledo, vacante por promoción de D. Andrés de León á una Canongía de la misma iglesia, á D. Tomas Almansa y Yillaseñor; y para el Beneficio de la parroquial de S. Lúcar de Barrameda, en la diócesis de Sevilla, va</t>
  </si>
  <si>
    <t>ALmeras, General</t>
  </si>
  <si>
    <t>General ALmeras</t>
  </si>
  <si>
    <t>efecto, el dia 14 el corto cuerpo que debía defender al Cayro quedó arreglado baxo las órdenes del General ALmeras; y el 15 salí con las demas tropas mandadas por los Generales dé división Lagrange y Robín* Aquel dia hice noche en Elmeneyer, habiendo rechazado algunos destacamentos enemigos qu</t>
  </si>
  <si>
    <t>Alon</t>
  </si>
  <si>
    <t>15 de diciembre de 1801</t>
  </si>
  <si>
    <t>Supl., p. 8</t>
  </si>
  <si>
    <t>veda , Francisco de Sa­ Retrato del Rey nuestro Señor , en medio linas, Fr. Benito Gerónimo Feixoo, D. Alon­ pliego de marca ma^or, grabado á una línea so Perez de Guzman, y Rodrigo Díaz de Vi­ por D. Juan Bruneti , á 10 rs. var. Cada quaderno de seis estampas sin el Otro del Rey nuestr</t>
  </si>
  <si>
    <t>Alopaus</t>
  </si>
  <si>
    <t>2 de octubre de 1801</t>
  </si>
  <si>
    <t>ícese vendrá á reemplazarle Mr. de KálitschéíF, que se„ j halla ahora en París; y entre tanto queda Mr. Alopaus por Encargado de Negocios. - -:í. 7 '\ ' V.^ . El ciud. Bourgoing, Ministro de la República francesa , ha presentado sus credenciales a Mr. de Erenheim, Presidente de la Charicijf</t>
  </si>
  <si>
    <t>Alsina, Pedro</t>
  </si>
  <si>
    <t>Pedro Alsina</t>
  </si>
  <si>
    <t>añoles á Alférez al Cadete D. Antonio Marcoleta; y en el de dragones de Almansa á Alférez al Cadete D. Pedro Alsina. Asimismo ha nombrado S. M. para la Regencia de la Audiencia de la Coruña á D. Francisco Xaxier de Olea y Carrasco; y para la Fiscalía del Crimen de la Chancillería de Valladolid,</t>
  </si>
  <si>
    <t>Also, Juan Bautista</t>
  </si>
  <si>
    <t>Juan Bautista Also</t>
  </si>
  <si>
    <t>allas y Pinzolac para un-Benencio Subdiaconil de la catedral de Terrosa, vacante por r promoción,de D. Juan Bautista Also -4 .una ilación de íamiisma catedral, áD. Joseph Despax.: para, el Beneficio de la parroquial de Sta. María de la ciudad de Ecija , en la diócesis de Sevilla , vacante ^por promoc</t>
  </si>
  <si>
    <t>Alv, Juan</t>
  </si>
  <si>
    <t>Juan Alv</t>
  </si>
  <si>
    <t>Mencionado en un suplemento de la Gazeta.</t>
  </si>
  <si>
    <t>Suplementos</t>
  </si>
  <si>
    <t>Supl., p. 7</t>
  </si>
  <si>
    <t>Un romo en folio, á 125 Diccionario de Agricultura del Abate Rars. en rústica. zie r traducido por D. Juan Alv avez: 10 toReglamento del Monte Pió Militar en mos á 29 rs. en papel; y se continúa. España é Indias. Un tomo en 4.0 á 7 rs. Ensayos de moral contenidos en diversos' en rústica, 8</t>
  </si>
  <si>
    <t>Alvares de Bohorques, Antonio</t>
  </si>
  <si>
    <t>Antonio Alvares de Bohorques</t>
  </si>
  <si>
    <t>Izquierdo le ha concedido el Rey honores de Ministro del supremo Consejo de la Guerra. Al Brigadier D. Antonio Alvares de Bohorques, Teniente Coronel del regimiento de dragones de Nmnancia, le ha concedido S. M. el empleo de Mariscal de ¿Campos, y ha promovido á Brigadier al Coronel D. Joseph Solanas , Exento</t>
  </si>
  <si>
    <t>Alvarex Dia, Félix Juan Antonio</t>
  </si>
  <si>
    <t>Félix Juan Antonio Alvarex Dia</t>
  </si>
  <si>
    <t>ela Notiéga , por sí óy por comisiones jip laó Real procurador, casa ydecorte por medio de D.Gircía D. Félix Juan Antonio Alvarex Dia* pío! curador de los Replcs, Consejos, defensor judicial nombrado A dichos ausentes á decir de su justicia* y si así lo hicieren les ser! guardada en lo que la tengan / y. pasado</t>
  </si>
  <si>
    <t>Álvarez Caballero, Pedro</t>
  </si>
  <si>
    <t>Pedro Álvarez Caballero</t>
  </si>
  <si>
    <t>para el Beneficio de S. Pedro de Pola de Siero, en la diócesis de Oviedo, vacante por promoción de D. Pedro Alvarez Caballero áj</t>
  </si>
  <si>
    <t>Álvarez Campana, Joseph</t>
  </si>
  <si>
    <t>Joseph Álvarez Campana</t>
  </si>
  <si>
    <t>ía de fusileros á D. Luis Ortega, Teniente de granaderos :.en el de Granada Tenencia de fusileros á D. Joseph Alvarez Campana, Subteniente de granaderos; esta resultad! Subteniente de fusileros Dé Antonio Naryaez,y Sttbtetienciade batidera i D. Joseph de Celaya y Ordules : en el de Badajoz Tenencia de fu</t>
  </si>
  <si>
    <t>Álvarez de Fária, Gabriel</t>
  </si>
  <si>
    <t>Gabriel Álvarez de Fária</t>
  </si>
  <si>
    <t>D. Francisco Manuel de Arce , Contador Oficial Real de Jas Caxas de S. Luis Potosí. ; El limo. Sr. D. Gabriel Alvarez de Fária, del Consejo de S. M., Obispo de Badajoz , y el Cabildo de su santa iglesia catedral, hace saber á las personas acaudaladas y pudientes de este Reyno, que penetrados de los mas ar</t>
  </si>
  <si>
    <t>Álvarez de Faria, Joseph</t>
  </si>
  <si>
    <t>Joseph Álvarez de Faria</t>
  </si>
  <si>
    <t>Excmos. Sres. Duque de Ribas, Duque de S. Cárlos, Arzobispo Inquisidor general, D. Juan de Lángara, D. Joseph Alvarez de Faria, y Marques de Paredes. Después celebró de pontifical el mismo Emo. Sr. Cardenal de Santa Alaría de Escala D. Luis de Borbon, en calidad de Prelado de la orden,</t>
  </si>
  <si>
    <t>Álvarez de Gol, Julián</t>
  </si>
  <si>
    <t>Julián Álvarez de Gol</t>
  </si>
  <si>
    <t>Señor Anduaga, y método que se sigue en las Reales escuelas de la ciudad de Córdoba : escritas por D. Julián Alvarez de Gol mayo, maestro de ellas, grabadas por D. Joseph Asensio. Son las primeras que se han publicado por dicho método. Se hallarán en la fábrica de papel pautado impreso (que se acaba de</t>
  </si>
  <si>
    <t>Álvarez de Palma, Joseph María</t>
  </si>
  <si>
    <t>Joseph María Álvarez de Palma</t>
  </si>
  <si>
    <t>tez de la Frontera, en la diócesis de Sevilla, vacante por muerte de Don J4zapü Fernandez Vereda, á D. Joseph María Alvarez de Palma; para la Prestamefa dé Villsnueva del Rio, en la diócesis de Sevilla, vacante por fallecimiento de D. Francisco Muñoz y Quintana, á D. Francisco Gómez Morcillo; y para el Benefici</t>
  </si>
  <si>
    <t>Álvarez Guerra, Juan</t>
  </si>
  <si>
    <t>Juan Álvarez Guerra</t>
  </si>
  <si>
    <t>ances por una 50: ciedad de agrónomos, y ordenado por el Abate Rozier; traducido al cas. teHano por D. Juan Alvarez Guerra, individuo de mérito en la clase de agricultura de la Real sociedad económica de Madrid. Comprehende entre otros los . artículos labor, lamparones. lana, langosta J laya J leche,</t>
  </si>
  <si>
    <t>Alvárez Guerra, Juan</t>
  </si>
  <si>
    <t>Juan Alvárez Guerra</t>
  </si>
  <si>
    <t>francés por una sociedad de agrónomos, y ordenado por el Abate Rozier ; traducido al castellano por Don Juan Alvárez Guerra , individuo de mérito en la clase de agricultura de la Real sociedad económica de Madrid: tomo XII. Comprehende entre otros los artículos niebla, nieve, nifío, níspero, nogal, nod</t>
  </si>
  <si>
    <t>Álvarez Pesadilla, Juan</t>
  </si>
  <si>
    <t>Juan Álvarez Pesadilla</t>
  </si>
  <si>
    <t>os puntos curiosos de policía y gobierno de los pueblos, que trata por incidencia; su autor el Lie. D. Juan Alvarez Pesadilla. Se hallará en la librería de la viuda de lb&amp;rra, calle de la Gorguera, y se da con separación del tomo primero. Método breve y práctico de visitar á Jesús Sacramentado: sacado de</t>
  </si>
  <si>
    <t>Álvarez Santullano, Joseph</t>
  </si>
  <si>
    <t>Joseph Álvarez Santullano</t>
  </si>
  <si>
    <t>, 1x3 cionero D. Joseph Alvarez Santullano: para la Ración, que este aexa, al Cura de S. Isidoro D. Luis González Blanco: para la Canongía, vacante por fallecimiento de D. Pedro Castro, al Racionero D. Joseph García de Pra</t>
  </si>
  <si>
    <t>Álvarez, Bernardo</t>
  </si>
  <si>
    <t>Bernardo Álvarez</t>
  </si>
  <si>
    <t>r, D. Felipe Ancora v D. Benito Albini; á primeros Subtenientes a los segundos D. Agustín Poncerot, D. Bernardo Álvarez, D. Blas Áivarez, D. Joseph Aguado y ÓquenHo , D. Tomas Canten , D. Guillermo Líons, D. Andrés.Agnado y Oou-ndo , D. Joseph Alvarez , D. Pedro Dalesme y D. Juan O-Laugbhn, v á seg</t>
  </si>
  <si>
    <t>al primer Subteniente'D. Agustín Ponzerot; á Subtenientes de granaderos á los primeros Subtenientes D. Bernardo Alvarez, D. Blas Alvarez y D. Joseph Aguado y Oquendo, y á primeros Subtenientes á los segundos D. Gerónimo Guia y D. Manuel Ouarteraro y O-Donovan: en el de la Princesa á Capitán al prim</t>
  </si>
  <si>
    <t>Álvarez, Blas</t>
  </si>
  <si>
    <t>Blas Álvarez</t>
  </si>
  <si>
    <t>'D. Agustín Ponzerot; á Subtenientes de granaderos á los primeros Subtenientes D. Bernardo Alvarez, D. Blas Alvarez y D. Joseph Aguado y Oquendo, y á primeros Subtenientes á los segundos D. Gerónimo Guia y D. Manuel Ouarteraro y O-Donovan: en el de la Princesa á Capitán al primer Teniente de granad</t>
  </si>
  <si>
    <t>Álvarez, Esteban</t>
  </si>
  <si>
    <t>Esteban Álvarez</t>
  </si>
  <si>
    <t>bteniente al segundo D. Ildefonso Suarez, y á segundo Subteniente al Sargento primero de granaderos D. Esteban Alvarez: en el de Borbon á segundo Subteniente al Sargento primero de granaderos D. Lorenzo Laborié: en el de Suizos de Reding á Subteniente ai Cadete D. Bonifacio Yütz; y ha concedido gr</t>
  </si>
  <si>
    <t>Álvarez, Joseph</t>
  </si>
  <si>
    <t>Joseph Álvarez</t>
  </si>
  <si>
    <t>ez, D. Joseph Aguado y ÓquenHo , D. Tomas Canten , D. Guillermo Líons, D. Andrés.Agnado y Oou-ndo , D. Joseph Alvarez , D. Pedro Dalesme y D. Juan O-Laugbhn, v á segundos Subtenientes al Cadete D. Manuel Quarteraro y O-Donovan y al Siento primero del de infantería de la Corona D. Gerónimo Guia: e</t>
  </si>
  <si>
    <t>1* de Iglesias y compañía, en Cádiz en ia de Pajáres y Castillo ¿en Xerez de la Frontera en casa de D. Joseph Alvarez. * . El Alcázar de la sensibilidad ó los matrimonios felices: anécdota de Jacinta y Estuardo por D. J. J. T. y A. Se bailará á 4 rs. en la librería de la viuda dé* Cerro, red de S</t>
  </si>
  <si>
    <t>ste encargo, con la Presidencia de Ja Audiencia de Cáceres, durante la ausencia del Capitán general D. Joseph Alvarez. Asimismo ha nombrado el Rey pira una plaza de Alcalde de la Real casa y corte, vacante por promoción de D. Luis Mclendez Bruna á Ministro del Consejo de las Ordenes, á D. Joseph</t>
  </si>
  <si>
    <t>Álvarez, Manuel</t>
  </si>
  <si>
    <t>Manuel Álvarez</t>
  </si>
  <si>
    <t>ada......... 33. 4. Manuel Alvarez... Fabian....... . Antonia Placer,.., Mujares........ Idem................ 33. ío. Riimon Testa„..„. Antonio,.,...., Silvestra López... Sta. María de</t>
  </si>
  <si>
    <t>Álvarez, Rafael</t>
  </si>
  <si>
    <t>Rafael Álvarez</t>
  </si>
  <si>
    <t>ncisco Martinez de Vivar. Para la Sargentía mayor de la ciudadeía de Pamplona,vacante por muerte de D. Rafael Alvarez, ha nombrado el Rey al Capitán D. Joseph María de Crespo, Sargento íxuyor de la plaza de Jaca : para esta resulta al Capítan D. Salvador de Gamposjy para la del fuerte de la Conce</t>
  </si>
  <si>
    <t>Alvaro Cataño</t>
  </si>
  <si>
    <t>oseph María de Córdoba; la Subtenencia de cazadores á D. Manuel Vázquez, y Subtenencia de bandera á D, Alvaro Cataño: en el de León Subtenencias de fusileros á D. Vicente Fernandez Luna, D. Martin de Quevedo y Aíonteagudo y D. Antonio Perez; y en el de Toledo las Subtenencias de bandera á D. Jos</t>
  </si>
  <si>
    <t>Alvaro de Bazan</t>
  </si>
  <si>
    <t>vinio Agustín , D. Sancho Dávila , D. Juan de ñetas. según se publicaron en la Historia de Austria, D. Alvaro de Bazan ,’Antonio de la vida de Ciceron , en 50 rs. líebrija, y Pedro Menendez Aviles: 5.0 Don Veinte y una estampas iluminadas de los Juan de Austria, Fr. Luis de Granada, Mar­ pavimento</t>
  </si>
  <si>
    <t>Alvaro de Vitoria y Bracamonte</t>
  </si>
  <si>
    <t>esta corte en la calle del Desengaño , núm. 4, mana. 361 , el qual en el año de 1^97 parece gozaba D. Alvaro de Vitoria y Bracamonte, como sucesor en el mayorazgo que fundaron el secretario Christóbal de Vitoria y Doña Catalina de Aguilera su muger , y poseía en el de 1719 D. Juan de Salinas, Cuerva y Aguilera,</t>
  </si>
  <si>
    <t>Alvaro Navia Oson</t>
  </si>
  <si>
    <t>Fael casan del Buen Retiro : las 16 expresan las fábulas ó trabajos de .Hércules: 4 reprexardo , y. Don Alvaro Navia Oson o : sentan Europa, Asia, Africa y América: dos 7." D. Luis de Requesens , D. Bartolomé las Virtudes Cardinales , y las otras dos las Leonardo de Argensola , D. Francisco Va­ „bata</t>
  </si>
  <si>
    <t>Alvtrez, Joseph</t>
  </si>
  <si>
    <t>Joseph Alvtrez</t>
  </si>
  <si>
    <t>Milhomme, de Vakneienes, de 39 años, discípulo del difunto Alíograin: el segundo pr-.mio lo obtuvo D. Joseph Alvtrez, natural de Córdoba, de 27 años de edad, pensión ¡do por S. M. el íiey de España., discípulo del ciud. Dcjoux, individuo del instituto nacional. Este cuerpo científico propone par</t>
  </si>
  <si>
    <t>Alzate, Martín</t>
  </si>
  <si>
    <t>Martín Alzate</t>
  </si>
  <si>
    <t>'4. xa. Martin Alzate.,,.,, Manuel..,,..,.. Ana 8erbel....;»Y.. Ubeda.......... Idem............ 16, 8. Francisco Morua. Joseph...........Francisca L</t>
  </si>
  <si>
    <t>Amarj, Antonio</t>
  </si>
  <si>
    <t>Antonio Amarj</t>
  </si>
  <si>
    <t>ento de la conservación y uso de ella: todo á presencia del Comandante general el Mariscal de Campo D. Antonio Amarj oficialidad de la. guarnición, cabildo secular y otras personas de la primera distinción que hiciéron lucido el acto; acreditando los; caballeros Cadetes en él su aplicación y apr</t>
  </si>
  <si>
    <t>Amat de Tortosa, Juan</t>
  </si>
  <si>
    <t>Juan Amat de Tortosa</t>
  </si>
  <si>
    <t>D. Manuel Freyre: en el de la Costa de Granada á Capitán al Ayudante, graduado de Teniente Coronel, D. Juan Amat de Tortosa; y en el de dragones de Alman-r á Capitán al Ayudante , graduado de Capitán , D. Francisco Ferrandiz.^ S. M. se ha servido conceder el Gobierno militar y político de la plazfc de</t>
  </si>
  <si>
    <t>Ambrosio-Valdivielso</t>
  </si>
  <si>
    <t>mero .431,714, y el otro de 150'pesoí, creación de i.° de Enero, núm. 3*7,277, endosados á favor de D. Ambrosio-Valdivielso. Quien los hubiere hallado los remi-í tirá en Madrid á D. Pedro Valdivielso, calle del Duque de Alba, ó en Burgos •al referido D. Ambrosio Valdivielso. - . El Sr. Intendente de es</t>
  </si>
  <si>
    <t>Ames, Marcos Antonio</t>
  </si>
  <si>
    <t>Marcos Antonio Ames</t>
  </si>
  <si>
    <t>Mateo Zapater, D. Narciso LaJana, D. Anselmo Rueda, D. Juan Antonio Lacosta, D. Xavier Echeverría, D. Marcos Antonio Ames, D. Jacinto Aznar y J&gt;. Pascual Grasa. Concluida la distribución, el Exc. Sr. Capitán general hizo á ios premiados un eloqiiente razonamiento, dirigido á estimular su aplicación:</t>
  </si>
  <si>
    <t>Ametllór, Blas</t>
  </si>
  <si>
    <t>Blas Ametllór</t>
  </si>
  <si>
    <t>iego marca mayor que representa á Ntra. Sra. del Valle de Toledo, imágen milagrosísima: grabada por D. Blas Ametllór. Se hallará á 6 rs. en la librería de Dávila , calle de las Carretas , y en Toledo en casa del tesorero de la cofradía de Ntra. Sra., junto al Barco. Nueva estampa de la desgracia</t>
  </si>
  <si>
    <t>Amgeí Carranck, Manuel</t>
  </si>
  <si>
    <t>Manuel Amgeí Carranck</t>
  </si>
  <si>
    <t>ngubtfrnafiva de cosoidaCjon y y extinción de vales Reales , pori $!• juzgado de-comisión del: Tic. D. Manuel Amgeí Carranck),se ha macdadosacar áfública subasta por término de ¿odias ía casa calle de tas Fuentes, num. 5 . mana. 414, que tiene de'área 4111 pies, y se compone de sótanos , quaftos baxosr,</t>
  </si>
  <si>
    <t>Amieba, Domingo</t>
  </si>
  <si>
    <t>Domingo Amieba</t>
  </si>
  <si>
    <t>, D. Joseph Zornóza, D¿ Nicolás, D. Juan y D. Andrés Duran, D. Joseph Gutiérrez, Don Domingo Gómez, D. Domingo Amieba , D. Juan Jaldon , D. Joseph Marín, D. Die,*o Garrido, D. Alonso Romero, D. Antonio Ramírez, Don Francisco Xavier, D. Manuel Maclas y D. Joseph de Aragón. Respondiáron todos con o</t>
  </si>
  <si>
    <t>Amirola, Alexandro</t>
  </si>
  <si>
    <t>Alexandro Amirola</t>
  </si>
  <si>
    <t>érmino de un mes contado desde hoy se recibirán en Bilbao por D. Juan de Villabaso, y en Madrid por D. Alexandro Amirola, comisionados paradlo por la (diputación general del M. N. y M. L. Señorío de V izcsya, las cantidades que se quieran prestar á dicho Señorío para el servicio que intenta hacer á</t>
  </si>
  <si>
    <t>Amonio Hernández de Larrea, Juan</t>
  </si>
  <si>
    <t>Juan Amonio Hernández de Larrea</t>
  </si>
  <si>
    <t>24 de julio de 1801</t>
  </si>
  <si>
    <t>r via de pre-* mió. ___Hecha esta distribución en junta general de 15 dei mismo mes de Mayo, el Sr. D. Juan Amonio Hernández de Larrea, Dean de la santa iglesia metropolitana, caballero de la Real y distinguida orden de Carlos 111 , primer director, felicitó á los alumnos coa un sabio razonamiento; así- por el ap</t>
  </si>
  <si>
    <t>Amonio Pchsun</t>
  </si>
  <si>
    <t>gfgoadieríw al de fusileros D. Dionisio Fitz-gerald; á segundo Te»iente al Sübtenieme de granaderos D. Amonio Pchsun ; á Subteniente de gramdéíos al de fusileros D. Cárlos Monrignany ; á primer Subteniente al segundo 0. Jayme AltXaftdría, y á segundo Subteniente al. Cadete del de América D. Vent</t>
  </si>
  <si>
    <t>An, Juan</t>
  </si>
  <si>
    <t>Juan An</t>
  </si>
  <si>
    <t>sada en :&gt;»p}c84 rs. ', acaáa 4 4al escribanía del número de D. Juan Lope* FandoyaudieiCia ¡del Si. D. Juan An-? ionio Santa María. ;,V ¿ En virnH de providencia del Sr. D. Juan Antonio Santa Maria , Teniente' Corregidor de esta villa , y por la escribanía d^ oiímtro de eÜa del cargo dé Don</t>
  </si>
  <si>
    <t>Ana, Duquesa</t>
  </si>
  <si>
    <t>Duquesa Ana</t>
  </si>
  <si>
    <t>ar á su madre la Princesa heredera de Saxonia Coburgo, que se halla peligrosamente enferma. La Gran Duquesa Ana viaja con el nombre de Condesa de Romanow. El Rey de Prusia ha despachado á su Chambelán el Conde de Woss para cumplimentarla,en su nombre. Ratisbona 31 de Agosto. A yer llegó un</t>
  </si>
  <si>
    <t>Anacleto García, Gabriel</t>
  </si>
  <si>
    <t>Gabriel Anacleto García</t>
  </si>
  <si>
    <t>nuales á favor de la Real capilla : para la Dignidad de Chantre de la catedral de Jaca, que obtenía D. Gabriel Anacleto García, y resultará vacante por su promoción á la Abadía de la colegial de Alabanza, á D. Antonio Ger, Cura de Sarsa Marcuello, en la diócesis de Huesca; para el Arcedianato de la de Sol</t>
  </si>
  <si>
    <t>Anadón, Pedro</t>
  </si>
  <si>
    <t>Pedro Anadón</t>
  </si>
  <si>
    <t>la.,....... 37. 3a. Pedro Anadón..... Joseph.......... Catalina Ximeno. Torre de los Negros. Daroca..................</t>
  </si>
  <si>
    <t>Anaeleto Valinani</t>
  </si>
  <si>
    <t>havert f% segundos Tenientes al Subtes niente de granaderos D. Ramón Daprea y al primer Subteniente D. Anaeleto Valinani ; á Subteniente de granaderos al primer Subteniente D. Antonia Designi y á- primeros Subtenientes los; segundos D¿ Juan Joseph de Arríete y D, Ma«*ei Méndez&gt; y á segtmdo^ Subtenie</t>
  </si>
  <si>
    <t>Anastasio Aguilar</t>
  </si>
  <si>
    <t>s del Ferrol y Grana á D. Miguel Benitez Cortés; y para la de la isla de la Palm?, en Cana-, rías á D. Anastasio Aguilar. El Consejo, á consulta de la Comisión gubernativa de consolidación de Vales, y con aprobación de S. M., ha acordado la trigesimaprima amortización de 300 Vales de 600 pesos, y 29</t>
  </si>
  <si>
    <t>Anaya, Gerónimo Julián</t>
  </si>
  <si>
    <t>Gerónimo Julián Anaya</t>
  </si>
  <si>
    <t>n y Don RVmón AÍm-rÍch; V á segundos Subtenientes al Sargento primero del de Voluntarios de Casulla D. Gerónimo Julián Anaya , al de ¡a misma cUe de granaderos del de Zamora, graduado de Subteniente, D. Juan López, y af de fusileros del de Murcia, también graduado de Subteniente, D. M*uycio Estrada, á l</t>
  </si>
  <si>
    <t>Ancelin de San Quintín, Luis</t>
  </si>
  <si>
    <t>Luis Ancelin de San Quintín</t>
  </si>
  <si>
    <t>25 de agosto de 1801</t>
  </si>
  <si>
    <t>niente de granaderos al primer Subteniente D. Pascual Borda; á primeros Subtenientes á los segundos D. Luis Ancelin de San Quintín, í)oa Luis de la Masiliere, D. Pedro de Champañac y D. Luis de Gazan, y i segundos Subtenientes al Sargento primero D. Joseph Cedilio, y á los Cadetec D. Jorge Baregcs, D. Juan Ga</t>
  </si>
  <si>
    <t>Añchuelo, Mateo Gerónimo</t>
  </si>
  <si>
    <t>Mateo Gerónimo Añchuelo</t>
  </si>
  <si>
    <t>Joseph Morales Carrero: para la Ración de la metropolitana de Toledo, vacante por fallecimiento'de D. Mateo Gerónimo Añchuelo, á D. Luis Alfonso Vázquez, Capellán de Coro de la misma iglesia : para él Beneficio de la parroquial dé Mnriel, 'en' la diócesis dé Avila, vacante por muerte de D. Fernando Monro</t>
  </si>
  <si>
    <t>Ancora, Felipe</t>
  </si>
  <si>
    <t>Felipe Ancora</t>
  </si>
  <si>
    <t>ejouy ,D. Pablo Rosello,D.Miguei 1 uictll,f)on Manuel de Olmedo, D. Joachín Buil, D. Carlos Stonor, D. Felipe Ancora v D. Benito Albini; á primeros Subtenientes a los segundos D. Agustín Poncerot, D. Bernardo Álvarez, D. Blas Áivarez, D. Joseph Aguado y ÓquenHo , D. Tomas Canten , D. Guillermo L</t>
  </si>
  <si>
    <t>Andias, Juan</t>
  </si>
  <si>
    <t>Juan Andias</t>
  </si>
  <si>
    <t>c señalando para la mejora del quarto 30 bó en ao de Febrero el S . ante el Sr. Teniente Corregidor D. Juan Andias. Quien ^:lísiere^a¿erribanía del número de D. Tomas de Sancha , dentro de tonio Santa Mana, y • - dcl mes próximo de Mayo, dicho término que «impura en 9 *Ci *</t>
  </si>
  <si>
    <t>Andonaegui, Joseph</t>
  </si>
  <si>
    <t>Joseph Andonaegui</t>
  </si>
  <si>
    <t>los mayorazgos que fundáron D. Francisco Abarca Maldonado y Doña Agustina Suarez, su muger; el í?r. D. Joseph Andonaegui, Teniente General de los Reales exércitos» vecino de Madrid; D. Isidoro Fernandez de la Quintana, como marido de Doña Francisca Xaviera de Va i parda , patrono de la capellanía co</t>
  </si>
  <si>
    <t>Andrade, Felipe</t>
  </si>
  <si>
    <t>Felipe Andrade</t>
  </si>
  <si>
    <t>Ben, D. Francisco Xavier González y D. Tomas Perez, y á los primeros Subtenientes D. Luis de Rueda, D. Felipe Andrade y D. Cayetano Arjnesto j á Subtenientes de granaderos á los primeros de fusileros D. Matías Retamar, D. Christóbal Vilanováy D. Antonio Jaquez; á primeros Subtenientes á los segundos</t>
  </si>
  <si>
    <t>Andrea Rom</t>
  </si>
  <si>
    <t>a misma catedral por promoción de D. Joseph Gafcía Nieto á una Canongía de la referida . íolesia, á D. Andrea Rom.-n: para el Beneficio ¿implé de Baylen, en el obisoado de laen , que resultará vacante por la promoción de D, Mateo Delgado, Abad á la^Dicnidad dedeArcediano la Real iglesia coleg</t>
  </si>
  <si>
    <t>Andrea, Juan</t>
  </si>
  <si>
    <t>Juan Andrea</t>
  </si>
  <si>
    <t>38. 4. Juan Andrea...... Francisco..... María Atance..... Codes............. Soria........... ar. 6, Pedro Azcarate.. Miguel........ María Esperanza. Artied</t>
  </si>
  <si>
    <t>Andrés Miguel</t>
  </si>
  <si>
    <t>- ; mover á Alférez al Portaestandarte D. Sebastian de Torres , y á Porta- , estjnd¿rtc al Sargento D. Andrés Miguel: en el de Húsares españoles á Alférez al Sargento D. Manuel Rodríguez; y en el de Voluntarios de Espa- t ña á Ayudante al primer Teniente D. Juan Casado, y á Alférez al Sargento D</t>
  </si>
  <si>
    <t>Andrqs Rodríguez</t>
  </si>
  <si>
    <t>teniente de granaderos al primer Subteniente D. Francisco Gallardo; á primer Subteniente al segundo D. Andrqs Rodríguez, y á segundo Subteniente al Sargento primero del de granaderos Voluntarios de Estado D* Joseph Rui: en el de Toledo á primer Teniente al segundo de granaderos D. Luis Serrano; á s</t>
  </si>
  <si>
    <t>Andux, Domingo</t>
  </si>
  <si>
    <t>Domingo Andux</t>
  </si>
  <si>
    <t>Supl., p. 1</t>
  </si>
  <si>
    <t>.......... 131. 10. Domingo Andux,. Joseph..... JosephaTorrubia- Molina de no...................... Aragón...... Idem.... .</t>
  </si>
  <si>
    <t>Angulo, Joseph</t>
  </si>
  <si>
    <t>Joseph Angulo</t>
  </si>
  <si>
    <t>ranaderos Don Francisco Valencia y D. Miguel Gnecco-, Subtenencias de granaderos a íos de fusileros D. Joseph Angulo y D. Antonio Penalosa ; y Subtenencia, de bandera al Sargento primero D. Agustín López y al Gdi t dtl regimiento de infantería de Navarra D. Francisco de Egma y Valiese,, I.mbien ha c</t>
  </si>
  <si>
    <t>Anquetil</t>
  </si>
  <si>
    <t>de sus catástrofes desde eltiempo en que fueron conocidas hasta el dia. Obra escrita en francés por Mr. Anquetil, Miembro de varios Cuerpos literarios, / traducida por el Padre Don Francisco Fdzquez, Clérigo Reglar de S. Cayetano, y Lector de Teología. T lectura de la Histeria Universal en t</t>
  </si>
  <si>
    <t>Mr. Anquetil, que hq.sábido^íéd^éir-^iípy pocos los 1a 6 Ionios de la Historia Universal, sin dexar por esto de presentarnos cada nación desde el momento en que empezó á ser conocida,. referir</t>
  </si>
  <si>
    <t>Anrpnip Barreda</t>
  </si>
  <si>
    <t>y del Perú destinó la1 fragata'Leocadia y las corbetas Cáítor y Orne, al mando del Capitán de navio D. Anrpnip Barreda, para que ¿tozasen de Guayaquil á la isla dé los’GaíápágÓS/ Eétas. naves sáiierón deí Calláo eí 21 de Enero, y reconocida |á costa septentrional ‘en demanda “dé los enemigos, reca</t>
  </si>
  <si>
    <t>Anselmo de Enderica y Palacios, Manuel</t>
  </si>
  <si>
    <t>Manuel Anselmo de Enderica y Palacios</t>
  </si>
  <si>
    <t>ara el Curato del Real sitio de S. Fernando de este arzobispado de Toledo, vacante por promoción de D. Manuel Anselmo de Enderica y Palacios á una Canongía dé la santa iglesia de León. El Rey se ha servido conferir el empleo de Coronel del regimiento provincial de Xerez al Marques de Casavillavicencio, Teniente Coronel</t>
  </si>
  <si>
    <t>Anselmo Medrano, Juan</t>
  </si>
  <si>
    <t>Juan Anselmo Medrano</t>
  </si>
  <si>
    <t>s: para la Maestrescolía al Tesorero D. Antonio Fernandez de Córdoba: para la Tesorería al Canónigo D. Juan Anselmo Medrano: para la Canongía al Racionero D. Manuel Francisco Tubil: para una Media Ración de la catedral de la Paz, vacante por ascenso de D. Joseph Eraso á Racionero de la misma iglesia, á</t>
  </si>
  <si>
    <t>Anselmo Rueda</t>
  </si>
  <si>
    <t>, D. Guillermo Olleta, D. Francisco Zapater, D. Felipe Gradan, D. Mateo Zapater, D. Narciso LaJana, D. Anselmo Rueda, D. Juan Antonio Lacosta, D. Xavier Echeverría, D. Marcos Antonio Ames, D. Jacinto Aznar y J&gt;. Pascual Grasa. Concluida la distribución, el Exc. Sr. Capitán general hizo á ios pre</t>
  </si>
  <si>
    <t>Anstoniú de Guevara</t>
  </si>
  <si>
    <t>ia en la de Navarro y Minguet. &gt; Menosprecio de corte y alabanzas de aldea, por el limo, y Rmo. Sr. D. Anstoniú de Guevara, Obispo que fué de Mondoñedo , un tomo en 8.°:= El Bachiller de Salamanca , ó aventurasd¿ D;Quebubin de ía Ronda,que sacó de un manuscrito español y publicó éa-francés Mr. Ls-Sagc</t>
  </si>
  <si>
    <t>Anstruther, Coronel</t>
  </si>
  <si>
    <t>Coronel Anstruther</t>
  </si>
  <si>
    <t>inoph: pliegos del mismo Lord para el Duque de Yótck y para el Ministro de Estado; y otra carta del Coronel Anstruther al Coronel Brownrigg. Estos documentos son del tenor siguiente: „ Carta de Mr. Abercrombie al Conde Elgin i delante de Alexandría J&lt;Tde Marzo. La esquadra llegó el i.° de este mes</t>
  </si>
  <si>
    <t>Antelo y Villoríaj, Joseph</t>
  </si>
  <si>
    <t>Joseph Antelo y Villoríaj</t>
  </si>
  <si>
    <t>para un Beneficio de la parroquia de $. Miguel ee la ciudad de Cuenca', vacante porfallecimiento de D. Joseph Antelo y Villoríaj á D. Mariano Amelo y Coronel: para una Presta.-; mera de Gasas de Haro, anexo de Villar de la. Encina, en el obispado dé Cuenca, vacante por muerte de D. Gabriel Gómez de laTorre*</t>
  </si>
  <si>
    <t>Antelo, Ramón</t>
  </si>
  <si>
    <t>Ramón Antelo</t>
  </si>
  <si>
    <t>25. 24, Ramón Antelo..... Leandro.. Josepha Gerge..... S. Ma '.es de Su v.'S....... Santiago.........</t>
  </si>
  <si>
    <t>Anto'nio Santa María, Juan</t>
  </si>
  <si>
    <t>Juan Anto'nio Santa María</t>
  </si>
  <si>
    <t>persona quisiere hacer mejora, á lo ménos eu la qu. rta parte de su reñir.te , acuda an» te el Sr. D. Juan Anto'nio Santa María y escribanía del número de I&gt;.&gt; Gervaslé Fernandez Izquierdo» en el término de 30 días eup tados de&gt;de.33 de Agosto.. A conseqücncia de io'resuelto porda Coixwsiongubtfrnafiva de coso</t>
  </si>
  <si>
    <t>Antome Huerta y Laredo, Joseph</t>
  </si>
  <si>
    <t>Joseph Antome Huerta y Laredo</t>
  </si>
  <si>
    <t>14 de julio de 1801</t>
  </si>
  <si>
    <t>al de Truxillo, en América, vacante por fallecimiento de D. Juan Ignacio Gorrictaregui, al Canónigo D. Joseph Antome Huerta y Laredo; para la Canongía, que este dexa, al Racionero D. Francisco Xavier Queri; y para Ja Ración de este á D. Antonio Román de Mesones, Cura en aquella diócesis. Asimismo se ha dignado</t>
  </si>
  <si>
    <t>Antomo Basilio de Rueda</t>
  </si>
  <si>
    <t>a y última parte de este tomo. Se hallará con los antecedentes en «1 despacho de la imprenta Real. 'D. Antomo Basilio dé Rueda y maestro tintorero de sedas y paños, aprobada</t>
  </si>
  <si>
    <t>Antonia Aparici</t>
  </si>
  <si>
    <t>y D. V ícente Rubio pronunció una arenga gratulatoria, y concluida dixo otra- á nombre de las niñas Doña Antonia Aparici, y cantó acompañada de la orquestra una poesía en loor dé la sociedad. Continuó D- Joseph Inocencio de Llano, secretario de la juri- ' /gubernativa de comboyes, ley endo una notic</t>
  </si>
  <si>
    <t>Antonia Designi</t>
  </si>
  <si>
    <t>ea y al primer Subteniente D. Anaeleto Valinani ; á Subteniente de granaderos al primer Subteniente D. Antonia Designi y á- primeros Subtenientes los; segundos D¿ Juan Joseph de Arríete y D, Ma«*ei Méndez&gt; y á segtmdo^ Subtenientes al Gadete dd regimiento de infantería fixo de Guatemala D. IMefonso</t>
  </si>
  <si>
    <t>Antonia Doral, María</t>
  </si>
  <si>
    <t>María Antonia Doral</t>
  </si>
  <si>
    <t>10 de noviembre de 1801</t>
  </si>
  <si>
    <t>ortería y ánimas del campo santo de S. Joseph , tasada en 49,5-70 rs. , y tiene de sitio *088 pies. Doña María Antonia Doral, hija de D. Márcos, ó sus herederos, ocurrirán «1 Capitán de Fragata D. Juan Bautista Doral, que reside en el Ferrol, quien tiene noticias interesantes que darles, é ignora ei des</t>
  </si>
  <si>
    <t>Antonia Fernández Henestrosa</t>
  </si>
  <si>
    <t>iten memoriales hasta el dia i«j de Junio de este año. Se cita , llama y emplaza á los parientes de Doña Antonia Fernandez Henestrosa , natural que fué de la villa de Navalcarnero, vecina de esta corte, y viuda de D. Francisco Antonio Suarez, que falleció en a de Febrero del año pasado de 1800, para que dentro d</t>
  </si>
  <si>
    <t>Antonia Gárnica, Joseph</t>
  </si>
  <si>
    <t>Joseph Antonia Gárnica</t>
  </si>
  <si>
    <t>0 del corriente se consagró en la iglesia de las Sras. Descalzas Reales de ésta' ¿orté el limó. Sr. D. Joseph Antonia Gárnica, Obispo de .Osma, siendo su consagrante; eí Exc. Sr.-D. Ramón Jóseph de Arc^, . Arzobispo deBárgos,Inquisidor general: asistentes los. limos. Sres. Obispos D. Francisco de la Cuer</t>
  </si>
  <si>
    <t>Antonia Gonzaga y Caraceiolo, María</t>
  </si>
  <si>
    <t>María Antonia Gonzaga y Caraceiolo</t>
  </si>
  <si>
    <t>presión y publicación de su obra, £1 dia 27 de Febrero último falleció en esta corte la Excma. Sra. Doña María Antonia Gonzaga y Caraceiolo, Marquesa viu^a de Villafran«a y de los Velez, Duquesa dq^.MontaJto, á los 66 años cumplidos de edad. Las apreciables prendas q'J$concurrieron en esta Señora, y manifestó como esp</t>
  </si>
  <si>
    <t>Antonio Martín</t>
  </si>
  <si>
    <t>8 de diciembre de 1801</t>
  </si>
  <si>
    <t>segundo Teniente al primer Subteniente D. IgnacioGoz ivez;. á primeros Subtenientes á los segundos D. Antonio Martin y D. Francisco Pueiles, y á segundos Subtenientes á D. Joseph Letamendí,, Cadete del regimiento de infantería de la Reyna, y D.. Benito deJ Moral* Subteniente de granaderos del provin</t>
  </si>
  <si>
    <t>Antonio' Capilla</t>
  </si>
  <si>
    <t>ra, D. Vicente Ximenez y D. Felipe Aner; en la clase de buenos D. Ramón Salazar, Doft Joachín Royo, D. Antonio' Capilla,\D. Isidoro Capilla, D. Vicente Royo, D. Ildefonso González, D. Francisco Rimont, D, Joseph Latasa Hernández de Larrea y D.: Salyador Sobrevillahabiendo este demostrado prácticame</t>
  </si>
  <si>
    <t>Antonio' Prieto Bermudé</t>
  </si>
  <si>
    <t>postura á dicha fiuca acuda ante dicho Sr. Ju¿e y.’ Escri-: banía 'de DvÁ^ni.ó •jtqp^ileSaladar. s Don Antonio' Prieto Bermudé* y C04V0, hijo legítimo de DI Juan BérnaVdfq Prieto y Bermudez$y de4 Dófik Mafia de Couto, vecino dé;la fe grésía dé Sia Félix de Monfero , jnrisdlécioá- dé Betlbaos éa Gdíicía ^</t>
  </si>
  <si>
    <t>Antonio, Archiduque</t>
  </si>
  <si>
    <t>Archiduque Antonio</t>
  </si>
  <si>
    <t>1 salieron de aquí el Emperador, la Emperatriz , la Reyna de Ñapóles, el Gran Duque de Toscana y el Archiduque Antonio para’Esterhaz. Va S. M. á revistar los cuerpos del armamento de Hungría, que se han reunido cerca de Oedcnburgo. Acaba el exército de Alemania de recibir considerables refuerzos.</t>
  </si>
  <si>
    <t>a (íque era también Obispo de aquella ciudad) procedió á elegir otro, y re-j cayó la elección en el Archiduque Antonio ae Austria. Al instante se despachó un correo á Viena^ dando parte de ello al Emperador. Parece que hasta la paz general no se concluirá el asunto de los resarcimientos que han de</t>
  </si>
  <si>
    <t>murió, el Cabildo par.t lograr mejor el consentimiento del Emperador, le ofreció que nombra ría al Archiduque Antonio. Consintió S. M. en ello; y debía procederse á la elección quando se recibió la nota del Ministro prusiano, la quál contenía subst-ncialmente lo siguiente: „ El artículo 7.® del t</t>
  </si>
  <si>
    <t>ba á hacer, ai mirar por el bien del país, procedió á elegir Obispo, y recayó el nombramiento en el Archiduque Antonio. Mr. de Dohm protestó formal mente contra esta elección, y despachó un correo á su corte. Después se retiró de aquí á Ham, y desde allí expidió un extraordinario ai General Kleist</t>
  </si>
  <si>
    <t>13 de octubre de 1801</t>
  </si>
  <si>
    <t>o devun nuevo Elector y de un nuevo Obispo; y las cartas de la propia ciudad del 12 expresan que el Archiduque Antonio se ha ordenado ya en Scbonbrunn. Otros avisos aseguran que los Canónigos de Colonia se han reunido en Arensperg, y que el dia 20 de este mes harán la elección del Arzobispo Electo</t>
  </si>
  <si>
    <t>stitución; y que así S. M, I. en calidad de xefe del imperio no podía negarse a ella; que ademas el Archiduque Antonio no tom ria posesión de aquellos estados sino en ei caso de que no sean comprehendidos en las seculariza clores. Berlín 27 de Setiembre. S chsn concluido en Potsdam los exercicios</t>
  </si>
  <si>
    <t>l iban á ocupar á Munster, no se duda ahora de que llevan otro destino..__También se asegura que el Archiduque Antonio no ha aceptado todavía su nombramiento para aqu J Obispado; y parece que dicho Príncipe ha salido de Viena' para Gratz. Londres 4 de Octubre. E n las gazetas anglo americanas de f</t>
  </si>
  <si>
    <t>de Octubre. M r. de Ki ttcler, despachado de aquí con pliegos p^ra el Emperador y p ira S. A. R. el Archiduque Antonio, nuevo Príncipe Obispo, liego á Vicna el 15 de Setiembre por la noche, y escribe que habiendo sabido que el Archiduque se hallaba en Gtatz, quiso seguir sin detenerse á la misma c</t>
  </si>
  <si>
    <t>les previene comuniquen á los respectivos Soberanos la elección del Archiduque Antonio á la dignidad de Elector y Arzobispo de Colonia, y de Príncipe Obispo de Munster; pero que al mismo tiempo declaren que aquellos Cabildos continuarán exerciendo h regencia de los</t>
  </si>
  <si>
    <t>probable, laelección de Príncipe Obispo de Munster no produce mas consCqüencia que proporcionar al Archiduque Antonio una pensión considerable, es de creef que esta se señale sobre las rentas del Cabildo que son crecidísimas &amp;c." El Duque’de Aremberg, que permanece en Dusseldorf!, no ha podido co</t>
  </si>
  <si>
    <t>e los Cónsules. De Berlín escriben que el gabinete prusiano no está en ánimo de consentir en que el Archiduque Antonio, electo Príncipe Obispo de Munster,, llegue á tomar posesión de aquel obispado. Los dos batallones de infantería y el regimiento de dragones destinados al Ducado ds Berg, llegaron</t>
  </si>
  <si>
    <t>Antonio-Santa Manía, Juan</t>
  </si>
  <si>
    <t>Juan Antonio-Santa Manía</t>
  </si>
  <si>
    <t>acer mejora del quirto acuda en el término de 30 dias, contados desde 18 del corriente, ante el Sr. D. Juan Antonio-Santa Manía, Teniente Corregidor de esta villa, y escribanía del número de D. Gervasio Fernandez Izquierdo, conforme á lo mandado por el Sr. Intendente de esta provincia. A conseqíiencia de l</t>
  </si>
  <si>
    <t>AntonióSanta Mirii, Juan</t>
  </si>
  <si>
    <t>Juan AntonióSanta Mirii</t>
  </si>
  <si>
    <t>»r., en *1 referido termino,¡,ue «ort« desde 6 de este mes. * •■ _ J Por la audiencia del mismo Sr. D. Juan AntonióSanta Mirii} Teniente Cor» recidor de esta villa-, y escribanía del wámerp de ¡I}. Gervasio Fernanda Iiquiefr db^se estlsúbaítir.do. una cafa sita [en la call^ de las Beatas, nüm. 14&gt;°ienz.4^</t>
  </si>
  <si>
    <t>AntonioTico, Ramón</t>
  </si>
  <si>
    <t>Ramón AntonioTico</t>
  </si>
  <si>
    <t>13 de noviembre de 1801</t>
  </si>
  <si>
    <t>z............... D. Benito de la Piedra. En Cartagena........D. Manuel de Ozores. En Ciudad-Real... D. Ramón AntonioTico. En Córdoba........... Sres. Barcia padre é hijo. En la Coruña........ D. Manuel Antonio de Elzaurdi. En Cuenca............. D. Manuel Escolar y Noriega. En Granada......... D. Fr</t>
  </si>
  <si>
    <t>Antonio’María Miranda</t>
  </si>
  <si>
    <t>74 .... . , T . . . .. . db fusileros, y Subtenencia de bandera a D. Antonio’María Miranda: en el de Toledo Tenencias de fusileros á los Subtenientes D. Benito de San Pedfo' y D, Pedro de la Cámara1; etr el de- Oviedo Tenencias de fusileros ár los Subtenientes D. Toribi</t>
  </si>
  <si>
    <t>Antopapel, Ignacio</t>
  </si>
  <si>
    <t>Ignacio Antopapel</t>
  </si>
  <si>
    <t>físico - chimicos de la análisis años de 1579 y- 1580. Un tómo én 4." En general délas aguas : por D. Ignacio Antopapel á 14 rs., y á 19 en pasta. nio de Soto y Araujo. Un tomo en 4." á 18 Los Comentarios de Julio César en cas­ rs. en papel, y 25 en pasta. tellano por D; Joseph Goyá' y 'Mümain, • P</t>
  </si>
  <si>
    <t>Aoercrombie</t>
  </si>
  <si>
    <t>o de Febrero, S e ha divulgado que este ministerio ha recibido noticias en orden á la expedicion dé Mr. Aoercrombie contra Egipto; y contienen que 'habiéndose adelantado algunos barcos para informarse del estado de las costas de aquel país, los comandantes de la esquadra supieron por ellos al l</t>
  </si>
  <si>
    <t>Aótoriio, Juan</t>
  </si>
  <si>
    <t>Juan Aótoriio</t>
  </si>
  <si>
    <t>or *ln Citada escribanía en el término de 30 diás.’ .:Ti¡3 r.mi 1" En virtud de providencia del Sr. D. Juan Aótoriio -Sinta María , y d ina-, táncia de la poseedora del mayorazgo fundado por D.Gregário Cariga de la Quintana y su muger Dofia Angela de Villegas Puente, se vende un oficio dé Regido</t>
  </si>
  <si>
    <t>Aoville</t>
  </si>
  <si>
    <t>21 de agosto de 1801</t>
  </si>
  <si>
    <t>ara la composición de estos mapas otros varios , principalmente el que pasa por mejor, que es el de D Aoville. Por D. Tomas López y su hijo, en cuya casa se hallarán, calle de Atocha, frente á la de los cinco Gremios. En la librería de Campo, calle de Alcalá , se hallan las siguientes pie</t>
  </si>
  <si>
    <t>Aparicio Martínez Corvalan</t>
  </si>
  <si>
    <t>te de fusileros; Tenencia de esta clase á D. Mateo López, Subteniente de granaderos, y su resulta á D. Aparicio Martínez Corvalan, Subteniente de fusileros: y ha nombrado Subtenientes de bandera en ios regimientos de Alcázar de S. Juan, Pontevedra, Badajoz, Toro y Lugo á D. Isidro Alvarez de Lara, D. Joseph</t>
  </si>
  <si>
    <t>Aquíles de Bureau</t>
  </si>
  <si>
    <t>uardias Walonas á Alféreces á los Cadetes D. Bruno Joseph dei Pratsj D. Manuel Narciso de Terrazas, D. Aquíles de Bureau y D. Joachin de Ezpeieta: en el de infantería de España á segundo Subteniente al Cadete D. Faustino Manuel Martínez: en el regimiento de granaderos Voluntarios de Estado á primer Teni</t>
  </si>
  <si>
    <t>Arana, Francisco Antonio</t>
  </si>
  <si>
    <t>Francisco Antonio Arana</t>
  </si>
  <si>
    <t>s obispados y religiones, y años de su fundación, y las órdenes militares antiguas y modernas ¿ por D. Francisco Antonio Arana. Se hallará á a rs. en la librería de la viuda de Cerro, red de S. Luis, y en su puesto, calle de Alcalá. Galería de las mugeres que se han hecho mas notables: comprehende 40 hist</t>
  </si>
  <si>
    <t>Arana, Juan Francisco</t>
  </si>
  <si>
    <t>Juan Francisco Arana</t>
  </si>
  <si>
    <t>s Subtenientes D, Ceferino Castañeda y D. Ramón Campos; á Subteniente de granaderos al de fusileros D. Juan Francisco Arana, y á Subteniente ae fusileros al Cadete D. Joseph Francisco Bonifaz: á Capitanes de grana</t>
  </si>
  <si>
    <t>Araujo, Manuel</t>
  </si>
  <si>
    <t>Manuel Araujo</t>
  </si>
  <si>
    <t>h de Lara, Cadete del. mismo cuerpo: en el de Tuy la Tenencia de cazadores al Teniente de fusileros D. Manuel Araujo; Tenencia de fusileros á D. Juan Gil de la Barrera , Subteniente de cazadores; su resulta á D. Jacinto. Figueroa, Subteniente de fusileros, y Subtenencia de bandera á D. Antonio J</t>
  </si>
  <si>
    <t>Arce, Francisco</t>
  </si>
  <si>
    <t>Francisco Arce</t>
  </si>
  <si>
    <t>17 de febrero de 1801</t>
  </si>
  <si>
    <t>ros D. Blas Morillo: á Tenientes á los Subtenientes D. .Joseph Pardo , D. Fernando .Julián Pastor y Don Francisco Arce: a Subtenientes de compañía al de bandera D. Joseph Portocarrero , al Cadete D. Manuel Fermín García y al Sargf nto primero Don Martin Lagasca;y á Subtenientes de bandera á los Ca</t>
  </si>
  <si>
    <t>Archdall, Coronel</t>
  </si>
  <si>
    <t>Coronel Archdall</t>
  </si>
  <si>
    <t>patrulla de nuestra caballería y otra de la de los enemigos en las inmediaciones de Alexandría. El Coronel Archdall, de dragones ligeros, fué herido en un brazo, y se hizo indispensable cortárselo. Perdimos muchos oficiales de mérito y soldados. Incluyo lista de los muertes, heridos y prisioner</t>
  </si>
  <si>
    <t>Le sucede en el mando de la esquadra el Almirante Pole. Una carta escrita en Egipto refiere que el Coronel Archdall al frente de un destacamento de dragones atacó una partida francesa cerca de Abukir: penetró por medio de los húsares enemigos; pero un cuerpo de infantería que estaba emboscado d</t>
  </si>
  <si>
    <t>Arcicolla, Pedro</t>
  </si>
  <si>
    <t>Pedro Arcicolla</t>
  </si>
  <si>
    <t>Subteniente de granaderos al primer Subteniente D. Juan de España; á primer Subteniente al segundo D. Pedro Arcicolla ; y á segundo Subteniente al Cadete D. Joseph Salinas y Gutiérrez: en el de León á segundo Teniente al Subteniente de granaderos, graduado de Teniente, Don Antonio Lanao; á Subten</t>
  </si>
  <si>
    <t>Arden, Lord</t>
  </si>
  <si>
    <t>Lord Arden</t>
  </si>
  <si>
    <t>ordüobart,, teeñír plaza á Mr. Dundas , y Mr. Gárlos Yorke á Mr. Windham , Secretario de Guerra. El Lord Arden es Director de las casas de moneda. El Conde dé Liverpool, Presidente del Consejo de comercio. Él Conde Westmoreland está encargado del sello privado &amp;c. Son muchos los que opinan q</t>
  </si>
  <si>
    <t>ara. ; ¡ El mismo dia se trató de señalar los fondos para los gastos públicos del año corriente. El Lord Arden propuso se destinasen 13 5$ hombres para el servicio de la marina, inclusos 30© soldados, por tiempo; de 70 meses con-r tados desde 21.de Marzo. Mr. Tierney observó que nastaiahpr</t>
  </si>
  <si>
    <t>Arevaliilo, Joseph</t>
  </si>
  <si>
    <t>Joseph Arevaliilo</t>
  </si>
  <si>
    <t>tín Martínez, y á los primeros Subtenientes D. Francisco Caballero, D. Jóseph Girón, D. Juan Vital, D. Joseph Arevaliilo, D. Luis de Ribera, Don Francisco Orellana, D. Laureano de Salas y D. Tomas dé Cear rote ;• á tenientes de granaderos á los segundos Subtenientes D. Joseph Urreay DortJ Pedro Mari</t>
  </si>
  <si>
    <t>Argandona, Pablo</t>
  </si>
  <si>
    <t>Pablo Argandona</t>
  </si>
  <si>
    <t>ranaderos, graduado de Capitán, D. Benito Requena, a segundo Teniente de granaderos al de fusileros D. Pablo Argandona; a esta resulta al primer Subteniente D. Andrés Quintana; á primer Subteniente al segundo D. Félix Agusti, y á segundo Subteniente al Cadete D. Francisco Samper: en el de Córdoba</t>
  </si>
  <si>
    <t>Argomaniz, Manuel</t>
  </si>
  <si>
    <t>Manuel Argomaniz</t>
  </si>
  <si>
    <t>e de etimología D. Pedro de Oviedo y D. Gil Rufrancos; en etimología y versión D. Félix Valderrama, D. Manuel Argomaniz (los que con solos cinco meses de estudio tráduxéron con propiedad los pasages que se les señalaron de las Selectas) y O. Manuel de la Fuente, y en la de sintaxis D. Vicente Cantó</t>
  </si>
  <si>
    <t>Argües, Francisco</t>
  </si>
  <si>
    <t>Francisco Argües</t>
  </si>
  <si>
    <t>para el Préstamo del Jugar de Pancórbo , en el arzobispado de Burgos, vacante por fallecimiento de D. Francisco Argües», el de Priornal, y el de la villa de Plasenzuela, en la diócesis de Piasencia, vacantes por muerte de D. Gabriel Patricio Bettodano , a D. Ramón García y Romero. . ■ . ■* t.&lt; ...</t>
  </si>
  <si>
    <t>Argutinsk-Dolgorukow, Príncipe</t>
  </si>
  <si>
    <t>Príncipe Argutinsk-Dolgorukow</t>
  </si>
  <si>
    <t>irmó tambren el de Prusia , accediendo á su contenido. Ha ratificadb S. M. Imperial la elección del Príncipe Argutinsk-Dolgorukow al Patriarcado de la iglesia armenia en el Imperio de Rtísia; y la Puerta otomana la ha aprobado también. Los pueblos llamadas lesghianos han entrado á manó armada en territorio d</t>
  </si>
  <si>
    <t>Arias de Mercado, Francisco</t>
  </si>
  <si>
    <t>Francisco Arias de Mercado</t>
  </si>
  <si>
    <t>de fusileros; Tenencia de esta clase á D. Pedro Bootello, Subteniente de cazadores ; esta resulta á D. Francisco Arias de Mercado, y Subtenencia de bandera á D. Alonso Sánchez Diosdado y Carrasco: en el de Ecija Tenencias de fusileros á los Subtenientes D. Joseph María Sánchez, D. Manuel Alaría Sánchez y D.</t>
  </si>
  <si>
    <t>Ariza y Torres, Joseph</t>
  </si>
  <si>
    <t>Joseph Ariza y Torres</t>
  </si>
  <si>
    <t>ventor de la administración de alcabalas de León de Nicaragua en aquel Reyno; y para oste destino á D. Joseph Ariza y Torres. En cumplimiento de los Reales decretos y cédulas de $. M. de 11 y if de Julio de 1797, y 22 y 29 de Noviembre del mismo año, se recibirán desde i.° del próximo mes de Junio en la</t>
  </si>
  <si>
    <t>Arjona, Ignacio</t>
  </si>
  <si>
    <t>Ignacio Arjona</t>
  </si>
  <si>
    <t>D. Francisco Armenta y Godoy: para la Ración vacante por fallecimiento de D. Francisco Vilbreal, á Don Ignacio Arjona: para la Media-Ración que este obtiene, y resultará vacante, á D. Francisco Paula Cerero: para la Ración vacante por ascenso de I). Francisco de Paula Bucareli á D. Christóhal Rui</t>
  </si>
  <si>
    <t>Arjona, Manuel</t>
  </si>
  <si>
    <t>Manuel Arjona</t>
  </si>
  <si>
    <t>ería del Príncipe á segundo T eniente al Alférez D. Jaytne Goig; á Alféreces á los Portaestandartes D. Manuel Arjona, D. Juan de Aguilar y D. Vicente López de San Román, y á Portaestandartes al Cadete D. Joseph Linares y</t>
  </si>
  <si>
    <t>Armando Tranquen</t>
  </si>
  <si>
    <t>arty; á Ayudante al primer Teniente D. Edmundo O-Ronan; á' primer Teniente al segundo de granaderos D, Armando Tranquen ; á según</t>
  </si>
  <si>
    <t>Armendáriz, Joachín</t>
  </si>
  <si>
    <t>Joachín Armendáriz</t>
  </si>
  <si>
    <t>primer Teniente ai segundo de granaderos D. Matías de Guzm *n; á esta resulta al segundo^ Teniente D. Joachin Armendáriz; á segundo Teniente al SubtfínieatedecgcaytderósD. Rafael Pizarro; k Subteniente de granaderos alíde; fusilerosifijiAntónió Hernández; á pri-' mer Subteniente al; segundo : Dh Man</t>
  </si>
  <si>
    <t>Armendariz, Joachín</t>
  </si>
  <si>
    <t>Joachín Armendariz</t>
  </si>
  <si>
    <t>vincial de Mallorca D. Miguel Hermand: en el de Mallorca á primer Teniente ai segundo de granaderos D. Joachín Armendariz</t>
  </si>
  <si>
    <t>Armengol, Gaspar</t>
  </si>
  <si>
    <t>Gaspar Armengol</t>
  </si>
  <si>
    <t>o de Massia. S. M. se ha servido nombrar para la Vara de Alcalde mayor de la villa de Pedro-Muñoz á D. Gaspar Armengol; y para la de Castrótorafe á Don Rafael de Abreu y del Moral, ambas de primera clase d-de entrada, y en el territorio de la órden de Santiago. En América. Ef Rey se ha servido nom</t>
  </si>
  <si>
    <t>Armengol, Nicolás</t>
  </si>
  <si>
    <t>Nicolás Armengol</t>
  </si>
  <si>
    <t>á 30 «rs. en papel. El 19 de Julio dé este afio remitió desde Palma en Mallorca el Comendador Frey D. Nicolás Armengol, con endoso único al Comencfador Frey Don Joachin Muñoz, Recibidor de la orden de S. Juan en esta corte, un vale,ReaI de 300 pesos, creación de i.° de Enero, nüm. 107,018: y no ha</t>
  </si>
  <si>
    <t>Armenta y Godoy, Francisco</t>
  </si>
  <si>
    <t>Francisco Armenta y Godoy</t>
  </si>
  <si>
    <t>ephRamon Aldama: para la Ración, que este de*a,á D. Nicolás Maestre: para la Media-Ración de este á D. Francisco Armenta y Godoy: para la Ración vacante por fallecimiento de D. Francisco Vilbreal, á Don Ignacio Arjona: para la Media-Ración que este obtiene, y resultará vacante, á D. Francisco Paula Cerero:</t>
  </si>
  <si>
    <t>Arnaiz, Manuel</t>
  </si>
  <si>
    <t>Manuel Arnaiz</t>
  </si>
  <si>
    <t>an; y las de Oficiales de glosa de primera, segunda y tercera clase á D. Manuel Tenorio de la Vanda,Don Manuel Arnaiz y D. Rafael Rincón. Consiguiente á lo que se anunció al público por medio de los diarios de 24 y 28 , y la gazeta de 26 de Diciembre último, se verificó en la mañana del lunes 29 dei</t>
  </si>
  <si>
    <t>Arnoldi</t>
  </si>
  <si>
    <t>chará en brete á Petersburgo con una comisión importante de este gobierno. Ha llegado á esta ciudad Mr. Arnoldi, Consejero de Regencia del Principado de Nassau. Trae un encargo particular de su Soberano el ex-Stathouder de Holanda. Ha premiado S. M. con la medalla de la drden del Mérito y 2</t>
  </si>
  <si>
    <t>Arquellada, Joseph</t>
  </si>
  <si>
    <t>Joseph Arquellada</t>
  </si>
  <si>
    <t>a Tenencia de granaderos á D. Francisco de Urcullu, Teniente de fusileros; Tenencia de esta clase á D. Joseph Arquellada, Subteniente de granaderos, y esta resulta al Subteniente de fusileros D. Rafael Sopreanis: en el de Murcia la Tenencia de cazadores á D. Gines Meseguer, Teniente de fusileros; Te</t>
  </si>
  <si>
    <t>Arredondo, Joachín</t>
  </si>
  <si>
    <t>Joachín Arredondo</t>
  </si>
  <si>
    <t>Reales Guardias Españolas se ha servido promover el Rey á&gt; primer Teniente al segundo de granaderos D. Joachín Arredondo: á segundo Ayudante mayor al segundo Teniente D. Antonio Juez Sarmiento, y á segundo Teniente al Alférez de granaderos D. Ramón Cañedo Valdés: en el de Reales .Guardias Wálonas á</t>
  </si>
  <si>
    <t>Arromo Santa María, Juan</t>
  </si>
  <si>
    <t>Juan Arromo Santa María</t>
  </si>
  <si>
    <t>á lo «nos ts. y lo que importen losgastos petates, al2 v demás, acuda á la audiencia del mismo Sr. D. Juan Arromo Santa María vU referida escribanía de D. Juan López Fando. Por el Juzgado del Sr. Teniente prime» de Coraqgvdor D. Juan Antonio «*»T v Tfi-io de D. Francisco Antonio Suaiez, se -subasta *ina</t>
  </si>
  <si>
    <t>Arron, Joseph</t>
  </si>
  <si>
    <t>Joseph Arron</t>
  </si>
  <si>
    <t>26 destinados al certamen en compañía de su maestro, se presentaron* en la casa de villa al Alcalde D. Joseph Arron y á los demas individuos del Ayuntamiento, para acompañarles, y convidarles á que asistiesen al examen, que fué á las dos de la tarde. Presidió el mismo maestro ; y se principió con</t>
  </si>
  <si>
    <t>Arrospide, Juan Bautista</t>
  </si>
  <si>
    <t>Juan Bautista Arrospide</t>
  </si>
  <si>
    <t>Milicias disciplinadas de'infantería dé Arequipa á los Cadetes D. Joseph Romero, D. Joseph Barrera, Don Juan Bautista Arrospide, y á D. Joseph Victorino de Arroyo: el empleo de Alférez de carabineros del de Milicias urbanas de caballería de lea al de fusileros D. Francisco Nandin: Tenencia en el esquadron</t>
  </si>
  <si>
    <t>Arrow-Smith</t>
  </si>
  <si>
    <t>icular de Mr. Billings, y actualmente se halla en Londres para cuidar de la impresión de esta obra. Mr. Arrow-Smith está encargado de formar los mapas de este viage. No parece que el Capitán Billings haya descubierto ninguna nueva tierra; pero después de haber doblado la punta del Asia oriental,</t>
  </si>
  <si>
    <t>Arroyo, Félix</t>
  </si>
  <si>
    <t>Félix Arroyo</t>
  </si>
  <si>
    <t>comparecido él ó sus herederos, se depositarán en la Real Caxa de Amortización; r*J ■■•En:‘éasa de D. Félix Arroyo, cirujano en esta corte, calle de la Visitación, atíta.£0«se- hallan dé venta opiatas para limpiar y conservar la dentadura ; pesarlos paca las procidencias del; lítero* especulum</t>
  </si>
  <si>
    <t>Artazo, Manuel</t>
  </si>
  <si>
    <t>Manuel Artazo</t>
  </si>
  <si>
    <t>dei Príncipe á Sargento mayor al Capitán de granaderos del de Saboya, graduado de Teniente Coronel, D. Manuel Artazo: en el citado de Saboya á segundo Subteniente al Cadete D. Joseph San Milian: en d de Aragón a primeros Tenientes á los segundos de granaderos y fusileros Don Jooclnn Diez de Teja</t>
  </si>
  <si>
    <t>Artola, Manuel</t>
  </si>
  <si>
    <t>Manuel Artola</t>
  </si>
  <si>
    <t>r; á Capitan al primer Teniente de granaderos D. Antonio Molina;, á esta resulta a¡ primer Teniente D. Manuel Artola; á primer Teniente al segundo Don* Bernardo Sevillana segundo Teniente ai Subteniente de granaderos Don^ Tgan Yustiniany; á Subteniente de granaderos al primer Subteniente Don-Aía</t>
  </si>
  <si>
    <t>Arturo Faget</t>
  </si>
  <si>
    <t>a han vuelto á sus embarcaciones; pero permanecen todavía en la clase de prisioneros. Está nombrado Mr. Arturo Faget para Enviado extraordinario de Inglaterra en la corte de ^Yiena en lugar del Lord Minio, que se retira á Londres. . * i ’ Haya 26de Mayo* A caba de' prohibir este gobierno que én</t>
  </si>
  <si>
    <t>Arturo Paget</t>
  </si>
  <si>
    <t>s otros batallones de tropas ligeras que te hallan en Italia se conservan en pie hasta nueva orden. Mr. Arturo Paget, nuevo Embaxador británico, llegó aquí el día 21* Dícese que la Dalmacia y la Istria se reunirán con la Hungría, á cuyo efecto se celebrará en Badén una Dieta general el 25 de Nov</t>
  </si>
  <si>
    <t>Arzobispo de Malinas, Cardenal</t>
  </si>
  <si>
    <t>Cardenal Arzobispo de Malinas</t>
  </si>
  <si>
    <t>uedará en Austria, y el ala izquierda se acantonará en Stiria* Carinthia, Tiro!y la Alta~Suabia. El Cardenal Arzobispo de Malinas, el Obispo de Ruremunda, y otros individuos principales del antiguo clero dé los Paises-Baxós , que actualmente residen en Emmerick y en Munster, solicitan qué él gobierno francés</t>
  </si>
  <si>
    <t>Aschkow, Princesa</t>
  </si>
  <si>
    <t>Princesa Aschkow</t>
  </si>
  <si>
    <t>e de la academia de lengua rusa con 2250 rublos de sueldo. Esta academia la formó el año de 1783 la Princesa Aschkow, á quien Catalina n nombró por primer Presidente de ella. Con su actividad, zeio y exemp’o consiguió dicha Princesa que en 1794 saliese á luz un diccionario de la lengua rusa en 6</t>
  </si>
  <si>
    <t>Asensio, Joseph</t>
  </si>
  <si>
    <t>Joseph Asensio</t>
  </si>
  <si>
    <t>e la ciudad de Córdoba : escritas por D. Julián Alvarez de Gol mayo, maestro de ellas, grabadas por D. Joseph Asensio. Son las primeras que se han publicado por dicho método. Se hallarán en la fábrica de papel pautado impreso (que se acaba de mudar á la calle de St-a. María del Arco, primera casa</t>
  </si>
  <si>
    <t>Aside Fons</t>
  </si>
  <si>
    <t>nis en id.. 81. a6, Aside Fons................ Pedro y Mariana Sadurri.......... Sureda en el Rosellon............ gr. g. Joseph March............. Juan y Francisca Matarel......... S. Genis en id*. goi ig;</t>
  </si>
  <si>
    <t>Ástotzár, Bartolomé</t>
  </si>
  <si>
    <t>Bartolomé Ástotzár</t>
  </si>
  <si>
    <t>Mera, y sin endoso alguno. Quien supiere de ellos avisará en Madrid, ¿ér fie dél Cármen , tienda de D. Bartolomé Ástotzár ,' 1u '*7 ( pódapendio del afio 1801, compuesto de tablas ,* en iás quales á primera vls-tá se encuentra lo mas necesario de saberse en él, la comparación del año francés fcón la</t>
  </si>
  <si>
    <t>Atanagio Puya</t>
  </si>
  <si>
    <t>3 de noviembre de 1801</t>
  </si>
  <si>
    <t>o de ¿l.Cuerda, Obispo que fué de-Puerto Rico, deiuConsejo 1 de ia suprema y general Inquisición, y D. Atanagio Puya! y Povéda, Obispo de Caristo y Auxiliar de Madrid; y padrino el Cabildo de la santa iglesia .metropolitana y patriarcal de Sevilla. Las universidades de Salamanca y Valladolid avi</t>
  </si>
  <si>
    <t>Atanasio Perallon</t>
  </si>
  <si>
    <t>Canónigo de la colegial de Alcañiz; y para otra de la misma catedral, vacante por fallecimiento de D. Atanasio Perallon, á D. Joacbín Allue y Bendicho; En el sorteo quinto de la rifa de la Real Caxa' dc Descuentos de esta corte, executado en los dias 6 y 8 del corriente, ganaron los quatro premios</t>
  </si>
  <si>
    <t>Átanasio Puyal y Poveda</t>
  </si>
  <si>
    <t>sco de la Cuerda, Obispo que fué de Puerto Rico, del Consejo de la suprema y general Inquisición, y D. Átanasio Puyal y Poveda, Obispo de Caristo y Auxiliar de Madrid. A qualquier sugeto que quisiere prestar en moneda metílica al limo. Sr. Obispo y Cabildo de la santa iglesia de Osma un millón y ciento qu</t>
  </si>
  <si>
    <t>Atnbert, General</t>
  </si>
  <si>
    <t>General Atnbert</t>
  </si>
  <si>
    <t>fué muy 1 obsequiado. Venia de Douvres, y. se restituye á Rusia. ; De Córcega ha llegado á*Tolon el General Atnbert, en la corbeta Go-^ londrini. A■ su-partida se gozaba bastante t r anquí! idad-en, aquel Lisia. A mas de 40©, prisioneros de guerra .asciende el?número dé los que el, gobierno fra</t>
  </si>
  <si>
    <t>Augereáii, General</t>
  </si>
  <si>
    <t>General Augereáii</t>
  </si>
  <si>
    <t>inares de pizl se; fúinárón‘porocL£!niperador elíaf deTi^iméátbrerfiyiquéi'éitólcontrimiiyo^^^^^ £1 General Augereáii ha. ifegadoeon suqiíártel /general 2» :tíaínbeíg, y ¡h* concluido ¡con el General austríaco S imbscheri un corivenio pará afc*eglar la línea de «demarcación de losados exércitps»</t>
  </si>
  <si>
    <t>Augereau y Mr, General</t>
  </si>
  <si>
    <t>General Augereau y Mr</t>
  </si>
  <si>
    <t>para esta última ciu-* dad. París 1$ de Diciembre. E n Oífembach se firmó el 19 de Octubre entre el General Augereau y Mr. D. Zwackh un convenio del tenor siguiente : ,, Considerando el pri^mer Cónsul de la República francesa que el Príncipe reynante de SolmsBraunfels fue el primer Príncipe del Imper</t>
  </si>
  <si>
    <t>Augereau, General</t>
  </si>
  <si>
    <t>General Augereau</t>
  </si>
  <si>
    <t>finitiva con la casa de los Príncipes de Solms-Braunfeis; y en conseqüencia se ha ajustado entre el General Augereau, General en xefe del exército de Batavia, autorizado á este efecto por el gobierno francés, y Mr. Zwackh, Consejero privado, con los plenos poderes necesarios del Príncipe reynant</t>
  </si>
  <si>
    <t>la ciudad. Este valeroso oficial holandés recibió dos heridas, siendo la una de ellas muy grave. El General Augereau destacó una partida de caballería al alcance del General Aibini, y á hacer correrías en el pais á fin de inquietar y conmover á sus habitantes. El dia siguiente ocupamos á Aschaft’en</t>
  </si>
  <si>
    <t>os Gíiiórtesy y penetrar luego en el Tirol por el valle de Moiátañin. L Según noticias recientes el General Augereau ha Ocupado con sus tro-, pas todo el Electorado de Maguncia y la mayor parte del obispado de Würtzburgív ;-V■■ ; : "■ ' *n: -4rH:: •*' *■ Ddrtr i^ dk Diciembre. il: Ayudante gener</t>
  </si>
  <si>
    <t>Augeréáü, General</t>
  </si>
  <si>
    <t>General Augeréáü</t>
  </si>
  <si>
    <t>de bombas y balas despachados de Maguncia para Wurtzburgo pasaron el día 13 por esta ciudad. ~~ El General Augeréáü antes de atravesar lá selva de Spessart, que tiene R leguas de largo y otras tantas de ancho, intimó á los que en ella habitan, que la incendiaria sí se oponían ó intentaban imped</t>
  </si>
  <si>
    <t>al en xefe* y para aproximarse, también á uña partida del flanco apostada en Ochsenfurt. Así que el General Augereau supo las ventajas conseguidas por el ejcér-^ cito del Rhin , acercó su ala derecha al Rednitz, ocupó á Nurqirrberg y Forchekn, como puestos avanzados, y esperó así que el General</t>
  </si>
  <si>
    <t>loqueo , lo qual se atribuye á que no tienen bastante artillería y á lo riguroso de la estación. El General Augereau desde la batalla del 19 se ha adelantado , y tiene ahora su quartel en Nuremberg. Se ha impuesto á aquella ciudad una contribución de 30© florines, 12© capotes , 12© pares de botas y</t>
  </si>
  <si>
    <t>la provincia de Nord-Holanda, en donde se formara un exército galo-bátavo, que parece lo mindará el General Augereau. En todos los departamentos navales holandeses prosigue con mucha actividad el armamento y la construcción de buques de guerra. En Rotterdam se botará quanto antes al agua un navi</t>
  </si>
  <si>
    <t>estas fuerzas navales no está tan próxima como se había creído. Espérase en breve en esta ciudad al General Augereau. | Basilea 27 de Abril. E 1 exército de los Grisones, que debía permanecer en Suiza hasta nueva disposición, acaba de recibir orden de París para que marche inmediatamente á Burde</t>
  </si>
  <si>
    <t>an en este puerto se han juntado con la esquadra del Almirante Dewinter. , } Hfiya go de Abril, E í General Augereau ha llegado á esta capital para tomar el mando de lar tropas francesas en Holanda, ¡y al dia siguiente tuyo su primera audiencia, del Directorio. . -¡ Ha prerogado el Cuerpo legisl</t>
  </si>
  <si>
    <t>debía ser de 20© hombres* quedando -entonces aquel éxército nacional reducido 2p© cbmbatienfé§4 Él General Augereau saldrá del Haya revistar tódás las tropa# fraríeed íás^qúe hay cmffólanda, y exáminára tálnbiehí"todos los/piiestos déizquierda del Rliíñ desdé Dusseldórff hasta ;Mágüh¿ia¿ ■ Dúrá</t>
  </si>
  <si>
    <t>hay en Holanda han recibido orden de no dar licencia temporal á los oficiales ni a los soldados. El General Augereau, recien llegado* a-esta capital, ha tenido varias conferencias con el Directorio sobre el .destiño de la esqu dra b;t ¡va y de los cuerpos militares que se hallan reunidos en las</t>
  </si>
  <si>
    <t>uerto se han enviado todos los barcos armados que había en Amsterdam y en el Zuiderzea. Asimismo el General Augereau ha puesto en movimiento á las tropas republicanas francesas y holandesas: de suerte que todas las fuerzas marítimas y terrestres bátavas no esperan para obrar sino'Jai. órdenes de</t>
  </si>
  <si>
    <t>22 de septiembre de 1801</t>
  </si>
  <si>
    <t>lativa el decreto qué prohíbe la extracción de granos y legumbres de este país* ~ Se asegura que el General Augereau ha dado órdcH á-varíos cuerpos de «ropas para; que se dispongan á-marchar al primer; avisó. ;' ' r En las fronteras de la provincia de Giieldres sé han preso dos emigrados holande</t>
  </si>
  <si>
    <t>spués llamó el,Directorio al ciud. Semonville, Ministro plenipotenciario del gobierno francés, y al General Augereau, para darles razón de su proyecto y de su execuclon. Al mismo tiempo, y á fin de mantener la tranquilidad pública , se ha confiido al referido General el mando de Ja gu rdia deí D</t>
  </si>
  <si>
    <t>Augereauipará, General</t>
  </si>
  <si>
    <t>General Augereauipará</t>
  </si>
  <si>
    <t>18 de septiembre de 1801</t>
  </si>
  <si>
    <t>plazado eii éste destino. ’ . *r cooH Tj .: . .é rd \ Antes de ayer mañana saltó de. esta ciudad el General Augereauipará* Bois-lc Duc. La.guarnición* dé esta plaza se exércitará ^6os óias en las dunas y en 1 s playas inmrdjat^S'á1 Schevéningen, y executarm varias maniobras figurand¿ un deseraharca -</t>
  </si>
  <si>
    <t>Augirot, Francisco</t>
  </si>
  <si>
    <t>Francisco Augirot</t>
  </si>
  <si>
    <t>al Alférez de granaderos D. Joseph de Llihuri; y en el de dragones de la Rey na á Alférez al Cadete D. Francisco Augirot. S. M. ha promovido en el regimiento provincial de Ronda á Capitán al Teniente D. Salvador Linares y Tuboada; á Teniente de cazadores al de fu sileros D. Pedro Moreno de Aígarin;</t>
  </si>
  <si>
    <t>Aüsten, Capitán</t>
  </si>
  <si>
    <t>Capitán Aüsten</t>
  </si>
  <si>
    <t>i Almirantazgo el Capitán Dorney con pliegos del Almirante Kei-th, y al misino tiempo ha llegado el Capitán Aüsten con cartas del General Abercrombie. Nada se ha publicado de lo que avisan estos Generales; pero se dice que un oficial superior empleado en la expedición de Egipto escribe desde S</t>
  </si>
  <si>
    <t>Auto</t>
  </si>
  <si>
    <t>el Sr. B. Pedro González Calderón , ante el Escribano del qiímero D. Tomas de Sancha y Prado. . _ , D. Auto ¡'«ío’ de Mollioedo, Xeuieqte de Alcayde del Real sitio del Pardo, advierte 4 prof«aotjBS ¡de .medicina y .cirugía.,que en cqqse^uencja del aviso queje dió en /gaceta de 31 de Oct</t>
  </si>
  <si>
    <t>Autonio Pérez y González</t>
  </si>
  <si>
    <t>18 de diciembre de 1801</t>
  </si>
  <si>
    <t>célebre y grande sonata de guitarra sola por D. Heurique Arayde de Portugal, y dada al publico por D. Autonio Perez y González: 4 céíebrestrios para guitarra, vio in y b:.xo por D. Antonio Xioieitez, músico de la Real colegiata de Alicante: 6 quai tetes de Pleyel para flauta , violin , viola y baxo: un gr</t>
  </si>
  <si>
    <t>Avella, Manuel</t>
  </si>
  <si>
    <t>Manuel Avella</t>
  </si>
  <si>
    <t>, vacante por promoción dé D. Manuel Francisco López Montenegro al Deanato de la misma catedral , á D. Manuel Avella: para, el Priorato Dacoba, Dignidad de la catedral de Lugo, vacante por muerte de D. Juan Clemente de Navia, á D. Antonio Roca y Seixas, Canónigo de la de Astorga: para esta Canon</t>
  </si>
  <si>
    <t>Avendaño, Juan Francisco</t>
  </si>
  <si>
    <t>Juan Francisco Avendaño</t>
  </si>
  <si>
    <t>idad de Tesorero de la de Guatemala; y. para el de Sta. Marta, vacante por renuncia hecha de él por D. Juan Francisco Avendaño, al R. P. Fr. Eugenio de Sesé, religioso Agustino Recoleto de la provincia de Aragón, y Comisario de las misiones de Filipinas. Asimismo se ha servido nombrar S. M. para la Canong</t>
  </si>
  <si>
    <t>Aviles, Vicente</t>
  </si>
  <si>
    <t>Vicente Aviles</t>
  </si>
  <si>
    <t>servido nombrar Cirujanos del primero y tercer batallón del regimiento de infantería de la Reyna á D. Vicente Aviles y D. Joseph ¿ierra: del primero y segundo del de España á D. Miguel Llotgé y Don Francisco Tálleda: ae los terceros de los de Sevilla, Ordenes Militares é Hibernia A D. Adeodato San G</t>
  </si>
  <si>
    <t>Ayala, Manuel</t>
  </si>
  <si>
    <t>Manuel Ayala</t>
  </si>
  <si>
    <t>Nicolás Narni Mancinelli; j en el regimiento de caballería de Calatrava ha conferido S. M. Compañía D. Manuel Ayala, Cadete de ¡a compañía Española del Real cuerpo de Guardias de Corps. , En América. En el batallon de infantería fixo de Panamá se ha dignado promover el Rey á Capitán de granader</t>
  </si>
  <si>
    <t>Ayensa, Manuel</t>
  </si>
  <si>
    <t>Manuel Ayensa</t>
  </si>
  <si>
    <t>esta resulta al primer Subteniente D. Nicolás Salazar de Velasco, y á primer Subteniente al segundo D. Manuel Ayensa. También ha'promovido S. M. en el regimiento de caballería del Príncipe á segundo T eniente al Alférez D. Jaytne Goig; á Alféreces á los Portaestandartes D. Manuel Arjona, D. Juan</t>
  </si>
  <si>
    <t>Aylnerich, Antonio</t>
  </si>
  <si>
    <t>Antonio Aylnerich</t>
  </si>
  <si>
    <t>Juan Boixo y D. Juan Naghten; y en el de Ilibernía ha conferido S. M. Coiúpama á su caballero Page D. Antonio Aylnerich; y ha promovido en el de infantería suizo de Reding á Subtenientes al Cadete D.-Francisco de Paula Chichery^y á los Sargentos: primeros D. Joseph Dietrich; D. Juan Brosey y D. Jos</t>
  </si>
  <si>
    <t>Aymerich y Ramón Santinelly, Ramón</t>
  </si>
  <si>
    <t>Ramón Aymerich y Ramón Santinelly</t>
  </si>
  <si>
    <t>s Subtenientes £ los Cadetes D. Juan y Dí Agustín López, D. Joseph Juan Valdes, D. Joseph de Eliza, D. Ramón Aymerich y Don Ramón Santinelly, y á los Sargentos primeros D. Joseph Madera y D. Joseph Nin: en el d© Granada á segundo Teniente al primer Subteniente D. F rancisco Lobato: en el de León á Capitán al primer Ten</t>
  </si>
  <si>
    <t>Aynar y Sala, Rafael</t>
  </si>
  <si>
    <t>Rafael Aynar y Sala</t>
  </si>
  <si>
    <t>ara ei de la ciudad de Orense á D. Vicente Godino: para el de las Alpujarras del Reyno de Granada á D. Rafael Aynar y Sala: para el de la villa de Estepona á D. Antonio Joseph Montero y Mira: para el de la vi-* lia de Carrion á D. Joseph Vinuesa: para el de la población de Gíbraltar, que reside en S.</t>
  </si>
  <si>
    <t>Ayudante del General Monnier, Capitán</t>
  </si>
  <si>
    <t>Capitán Ayudante del General Monnier</t>
  </si>
  <si>
    <t>á la reunión de los departamentos bélgicos.” ' Los ciudadanos Ferci, xefe de brigada , y Mangourit, Capitán Ayudante del General Monnier, háh presentado ai Ministro de Guerra 7 banderas cogidas á los austríacos en verona: El Gapitan Múller, Ayudante del General Quantin, Comandante en Belle-isle, ha escrito al Gener</t>
  </si>
  <si>
    <t>Azcarate, Pedro</t>
  </si>
  <si>
    <t>Pedro Azcarate</t>
  </si>
  <si>
    <t>ar. 6, Pedro Azcarate.. Miguel........ María Esperanza. Artieda......Pamplona............ 131. 6. Martin Got.zalez. Pedro........... Sebastiana García. Lumbreras.... Logroño......</t>
  </si>
  <si>
    <t>Azcutiá, Joseph</t>
  </si>
  <si>
    <t>Joseph Azcutiá</t>
  </si>
  <si>
    <t>glano. Xanabien ha conferido e* Rey en la compañía Americana el &gt;empleo de Brigadier al Subrigadier D. Joseph Azcutiá; y su resulta al Cadete D. Joseph Puch, ^ . En la extracción de la Real lotería executada el lúnes 7 del corriente saliéron los números 59, 14,69, 5 y 67; y con ellos han ganado l</t>
  </si>
  <si>
    <t>Aznar de Polanco, Juan Claudio</t>
  </si>
  <si>
    <t>Juan Claudio Aznar de Polanco</t>
  </si>
  <si>
    <t>v:.-.’v-í Arte de escribir por reglas matemáticas y preceptos geométricos, inventado,por el maestro D. Juan Claudio Aznar de Polanco. Esta a precia ble obra trata dd modo de imitar todos Jos caracteres , de trazarlos en grueso para inscripciones pife! icas, de Jas principales regjasdearirmética con problemas de</t>
  </si>
  <si>
    <t>Aznar, Joseph</t>
  </si>
  <si>
    <t>Joseph Aznar</t>
  </si>
  <si>
    <t>mbrós; á primer Subteniente al segundo D. Juan Lafuente,y á segundo Subteniente al Sargento primero D. Joseph Aznar. El Rey ha conferido el empleo de Coronel deí regimiento de caballería de Santiago al Coronel agregado al de Algarbe Marques de Castchlosrius; y ha nombrado Alférez del de caballe</t>
  </si>
  <si>
    <t>Azpiazu, Antonio</t>
  </si>
  <si>
    <t>Antonio Azpiazu</t>
  </si>
  <si>
    <t>s. 433,45a, 433,451,429,464, 419,441,429,431 , remitidos de.Cádiz por D. Ignacio Casal, endosados á Don Antonio Azpiazu,de Madrid. Quien supiese su paradero avisará á D. Ignacio Casal en Cádiz, ó en Madrid á D. Antonio Azpiazu. Habiéndose reclamado en la oficina de Renovación de vales Reales por D,</t>
  </si>
  <si>
    <t>Azpiazuy de Madrid, Antonio</t>
  </si>
  <si>
    <t>Antonio Azpiazuy de Madrid</t>
  </si>
  <si>
    <t>acho de la Calcografía de ia imprenta Real.. El 10 de Julio remitió D. Ignacio. Casal , de Cádiz, á D. Antonio Azpiazuy de Madrid, seis vales de 300 pesos ; los ¿ de i..° de Mayo,, números 433,45*, 433 &gt;451-» 4*9&gt;4í5*j 4*9&gt;44i y 4lp343*Vy el otro * i-° áe Enero,.núm.. 108,0734. y no habiendo llegado á poder</t>
  </si>
  <si>
    <t>Ba, Capitán</t>
  </si>
  <si>
    <t>Capitán Ba</t>
  </si>
  <si>
    <t>n la Secretaría del Lord Hawkesbu.ry, . • t nConstantinomia 2gde Maya. Un oficial despachado por el Capitán Ba%í acaba de llegar con la noticia de que el General Ilutchinson se puso en marcha de Roseta el dia 8 al frente de 4® hombres de tropas inglesas, y un cuerpo otomano de igual fuerza</t>
  </si>
  <si>
    <t>Ba-xá, Capitán</t>
  </si>
  <si>
    <t>Capitán Ba-xá</t>
  </si>
  <si>
    <t>la Puerta para darle la bienvenida. ; v Ha regalado el Oran Señor una rica peíiza al oficial que el Capitán Ba-xá despacho con la noticia de la toma de Rhámanieh.i__ Ha llegado de Abukir un buque de guerra, cuya tripulación asegura que los franceses pueden defenderse mucho tiempo en Alejandría;</t>
  </si>
  <si>
    <t>Bacher, Capitán</t>
  </si>
  <si>
    <t>Capitán Bacher</t>
  </si>
  <si>
    <t>nistróle Marina coa fecha dtel i 5 de este mes d|cíén|dqle: ,,El parlanientar40 . ingles el Erasmo* Capitán Bacher, procedente de Chatham, entró en Calais el 9 de este mes al anochecer con 71 prisioneros franceses , ?ue desembarcaron todos en e! estado mas" last mpso de enfermedad y miseria: a</t>
  </si>
  <si>
    <t>Bacilo, Luis</t>
  </si>
  <si>
    <t>Luis Bacilo</t>
  </si>
  <si>
    <t>inciales dé Badajoz Ü. Ramón dé Ayiíai^ehePdé MáUór¡cÍ:4; Capitán, al primer Teniente de granaderos D. Luis Bacilo; á primer Teniente de grañach rps ál de fusileros D. Antonio Junquitu ; á primer Te-, nLnteféf gupdo de granaderos, .graduado, AeaCapitan * jj¡&gt;. Ántpnió J.a$a«-.. la; átseguudo T</t>
  </si>
  <si>
    <t>Badie, Francisco</t>
  </si>
  <si>
    <t>Francisco Badie</t>
  </si>
  <si>
    <t>Supl., p. 6</t>
  </si>
  <si>
    <t>n en id.... 18. ay. Francisco Badie......... Francisco y María Vivas.......... Soler en el Rosellon............ P- «3* Sebastian Casas......... Domingo y Mariana Forrana..... Delsoli en id.... 10. 4. Domi</t>
  </si>
  <si>
    <t>Badin, Luis Miguel</t>
  </si>
  <si>
    <t>Luis Miguel Badin</t>
  </si>
  <si>
    <t>s a 60 rs. en rústica, y 55 cio , relativos al paso def Sttnd , traducido en papel. del francés por D. Luis Miguel Badin. Un toArte de escribir por reglas y sin muestras. mo en 4." En papel á 5 rs. , y en rústica A 6Un tomo en 4.0 á 18 rs. en papel, y 26 en Compendio metódico y claro del Cómputo pas</t>
  </si>
  <si>
    <t>Bado, Luis Santiago</t>
  </si>
  <si>
    <t>Luis Santiago Bado</t>
  </si>
  <si>
    <t>chamuscó sin herirle; los otros pasaron por la antesala y cocina , destrozando quanto encontraban. D. Luis Santiago Bado, profesor de física y matemáticas, que hizo todas las observaciones; de* estos fenómenos , sospechó que el referido enfermo podría haber sanado ah hallarse smneugido en la atmósfe</t>
  </si>
  <si>
    <t>Baeza, Antonio</t>
  </si>
  <si>
    <t>Antonio Baeza</t>
  </si>
  <si>
    <t>ndarte al Cadete D. Ramón Antonio López v en el de la Costa de Granada á primer Teniente al segundo D. Antonio Baeza, y á segundo Teniente al Alférez D. Francisco de Mena; y en el de dragones de Almansa á Teniente al Alférez D. Juan García. S. M. se ha servido nombrar para una plaza de Oidor de</t>
  </si>
  <si>
    <t>Bages, Joseph</t>
  </si>
  <si>
    <t>Joseph Bages</t>
  </si>
  <si>
    <t>eniente de granaderos al primer Subteniente D. Francisco Plaseneia; á primer Subteniente al segundo D. Joseph Bages, y á segundo Subteniente ál C id te del 'de Ultonia I). Juan de InzueT: en el dé iBorbon á primer Subteniente ai de esta clase, destinado en Mal’orca, Don [Santiago Noguer: en el</t>
  </si>
  <si>
    <t>Bailester, Antonio Buenaventura</t>
  </si>
  <si>
    <t>Antonio Buenaventura Bailester</t>
  </si>
  <si>
    <t>la de D. Manuel Navarro. D. Joseph Padrós, del comercio de Madrid, remitió el 16 de Enero último á D. Antonio Buenaventura Bailester, de Villanueva de Geltrú en Cataluña, 10 vales Reales, el uno de 150 pesos, de ig de Setiembre, núm. 215,093, y los 9 de 300 pesos, de 19 de Abril , núm. 442,861,451,774&gt;4$*&gt;77$&gt;4</t>
  </si>
  <si>
    <t>Baillar, Domingo</t>
  </si>
  <si>
    <t>Domingo Baillar</t>
  </si>
  <si>
    <t>20 de febrero de 1801</t>
  </si>
  <si>
    <t>anueLMasáoth ¿ ‘ Cfcí pitan de granaderos del. propio cuerpo t segunda &lt; Subtenencia en el mtsmo&gt; á D. Domingo Baillar, Sargento primero del de granaderos Voíuntariós d«J Estado: primera Subtenencia en el de infantería de Borbon al segundo Subteniente D. Antonio Noailles: esta resulta al Cadete D.</t>
  </si>
  <si>
    <t>Baird, General</t>
  </si>
  <si>
    <t>General Baird</t>
  </si>
  <si>
    <t>la India: uno de ellos, que viene del Bengala, trae la noticia de que la expedición mandada por el General Baird entró en el mar Roxo-á fines de año, dirigiéndose á Suez. Un oficial del exército de Egipto escribe que la media brigada francesa núm. 32 empezó el ataque del dia 21 contra fuerzas</t>
  </si>
  <si>
    <t>etario del Príncipe de GáleSé Ignórase el objeto de su viage. Según noticias recientes de Egipto el General Baird y las tropas de su mando que desembarcáron en Suez, se habían incorporado con 1 s dd General Hutchinson, y el exército combinado qued ba en marcha para Alejandría.__ De Portsmouth zarpa</t>
  </si>
  <si>
    <t>Baixes, Francisco</t>
  </si>
  <si>
    <t>Francisco Baixes</t>
  </si>
  <si>
    <t>en id ..... gi. g, Francisco Baixes......... Silvestre y María Pons.............. Masanet en Cát talufite..go. 1 g. Salvador Requerías..... Pedro y Teresa Reda...........*.*. Roca en el</t>
  </si>
  <si>
    <t>Bájrlov, Antonio</t>
  </si>
  <si>
    <t>Antonio Bájrlov</t>
  </si>
  <si>
    <t>os que los morosos. '• ' Pór ahora y desdé éste día se vende el primer Cuaderno en la librería * dé D. Antonio Bájrlov calle de fás ICfeétes. •í O! :* j i i .1' .í</t>
  </si>
  <si>
    <t>Balanza, Juan de Dios</t>
  </si>
  <si>
    <t>Juan de Dios Balanza</t>
  </si>
  <si>
    <t>clon de la de Charcas, vacante por ascenso de D. Alberto Flanes á Racionero de la misma iglesia, á D. Juan de Dios Balanza, Cura en aquella diócesis. En el regimiento de infantería ñxo de Puerto Rico se ha servido el Rey promover á Capitán primero al Ayudante D. Miguel Palatino; á Ayudante al Capitán</t>
  </si>
  <si>
    <t>Balbi, Conde</t>
  </si>
  <si>
    <t>Conde Balbi</t>
  </si>
  <si>
    <t>de Embaxador ruso , tuvo varias disensiones con el Barón de Thugut. .**■ Ha llegado á Koenisberg el Conde Balbi, que era Enviado del Rey de Cerdeña en Petersburgo, de donde ha tenido que salir por orden expresa de Paulo I, ''J. 'MuTÜchatfde Dictemhré.\'.A J..-V J Q uando llego el Archiduque</t>
  </si>
  <si>
    <t>Balbino Cortés</t>
  </si>
  <si>
    <t>t de Toíedo D. Juan López Vidal: en el de Irlanda á primeros Tenientes á Tos segundos de granaderos D. Balbino Cortés y D. Torlbio de Robles; á segundos Tenientes de granaderos á los de fusileros D. Camilo de Rosieres y D. Francisco Requesens; á segundos Tenientes al primer Subteniente,, graduado de</t>
  </si>
  <si>
    <t>Balcasar, Manuel</t>
  </si>
  <si>
    <t>Manuel Balcasar</t>
  </si>
  <si>
    <t>te D.'Jp§eph* Pinto: á Ayudante rr.nyor al Teniente D. Alonso Corrales: á Tétiíkiíip\aL Subteniente D. Manuel Balcasar;y á Subtenientes á los Cadetes D.¡ Mari^np Miríy D. Estéban Salavarría. ,i j bJ J ^ Asimismo ha nombrado S.'M. Subteniente de: bandera deí batallón deí milicias disciplinadas de l</t>
  </si>
  <si>
    <t>Ballester, Antonio</t>
  </si>
  <si>
    <t>Antonio Ballester</t>
  </si>
  <si>
    <t>á en Madrid á dicho D. Joseph Padrós, en Villanueva al referido Ballester, ó en Barcelona á su hijo D. Antonio Ballester. Por la audiencia del Sr. D. Juan Antonio Santa María, y escribanía del número de D. Gervasio Fernandez Izquierdo, se están subastando dos tierras sitas en el término de Cienpozue</t>
  </si>
  <si>
    <t>Ballester, Antonio Buenaventura</t>
  </si>
  <si>
    <t>Antonio Buenaventura Ballester</t>
  </si>
  <si>
    <t>&gt; creación de ta de Abril, y uno de 150 de la de 15 de Setiembre , por haber suplantado 3a firma de D. Antonio Buenaventura Ballester, del comercio de Villanueva y Geltrií, en Cataluña, á quien los enoosó y remitió por el correo de Valencia de 16 de Enero de este afio;á instancia del citado Padrós se han traído</t>
  </si>
  <si>
    <t>Baltasar Araujo</t>
  </si>
  <si>
    <t>nte al Sargento primero D. Juan de Arellano; y en si de la Princesa á primer Subteniente al segundo D. Baltasar Araujo, y á segundo Subteniente el Sargento primero de granaderos D. Juan Camero. También en el de caballería de Húsares Españoles se lia servido S. M. promover á primer Teniente al segu</t>
  </si>
  <si>
    <t>Baltasar de Aldazabal, Juan</t>
  </si>
  <si>
    <t>Juan Baltasar de Aldazabal</t>
  </si>
  <si>
    <t>mpañía de granaderos en el de Milicias urbanas de infantería de Andabuaylas al Capitán de fusileros D. Juan Baltasar de Aldazabal; Compañía d¿ fusileros al Teniente D. Pascual Cárdenas; Tenencia de granaderos al Subteniente D. Melchor Alarcon; Tenencias de fusileros á D. Manuel de la Rey naga, D. Domingo Can</t>
  </si>
  <si>
    <t>Baltasar del Corral</t>
  </si>
  <si>
    <t>tandartes al Sargento D. Valeriano García, y á los Cadetes del de caballería de la Costa de Granada D. Baltasar del Corral y D. Ambrosio González : en el de Montesa á primer Teniente al segundo de carabineros D. Joseph de León y Cuba; á segundo Teniente al Alférez de carabineros D. Antonio Leguey, y á Alf</t>
  </si>
  <si>
    <t>Baltasar García</t>
  </si>
  <si>
    <t>rto Marín. 4-5. so. Baltasar García... Cayetano...... Teresa del Vado.. Peñalba.......... Cilleros........... 38. 4. Pedro Gómez...... Pedro............. Juana Gómez...... Herrera..........Soria...</t>
  </si>
  <si>
    <t>Baltasar Geno</t>
  </si>
  <si>
    <t>iMarques de Aguiiar.. jar......................................... . Perpifian.......... . 5o* *{&gt;! D. Baltasar Geno veja, D. Pedro y Dofia Juana AguiBarón de Aguilac... lar........ ............................. . Id.............. ....... go. ig; D. Abdon de Ros, Conde de Ros...»........... D. J</t>
  </si>
  <si>
    <t>Baltasar Melchor Carretero</t>
  </si>
  <si>
    <t>a la Media-Ración de la metropolitana de Granada, vacanre por, muerte de D. Gaspar de Amorovieta, á D. Baltasar Melchor Carretero: para el Beneficio de la villa de Almonte , en el arzobispado de Sevilla , vacante, por fallecimiento de. D. Gabriel de Tarraga, á D: Juan Martin Molino , con la obligación de, re</t>
  </si>
  <si>
    <t>de la metropolitana de Granada, que se halla vacante por fallecimiento de D. Salvador de Molina, á D. Baltasar Melchor Carretero , Medio Racionero de la misma: para una Ración de la parroquial de la villa de Berbegal, diócesis de Lérida, á Don Nicolás de Urquiza; para otra de la parroquial de la de Capella,</t>
  </si>
  <si>
    <t>20 de noviembre de 1801</t>
  </si>
  <si>
    <t>se ha servido nombrar para la Media-Ración de la metropolitana de Granada, vacante por promoción de D. Baltasar Melchor Carretero á una Ración de la misma iglesia, á D. Francisco Muñoz y Gómez: para otra Media-Ración de la catedral de Valladolid, vacante por promoción de D. Antonio Ceruelo Sanz á una Canongí</t>
  </si>
  <si>
    <t>Baltasar Moorc</t>
  </si>
  <si>
    <t>de artilleros Milicianos provinciales de la plaza de Cádiz se ha servido el Rey, nombrar Capitán á D. Baltasar Moorc; primer Teniente á D. Joseph Martínez de la Junquera ; segundo Teniente á Don Francisco Agredano y Morales, y Subteniente á D. Juan Joseph Somoza. En el regimiento provincial de M</t>
  </si>
  <si>
    <t>Baltasar Rodríguez de la Paz</t>
  </si>
  <si>
    <t>omé de la ciudad de Murcia, obispado de Cartagena, vacante por fallecimiento dé D^ Gaspar Puente* á D. Baltasar Rodríguez de la Paz; y para el Beneficio Préstamo de la parroquial de Cinco Alquerías, en la misma diócesis, que obtenia D. Joseph Ibañez Falomir, á D. Joseph Trigueros. • Atendiendo él Rey á los mér</t>
  </si>
  <si>
    <t>Balvino Cortes</t>
  </si>
  <si>
    <t>as, D. Isidoro Díaz y D. Lúeas Savage; á estas resultas á los segundos Tenientes D. Jayme O-Mahony, D. Balvino Cortes y D. Toribio Robles; á. segundos Tenientes al Subteniente de granaderos.D. Blas González, al primer Subteniente D. Gregorio Martinez y al Subteniente de granaderos D. Antonio Bray; á</t>
  </si>
  <si>
    <t>Banks</t>
  </si>
  <si>
    <t>enta la libertad corriendo por el océano en una concha.marina con esta Mra:- Libertad de los mares. Mr. Banks, presidente dé la Real sociedad, leyó !a carta a los vocales, y se 'acordó unánimemente contestar á ella con éxpresiones.de^gratitud. : : : ¿ v . : q La esquadra qiie salió de Bre</t>
  </si>
  <si>
    <t>de Baviera sobre puntos de gran interes. Londres 25 de NoviembreE n ¡a Cámara de los Comunes pidió Mr. Banks el dia 20 que los Ministros de S. M. diesen algunas luces sobre un objeto que Je p .recia de la mayor importancia. „Por el artículo 5.° de los preliminares se obliga la</t>
  </si>
  <si>
    <t>ha garantía común, comprometiendo así los intereses de este pais. Aprobóse al fin ia proposición de Mr. Banks. Ha fondeado en Hárwich un navio de guerra holandés, que viene á buscar prisioneros de su nación para llevarlos á Holanda. Algunas gazetas inglesas publican, no se sabe coa que fu</t>
  </si>
  <si>
    <t>Baraguey de Hílíiers, General</t>
  </si>
  <si>
    <t>General Baraguey de Hílíiers</t>
  </si>
  <si>
    <t>mencionado valle. El General Van^ damme tiene su quartel general en Ponte. La brigada izquierda del General Baraguey de Hílíiers, que hace un mes se hallaba en la Valtelina, ocupa ahora la Engadina-Superior, y destaca partidas hácia Zerzuitz, en donde los enemigos tienen un cuerpo de 1500 hombres. Nuestro o</t>
  </si>
  <si>
    <t>Baraguéy, General</t>
  </si>
  <si>
    <t>General Baraguéy</t>
  </si>
  <si>
    <t>aEngadina. Atacámos y ganamos al instante á Schutz;y luego que .supe esta; primera ventaja mandé al General Baraguéy siguiese internáricfosej torzabe el paso del líin pór S.Maftriss-JBruck:,y se dirigiese háciaGluren, en&gt; donde intentaba yo detener á las tropas enemigas» qué seguían el movimient</t>
  </si>
  <si>
    <t>Baraguey-d’Hilliers, General</t>
  </si>
  <si>
    <t>General Baraguey-d’Hilliers</t>
  </si>
  <si>
    <t>Acaba de llegar á París el General Baraguey-d’Hilliers, Comandante de la primer división del exército de los Grisones. En virtud de la resolución de la Puerta Otomana de dar libertad á los prisioneros franceses que había en Constantin</t>
  </si>
  <si>
    <t>Baraoná, Francisco</t>
  </si>
  <si>
    <t>Francisco Baraoná</t>
  </si>
  <si>
    <t>to de infantería de Burgos se ha servido promover el Rey á primer Teniente al segundo de granaderos D. Francisco Baraoná; asegundo Teniente de granaderos al de fusileros D. Jo achín- Gallego*, á&gt; segundo Teniente al Subteniente de granaderos'D: Manuel SufFo; á esta resulta al primer‘ Subteniente D.</t>
  </si>
  <si>
    <t>Barba, Joseph</t>
  </si>
  <si>
    <t>Joseph Barba</t>
  </si>
  <si>
    <t>xtraviado un vale Real de igo pesos , creación de i.° de Enero, núm. a&amp;g, vo8 , renovado á favor de D. Joseph Barba, vecino de esta corte, y endosado en 1a de Marzo á D. Matías Diez Gamarra, presbítero en Tordelaguna. Quien lo haya hallado Jo entregará á D. Uípiano García,Procurador en la Nunci</t>
  </si>
  <si>
    <t>20 de octubre de 1801</t>
  </si>
  <si>
    <t>uieri quisiere hacer postura á ella acuda á la mencionada escribanía. Se desea saber el paradero de D. Joseph Barba galata, de nación genoves 6 tu caso de su muerte el de su» herederos, para comunicarles un asunto de enti^ dad. Se dará noticia de ello i X&gt;. Antonio Juan Bautista Musante, Secret</t>
  </si>
  <si>
    <t>Barbou, General</t>
  </si>
  <si>
    <t>General Barbou</t>
  </si>
  <si>
    <t>Reintz para sostener el ataque del castillo de Wurtzburgo. El General Duhesme ocupa á Bamberg; y el General Barbou despacha partidas hasta Nuremberg. Están enteramente libres nuestras comunicaciones con Wurtzburgo , mediante varios puentes del Mein. El país ofrece todos los recursos que se requie</t>
  </si>
  <si>
    <t>os riberas hácia Ra-ri tisbona y Wurtzburgo, previno se dirigiesen tropas háciar Neumaík, queí ! el General Barbou entrase en comunicación con él,y que extendiese sil de.T' recha hacia Furth. En esta situación ei éxéreito galo-bátavo . (parto del; qual estaba empleado en-el sitio de Wurtzburgo)</t>
  </si>
  <si>
    <t>Bardie, Juan</t>
  </si>
  <si>
    <t>Juan Bardie</t>
  </si>
  <si>
    <t>n id....... go. ig. Juan Bardie...... ........ Guillermo y Antonia Condiox... Totoval en id... 50. ig. juaa Cauca.................. Jayme y Francisca Salvanas...... Perpifían............ 71. 10. To</t>
  </si>
  <si>
    <t>Baregcs, Jorge</t>
  </si>
  <si>
    <t>Jorge Baregcs</t>
  </si>
  <si>
    <t>D. Luis de Gazan, y i segundos Subtenientes al Sargento primero D. Joseph Cedilio, y á los Cadetec D. Jorge Baregcs, D. Juan Gautier y D. Carlos de Thesan; y ht</t>
  </si>
  <si>
    <t>Bareguey-d’Hiliiers, General</t>
  </si>
  <si>
    <t>General Bareguey-d’Hiliiers</t>
  </si>
  <si>
    <t>12 I no habiendo podido pasarle á cajasa de las nieve*. Baxo las órdenes del General Bareguey-d’Hiliiers han baxado otra* tropas hacia Bergamo ; y ios franceses que se hallaban en Rocca de Anfo se han adelantado hasta Lodone y Darzo. Los austríacos que estaban en Riva se han retirado</t>
  </si>
  <si>
    <t>Barellas, Antonio</t>
  </si>
  <si>
    <t>Antonio Barellas</t>
  </si>
  <si>
    <t>dante te; de granaderos, al de tusiieros u. Patricio MesKeii; a primeros los segundos de granaderos D. Antonio Barellas, D. Isidoro Díaz y D. Lúeas Savage; á estas resultas á los segundos Tenientes D. Jayme O-Mahony, D. Balvino Cortes y D. Toribio Robles; á. segundos Tenientes al Subteniente de gra</t>
  </si>
  <si>
    <t>Barge, Miguel</t>
  </si>
  <si>
    <t>Miguel Barge</t>
  </si>
  <si>
    <t>......* 4* Miguel Barge..*..*. Francisco..,,*. Isabel .Gómez...... Banonzas....... Pórtela............ 41a. 39. Ignacio Fernandez.Domingo....... Francisca Perez... Carzoa.......... Oren</t>
  </si>
  <si>
    <t>Barhen, Juan</t>
  </si>
  <si>
    <t>Juan Barhen</t>
  </si>
  <si>
    <t>ar de los Lances, en el surgidero de Tarifa, los corsarios Ae esta matrícula, propios de su armador D, Juan Barhen» nombrados la cañonera el Poderoso, su Capitán Migueí VilJalba, y el místico el Gibraltar: oyéron un cañoneo en la costa de Berbería á la parte del Leste, y dieron vela ciñendo lo</t>
  </si>
  <si>
    <t>lándose en el surgidero de Tarifa la división de corsarios de esta matrícula, propios de su armador D. Juan Barhen, la cañonera el Poderoso, el místico el Gibraltár, sus capitanes Miguel Villalba é Ignacio Fernandez, la barquilla la Rafaela y el falucho el Combate de Algecíras, descubriéron al</t>
  </si>
  <si>
    <t>Barhou, General</t>
  </si>
  <si>
    <t>General Barhou</t>
  </si>
  <si>
    <t>y de lo quebrado del pais, se marcharon por su izquierda hacia Pomirsfeld, adonde los persiguió el General Barhou, quien alcanzó el dia 4 su retaguardia, y habiéndola atacado la forzó á retirarse. Pasaron los enemigos el rio Aiscn, rompieron el puente, y ahora van hacia Foríheim. Nuestro exér</t>
  </si>
  <si>
    <t>Barissult Dura, Juan</t>
  </si>
  <si>
    <t>Juan Barissult Dura</t>
  </si>
  <si>
    <t>l. D. Pedro y Doña Teresa de Ribas............. ......................... Tuy en id........ 34. ap. D. Juan Barissult Dura. D. Antonio y Dofia Mariana Dalsat............... ..................... Illa en id......... 32. 3. D. LuisFayach........... D. Joseph y Dofia María Fossa. Tolosa en Francia.......</t>
  </si>
  <si>
    <t>Baroft Mirtckwitz, Teniente General</t>
  </si>
  <si>
    <t>Teniente General Baroft Mirtckwitz</t>
  </si>
  <si>
    <t>305 i5 entre el Teniente General Baroft Mirtckwitz, comandante de la ciudad y fortaleza, y el Ayudante general fránceS Máthis. XaV dos primeras colunas se pusieron en marchá el mismo dia i j 'fór lamáñána, y la tercera el x 8 á la</t>
  </si>
  <si>
    <t>Barón de Mitterbách, Coronel</t>
  </si>
  <si>
    <t>Coronel Barón de Mitterbách</t>
  </si>
  <si>
    <t>e Aleinania y del primer Cónsul. Nancí 11 de Junto, F 1 dia j pasó por esta ciudad yendo á París el Coronel Barón de Mitterbách con pliegos de Ia corte de Viena para el gobierno de Francia y para el Conde de Cobentzel, Enviado del Emperador. Parts 14 de Junio. L os Sres. Condes de Liorna vlitárón el día 10</t>
  </si>
  <si>
    <t>Barón de Simbschen, Teniente General</t>
  </si>
  <si>
    <t>Teniente General Barón de Simbschen</t>
  </si>
  <si>
    <t>concluido, pa- t ra. el exército del Rhin, la línea convenida entre el General en xefe Augereauy el Teniente General Barón de Simbschen se extenderá de Bayersdorf á Lichtenech , siguiendo por la orilla derecha del Rednitz y el curso del Mein , en la prolongación del Rednitz hasta la línea de neutralidad; y asi dic</t>
  </si>
  <si>
    <t>Barón de Spanochi, General</t>
  </si>
  <si>
    <t>General Barón de Spanochi</t>
  </si>
  <si>
    <t>z por haberse concluido el tratado con Francia, y haber espirado el de subsidios con Inglaterra. El General Barón de Spanochi , que quedó prisionero de los franceses en una de las batallas de Bavíera, ha conseguido su libertad por recomendación del Archiduque Carlos, que escribió al General Moreau dicién</t>
  </si>
  <si>
    <t>Barón de Toll, General</t>
  </si>
  <si>
    <t>General Barón de Toll</t>
  </si>
  <si>
    <t>othem"Ü&amp;tg&amp;ySe asegura que el Rey mandará estas tropas , teniendo baxo sus órMd'erié¿ inmediata® al General Barón de Toll. , ' i, convenio firmado en Petersburgo él 16 de Diciembre entre Rusia, s$úécia y Dinamarca, y al qual ha accedido el Rey de Prusía, se- incluyen/ Tas tres siguientes disposicione</t>
  </si>
  <si>
    <t>Barona, Antonio</t>
  </si>
  <si>
    <t>Antonio Barona</t>
  </si>
  <si>
    <t>Cadete D. Ignacio de Lora y Cáceres: en el de voluntarios de Castilla á Capitán al primer Teniente D. Antonio Barona;á primer Teniente al segundo ee granaderos D. Salvador Berrio; á segundo Teniente de granaderos, al. de fusileros D. híanuel Zaro; á segundo Teniente al Subteniente eje panaderos</t>
  </si>
  <si>
    <t>Barraba Fuentes, Antonio</t>
  </si>
  <si>
    <t>Antonio Barraba Fuentes</t>
  </si>
  <si>
    <t>, en la misma diócesis de Avila, vacante por fallecimiento de D. Juan Antonio de Castro y Seixas, á Don Antonio Barraba Fuentes, con la carga que tiene anexa; y para el Beneficio Préstamo de'la..parroquial de Lanzaita, vacante por muerte de D. Manuel Lizaso, y cj'Céur.to y Beneficio rura 1 de ios despoblad</t>
  </si>
  <si>
    <t>Barragan, Juan</t>
  </si>
  <si>
    <t>Juan Barragan</t>
  </si>
  <si>
    <t>riel Hernández y D. Gabriel Casado, y á Alféreces al Cadete D. Nicolás Rodríguez Peña y al Sargento D. Juan Barragan. S. M. se ha servido nombrar para la plaza.de Agente Fiscal del Consejo de Indias,por lo perteneciente al Perú., vacante por fallecimiento de Don Antonio Romero, á D. Francisco Jo</t>
  </si>
  <si>
    <t>Barranco, Manuel</t>
  </si>
  <si>
    <t>Manuel Barranco</t>
  </si>
  <si>
    <t>Francisco Fernandez ; á segundos Tenientes de granaderos á los de fusileeos D. Juan Antonio Abal , ¡D. Manuel Barranco y D. Gerónimo de la Escosura; á segundos Tenientes á los Subtenientes de granaderos D. Tomas de Ben, D. Francisco Xavier González y D. Tomas Perez, y á los primeros Subtenientes D. Lu</t>
  </si>
  <si>
    <t>nte de granaderos al de fusileros D. Constantino Mañero; á primer Teniente al segundo de granaderos D. Manuel Barranco; á esta resulta al segundo Teniente D. Fernando Va— lledor; á segundo Teniente al Subteniente de granaderos D. Christóbal Vilanoba; .4 Subteniente de granaderos al de fusileros D.</t>
  </si>
  <si>
    <t>Barrera, Francisco</t>
  </si>
  <si>
    <t>Francisco Barrera</t>
  </si>
  <si>
    <t>Coca, D-Joseph Martinez y D. Joachín Casaus , y á los Sargen-r tos primeros Di Poiicarpo de Frías, D. Francisco Barrera, de granaderos, D. Narciso Lafuente y D, Joseph Cembrano; en el de Irlanda á Capitán de granaderos al de fusileros D. Carlos O-Donell; á Capitanes al Ayudante te; de granaderos, a</t>
  </si>
  <si>
    <t>Barrera, Joseph</t>
  </si>
  <si>
    <t>Joseph Barrera</t>
  </si>
  <si>
    <t>e bandera en el de Milicias disciplinadas de'infantería dé Arequipa á los Cadetes D. Joseph Romero, D. Joseph Barrera, Don Juan Bautista Arrospide, y á D. Joseph Victorino de Arroyo: el empleo de Alférez de carabineros del de Milicias urbanas de caballería de lea al de fusileros D. Francisco Nand</t>
  </si>
  <si>
    <t>segundo Subteniente D. Heraciio de Alaiz, y á segundo Subteniente al Sargento primero de granaderos D, Joseph Barrera; y en el de cazadores Voluntarios de la Corona á Subteniente al segundo Subteniente del batallón de Voluntarios de Gerona D. Juan Bautista Sech. Al Brigadier D. Pedro Antonio Espe</t>
  </si>
  <si>
    <t>Barriga, Estéban</t>
  </si>
  <si>
    <t>Estéban Barriga</t>
  </si>
  <si>
    <t>nientes á los Sargentos primeros D. Juan Torres y D, Narciso de Salas, y á los Cadetes í). Joseph y D. Estéban Barriga, y al de Cantabria D. Pedro Antonio Ferrero; y á Subtenientes en los de Suizos de Rutimin y Betschart á los Cadetes D. Alexandro Tayll y D. Jacobo Wasser: en el batallón de infant</t>
  </si>
  <si>
    <t>Barriopuevo, Antonio</t>
  </si>
  <si>
    <t>Antonio Barriopuevo</t>
  </si>
  <si>
    <t>cisanchez., D. Joseph Trabadillo, D. Joachtn María de Flores Cardero , D. Marcelino García Riofrió, D. Antonio Barriopuevo , D. Ramón Castriílo Cevallos, D. Joseph Herrera Ladrón y Don Joseph B-día. .. En consideración á los servicios y méritos de D, Juan de Uribarri, Oficial mayor del Parte de esta C</t>
  </si>
  <si>
    <t>Barró, Luis</t>
  </si>
  <si>
    <t>Luis Barró</t>
  </si>
  <si>
    <t>7. Sulie en ProvenD. Juan Lacomba........ D. Juan y Doña María Turnie. za id............ . 26. ij. D. Luis Barró............. D. Pedro y Doña Belírana Esgovera.......................... . Lila en id......... a$ 18. D. Gabriel de la Ca­ D. Pedro y Dofia Gabriela Du pela.......................</t>
  </si>
  <si>
    <t>Bartolmé de la Dehesa</t>
  </si>
  <si>
    <t>Soldado distinguido que fué del de Extremadura. En atención á los dilatados particulares méritos de D. Bartolmé de la Dehesa , Contador general de Propios y zlrbitrios del Réyno, se ha servido S. M. concederle honores de Ministro del tribunal de la Contaduría mayor de Cuentas. En América. El Rey se ha s</t>
  </si>
  <si>
    <t>Bartoly, Tomás</t>
  </si>
  <si>
    <t>Tomás Bartoly</t>
  </si>
  <si>
    <t>eban Cosp y Planas y Don Francisco Joseph Falcó y López: del batallón de Voluntarios de Tarragona á D. Tomas Bartoly; y del segundo de Barcelona á D. Braulio López. En América. El Rey se ha dignado conferir el empleo de Guarda mayor vista de la aduana de Acapuico á D. Juan de Dios Fernandez; y e</t>
  </si>
  <si>
    <t>Basal, Joseph</t>
  </si>
  <si>
    <t>Joseph Basal</t>
  </si>
  <si>
    <t>llon... .... ia. 6. Joseph Basal....... Se ignora Se ignora.... .... 81. a&lt;5. Francisco Ruelen Se ignora, Se ignora..... .... 4a. ap. Ped ro Sa</t>
  </si>
  <si>
    <t>Basarrate y Eguia, Santiago</t>
  </si>
  <si>
    <t>Santiago Basarrate y Eguia</t>
  </si>
  <si>
    <t>rigo, y para la Canongía de la misma, vacante por fallecimiento de D. Eulogio de Arguelles y Gas, á D. Santiago Basarrate y Eguia, pensionando el expresado Arcedianato en 4© rs. anuales á favor de la Real capilla : para la Dignidad de Chantre de la catedral de Jaca, que obtenía D. Gabriel Anacleto García, y</t>
  </si>
  <si>
    <t>Basoa y Ondona, Joseph</t>
  </si>
  <si>
    <t>Joseph Basoa y Ondona</t>
  </si>
  <si>
    <t>D. Federico Joseph de Meer. En el de granaderos Voluntarios de Estado á primer Teniente al segundo D. Joseph Basoa y Ondona, y á esta resulta al Subteniente D. Antonio Venancio Xareño; en el de Nápoles á Capitán de granaderos al de fusileros D. Francia-* cu Borlasca; Capkair al Ayudante D;Francisco Nar</t>
  </si>
  <si>
    <t>Bastout, General</t>
  </si>
  <si>
    <t>General Bastout</t>
  </si>
  <si>
    <t>ayor denuedo , y al cabo de muchos esfuerzos, los derrotaron cogiéndoles parte de su artillería. El General Bastout quedó herido en el ataque, y el General Bonnet se encargó del mando. Ha sido tan gelneral esta batalla, que todas las tropas así francesas «orno las austríacas tomaron parte en el</t>
  </si>
  <si>
    <t>Bataller, Juan</t>
  </si>
  <si>
    <t>Juan Bataller</t>
  </si>
  <si>
    <t>dro Tayll y D. Jacobo Wasser: en el batallón de infantería de Canarias á Capitán al primer Ayudante D. Juan Bataller; á primer Ayudante al primer Teniente D. Félix Uriundo; á primer Teniente al segundo D. Pedro García; á esta resulta al Subteniente de granaderos D. Juan Granados; á Subteniente d</t>
  </si>
  <si>
    <t>Bathiani, Príncipe</t>
  </si>
  <si>
    <t>Príncipe Bathiani</t>
  </si>
  <si>
    <t>la en esta capital el Archiduque Carlos, y sigue restableciéndose. Se lia alojado en el palacio del Príncipe Bathiani. . Acaba el Emperador de conceder á los emigrados franceses, que han servido ó se retiren del exército de Condté, todos los derechos de naturales, con los privilegios de que goza</t>
  </si>
  <si>
    <t>Batteux</t>
  </si>
  <si>
    <t>cos de la literatura, ó curso razonado de beIJas letras y bellas artes: obra escrita en frances por Mr. Batteux:, de la academia francesa; tra,ducida, ilustrada con notlis críticas, y los correspondientes apéndices sobre 'la 'literatura espafiota., por D. Agustin G1rcía de Arrieta, de la bi</t>
  </si>
  <si>
    <t>Bátxá, Capitán</t>
  </si>
  <si>
    <t>Capitán Bátxá</t>
  </si>
  <si>
    <t>tre el Cayro y Alexandru : que el óenerál Menou se halla en esta última plaza, y que Jas tropas del Capitán Bátxá se habían juntado con las del Gran Visir. Se proponían los otomanos apoderarse del Cayro sin aguardar á que Alexandría se rindiese. Por otra parte dicen Jas mismas cartas que Ja g</t>
  </si>
  <si>
    <t>Baudin, Capitán</t>
  </si>
  <si>
    <t>Capitán Baudin</t>
  </si>
  <si>
    <t>a cañonera nombrada la Protectora. Parts jGde Abril. S e han recibido noticias de la expedición del Capitán Baudin: el 5 dé Noviembre se hallaba todavía en Sta. Cruz de Tenerife. Las cartas de Egipto recibidas por el bergantín Osíris se han publicado en esta forma: ,,Extracto de carta del Capi</t>
  </si>
  <si>
    <t>revolución. La esposa del Capitán Haoiclin, comandante de una de las fragatas de la expedición del Capitán Baudin, acaba de recibir una carta de su marido en que le avisa su llegada á la Isla de Francia. Las dos fragatas habian sali</t>
  </si>
  <si>
    <t>se hiciéron á la vela dirigiéndose á Cayena. Se ha public do el siguiente extracto de una carta del Capitán Baudin, escrita el 18 de Marzo á bordo de la corbeta el Geógrafo, surta en la isla d Francia: „ Ayer entr mos en este puerto; y me aprovecho de una embarcación sueca que sale hoy mismo,p</t>
  </si>
  <si>
    <t>ha sabido por cartas de la isla de Francia que las fragatas Naturalista y Geógrafo, mandadas por el Capitán Baudin, salieron de aquella colonia mí 29 de Abril para seguir su viage al rededor del mundo. Un corsario de Burdeos nombrado el Gran Bonaparte , que hace mucho tiempo se creyó perdido,</t>
  </si>
  <si>
    <t>Báutis, Juan</t>
  </si>
  <si>
    <t>Juan Báutis</t>
  </si>
  <si>
    <t>e'rido riiés dé Dibietíibre^cdn los títniós y documentos quécalificasehsu mérítú y circunstancias á D. Juan Báutis—' tJT^dé* ^óycoechea'y Urfutia, vecinóde *Mkánd , y Oficial de la .Secretaria1 de' U Juftta general* de comercio, moneda' y minas, que* vive- callei del Desengaño, caradet pasadiz</t>
  </si>
  <si>
    <t>Bax, Capitán</t>
  </si>
  <si>
    <t>Capitán Bax</t>
  </si>
  <si>
    <t>ambién que el Almirante W *rren se ha reunido en las aguas de Alejandría con el Lord Keíth y con e« Capitán Bax i; y que Mr. Sidney Smith ha subido por el Niio, obligando á Jas cañoneras francesas á acogerse al Cayro. Según la referid 1 gazeta las fuerzas délos franceses en Egipto no pasan</t>
  </si>
  <si>
    <t>Baxá Syr</t>
  </si>
  <si>
    <t>01. H= Omstanttnoplago de Octubre de fSoo. a enviado la sublime Puerta orden al Baxá Syr, hijo de Batal , para que vaya á Romelia con un cuerpo de tropas que, según dicen , ascenderá á iod hombres ,y con' ellos se detendrá :en Adrianópolis, al paso que los Baxás Emdgi-Ofcma</t>
  </si>
  <si>
    <t>Bayeu, Ramón</t>
  </si>
  <si>
    <t>Ramón Bayeu</t>
  </si>
  <si>
    <t>pas grabadas al agua fuerte, de Antonio Covarrubias y Leyva , Antonio Pé­ varios pensamientos , por D. Ramón Bayeu» rez , y D. Joseph Pellicer : ro.“ D. Pedro Gon­ en 12 rs. zález de Mendoza , D. Melchor de Macanaz, Ocho estampas de diferentes pinturas de Fr. Francisco Ximenez de Cisneros, Vas</t>
  </si>
  <si>
    <t>Baylo, Miguel</t>
  </si>
  <si>
    <t>Miguel Baylo</t>
  </si>
  <si>
    <t>I28t y Maynar: en el de Jaén á primea Teniente al segando D. Miguel Baylo; á segundo Teniente al primer Subteniente D. Ramón d* Sas; á primer Subteniente al segundo Suoteniente , graduado de Teniente, D. Pedro Navarro, y á segundo Subteniente al Cadete</t>
  </si>
  <si>
    <t>Bayotiá Ayudante, Juan Antonio</t>
  </si>
  <si>
    <t>Juan Antonio Bayotiá Ayudante</t>
  </si>
  <si>
    <t>de Manila se ha servido S.M. promover á Capit^-ms ai Ayudante mayor D. Manuel de Arce y al Teniente D. Juan Antonio Bayotiá Ayudante mayor al Teniente D. Joseph Lomgoria : á Teniente de granaderos al cíe fusileros D. Blas Morillo: á Tenientes á los Subtenientes D. .Joseph Pardo , D. Fernando .Julián Pastor y Do</t>
  </si>
  <si>
    <t>Bayrd, General</t>
  </si>
  <si>
    <t>General Bayrd</t>
  </si>
  <si>
    <t>xador británico en Constantinopla , en que avisa haber llegado ai mar Roxo un cuerpo mandado por el General Bayrd, y compuesto de 1200 hombres despachados del Cabo de Buena-Esperanza, 2® de Bombay y 800 de la isla de Ceylan. La esquadra que acompaña á estas tropas está mandada por Mr. H. Poph</t>
  </si>
  <si>
    <t>Bazategui, Juan</t>
  </si>
  <si>
    <t>Juan Bazategui</t>
  </si>
  <si>
    <t>de Torres, del Consejo de S. M. y Alcalde en ;su .Real casa y corte, ante el escribano de provincia D. Juan Bazategui: en cuya qonseqüencia, mediante lo pedido por el defensor de. él, y de lo mandado en su virtud por dicho Sr. Alcalde en auto de 13 de este mes, se noticia i las personas qup .teng</t>
  </si>
  <si>
    <t>iencia del Sr. D. Manuel Perez de Rozas, Alcalde de Real casa y corte, y escribanía de provincia de D. Juan Bazategui, para averiguar la suplan-r tacion : y siendo los últimos endosos con distintas épocas en Valencia , de uno, núm. 441,861, en favor de D. Vicente Marques; de otro, núm. 458,544, á</t>
  </si>
  <si>
    <t>Bazo y Berri, Juan</t>
  </si>
  <si>
    <t>Juan Bazo y Berri</t>
  </si>
  <si>
    <t>os-Ayres, vacante por promoción de Don Juan Antonio de la Riba á otra igual en la de Guadalaxara, á D. Juan Bazo y Berri. Por jubilación de D. Tomas Muñoz » Fiel de la Real casa de moneda de Goatemala, se ha servido el Rey nombrar para este empleo ¿ D. Benito Muñoz : para el de Ministro Contador de</t>
  </si>
  <si>
    <t>para el empleo de Teniente Asesor del Gobierno é Intendencia de Truxillo, vacante por promoción de D. Juan Bazo y Berri á plaza de Oidor de la Audiencia de Buenos-Ayres, á D. Miguel Fernandez de Córdoba. El Consejo á consulta de la Comisión gubernativa de Consolidación de vales Reales ha acordado l</t>
  </si>
  <si>
    <t>Bcltran, Alexandro Bernardo</t>
  </si>
  <si>
    <t>Alexandro Bernardo Bcltran</t>
  </si>
  <si>
    <t>de Pozo Alcoñ, err la diócesis de Toledo, vacante por fallecimiento de D. Juan Francisco García, á D. Alexandro Bernardo Bcltran, con la obligación que tiene anexa. En5. América. S. M. se ha servido promover en el batallón de milicias disciplinadas de infantería de Blancos de Caracas á Capitán al Teniente D</t>
  </si>
  <si>
    <t>Bdiiard, General</t>
  </si>
  <si>
    <t>General Bdiiard</t>
  </si>
  <si>
    <t>. Un cuerpo de los mismos y de otomanos de mas de 12© hombres acompañó hasta Roseta al exército del General Bdiiard, el qual se estaba embarcando, y debía estar todo embarcado el 8 de Agosto. Parte de nuestras tropas quedaban enfermas, y tam</t>
  </si>
  <si>
    <t>Beaupuis, General</t>
  </si>
  <si>
    <t>General Beaupuis</t>
  </si>
  <si>
    <t>hin, frente á Kell, en el sepulcro que el exército del Rhin ha consagrado ai General Desaix. El del General Beaupuis se colocará en Brisac. ' ......... Londres jG de Enero. ’ . S e asegura que la Pfusia 110 ha accedido á la neutralidad marítima-del Norte sino para ciertos casos y con ciertas lim</t>
  </si>
  <si>
    <t>Becerra y Uribe, Joseph</t>
  </si>
  <si>
    <t>Joseph Becerra y Uribe</t>
  </si>
  <si>
    <t>acer postura acuda ante dicho Sr. Juez, y escribanía del número de D. Gervasio Fernandez Izquierdo. D. Joseph Becerra y Uribe, Guardia de Corps que fue de la Compañía Española, falleció intestado el ao de Febrero de.este año; y r.o sabiéndose si tenia1 algunas cuentas pendientes, ó si le debían, 6 tenía</t>
  </si>
  <si>
    <t>Becerra, Ignacio</t>
  </si>
  <si>
    <t>Ignacio Becerra</t>
  </si>
  <si>
    <t>que le satisfagan si le quedáron á deber, se avisa á sus deudores ó acreedores acudan á su hermano D. Ignacio Becerra, vecino de la vilia de Almendral, en Extremadura, ó á X&gt;. Hemeterio Vicente de Alvízua, de esta corte, que vive en la calle de Bordadores, frente, á la portería de S. Martin, quar</t>
  </si>
  <si>
    <t>Beiiiard, General</t>
  </si>
  <si>
    <t>General Beiiiard</t>
  </si>
  <si>
    <t>encias, entre los dos exércitos, el 27 de Junio de 1801; y aprobado y ratificado en el Cayro por el General Beiiiard el 28.” ' i En la gazeta de la corte se advierte por vía de errata padecida en la capitulación del Cáyro, que el plazo señalado para el embarco de la guarnición de aquella plaza es</t>
  </si>
  <si>
    <t>Beillard, General</t>
  </si>
  <si>
    <t>General Beillard</t>
  </si>
  <si>
    <t>ín con 6 batallones y un regimiento de caballería, se hallaba quando dicha batalla en Salahieh : el General Beillard con 5 batallones, 300 caballos y parte del cuerpo auxiliar., estaba en el Egipto-Superior ; y el General Morand, con una media brigada, un batallón de otra, 200 caballos y una com</t>
  </si>
  <si>
    <t>Beliard, General</t>
  </si>
  <si>
    <t>General Beliard</t>
  </si>
  <si>
    <t>654 ba el General Beliard.* Los árabes molestan muy poco á los franceses, y los ingleses están muy descontentos de los turcos, cuya mala voluntad atribuyen á la paz de Francia con Rusia; y dicen los ingles</t>
  </si>
  <si>
    <t>nomia 14 de Setiembre. de que el General Menou se ha visto en la precisión de seguir el exemplo del General Beliard; pero parece que la causa de ello ha sido mas bien la total privación de socorros, que las supuestas ventajas conseguidas por los aliados. A vuelta de esto se observa que los part</t>
  </si>
  <si>
    <t>Beliegarde, General</t>
  </si>
  <si>
    <t>General Beliegarde</t>
  </si>
  <si>
    <t>enfrente de Lavolta. El General Diipont salló de Azola, y echó un puente en Molino. Allí acudió el General Beliegarde con sus principales fuerzas; y se peleó con el mayor encarn i ú ni i n t o . j_ a media brigada ligera núm. 6 sobresalió: pues acometida por ios húsares de loscana, los recibió ha</t>
  </si>
  <si>
    <t>Bellavene, General</t>
  </si>
  <si>
    <t>General Bellavene</t>
  </si>
  <si>
    <t>211 París 12 de Febrero. A yer noche llegó aquí de Luneville el General Bellavene despachado por el ciüd. Joseph Bonaparte, Ministro plenipotenciario en la negociación de la paz con el Austria, para entregar al Ministro de Relaciones exteriores el siguiente tratad</t>
  </si>
  <si>
    <t>Bellegarde</t>
  </si>
  <si>
    <t>» digna de todo elogio por su rapidez. Este ataque falso no podía mé-i nos de Mamar la atención ’de Mr. Bellegarde , y dividir sus fuerzas. La situación de Molino proporcionaba destruir con el fuego de artillería á los enemigos que hubieran querido atacar el puente. En efecto, Mr. de Bellegard</t>
  </si>
  <si>
    <t>Bellegarde, General</t>
  </si>
  <si>
    <t>General Bellegarde</t>
  </si>
  <si>
    <t>oo estudiantes, que suplicaban ai Príncipe los admitiese en la legión de Bohemia. Se asegura que el General Bellegarde, comand *nte en xefe del exército austríaco en Italia, ha recibido orden de no at.car, y de mantenerse en la defensiva, sin duda hasta que reciba refuerzos. Las últimas noticias d</t>
  </si>
  <si>
    <t>ha nombrado al General Melas para comandante en Bohemia , al General Starray para el Austria, y al General Bellegarde para Italia. Avisan de Peterswaradin que en aquella parte de la frontera han de juntarse 40© hombres, incluyéndose en este número las tropas que están destinas para Neubanofze. S.</t>
  </si>
  <si>
    <t>imismo para que no parezca que se'abre otro congreso con la República francesa. - - , Dícese que el General Bellegarde dexará el mando de las tropas que tiene baxo sus ordenes, y volverá á Viena. Avisan de aquella capital que el Emperador ha mandado prorogar por 4 meses contados desde i.° de Noviembr</t>
  </si>
  <si>
    <t>el ministerio de Prusia trata de hacer un aumento en sus tropas, y que el exército austríaco que el General Bellegarde manda en las provincias de Venecia recibe diarios refuerzos. Dicen que el Gran Señor en celebridad de la recuperación de Egipto ha puesto en libertad 250 esclavos, y ha mandado da</t>
  </si>
  <si>
    <t>Belliard, General</t>
  </si>
  <si>
    <t>General Belliard</t>
  </si>
  <si>
    <t>820 . Visir y el General Belliard: supuesto que no pudo darse sino el 18 de Mayo, ni saberse en Constantinopla sino el 4 ó &lt;¡ de Junio.__ Aquella ponderada expedición de Bombay que había de desembarcar en Suez, se</t>
  </si>
  <si>
    <t>municiones de guerra y algunas tropas. Dicho Almirante quedaba surto á 125 leguas.dé Alexandría. El General Belliard mandaba en el Cayro, temen* do baxo sus órdenes á los Generales Lagrange, Doncelat, Bron y otros: st$~ exército era mucho masi crecido que el de Alexandría. El xefe de brigada Dup</t>
  </si>
  <si>
    <t>ivisión BeiiLrd. Artículo I. Las tropas francesas de todas clases y sus auxiliares, mandadas por el General Belliard, evacuarán la ciudad del Cayro, la ciudadela, los castillos de Bulac y Giza, y toda esta parte del Egipto que ahora ocupan, II. Dichas tropas y las auxiliares se transferirán por</t>
  </si>
  <si>
    <t>as permanezcan eñ Egipto desde la: ratificación de este convenio hasta el momento de su embarco. El General Belliard ofrece y afianza en nombre de su gobierno quedos buques empleados en el transporte y conducción de las tropas francesas, no serán detenidos en los puertos de Francia luego que las</t>
  </si>
  <si>
    <t>e Heliópolis, verificada de allí á dos meses, resolvió aquellas dudas. El convenio concluido por el General Belliard el 27 de Junio es enteramente lo mismo que el de El-Arisch; y si el Almirante Keith no obrase de buena fe* é impidiese el paso por mar, como lo hizo despues^del tratado de'El-Arisch</t>
  </si>
  <si>
    <t>s de los castillos del Cayro. En vista de todo esto no puede negarse que el convenio firmado por el General Belliard es muy glorioso para las armas francesas; y sin embargo, las cartas de Viena refieren que el General Menou no aprobó la capitulación, y que en vez de aceptarla para las tropas que m</t>
  </si>
  <si>
    <t>lon,'en donde está haciendo quarentena, que conforme al artí— etilo 16 del convenio ajustado por el General Belliard con los angío-turcos, ha sido conducido á Francia en compañía dél xefe de brigada de ingenieros Hautpoul, para comunicar al gobierno la próxima llegada de los cuerpos de tropas ma</t>
  </si>
  <si>
    <t>ntes juntos con algunos franceses y polacos los forzaron a retirarse con pérdida.” Con ia carta del General Belliard se ha publicado la capitulación del Cayro, la qual es conforme á la que se insertó en gazetas de Londres, excepto los artículos 13 y 20» que se hallan aquí con mas exactitud. El 1</t>
  </si>
  <si>
    <t>ÍO78 P*s dol .General Belliard dexen en Egipto , se entregarán, al th-mpo ¿ei embarco á los comisarios que los Gen-rales de lis potencias aliadas nombraren para hacerse cargo de ellos. 10. Las fortificaciones se e</t>
  </si>
  <si>
    <t>de Noviembre. H a y en esta ciudad muchas tropas del exército de Oriente: una parte del cuerpo d 1 General Belliard ha concluido su quarentena; y el General Berthicr, hermano del Ministro de Guerra, que vino aquí para inspección rlas, les pasó revista el i.° de este mes, manifestándoles en nomb</t>
  </si>
  <si>
    <t>Bellierd y los Comandantes, General</t>
  </si>
  <si>
    <t>General Bellierd y los Comandantes</t>
  </si>
  <si>
    <t>ito. Todo lo relativo á este'punto ¡y de los víveres se arreglará por los Comisarios que nombren eí General Bellierd y los Comandantes de tierra -y- mar de Ls tuerzas combinadas así qu3 se ratifique el presente convenio. Los Comisarios se trasladarán á Roseta ó á Abukir para hacer las disposiciones necesarias del em</t>
  </si>
  <si>
    <t>Bellifrd, General</t>
  </si>
  <si>
    <t>General Bellifrd</t>
  </si>
  <si>
    <t>bastecerse libremente á su costa de los iviveres que necesiten para su rt torno. Afianza también el General Bellifrd ■e¡n"-nóinbre de su gobierno que dichas naves no serán molestadas a su vuielta á ios puertos de las potencias combinad -vs , con i tal que por su parte no iiftcntén alguna empresa</t>
  </si>
  <si>
    <t>Bello, Francisco</t>
  </si>
  <si>
    <t>Francisco Bello</t>
  </si>
  <si>
    <t>4!. 09. Francisco Bello... Rodrigo,...... Juana de Andrade. Molino Nue- Coto de S.^An— vo....... dres de Lo- A</t>
  </si>
  <si>
    <t>Belmente Pignateli, Príncipe</t>
  </si>
  <si>
    <t>Príncipe Belmente Pignateli</t>
  </si>
  <si>
    <t>les de que Mr. Spenccr Smifh estuvo hasta ahora encargado. Peter¿burgo j.° de Febrero de 180 r. E 1 Príncipe Belmente Pignateli ha tenido su audiencia de.despedida del Emperador, quien en está ocasión le regaló una magnífica caxa con su retrato-guarnecido de diamantes. Se ha empezado en estos astilleros la</t>
  </si>
  <si>
    <t>Belmonte Pignateli, Príncipe</t>
  </si>
  <si>
    <t>Príncipe Belmonte Pignateli</t>
  </si>
  <si>
    <t>tenido patee,en:dicha muerta^ cr Berlín IJ de Febrero. A ntes de ayer llegó aquí de Petersburgo el Príncipe Belmonte Pignateli. r El Barón de Krudner, Embaxador de Rusia, dio ayer noche una magnífica fiesta á la PrinéeSa^e^Mébktéihb^rgb^Schwériii Üfqiiíd concurriéi rtfrf contra la etiqueta y costumbre SS.</t>
  </si>
  <si>
    <t>Beltran, Francisco</t>
  </si>
  <si>
    <t>Francisco Beltran</t>
  </si>
  <si>
    <t>e importa 1243 rs* *7 nirs* Otra en Ja vereda del monte viejo, que linda con tierras del vínculo de D. Francisco Beltran y de les herederos de D. Pedro Jacinto Aguado, su caber 4 fanegas y 11 celemines, tasada cada fanega en venta á 450 rs., y en renta á 1 g , que importa 2211 rs. 8 mrs. Otra en la Vegui</t>
  </si>
  <si>
    <t>Bemadal, Antonio</t>
  </si>
  <si>
    <t>Antonio Bemadal</t>
  </si>
  <si>
    <t>urten; habiendo-nombrado también S. M. Capellán del citado regíaliento de-la Princesa al presbítero D. Antonio Bemadal. .En América, En el batallón de infantería fixo de Veracruz se ha servido el Rey promover á Capitán al Teniente de cazadores D. Manuel Parada; í Teniente de cazadores al de fusile</t>
  </si>
  <si>
    <t>Benedicto XIV</t>
  </si>
  <si>
    <t>ba^oSirap.*9 rp‘n-:- v .ir- or.^?.-tí . rnstitocion eclesiástica del Smo. Padre Benedicto XIV sobré’ el pátrocinio deu S. Antonio Abad para guardar la salud de los animales; traducida én castellanq por D. Joacbin</t>
  </si>
  <si>
    <t>Cotejo puntual</t>
  </si>
  <si>
    <t>a, frejn*e;é?S. Betnardo. , . JPlos. Instituctefees seeta&amp;stifeas delSmo. Padre Benedicto XIV :. una sobre el toque de las campints enr semana santa , y. otra sobre; cumplir con la Iglesia; p)r pascu*; efl‘esca se</t>
  </si>
  <si>
    <t>res , concilios generales, teólogos , escritores eclesiásticos , martirologios, Benedicto XIV &amp;c.: por el Dr. Don Francisco Couque, Cura párroco que fué de S. Gines de Madrid y sus anexos: un tomo en folio de 407</t>
  </si>
  <si>
    <t>Bengoecheá, Francisco Antonio</t>
  </si>
  <si>
    <t>Francisco Antonio Bengoecheá</t>
  </si>
  <si>
    <t>062. ¡ D. Manuel Uriarte....................... 719,007. D. Luis Carrera.................. 719,001. D. Francisco Antonio Bengoecheá*............i,.. 781,680. , D. Joseph; Conde..-.....,...........732^642. /, El ciudadano Juan Balkenaérv..... . 823,902. , \ Doña Manuela Andreago....................... . 746,565</t>
  </si>
  <si>
    <t>Benita de Rozas y Dhimond, María</t>
  </si>
  <si>
    <t>María Benita de Rozas y Dhimond</t>
  </si>
  <si>
    <t>rtiz. ' &gt; El dia io de Abríí falleció en esta corte á ,lós 81 años y 4 meses dé edad la Excma. Sra. Doña María Benita de Rozas y Dhimond*-Marquesa1 viuda de S. Leonardo: su ardiente caridad con los pobres, su compasión con sus sirvientes, su edificante distribución de todas las horas del dia, y en fin* la virtuosís</t>
  </si>
  <si>
    <t>Benitez Cainípon, Joseph</t>
  </si>
  <si>
    <t>Joseph Benitez Cainípon</t>
  </si>
  <si>
    <t>niente, D. Francisco de la Torre: en elide Sevilla á «segundo Teniente al Subteniente de granaderos D. Joseph Benitez Cainípon:; á Subteniente de granad -ros al primer Subteniente I&gt;. Manuel Vico; á primer Subteniente al.-segundo D. Rafael de Mora, y á -segundo Subteniente al Sargento primero distinguido</t>
  </si>
  <si>
    <t>Benitez Cortés, Miguel</t>
  </si>
  <si>
    <t>Miguel Benitez Cortés</t>
  </si>
  <si>
    <t>ciudad de Ronda á D. Vicente Cano: para la Vara de Alcalde mayor de las villas del Ferrol y Grana á D. Miguel Benitez Cortés; y para la de la isla de la Palm?, en Cana-, rías á D. Anastasio Aguilar. El Consejo, á consulta de la Comisión gubernativa de consolidación de Vales, y con aprobación de S. M., h</t>
  </si>
  <si>
    <t>Benitez-emCki, Cayetano</t>
  </si>
  <si>
    <t>Cayetano Benitez-emCki</t>
  </si>
  <si>
    <t>blos del partido de Confitan, su Teniente D. Antonio Serrano ¡Polo en Ciudad-Real, y el Subdelegado D. Cayetano Benitez-emCki&amp;pajX Juxfta«§Én; la epidemia .de viruelas padecidai el,^aho-íf94iid&gt;er¿.^0L,óS3cquC!;l^é tuyiéron; naturales muriéroR. 5266 ,¡y de.vi2,428 inoculados feüeciiéiíon 5346!:- número,.</t>
  </si>
  <si>
    <t>Benjamín Labbree, Capitán</t>
  </si>
  <si>
    <t>Capitán Benjamín Labbree</t>
  </si>
  <si>
    <t>uerto desde.;atej^dos• .$*•Piciembre ;los bqqiwasi-v guien tes. El bergantín americano el Jfa.lly,, Capitán Benjamín Labbree , con carga-de harina y tabaco proccdentp;(de Fjiladelíia -cw ; destino jf. &lt;^bffdta$ *■&gt; fuó cogiclq á 2íleguas,distante,^ * - -• -»*- -- J- rv!-!.^L„ r. fragata, americana. cí .</t>
  </si>
  <si>
    <t>Benno de Camba y Sarmiento, Joseph</t>
  </si>
  <si>
    <t>Joseph Benno de Camba y Sarmiento</t>
  </si>
  <si>
    <t>Huertos: Sra una Ración de la catedral de Mondoftedo, vacante por muerte de Don finando Noguerol.á D. Joseph Benno de Camba y Sarmiento, Cura de la^arroquial le S. Salvador de Limiñon, en el arzobispado de Santiago: para el beneficio servidero de la parroqmal de S. Salvador de la ciudad de PUsencia vacante por fal</t>
  </si>
  <si>
    <t>Ber</t>
  </si>
  <si>
    <t>r. Luis de Granada, Mar­ pavimentos de Rielves y Jumilla, en dos tin de Azpilcueta , Pedro Chacón , D. Ber- quadernos de á 10 y ir cada uno , en 80 rs. nardino de Rebolledo , y D. Luis de Gón- Veinte y quatro estampas grabadas por las ora: 6.° D. Alonso Tostado, Luis Vives, pinturas qne</t>
  </si>
  <si>
    <t>Ber-gez, Francisco</t>
  </si>
  <si>
    <t>Francisco Ber-gez</t>
  </si>
  <si>
    <t>co-económica, e indicando sus ciencias auxiliares: D. Benito Sánchez sobre las artes secundarias; y D. Francisco Ber-gez sobre comercio y moneda-----Hecha la graduación del mérito de los , alumnos resultaron en la olase de sobresalientes el Dr. D. Melchor Borrucl, D. Ramón Garcés de Marciila, D. Vic</t>
  </si>
  <si>
    <t>Beramendi, Juan Antonio</t>
  </si>
  <si>
    <t>Juan Antonio Beramendi</t>
  </si>
  <si>
    <t>omandante de esquadroa del regimiento de Milicias urbanas de caballería de Huanta al Sargento mayor D. Juan Antonio Beramendi, y Compañía al Teniente D. Juan Joseph Negron, Ayudante del mismo cuerpo: empleo de Comandante de esquadron en el de Milicias urbanas de dragones de Quispicanchi al Teniente Coron</t>
  </si>
  <si>
    <t>Bergcz, Francisco</t>
  </si>
  <si>
    <t>Francisco Bergcz</t>
  </si>
  <si>
    <t>al Douden y D. Antonio Séta; y de i.° D. Fabian Lorente, D. Francisco Oteiza, Don’ Benito Sánchez y D. Francisco Bergcz, exercitando estos últimos sobre la ' doctrina de las Instituciones, ilustrada con las aplicaciones ménos difíciles á la práctica: los de 2.* año sobre la de las obras clásicas po</t>
  </si>
  <si>
    <t>Berges, Francisco</t>
  </si>
  <si>
    <t>Francisco Berges</t>
  </si>
  <si>
    <t>la clase de buenos D. Rafael Bos Campesino, de tercer año, D. Francisco Oteiza, D, Benito Sánchez, D. Francisco Berges y D. Alfonso González de Araguz, de segundo año—_ Se celebraron también los dias 25 y 26 de Mayo los exámenes públicos de la cátedra de química, que dirige su profesor D. Francisco Ot</t>
  </si>
  <si>
    <t>Bernabé Ch-uri</t>
  </si>
  <si>
    <t>ez dé AlburquerqBe. En el de infantería de Mallorca 4 primer Teniente.. . al segundo de'.granaderos D. Bernabé Ch-uri; á segundo Teniente de gra• naderes a! de fusileros D. Ángel de Torosegundó Teniente ai Snbteai-nte de granaderos D. Ramón Sánchez de la Giícirra; á estl result.ral primer Subteni</t>
  </si>
  <si>
    <t>Bernabé Chauri</t>
  </si>
  <si>
    <t>r Teniente al segundo de granaderos D. Juan Sarri; á segundo Teniente de granaderos al de fusileros D. Bernabé Chauri ; á segundo Teniente al Subteniente de granaderos D. Fernando Alcocer; á Subteniente de granaderos al de fusileros D. Ramón Sánchez de la Guerra; á primer Subteniente al.segundo D</t>
  </si>
  <si>
    <t>Bernabé Frex</t>
  </si>
  <si>
    <t>esta resulta al segundo Subteniente D. Joseph Ximeno, y á segundos Subtenientes al Sargento primero D. Bernabé Frex y al Cadete D. Francisco Castañera: en el de la princesa á segundo Subteniente al de esta clase del de Córdoba D. Joseph Navarro: en el de Jaén á Ayudante al primer Teniente de gran</t>
  </si>
  <si>
    <t>Bernad, Pedro</t>
  </si>
  <si>
    <t>Pedro Bernad</t>
  </si>
  <si>
    <t>a conferido el Rey el empleo de Ayudante general del cuerpo, que ha resultado vacante por salida de D. Pedro Bernad. En la Compañía Española del mismo Real cuerpo ha nombrado S. M. Exento de número, al supernumerario D, Pedro Martínez Espinal, y por Exento supernumerario al Cadete Conde de Bena</t>
  </si>
  <si>
    <t>Bernad, Tomás</t>
  </si>
  <si>
    <t>Tomás Bernad</t>
  </si>
  <si>
    <t>677 En atención al distinguido mérito y dilatados servicios dul limo. Señor D. Tomas Bernad, Barón de Castiel, ha venido S. M. en concederle plaza de Ministro de ía Cámara. El Dean y Cabildo de la santa iglesia de Orihuela, habiendo practicado las mas vivas y eficaces di</t>
  </si>
  <si>
    <t>Bernadotte, General</t>
  </si>
  <si>
    <t>General Bernadotte</t>
  </si>
  <si>
    <t>rpo de granaderos que estaba en Tpurs, se .han puesto en marcha para Brest, Burdeos y Rochefbrt. El General Bernadotte tiene freqüentes conferencias con diputados de los irlandeses-unidos que hay en París. Con fecha del ló han decretado los Cónsules de ]a República lo siguiente: ,,Art. i.° En Burd</t>
  </si>
  <si>
    <t>en verona: El Gapitan Múller, Ayudante del General Quantin, Comandante en Belle-isle, ha escrito al General Bernadotte diciéndole: „E1 dia 18 al amanecer se avistó á tiro y medio de cañón de Belle-isle un buque con bandera francesa y señales de pedir auxilio. Se acercó una lancha en que habia 4 pe</t>
  </si>
  <si>
    <t>6/6 Parts $ de Junto. E 1 General Bernadotte ha dado aviso al ministerio de que han sido castigados con pena de muerte dos traidores ,qne habían formado el proyecto de entregar BeHe-Isle á los enemigos de la República. El di</t>
  </si>
  <si>
    <t>ezó el dia- 24 el servicio de correos para la correspondencia con Inglaterra. Ha llegado á París el General Bernadotte. Dícese^que el primer Cónsul irá á León acompañándole el Ministro</t>
  </si>
  <si>
    <t>Bernal Moran, Miguel</t>
  </si>
  <si>
    <t>Miguel Bernal Moran</t>
  </si>
  <si>
    <t>lle gar á su noticia , y en caso de que esté vivo pase á entregarse en sus pertenencia, ó escriba á D. Miguel Bernal Moran , Procurador dé los Reales Consejos en Madrid. Los subscriptores al Compendio cronológico de la Historia de España, por Dóií Joseph Ortiz y Sanz, de la Real bib ioteca de S. M. ,</t>
  </si>
  <si>
    <t>Bernarda Vcrez Gutiérrez</t>
  </si>
  <si>
    <t>os y ali&gt;v|9 de los maestros , repartidas e,n lecciones, ilustradas con notas y algunos avisos, por D. Bernarda Vcrez Gutiérrez, Presbíterq, Racionero y Maestro de capilla on la Sta. Iglesia catedral de Osma obra de mucho aprecio, y de la mayor utilidad al público facultativo, por el patente beneficio que</t>
  </si>
  <si>
    <t>Bernardino</t>
  </si>
  <si>
    <t>váy D. Antonio Jaquez; á primeros Subtenientes á los segundos D. Nicolás Caonedo, D. Miguel Buergo, D. Bernardino dei Pozo, D. Luis Gutiérrez, D. Christóbal Bolano y D. Andrés jQlarria, y a segundos Subtenientes á.los Sargentos primeros D. Juan Sobrado , ¡ D. Manuel Torregrosa , este de granader</t>
  </si>
  <si>
    <t>Bernardino Fañola</t>
  </si>
  <si>
    <t>entes de fusilerós á los Subtenientes D. Mariano González, D. Bernardo Flores, D. Feliciano Candía, D. Bernardino Fañola, D. Pedro Moralesy al paisano D. Juan Joseph de, OJaneta; á Subteniente de granaderos á.D. Buenaventura Morales ;.á Subtenientes de fusileros á los Sargentos primeros D. Juan Calv</t>
  </si>
  <si>
    <t>Bernardino Noecbi</t>
  </si>
  <si>
    <t>adero rr.trato del Sto. P. Pió VII , dibuxado en Roma del original en figura He medalla del célebre D. Bernardino Noecbi, pintor de S. S. , grabado par D. Juan Brunet?. Se vende en la librería de Escribano, calle de las Carretas,á 4rs. En ía librería de Barco, carrera de S. Gerónimo , se hallarán la</t>
  </si>
  <si>
    <t>Bernofa Laurel, Juan Melchor</t>
  </si>
  <si>
    <t>Juan Melchor Bernofa Laurel</t>
  </si>
  <si>
    <t>aritíUanapén el obispado de Santander, vacante por fallecimiénto de D. Juan^Antonio de la Cuesta, á D. Juan Melchor Bernofa Laurel, Racionero de la misma colegial;-y para el Beneficio Préstamo de la parroquia de Santa María dei lugar , de Cadavedo, en fa d iócésls de 'Oviedo, vacante por muerte* ¡de D. • Isid</t>
  </si>
  <si>
    <t>Berns</t>
  </si>
  <si>
    <t>n aquellos puertos. Hoy tuvo Mn Drummond, Encangado de Negheios de Inglaterra, una' conferencia con Mr. Berns.toríF,,Ministra de,£$tad», en la qnabse ha^ brásiU duda tratado de ias dcsavénencias pendjentes en^e;;]ps dos gábiner ies¿tF^rec¿,quq élde Dinamarca no está bOíánimodd cefe?;sdebJ</t>
  </si>
  <si>
    <t>BernstorfF</t>
  </si>
  <si>
    <t>storff.. También visitó á Mr. Lizakewitz, Ministro ruso, con quien comió, y fuá quien le presentó á Mr. BernstorfF._~El Comendador dinamarqués Mr. Bille envió-un oficial á bordo de la fragata inglesa para cumplimentar al Lord Saint-Helens con motivo de su llegada.’ En el puerto de Iloyvarde, e</t>
  </si>
  <si>
    <t>Bernstorff, Conde</t>
  </si>
  <si>
    <t>Conde Bernstorff</t>
  </si>
  <si>
    <t>egat cruza una fragata de la misma nación. Mañana sale de aquí para Londres el Secretario de Estado Conde Bernstorff, que va en calidad de Embaxador extraordinario á tratar, según dicen, la paz con el gobierno ingles. Durante su ausencia despachará ea su lugar el Ministro de Estado Conde de Reve</t>
  </si>
  <si>
    <t>Bernstoríf, Conde</t>
  </si>
  <si>
    <t>Conde Bernstoríf</t>
  </si>
  <si>
    <t>ngles: quiza espera sacar mejor partido para su navegación y comercio , de las negociaciones que el Conde Bernstoríf ha entablado.en Londres, que accediendo al referido convenio. Semlin í.° de Agosto. S e ha confirmado plenamente la derrota de las tropas otomanas cerca de Widín. Baswan Ggiow ten</t>
  </si>
  <si>
    <t>Berriardó Herreró</t>
  </si>
  <si>
    <t>de la parroquial dé Mnriel, 'en' la diócesis dé Avila, vacante por muerte de D. Fernando Monroya* á D. Berriardó Herreró, Cüra de la parroquial del lugar de Gallinas Í en el obispado de Valladolid: para otro de la de S. Bartolomé de la ciudad de Murcia, obispado de Cartagena, vacante por fallecimien</t>
  </si>
  <si>
    <t>Berrio, Salvador</t>
  </si>
  <si>
    <t>Salvador Berrio</t>
  </si>
  <si>
    <t>Castilla á Capitán al primer Teniente D. Antonio Barona;á primer Teniente al segundo ee granaderos D. Salvador Berrio; á segundo Teniente de granaderos, al. de fusileros D. híanuel Zaro; á segundo Teniente al Subteniente eje panaderos D. Manuel de la Fuente; ¿ Subteniente de granaderos al de fusi</t>
  </si>
  <si>
    <t>Berriz y Guznian, Rafael</t>
  </si>
  <si>
    <t>Rafael Berriz y Guznian</t>
  </si>
  <si>
    <t>rtaestandar tes 4 los Cadetes: de los regimientos de Alcántara y Montesa D: Francisco C és* pedes y D. Rafael Berriz y Guznian : en el de Voluntarios de España i primer Teniente al segundo Teniente 0. Cárlos Victoria y 4í segundo Teniente ai Alférez D. Laureano dejas Fuentes» y á esta resulta al Cadete 0.</t>
  </si>
  <si>
    <t>Berriz, Vicente</t>
  </si>
  <si>
    <t>Vicente Berriz</t>
  </si>
  <si>
    <t>D. Pedro Lobo Cabrilla y D. Francisco Bcrja Sandoval : en el de Badajoz la Tenencia de cazadores á D. Vicente Berriz, Teniente de fusileros; Tenencia de esta clase á D. Pedro Bootello, Subteniente de cazadores ; esta resulta á D. Francisco Arias de Mercado, y Subtenencia de bandera á D. Alonso S</t>
  </si>
  <si>
    <t>Berrueco, Buenaventura</t>
  </si>
  <si>
    <t>Buenaventura Berrueco</t>
  </si>
  <si>
    <t>sréban Ximenez; á Tenientes de fusileros á los Subtenientes D. Cecilio Calonge, D. Antonio Navarro, D. Buenaventura Berrueco, D. Manuel Urruchurtu, D. Joseph María Gómez de Humaran, D. Manuel Pantoja, D. Joseph Ignacio García, D. Cayetano Revueltas, a! Cadete Don Domingo Urqiiijo, y a los paisanos D. Fe</t>
  </si>
  <si>
    <t>Berrueco, Joseph María</t>
  </si>
  <si>
    <t>Joseph María Berrueco</t>
  </si>
  <si>
    <t>itán D. Agustín Oramas; y en el de igual clase de la plaza de Cartagena á Capitanes á los Tenientes D. Joseph María Berrueco, D. Mateo Nuñez, D. Antonio Flor y Olmos, D. Hilario del Mueute, D. Domingo Verastegui y D. Ildefonso de la Barreda; á Tenientes de granaderos á los de fusileros D, Antonio Urruch</t>
  </si>
  <si>
    <t>Berthicr, General</t>
  </si>
  <si>
    <t>General Berthicr</t>
  </si>
  <si>
    <t>del exército de Oriente: una parte del cuerpo d 1 General Belliard ha concluido su quarentena; y el General Berthicr, hermano del Ministro de Guerra, que vino aquí para inspección rlas, les pasó revista el i.° de este mes, manifestándoles en nombre del primer Cónsul su satisfacción por los esfue</t>
  </si>
  <si>
    <t>Berthier, General</t>
  </si>
  <si>
    <t>General Berthier</t>
  </si>
  <si>
    <t>ca, y no tardará en botarse al agua el nombrado' el Aguila. Hallándose Mr. Sprengportcn en casa del General Berthier , Ministro de Guerra, vió la Relación de la expedición de Egipto, que acaba de publicar dicho Ministro, quien le regaló un exemplar. Mr. Sprengporten lo en</t>
  </si>
  <si>
    <t>363 vio á Paulo I, y este Soberano acaba de escribir al General Berthier una carta muy expresiva , diciéndole que ha leído con ínteres aquella obra; y al mismo tiempo le envía una pelliza de mucho precio. Varias cartas llegadas de la India por el camin</t>
  </si>
  <si>
    <t>presentar al primer Cónsul el plan del foro de Bonaparte, que es obra suya; y el otro entregará al General Berthier un sable d[e mucho precio de parte del gobierno cisalpino. Sitas burga i.° de Abril. P arece que los Electores y Príncipes eclesiásticos del Imperio, en vez de someterse á las mud</t>
  </si>
  <si>
    <t>Berthollet</t>
  </si>
  <si>
    <t>® Elementos del arte de teñir , escritos en marquilla, á 7 rs. en papel, y 11 en pasta. francés por Mr. Berthollet, traducidos con Discurso sobre el luxo de las Señoras , y adiciones por D. Domingo García Fernan­ proyecto de un trage nacional. En 8.° á 4 dez. Dos tomos en 8.° marquilla , en pa</t>
  </si>
  <si>
    <t>Bertiz, Nicolás</t>
  </si>
  <si>
    <t>Nicolás Bertiz</t>
  </si>
  <si>
    <t>ro; sus resultas al Capitán D. Felipe Portocarrero; empleo de Alférez de granaderos al de fusileros D. Nicolás Bertiz, y de fusileros á D. Santiago Sosa y D. Pvamoii Gonzalo, Cadete y Sargento primero del propio regimiento: la Sargentía mayor dél de Milicias urbanas dé caballería de Huanuco al Ca</t>
  </si>
  <si>
    <t>Bertolon</t>
  </si>
  <si>
    <t>us observaciones, se halló al enfermo enteramente bueno. Este hecho da mucho valor á la doctrina de Mr. Bertolon sobre ia aplicación de la electricidad á* ciertos enfermos calenturientos. Por lo demas, es dé sentir que en este pueblo no haya habido quien sé anime á poner en uso los pararayos</t>
  </si>
  <si>
    <t>Bertrán, Joseph</t>
  </si>
  <si>
    <t>Joseph Bertrán</t>
  </si>
  <si>
    <t>Pedro Antonio Brte: para una Ración de la metropolitana de Tarragona, vacante pon fallecimiento de D. Joseph Bertrán, á D. Rafael de Galli: para el Beneficio que este obtiene,"y resultará vacante en dicha iglesia metropolitana, á D, Joseph de Galli;"y para otro Beneficio de la parroquial de Zufr</t>
  </si>
  <si>
    <t>Bertrán, Ramón</t>
  </si>
  <si>
    <t>Ramón Bertrán</t>
  </si>
  <si>
    <t>darte D. Juan Cañete; y en el de dragones de Aimansa á Alféreces al Sargento primero de granaderos. D. Ramón Bertrán y al Cadete D. Antonio Salgado. S. M. ha promovido á Ingenieros extraordinarios de sus exércitos, plazas y fronteras á los Ayudantes de Ingeniero D. Joseph Mariano Áloy y D. Juan Já</t>
  </si>
  <si>
    <t>Bessieres, General</t>
  </si>
  <si>
    <t>General Bessieres</t>
  </si>
  <si>
    <t>. . .. -pn ... ..... rP&amp;rf&amp; tt 8 de Abril. - •; - - r * la noche del 2 5 ,;!at '-26^al!Ó de acjuíel General Bessieres á recibir il InfantaPtíncipe dé *Payma7 qüe gor oLtratado de Lunevilie va á ocu</t>
  </si>
  <si>
    <t>BeUiard, General</t>
  </si>
  <si>
    <t>General BeUiard</t>
  </si>
  <si>
    <t>y 21 de Marzo en 5® hombres muer roí. Ademas padecen mu¿ho- por las enfermedades de Jos ojos. Si el General BeUiard consigue derrotar al cuerpo ingles que se halla en Terrannée,-po</t>
  </si>
  <si>
    <t>Beurnonviile, General</t>
  </si>
  <si>
    <t>General Beurnonviile</t>
  </si>
  <si>
    <t>s de la plaza, y consiguió satisfacer y apaciguar á las tropas. . . j» Berlín jg&gt; de Agosto. &gt; I Ll General Beurnonviile, Ministro de la República francesada repetido sus instancias sobre la cesión del Ducado de Cleves. No solamente se dice que se dará en resarcimiento al Rey de Prusia los. obispado</t>
  </si>
  <si>
    <t>Beurnonvilie, General</t>
  </si>
  <si>
    <t>General Beurnonvilie</t>
  </si>
  <si>
    <t>guerra desde Rendsburgo á Glukstadt, ciudad del Ducado de Hoístein, situada á 12 leguas de aquí. El General Beurnonvilie, Ministro de Francia en Berlín, na remitido á Petersburgo los pasaportes del gobierno de Francia para el Conde de Kalitschew y su comitiva, habiendo sido el Baton de Krudner, Envi</t>
  </si>
  <si>
    <t>Beurnonville, General</t>
  </si>
  <si>
    <t>General Beurnonville</t>
  </si>
  <si>
    <t>ón de Krudner, Embaxador de Rusia, dio el dia 11 un gran banquete diplomático, al que asistieron el General Beurnonville, Ministro de Francia, y el Lord Carisford, Ministro ingles; y se noto que estaban sentados el uno al lado del otro. El ciud. Hultmann, que ha venido aquí por orden del Directorio</t>
  </si>
  <si>
    <t>Bey, Capitán</t>
  </si>
  <si>
    <t>Capitán Bey</t>
  </si>
  <si>
    <t>Nepeau, secretario del Almirantazgo: ,, Abukir ha capitulado___ El mismo dia por la tarde llegó el Capitán Bey con 2 navios de línea, 405 fragatas ó corbetas, y alguna* naves menores.” Se han publicado otras dos cartas del General Abercrombie fechas en el campo de Alexandría á 16 y 18 de M</t>
  </si>
  <si>
    <t>Biake, Capitán</t>
  </si>
  <si>
    <t>Capitán Biake</t>
  </si>
  <si>
    <t>sentado un Capitán de granaderos* ^ue dexó una targeta con su nombre, añadiendo io siguiente: ,* El Capitán Biake, que quedó por muerto ea el campo de bataUa «a la jornada de.</t>
  </si>
  <si>
    <t>Bickerton</t>
  </si>
  <si>
    <t>6 de octubre de 1801</t>
  </si>
  <si>
    <t>erto navegaba el 27 de Agosto la esquadra del Almirante Pole, compuesta de 6 navios de línea. La de Mr. Bickerton, que solo consiste en 3 navios, incluso el nombrado Tigre, se incorporó el 18 de Junio con la del Almirante Keith delante de Alexandría. Mr. Ferris, Capitán del Aníbal, y los dema</t>
  </si>
  <si>
    <t>Va:cr. Las cartas particulares de Egipto confirman que la peste hace grandes estragos en el Cayro. *Mr. Bickerton ha tremolado su bandera en el navio Madras de 50 cañones : mandará el apostadero de Egipto hasta que todas nuestras tropas hayan salido de aquel país; y entonces se trasladará á M</t>
  </si>
  <si>
    <t>Bickerton, Almirante</t>
  </si>
  <si>
    <t>Almirante Bickerton</t>
  </si>
  <si>
    <t>de los buques apostados como baterías flotantes en la entrada de los puertos. Parece que el Contra-Almirante Bickerton era el que mandaba el navio Swiftsure, apresado por la esquadra del Almirante Gantheaume, El Lord Nelson, nombrado comandante en xefe de las fuerzas inglesasen los mares del Norte,</t>
  </si>
  <si>
    <t>Bickerton, Ricardo</t>
  </si>
  <si>
    <t>Ricardo Bickerton</t>
  </si>
  <si>
    <t>uques de .guerra y-,muchas tropas: que poco:ántes se~. avisto desde Malt-votra.división mandada por Mr. Ricardo Bickerton, ha-, ciendo rumbo al mismo,,parage:• que al propiOftiempo salió de la Iridia otra: expedición para ..sostener? .las»operaciones de los, ingleses, y que ya la suponía llegada á su</t>
  </si>
  <si>
    <t>Bickgrton, Ricardo (almirante)</t>
  </si>
  <si>
    <t>Almirante Ricardo Bickgrton</t>
  </si>
  <si>
    <t>ia isla de Wight por el Príncipe heredero de Orange. ¡ El Almirante Ricardo Bickgrton ha ido á reemplazar 4 Mr* SMney-Smith *en el apostadero de Jas costas de Egipto. .: -o. El Conde de Sñffolkpidió eldiar5 :ea la Cámara alta que Ministros diesen razoil positiva de</t>
  </si>
  <si>
    <t>Bigarrie, Antonio</t>
  </si>
  <si>
    <t>Antonio Bigarrie</t>
  </si>
  <si>
    <t>cia........ 18. ay. Antonio Bigarrie........ Antonio y Margarita Autie....... Quillan en id.... 18. ay. Francisco Badie......... Francisco y María Vivas.......... Soler en el Rosellon............ P- «3* S</t>
  </si>
  <si>
    <t>Bigodet, Gaspar</t>
  </si>
  <si>
    <t>Gaspar Bigodet</t>
  </si>
  <si>
    <t>to de infantería de Murcia á Capitán al Ayudante D. Plácido de Silva; á Ayudante al primer Teniente D. Gaspar Bigodet; á primer Teniente de granaderos al de fusileros D. Joseph Muñoz; á primeros Tenientes de fusileros á los segundos de granaderos D. Francisco Gijon y D. Manuel Casaus; á segundos</t>
  </si>
  <si>
    <t>Bilbao, Joachín</t>
  </si>
  <si>
    <t>Joachín Bilbao</t>
  </si>
  <si>
    <t>o Ayudante graduado de Capitán D. Pedro Angel Marcó del Pont; á segundo Ayudante aL primer Teniente D. Joachin Bilbao; á primer Teniente al segundo D. Ventura Pujo lar, y á esta resulta al segundo Teniente agregado D. Joachin de Nava y Campománes : y en el regimiento de Ñapóles á Capitán al Ayuda</t>
  </si>
  <si>
    <t>Bilfinger, General</t>
  </si>
  <si>
    <t>General Bilfinger</t>
  </si>
  <si>
    <t>ora siji libertad por mediación de varias cortes. Igualmente la obtendrán en breve Mr. de Wolf y el General Bilfinger, que están arrestados desde que firmaron la capitulación del'castillo de Hohentwiel. Ratisbona 12 de Noviembre. N&lt; o están aun nombrados todos los vocales que han de formar la dip</t>
  </si>
  <si>
    <t>Bille</t>
  </si>
  <si>
    <t>inistro ruso, con quien comió, y fuá quien le presentó á Mr. BernstorfF._~El Comendador dinamarqués Mr. Bille envió-un oficial á bordo de la fragata inglesa para cumplimentar al Lord Saint-Helens con motivo de su llegada.’ En el puerto de Iloyvarde, en Noruega,, á 4 millas al norte de Stava</t>
  </si>
  <si>
    <t>Billings</t>
  </si>
  <si>
    <t>nentes. El autor de la relación es Mr. Sauer, que hizo el mismo viage como secretario particular de Mr. Billings, y actualmente se halla en Londres para cuidar de la impresión de esta obra. Mr. Arrow-Smith está encargado de formar los mapas de este viage. No parece que el Capitán Billings ha</t>
  </si>
  <si>
    <t>Billings, Capitán</t>
  </si>
  <si>
    <t>Capitán Billings</t>
  </si>
  <si>
    <t>ón de esta obra. Mr. Arrow-Smith está encargado de formar los mapas de este viage. No parece que el Capitán Billings haya descubierto ninguna nueva tierra; pero después de haber doblado la punta del Asia oriental, y haber pasado del mar de Ochotsh al del Japón, consiguió atravesar todo el canal</t>
  </si>
  <si>
    <t>Biraonaf, Juan</t>
  </si>
  <si>
    <t>Juan Biraonaf</t>
  </si>
  <si>
    <t>1144 deon, D. Tomas Ruiz de Bustamante» D. Juan Biraonaf y,D. Marcos García y Pérez: para otra Canongía de la catedral de Cuenca, vacante por promoción de,D.,Gaspar de Hacdo y Espina al ^.reedianato de S. Felipe, á p. Ramón de Oñate, Cape</t>
  </si>
  <si>
    <t>Biscli y Arnau, Juan</t>
  </si>
  <si>
    <t>Juan Biscli y Arnau</t>
  </si>
  <si>
    <t>yo. E n los regimientos provinciales ha conferido el Rey en el de Plasencia Tenencia de fusileros á D. Juan Biscli y Arnau, Subteniente de la misma clase; la Subtenencia de cazadores á D. Pascual Gamero y Santos, y Subtenencias de fusileros á D. Antonio Villaamil, D. Francisco de Paula Barrantes, D. P</t>
  </si>
  <si>
    <t>Bishop, Tomás (capitán)</t>
  </si>
  <si>
    <t>Capitán Tomás Bishop</t>
  </si>
  <si>
    <t>brada Canrier de Deptford , de 210 toneladas de porte , que monta 10 carenadas delcalibre de¡ á 12, Capitán Tomas Bishop , con carga de carne salada , harina y otros, víveres, que llevaba..desde Plimoath á Gibraltar; había salido el,(3o do Marzo con un xonvoy,.de 30 velas escoltadas por dos fragatas</t>
  </si>
  <si>
    <t>Bisson, General</t>
  </si>
  <si>
    <t>General Bisson</t>
  </si>
  <si>
    <t>cia. El General Cassagne cogió 4 cañones y 1© prisioneros; y el castillo de Valleggio se entregó al General Bisson, que halló en él 3 cañones y 300 hombres. Durante esto el General Lessuire atacaba á Borghetto con pasmoso atrevimiento. Los enemigos acometidos por la espalda y el frente se entr</t>
  </si>
  <si>
    <t>Black, Joachín</t>
  </si>
  <si>
    <t>Joachín Black</t>
  </si>
  <si>
    <t>Mencionado en una noticia de la Gazeta extraordinaria.</t>
  </si>
  <si>
    <t>Gazeta extraordinaria</t>
  </si>
  <si>
    <t>46 (extraord.)</t>
  </si>
  <si>
    <t>na y Barbastro, con otras partidas de los mismos regimientos de caballería. El Coronel de la Corona D. Joachin Black dispuso sus tropas en escalones para que se sostuviesen mutuamente con oportunidad y acierto. Lo espeso del olivar, el terminarse en una cuesta pendiente al fin de las explanadas</t>
  </si>
  <si>
    <t>Blacke, Joachín</t>
  </si>
  <si>
    <t>Joachín Blacke</t>
  </si>
  <si>
    <t>17 de junio de 1801</t>
  </si>
  <si>
    <t>56 (extraord.)</t>
  </si>
  <si>
    <t>dos esquadrones del de Húsares, el batallón de Gerona y el de Valencia, mandados por sus Coroneles D. Joachin Blacke, Marques del Palacio, D. Joseph Joachin Martí y D. Lino .Vicente; y el batallón de cazadores provinciales de Castilla la Vieja por el Coronel D. Juan Crisóstomo Ruiz : mandados po</t>
  </si>
  <si>
    <t>Blackwell</t>
  </si>
  <si>
    <t>huyese con ellos ; pero enteramente confiado en la'justicia, de su causa, defechó esta proposición. Mr. Blackwell, que era uno de los que huían ,al de .'prenderse por una muralla cayó, habiéndose roto la cuerda: fué. cogido y encerrado en un calabozo. {.. Xas nodeiasjde.Bengala del 8 de Octub</t>
  </si>
  <si>
    <t>Blanco y Crespo, Joseph María</t>
  </si>
  <si>
    <t>Joseph María Blanco y Crespo</t>
  </si>
  <si>
    <t>stral' de la Real capilla de Sevilla,, vacante por fallecimiento de D. Francisco dePaula Cartaya, á D. Joseph María Blanco y Crespo, Colegial en el de&gt; Sta María de Jesús de aquella universidad *. para la Sacristía mayor del; Kezl monasterio de Bañólas á D. Fr-Luciano de Regas y de Puigrubi : pa~ ra el oficio</t>
  </si>
  <si>
    <t>Blanco, Joseph</t>
  </si>
  <si>
    <t>Joseph Blanco</t>
  </si>
  <si>
    <t>D. Antonio Sarmiento; á segundo Teniente ai Alférez D. Joachín Pcrez; á Alférez al Portaestandarte D. Joseph Blanco , y á Portaestandarte al Cadete D. Ramón Antonio López v en el de la Costa de Granada á primer Teniente al segundo D. Antonio Baeza, y á segundo Teniente al Alférez D. Francisco d</t>
  </si>
  <si>
    <t>amón........... ys. Joseph Blanco...., Pedro............ María Erbella...,. Vidueyra..... . Manaaceda.,... $0, *8. Joseph Leal......... Joseph.y»....... María Velay....... Mame de Bodano....... Car</t>
  </si>
  <si>
    <t>Blanket</t>
  </si>
  <si>
    <t>orte quando se vola el buque de guerra nombrado la Rey na Carlota, no pudo descifrar los pliegos de Mr. Blanket. Nada Uias^ ha transpirado relativamente á nuestro exér* cito de Egipto. De Cantón, en la China, ha Hegado á Newyork una embarcación llamada Severn, cuyo Capitán refiere que á med</t>
  </si>
  <si>
    <t>Blankett, Almirante</t>
  </si>
  <si>
    <t>Almirante Blankett</t>
  </si>
  <si>
    <t>f22 fies de Febrero debía llegar á Suez la expedición del Contra-Almirante Blankett. Ha dado este gobierno órdenes: é instrucciones semejantes á las que envió hace tres años á las tropas de las costas: previene que en caso de una invasión de parte de los enemigos</t>
  </si>
  <si>
    <t>contenga mas circunstancias sobre aquel suceso» Otras gazetas añaden que se han recibido cartas del Almirante Blankett escritts en Suez: y así no queda duda de su llegada á aquella ciudad. No consta del mismo modo haber llegado la esquadra de Mr. Home-Popham, que también se espera en ei mismo puerto</t>
  </si>
  <si>
    <t>1 gazeta las fuerzas délos franceses en Egipto no pasan de 8© hombres. Sin embargo:, el mención ¡do Almirante Blankett ha escrito al Coronel Holloway (que sirve en el exérpb to de! Gran Visir) diciéndole que al cabo de una penosa y arriesgada navegación había entrado en Suez con el único navio de</t>
  </si>
  <si>
    <t>ponderada expedición de Bombay que había de desembarcar en Suez, se na reducido al único navio del Almirante Blankett con 260 hombres entre ingleses y cipayos-----La noticia de un ataque de los ingleses contra la Guadalupe, carece de fundamento-----Una multitud de agentes de Inglaterra inundan la</t>
  </si>
  <si>
    <t>Blanquet, Almirante</t>
  </si>
  <si>
    <t>Almirante Blanquet</t>
  </si>
  <si>
    <t>La va mandando el Almirante Hervey. í Parece cierto que Mr. Home~Popham ha ido á relevar al Contra- Almirante Blanquet en el mando de las fuerzas británicas del mar Roxo, en cuya navegación está muy impuesto, por haberlo'recorrido muchas veces siendo Capitán mercante. . El 31 de Diciembre hizo Mr. N</t>
  </si>
  <si>
    <t>nos tiempo que del otro modo.__ Se han recibido avisos de haber llegado al mar Roxo la esquadra del Almirante Blanquet; pero nada expresan sobre si lleva p tío-tropas de desembarco. ‘ , En virtud de una orden■ del Consejo, ^expedida él dia 5;, se ha levantado en nuestros puertos el embargo de las</t>
  </si>
  <si>
    <t>Blarfke, Almirante</t>
  </si>
  <si>
    <t>Almirante Blarfke</t>
  </si>
  <si>
    <t>del Secretario del Lord Elgín, víno en el,último paquebot de Hamburgo un oficial despachado por el Almirante Blarfke tí con la noticia de haber llegado de Bombay á Suez un cuerpo de ingleses y cipayos. Añade á esto una gazeta de Gibraltar del 29 de Mayo, que aquel cu.rpo se componía de 10® hombr</t>
  </si>
  <si>
    <t>Blasco de Orozco, Nicolás</t>
  </si>
  <si>
    <t>Nicolás Blasco de Orozco</t>
  </si>
  <si>
    <t>sta de sus bienes libres , ha tomado intervención én ella eí Ministro mas cercano de 5. M. en Farma D. Nicolás Blasco de Orozco t cuyo aviso se da para que sirva do gobierno á los que se crean con derecho á dichos bienes y estados que poseía la difunta. ‘ • »• Quien quisiere hacer mejora á un oficio de Rec</t>
  </si>
  <si>
    <t>Blasco, Máximo Antonio</t>
  </si>
  <si>
    <t>Máximo Antonio Blasco</t>
  </si>
  <si>
    <t>ltad reunida, añadida DelineatiQ m«teriaó medica® JüXta moví systematis Browr.ianJ principia *. por D. Máximo Antonio Blasco, médico en Alicante. En estos elementos, después de proponer un método breve y sencillo de formar recetas , de dar una idea de los alimentos y bebidas &gt; de Ja acción y' prescripci</t>
  </si>
  <si>
    <t>Blat, Juan</t>
  </si>
  <si>
    <t>Juan Blat</t>
  </si>
  <si>
    <t>........... 33. ao. Juan Blat...... . Juan y Juana Autie............. ...... Pesillat en id... 41. ig. D» Joseph Casais,....... Don Galderique y Dofia María</t>
  </si>
  <si>
    <t>Blazquez, Pedro</t>
  </si>
  <si>
    <t>Pedro Blazquez</t>
  </si>
  <si>
    <t>eales guardias Españolan se ha servido promover el Rey á Comandante del sexto bitallón al Brigadier D. Pedro Blazquez, Capitán del mismo cuerpo; y en el de caballería de Borbon á Capitán á su Caballero Page D. Ri mon Armenta. También se ha dignado S. M. promover en el regimiento de caballería de</t>
  </si>
  <si>
    <t>BLcston, Almirante</t>
  </si>
  <si>
    <t>Almirante BLcston</t>
  </si>
  <si>
    <t>no turco. Despachó igualmente el Lord Keith 4 navios de línea y otras tantas fragatas, ai mando del Almirante BLcston,para que crucen delante de Alejandría, é intercepten Jgimos buques de guerra franceses,, que se asegura han salido de Tolon con toda suerte de socorros 4&gt;ara Egipto.,—-Estos di as</t>
  </si>
  <si>
    <t>Blecheroísen</t>
  </si>
  <si>
    <t>n bandera y convoyes ingleses: todos sus papeles y despachos están escritos en la propia lengua---- Mr. Blecheroísen, Ministro dinaroar-r ques cerca dei Congreso, liego el 16 de Junio áFiladdfia, y poco despueií siguió á la ciudad de Washington, en donde ha de residir. Acaban de regresar a este</t>
  </si>
  <si>
    <t>Bloensberg</t>
  </si>
  <si>
    <t>a que háy allí* sypuso la primer piedra: del áueltá&gt; ¿edificio* para la academia. Se ha concedido á Mr. Bloensberg, comerciante en Gothemburgo, privilegio exclusivo para la introduccioii de aguardiente extrangero, á fin de que no carezca de dicha bebida aquella ciudad, ni las pesquerías de Boh</t>
  </si>
  <si>
    <t>Blucher, General</t>
  </si>
  <si>
    <t>General Blucher</t>
  </si>
  <si>
    <t>a no quedan en esta ciudad mas que 5 0.0 hombres de infantería y i@o dragones baxo 'las órdenes del General Blucher. El Príncipe Eedericó de Hesse, con un cuerpo de ¿tropas dinamarquesas, hjzo la intimacion á Ratzburgó ; pero el comandante de la guarnición hannoveriana respondió que no solo no</t>
  </si>
  <si>
    <t>Las tropas que formaban ef exército de. observación se reparten del modo siguiente*, el cuerpo del General Blucher ocupará las orillas del Ems, apostándose principalmente h ci;i su embocadura: el del General Schhden ocupará el We-sser, y la parte meridional del Electorado de Hannover, en Cuya</t>
  </si>
  <si>
    <t>tropas prusianas que se habían apostado en las riberas del Ems, se han retirado por disposición del General Blucher que las manda. Acaba el General Unruth de recibir orden de Berlín para que se pongan en el pie de paz todos los regimientos de Franconia; pero los que estan en Westphalia permanec</t>
  </si>
  <si>
    <t>Blum, Juan</t>
  </si>
  <si>
    <t>Juan Blum</t>
  </si>
  <si>
    <t>al Sub-Brigadier D. Juan Blum; para esta resulta al Cadete D. Bartolomé Georget; para el empleo de Cadete de número, que este dexa, al supernumerario D. Joachín Mexía, y para Cadete supernumerario al Guardia D</t>
  </si>
  <si>
    <t>Blumenbach</t>
  </si>
  <si>
    <t>ales, .que se publicará luego, contiene un tratado completo dé fisiología , escrito en iatin por e) Doctor Blumenbach, catedrático de medicina de Gotíinga, en el- afio 17^8 , y encierra los conocimientos mas modernos : de suerte que la juventud médica podrá con eüa -ponerse al nivel de los descub</t>
  </si>
  <si>
    <t>Blunt, Coronel</t>
  </si>
  <si>
    <t>Coronel Blunt</t>
  </si>
  <si>
    <t>ación de las islas de S. Eustaquio y de Saba. Un destacamento de infantería mandado por el Teniente Coronel Blunt, y embarcado en el navio de guerra el Arabe, á las órdenes del Capitán Perkins, hizo su desembarco el 21 de Abril, y se apoderó de ambas islas. En la propia gazeta del dia 2 se ha</t>
  </si>
  <si>
    <t>Bntler, Ricardo</t>
  </si>
  <si>
    <t>Ricardo Bntler</t>
  </si>
  <si>
    <t>ts oeogenan; í números Tenientes á ¡os segundos de granaderos D. Joseph LIop.s.Do;! ¿1 ego García y D. Ricardo Bntler, y i los de fusileros D. Claudio Lov.s v D tayme Bntler ; á segundos Tenientes de granaderos^ los de tus.leros 1). foseó Vareía, D. Mario del Carmen Valdma y D.^arrolome Cuno; a s</t>
  </si>
  <si>
    <t>Bocami, Francisco</t>
  </si>
  <si>
    <t>Francisco Bocami</t>
  </si>
  <si>
    <t>en id.... 36. a&lt;S. Francisco Bocami....... Juan y Ines Roca...................... Santandreu en id.... ..... 49. 27. Ra</t>
  </si>
  <si>
    <t>BoDrull, Pedro</t>
  </si>
  <si>
    <t>Pedro BoDrull</t>
  </si>
  <si>
    <t>. Bartolomé Lison, los dos primeros de granaderos; á Subtenientes de granaderos á los de fusil, ros D. Pedro BoDrull y D. Sebastian de Arroyo; á Subtenientes a los d~ bandera D. Domingo de Aragón, D. Diego Pizarro y D. Ramón yaklejuüy,</t>
  </si>
  <si>
    <t>Boix, Buenaventura</t>
  </si>
  <si>
    <t>Buenaventura Boix</t>
  </si>
  <si>
    <t>Havana, ha promovido el Rey á Teniente al Subteniente D. Luis Colominas; á esta resalta al Alférez D. Buenaventura Boix, y á la que este dexa al Sargento primero D. Joseph Casamitjana. También ha conferido S. M. compañía en el batallón de milicias disciplinadas de las Quatro Villas, en la isla de C</t>
  </si>
  <si>
    <t>Boix, Juan</t>
  </si>
  <si>
    <t>Juan Boix</t>
  </si>
  <si>
    <t>............ 53. 8. Juan Boix................... Juan y Teresa Molgar...... Arles en id...... 7g. 21. Jayme Argüer.............. Fjancisco y Mana Puv&amp;s...</t>
  </si>
  <si>
    <t>Boixo, Juan</t>
  </si>
  <si>
    <t>Juan Boixo</t>
  </si>
  <si>
    <t>andez y D. Ramón de Veíasco; y á segundos Subtenientes á los Cadetes D. Juan Timoteo Inclan Arango, D. Juan Boixo y D. Juan Naghten; y en el de Ilibernía ha conferido S. M. Coiúpama á su caballero Page D. Antonio Aylnerich; y ha promovido en el de infantería suizo de Reding á Subtenientes al Cade</t>
  </si>
  <si>
    <t>Bolano, Christóbal</t>
  </si>
  <si>
    <t>Christóbal Bolano</t>
  </si>
  <si>
    <t>tes á los segundos D. Nicolás Caonedo, D. Miguel Buergo, D. Bernardino dei Pozo, D. Luis Gutiérrez, D. Christóbal Bolano y D. Andrés jQlarria, y a segundos Subtenientes á.los Sargentos primeros D. Juan Sobrado , ¡ D. Manuel Torregrosa , este de granaderos, y, D. Juan ¡ Gallo , y i los’ Cadetes D. Joachí</t>
  </si>
  <si>
    <t>Bóltón, Capitán</t>
  </si>
  <si>
    <t>Capitán Bóltón</t>
  </si>
  <si>
    <t>e en estos términos: ,,Durante el combate que sostuve ayer contra la fragata inglesa nombrada Dart* Capitán Bóltón, de porte de 28 cañones de calibre de 32, me vi precisado á enda llar á cansa del agua que mi lancha hacia ; pero asegurado luego de que las averías no eran de consideración , las</t>
  </si>
  <si>
    <t>Bolton, Lord</t>
  </si>
  <si>
    <t>Lord Bolton</t>
  </si>
  <si>
    <t>de Berg se esperan quanto ántes otros dos batallones. Londres jo de Octubre. E n el discurso que el Lord Bolton pronunció ayer en la Cámara alta para proponer la respuesta de gracias al de S. M., dixo que los preliminares de paz no podían haberse firmado en circunstancias mas convenientes:</t>
  </si>
  <si>
    <t>Bonafon, Francisco</t>
  </si>
  <si>
    <t>Francisco Bonafon</t>
  </si>
  <si>
    <t>le, médico del Rey de Prusia, académico de la Reaí de ciencias de Berlín, traducida del francés por D. Francisco Bonafon, profesor de niedicina</t>
  </si>
  <si>
    <t>Bonaparte, Joseph</t>
  </si>
  <si>
    <t>Joseph Bonaparte</t>
  </si>
  <si>
    <t>yer noche llegó aquí de Luneville el General Bellavene despachado por el ciüd. Joseph Bonaparte, Ministro plenipotenciario en la negociación de la paz con el Austria, para entregar al Ministro de Relaciones exteriores el siguiente tratado: ,, Igualmente ansiosos S. M. el Emperador Rey</t>
  </si>
  <si>
    <t>Bonaparte, Luis (coronel)</t>
  </si>
  <si>
    <t>Coronel Luis Bonaparte</t>
  </si>
  <si>
    <t>a' tienen que presentarse personalmente á S. M. I. \, Contestan varias noticias del Norte en que el Coronel Luis Bonaparte va á Petersburgo. Trescientos carros cargados de bombas y balas despachados de Maguncia para Wurtzburgo pasaron el día 13 por esta ciudad. ~~ El General Augeréáü antes de atravesa</t>
  </si>
  <si>
    <t>Bonencij, Andrés</t>
  </si>
  <si>
    <t>Andrés Bonencij</t>
  </si>
  <si>
    <t>Hermenegildo Mancebo y D. Andrés Romero: en el de suizos de Schwaller á Subtenientes á los Cadetes D. Andrés Bonencij, D. Jayme Franzonij y D. Antonio Riva; y en el de Betschart á Subtenientes de granaderos á los de fusileros D. Joseph Sutter y D. Camilo Tiny, y á Subteniente al Cadete D. Francis</t>
  </si>
  <si>
    <t>Bonicheli, Joseph María</t>
  </si>
  <si>
    <t>Joseph María Bonicheli</t>
  </si>
  <si>
    <t>vjdo promover el Rey á Capitán al Ayudante D. Joseph Rafael Lasqueti; á Ayudante al primer Teniente D. Joseph María Bonicheli ; á primer Teniente al segundo de granaderos Di Francisco- Viniegra; á.seguodo Teniente de granaderos al de fusileros D. Francisco- Clos.; á?segundo, Tentente al Subtenientede gra</t>
  </si>
  <si>
    <t>Bonifacio de Ribas</t>
  </si>
  <si>
    <t>án de granaderos al de fusileros D. Vicente Campos; á esta resulta al primer Teniente del de Toledo D. Bonifacio de Ribas, y á segundos Subtenientes á los Sargentos primeros D. Juan Torres y D, Narciso de Salas, y á los Cadetes í). Joseph y D. Estéban Barriga, y al de Cantabria D. Pedro Antonio Ferre</t>
  </si>
  <si>
    <t>Bonifacio Kop</t>
  </si>
  <si>
    <t>te al Subteniente D. Antonio Steeger.: en .él de Betschart á Teniente de granaderos al de fusileros D. Bonifacio Kop_penhan,y á secundo Teniente de fusileros al Subteniente de granaderos Don Joseph Abhospital ; y en el de Yann á Subteniente al Cadete D. Francisco Javier Racmy. 2SI Consejo á cons</t>
  </si>
  <si>
    <t>Bonifacio Pérez</t>
  </si>
  <si>
    <t>Murillo.” En el regimiento de dragones del Rey se ha servido promover S. M. á Ayudante al Teniente D. Bonifacio Perez , concediéndole al mismo tiempo el grado de Capitán: en el de la Reyna á Teniente al Alférez Don Fernando Hevia , y á Alféreces al Cadete D. Juan de Mata Ximenez y al Sargento pri</t>
  </si>
  <si>
    <t>Bonifacio Vega</t>
  </si>
  <si>
    <t>. Leoncio López, D. Diego Tejero y D. Francisco Bercial, y con los otros tres premios de,á 3^ pesos D. Bonifacio Vega , D. Manuel Prieto y D. Isidoro Moraytá. Como aun quedaban jóvenes dignos de particular atención por su aplicación y circunstancias, y hallándose la junta con proporción para en a</t>
  </si>
  <si>
    <t>Bonifacio Yütz</t>
  </si>
  <si>
    <t>argento primero de granaderos D. Lorenzo Laborié: en el de Suizos de Reding á Subteniente ai Cadete D. Bonifacio Yütz; y ha concedido grado</t>
  </si>
  <si>
    <t>Bonifaz, Joseph Francisco</t>
  </si>
  <si>
    <t>Joseph Francisco Bonifaz</t>
  </si>
  <si>
    <t>iente de granaderos al de fusileros D. Juan Francisco Arana, y á Subteniente ae fusileros al Cadete D. Joseph Francisco Bonifaz: á Capitanes de grana</t>
  </si>
  <si>
    <t>Boniila y Hurtado, Gerónimo</t>
  </si>
  <si>
    <t>Gerónimo Boniila y Hurtado</t>
  </si>
  <si>
    <t>la Maestrescoiía al Tesorero D. Manuel Ventura Hurtado de Arboleda: para la Tesorería al Racionero D. Gerónimo Boniila y Hurtado: para la Ración al Medio-Racionero D. Andrés Martínez Perez de Valencia; y para la Media-Ración á D. Joseph García de la Plaza, Cura de la ciudad de Buga, en dicho obispado. Asimi</t>
  </si>
  <si>
    <t>Bonilla, Juan Francisco</t>
  </si>
  <si>
    <t>Juan Francisco Bonilla</t>
  </si>
  <si>
    <t>villas de Villaoscusa de Haro y de Az-ñon, en la diócesis de Cuenca, vacantes por fallecimiento de D. Juan Francisco Bonilla, á D. Joseph Martínez de Astudiüo: para el Beneficio de la parroquial de S. Chidrían, en lá diócesis de Avila, vp.caníe por muerte de D. Pedro Martin Cabeza, á Don Victoriano Hern</t>
  </si>
  <si>
    <t>Bonjour, Coronel</t>
  </si>
  <si>
    <t>Coronel Bonjour</t>
  </si>
  <si>
    <t>ciones construidas en las fronteras de sus estados inmediatas á las posesiones de la compañía; y el Coronel Bonjour ha concluido con aquel Príncipe un tratado , en el qual se estiptilá que los vasallos del Rey de Birma que se acogieron á la protección de la compañía oriental no serán molestadas</t>
  </si>
  <si>
    <t>Bonnet, General</t>
  </si>
  <si>
    <t>General Bonnet</t>
  </si>
  <si>
    <t>s derrotaron cogiéndoles parte de su artillería. El General Bastout quedó herido en el ataque, y el General Bonnet se encargó del mando. Ha sido tan gelneral esta batalla, que todas las tropas así francesas «orno las austríacas tomaron parte en ella. Durante toda la acción nevó coh'ñiudíísimá</t>
  </si>
  <si>
    <t>Bootello, Pedro</t>
  </si>
  <si>
    <t>Pedro Bootello</t>
  </si>
  <si>
    <t>dajoz la Tenencia de cazadores á D. Vicente Berriz, Teniente de fusileros; Tenencia de esta clase á D. Pedro Bootello, Subteniente de cazadores ; esta resulta á D. Francisco Arias de Mercado, y Subtenencia de bandera á D. Alonso Sánchez Diosdado y Carrasco: en el de Ecija Tenencias de fusileros á</t>
  </si>
  <si>
    <t>Bopaparte, General</t>
  </si>
  <si>
    <t>General Bopaparte</t>
  </si>
  <si>
    <t>i ha venido de ífe&gt;m* para cqpferencur con él Gene* raí Murat. Es el mismo'prelado que se diputó al General Bopaparte quand©' .cqtrd«n!territor¡Q,j’ouwao^L^qmpaña ja^r* ^ Qondc Gotti , Gpbvliiador dé la Marca de A ncona. ¿íj ti-,:: ul El referido General Mgr*| d*Hgfe fe^íguipnte,¡carra al General</t>
  </si>
  <si>
    <t>Bordas, Joseph</t>
  </si>
  <si>
    <t>Joseph Bordas</t>
  </si>
  <si>
    <t>. ....... ........ . Dubasta...................... ........................... ............ 47. a8. D, Joseph Bordas..... . D. Ignacio y Doña María Teresa Estras................................. Perpifian........... 20. 30. D. Juan Francisco de Rio...................... D. Juan y Doña Mariana Pr</t>
  </si>
  <si>
    <t>Borgentierna, Coronel</t>
  </si>
  <si>
    <t>Coronel Borgentierna</t>
  </si>
  <si>
    <t>ines al Gran Duque de Rusia Constantino Pawlowitz, á quien se despacharon por el Ayudante general y Coronel Borgentierna las insignias de dicha orden ricamente guarnecidas de diamantes. Hoy salió de aquí S. M. Sueca para Petcrsburgo. Ignórase el objeto de este vía ge, sobre el qual habla el publico con</t>
  </si>
  <si>
    <t>Borlasca, Joseph</t>
  </si>
  <si>
    <t>Joseph Borlasca</t>
  </si>
  <si>
    <t>n©3 pers; á Subteniente de granaderos al primer Subteniente D. Joseph Borlasca; á primar Subteniente al segundo D. Henifique Beltran, y á esta resulta al Sargento primero D. Getnüo Ravcrfaf en el regimiento £uizo dé Betsehart ha concedido S. M. Ayudantía á D</t>
  </si>
  <si>
    <t>Bos Campesino, Rafael</t>
  </si>
  <si>
    <t>Rafael Bos Campesino</t>
  </si>
  <si>
    <t>Comat sobre geometría: el día 3.? D. Gaspar Ornos sobre la aplicación del álgebra á la geometría, y D. Rafael Bos Campesino sobre las secciones cónicas : en los segundos exámenes de matemática mixta D-. Felipe Martin sobre k dinámica, D. Ramón Garces de la hidráulica: dia 2.0 D. Alberto Soler de la esf</t>
  </si>
  <si>
    <t>rés Soulié, D. Ramón Mateo, D. Antonio y D. Isidoro Capilla, de primer año; y en la clase de buenos D. Rafael Bos Campesino, de tercer año, D. Francisco Oteiza, D, Benito Sánchez, D. Francisco Berges y D. Alfonso González de Araguz, de segundo año—_ Se celebraron también los dias 25 y 26 de Mayo los ex</t>
  </si>
  <si>
    <t>Bos, Rafael</t>
  </si>
  <si>
    <t>Rafael Bos</t>
  </si>
  <si>
    <t>D. Ramón Garcés de Marciila, D. Vicente Royo y D. Lucas Vázquez: , de 2.0 los Bachilleres en Leyes D. Rafael Bos, D. Christóbal Douden y D. Antonio Séta; y de i.° D. Fabian Lorente, D. Francisco Oteiza, Don’ Benito Sánchez y D. Francisco Bergcz, exercitando estos últimos sobre la ' doctrina</t>
  </si>
  <si>
    <t>da* su extensión, haciendo las aplicaciones convenientes á los países de diferentes circunstancias: D. Rafael Bos sobre el estado y posible perfección de las fábricas y demas ramos de manufacturas: D. Christóbal Douden sobre las aduanas y contribuciones consideradas en sus diver; sas relacion</t>
  </si>
  <si>
    <t>Bosch, Felipe</t>
  </si>
  <si>
    <t>Felipe Bosch</t>
  </si>
  <si>
    <t>a parroquial de la villa de Guimerá, diócesis de Tarragona, por fallecimiento de I). Juan Millat, á D. Felipe Bosch. A D. Melchor Calatayud, segundo Teniente de la Compañía Americana de Reales Guardias de Corps, ha conferido el Rey el empleo de Ayudante general del cuerpo, que ha resultado vaca</t>
  </si>
  <si>
    <t>Botija, Lorenzo</t>
  </si>
  <si>
    <t>Lorenzo Botija</t>
  </si>
  <si>
    <t>da; á primeros Tenientes^ al segundo Teniente dé granaderos D. Carmen Cervetpy y á los de fusileros D. Lorenzo Botija, D¿ Joseph Acostá, D. Joséph,JC)6Tscey Doní Luis Gerveto; á segundos Tenientes dé granaderos a los de ftfáileros D; Joseph Mirez, B¿ Gínes Sánchez y D. Andrés de Salas ; á; segtnd</t>
  </si>
  <si>
    <t>Bóudet, General</t>
  </si>
  <si>
    <t>General Bóudet</t>
  </si>
  <si>
    <t>ió con sus-compañías* sueltas una pieza de artillería* é hizo prisicpiercúi taíhfisajnes de É31^* ^ General Bóudet es digno t de11 a ma yor d i#tmeion ; no podré a lahar como’Jó merecen las acertadas: y vigorosa^ disposiciones déj Gerierai Marmont , ;á quien debemos Ja mejor-ai^illeríadq 'b'rJ •</t>
  </si>
  <si>
    <t>Bouligny, Joseph</t>
  </si>
  <si>
    <t>Joseph Bouligny</t>
  </si>
  <si>
    <t>Crevede Cadete de número al supernumerario IX Joseph Monteil, y por Ca&lt;Wg supernumerario al Guardia D. Joseph Bouligny.^ # ■_ En ei regimiento de Realas Guardias Españolas se ha servido el Rey promover á Capitán al primer Teniente y Comandante de granaderos, graduado de Coronel, D. Joseph Moreno D</t>
  </si>
  <si>
    <t>Boutelou, Claudio</t>
  </si>
  <si>
    <t>Claudio Boutelou</t>
  </si>
  <si>
    <t>puesto, callé de Alcalá;-' Tratado de la huerta, ó método dé cultivar toda clase de hortalizas: por Don Claudio Boutelou, jardinero mayor del Real sitio de Buen-Retiro y del Real jardin Botánico, y D. Estéban Boutelou , ayudante de jardinero y arbolista mayor en el Real sitio de Aranjuez , individuo</t>
  </si>
  <si>
    <t>Boutelou, Estéban</t>
  </si>
  <si>
    <t>Estéban Boutelou</t>
  </si>
  <si>
    <t>r Don Claudio Boutelou, jardinero mayor del Real sitio de Buen-Retiro y del Real jardin Botánico, y D. Estéban Boutelou , ayudante de jardinero y arbolista mayor en el Real sitio de Aranjuez , individuos de mérito en la clase de agricultura de la Real sociedad económica de Madrid, y socios de la de</t>
  </si>
  <si>
    <t>Boutin de Campos, Vicente</t>
  </si>
  <si>
    <t>Vicente Boutin de Campos</t>
  </si>
  <si>
    <t>de S. M. la enseñanza de las primeras letras, ha tenido la satisfacción de que el maestro de ellas D. Vicente Boutin de Campos, cumpliendo con la Real ordenanza, ha dado principio á los exámenes generales de sus discípulos, en la escuela de su cargo colación de Sta. María la Blanca, baxo la dirección del</t>
  </si>
  <si>
    <t>Bowden</t>
  </si>
  <si>
    <t>150 artilleros: los Coroneles Clinton y Gordon mandan estas tropas. El comandante de la esquadra es Mr. Bowden , Capitán del Argos. Llegamos á la Madera el dia 26. Un oficial que se despachó al Gobernador, traxo una respuesta que no satisfizo á nuestro comandante, y este mandó desde luego</t>
  </si>
  <si>
    <t>Bowen</t>
  </si>
  <si>
    <t>gos de 44 cañones, despachado de la isla de la Madera (de.donde salió 22 dias antes) con pliegos de Mr. Bowen, Capitán de dicha fragata, quien da cuenta de que las tropas de la división de su mando han. tomado posesión de aquella isla. El Argos salió de Portsmoüth el 29 de Junio con la fr</t>
  </si>
  <si>
    <t>Bowen, Capitán</t>
  </si>
  <si>
    <t>Capitán Bowen</t>
  </si>
  <si>
    <t>ue en todo cbmptmian un1 total de 1200 hombres. Llegó la expedición á la Madera el 2fde Julio, y el Capitán Bowen envió al instante un mensage al Gobernador de la isla previniéndole que no llevaba intenciones hostilesr 'sino que iba para concurrir á la defensa de aquella colonia en caso que. la</t>
  </si>
  <si>
    <t>Bozal, Francisco</t>
  </si>
  <si>
    <t>Francisco Bozal</t>
  </si>
  <si>
    <t>to. Rs. Mrf. Cabo a.°Francisco Bozal....,.......... Juan,.., Francisca VaSlejo. Tarazona....... Idem,.............. x^S. 2. Luis Tasa,,..,.,..... Félix... Antonia Romero,. Alcanadre..... I</t>
  </si>
  <si>
    <t>Bprja Earreandi, Francisco</t>
  </si>
  <si>
    <t>Francisco Bprja Earreandi</t>
  </si>
  <si>
    <t>. • Isidro García.;........... 3f3»322i i v Pedro Canatias y Sortsr..... ........... 5143602* rrt v D, Francisco Bprja Earreandi................ 244*270. . D. Antonio Labroche......... ................ 244,258. D. Alfonso Rolan de Tordesillas.............. ........ 182,283. r D. Luis Seoane Ibero..;........</t>
  </si>
  <si>
    <t>Braans, Agustín</t>
  </si>
  <si>
    <t>Agustín Braans</t>
  </si>
  <si>
    <t>gento primero D. Getnüo Ravcrfaf en el regimiento £uizo dé Betsehart ha concedido S. M. Ayudantía á D. Agustín Braans, Teniente del mismo cuerpo; y Tenencia en el de Rutimarn al Subteniente D. Gaspar Diethefm. El Rey se ha servido nombrar para la Fiscalía del crimen de la Chanciliería de VáiladoH</t>
  </si>
  <si>
    <t>Bracamonte, Vicente</t>
  </si>
  <si>
    <t>Vicente Bracamonte</t>
  </si>
  <si>
    <t>Húsares Españoles se lia servido S. M. promover á primer Teniente al segundo, graduado de Capitán, D. Vicente Bracamonte; y á Ayudante en el de la Costa de Granada al primer Teniente de carabineros D. Joseph Ortiz y Teran: habiendo conferido igualmente la compañía suelta de fusileros del Reyno de Va</t>
  </si>
  <si>
    <t>Braith, General</t>
  </si>
  <si>
    <t>General Braith</t>
  </si>
  <si>
    <t>dría con 3® hombres; que Mr. Hutchinsón. emprendió su alcance á la. frente dé 5© ingleses, y que el General Braith quedaba en marcha de Suez al Cayro con las tropas que habían desembarcado en aquel puerto: finalmente , dicen que los turcos se hallan ya en posesión de aquella capital de Egipto.</t>
  </si>
  <si>
    <t>Branly, Domingo</t>
  </si>
  <si>
    <t>Domingo Branly</t>
  </si>
  <si>
    <t>. En ,el regimiento de infantería de la Havana se ha servido S. M. projnover á Ayudante al Teniente D. Domingo Branly; á Teniente al Subteniente de granaderos D. Joseph del Rio; á Subteniente de granaderos al ele fusileros D. Valentín Moralejo: á Subteniente al de bandera D. Joseph de la Torre, y</t>
  </si>
  <si>
    <t>Braóhy</t>
  </si>
  <si>
    <t>la fragatg* Escarapela, que iba éii su Conserva, cori la inglesa nombrada Andrómeda, cuyo Capitán, Mr. Braóhy, murió ¿de resultas de sus heridas, según se supó luego por un parlamentaria que llegó á la Martinica ,, el qual declaró también que los inglese» pérdiéron en aquella acción 20 ho</t>
  </si>
  <si>
    <t>Braschi, Cardenal</t>
  </si>
  <si>
    <t>Cardenal Braschi</t>
  </si>
  <si>
    <t>e .contestó negativamente en los términos que convenía. Según cartas de Roma ha confirmado S. S. al Cardenal Braschi en la dignidad de Camarlengo de la santa romana Iglesia. Milán Amtes de ayer salió de aquí 12 de Uñero. la vanguardia del General Murat, que va á pasar el Po, y seguirá su marcha po</t>
  </si>
  <si>
    <t>Braschí, Duque</t>
  </si>
  <si>
    <t>Duque Braschí</t>
  </si>
  <si>
    <t>in perjuicio de su salud asistir á la fiesta pública del 14 de Julio. Ha llegado de Roma á París el Duque Braschí, sobrino del difunto Papa Pío vi. También ha venido dc’Londres Mr. Merry , en calidad de comisario para el cange de prisioneros, en cuyo encargo reemplaza á Mr.'Coctesl ■ ' Madama</t>
  </si>
  <si>
    <t>o , - . .. 883 dará en volver. El Duque Braschí, sobrino del difunto Pío vr, que vino áquí á pedir se levantase el seqüestro de sus bienes, lo ba conseguido se£un dicen. El Embaxador de España ha regalado en nombre del Rey su a</t>
  </si>
  <si>
    <t>Brasqui, Manuel</t>
  </si>
  <si>
    <t>Manuel Brasqui</t>
  </si>
  <si>
    <t>or veterano del regimiento dé infantería de Milicias disciplinadas de Blancos de Panamá al Teniente D. Manuel Brasqui: la Tenencia de granaderos del segundo batallón del regimiento de infantería fixo de Cartagena al Teniente de fusileros D. Miguel Gutiérrez; el empleo, que este dexa, al Subtenien</t>
  </si>
  <si>
    <t>Braulio López</t>
  </si>
  <si>
    <t>y López: del batallón de Voluntarios de Tarragona á D. Tomas Bartoly; y del segundo de Barcelona á D. Braulio López. En América. El Rey se ha dignado conferir el empleo de Guarda mayor vista de la aduana de Acapuico á D. Juan de Dios Fernandez; y el de Oficial segundo de las Reales caxas del mi</t>
  </si>
  <si>
    <t>Bravo, Antonio</t>
  </si>
  <si>
    <t>Antonio Bravo</t>
  </si>
  <si>
    <t>l, D. Andrés Vázquez, D. Andrés Ximenez, Don Fernando Antonio del Mármol, D. Joseph María del Toro, D. Antonio Bravo y D. Joseph de Jesús Paderes: últimamente á Subtenientes de bandera á los plísanos D. Lázaro de Herrera, D. Joseph de Herrera, D. Jo— seph Antonio Verastegui y D. Francisco González.</t>
  </si>
  <si>
    <t>Bray, Antonio</t>
  </si>
  <si>
    <t>Antonio Bray</t>
  </si>
  <si>
    <t>naderos.D. Blas González, al primer Subteniente D. Gregorio Martinez y al Subteniente de granaderos D. Antonio Bray; á Subteniente» de granaderos á los primeros Subtenientes D. Juan Antonio Monet y Don1 Crispía Moya; á primeros Subtenientes á los segundos D. Christobal Gar-^ cía, D. Pedro Anton</t>
  </si>
  <si>
    <t>Brethous, Julián</t>
  </si>
  <si>
    <t>Julián Brethous</t>
  </si>
  <si>
    <t>de número al supernumerario D. Joachín de Cuéllar; y por Exento supernumerario al Brigadier de ella D. Julián Brethous: para el empleo de Brigadier al Subrigadier O. Pedro Ferrer : para esta resulta al Cadete D. Maximiliano Vandersteene: para el empleo de Cadete de número, que este dexa, al supern</t>
  </si>
  <si>
    <t>Brice, Coronel</t>
  </si>
  <si>
    <t>Coronel Brice</t>
  </si>
  <si>
    <t>batalla del dia 13 tuvimos cerca de 1300 hombres entre muertos, heridos y prisioneros. El Teniente Coronel Brice, que estaba prisionero y herido, murió al dia siguiente. Había otros 66 oficiales heridos. Ha escrito el Almirante Cornwallis que ha sido apresada la corbeta francesa nombrada el</t>
  </si>
  <si>
    <t>Brihuega y Ortega, Joseph</t>
  </si>
  <si>
    <t>Joseph Brihuega y Ortega</t>
  </si>
  <si>
    <t>r. D. Blas Joachin Aivarez Palma, y resultará vacante por su promoción al obispado de Albarracin, á D. Joseph Brihuega y Ortega: para la Pabordía de la colegial de Manresa, diócesis de Vique, á D. Juan Agustín García: para el Beneficio Préstamo del lugar de Barbolla, en el obispado de Segovía, vacante por</t>
  </si>
  <si>
    <t>Brihuega, Francisco</t>
  </si>
  <si>
    <t>Francisco Brihuega</t>
  </si>
  <si>
    <t>resión, y puesto en diálogo para la mas fácil inteligencia de los principiantes de esta ciencia por D. Francisco Brihuega,boticario en esta corte, individuo de varias academias, y visitador que ha sido de las boticas de varias provincias. Se hallará en la librería de Llera , plazuela del Angel, y en</t>
  </si>
  <si>
    <t>Bringas, Juan Antonio</t>
  </si>
  <si>
    <t>Juan Antonio Bringas</t>
  </si>
  <si>
    <t>S. Roque, á D. Ignacio Perez Vizcaíno; y para la Vara de Alcalde mayor de la ciudad de Valladoüd á D. Juan Antonio Bringas. El Banco nacional de S. Garlos celebró junta general de sus accionistas el dia 20 de Abril anterior, y avisa al público haber acordado que se dé el repartimiento dé 5 por loo, o</t>
  </si>
  <si>
    <t>Brixen, General</t>
  </si>
  <si>
    <t>General Brixen</t>
  </si>
  <si>
    <t>a sido sumamente numerosa y brillante. Aitgsburgo 26 de Mayo. D el Tirol meridional escriben que el General Brixen permanece en Roveredo con 2 batallones para observar á las tropas cisalpinas que ocupan á Riva, Torbole y otros pueblos situados en la ribera derecha del Adige. Parece que hasta e</t>
  </si>
  <si>
    <t>Briz, Benito</t>
  </si>
  <si>
    <t>Benito Briz</t>
  </si>
  <si>
    <t>25 o inas acciones propias . deberán hacerlo constar en la secretaría del citado banco del cargo de Don Benito Briz, exhibiendo las mismas acciones, ó entregando testimonio suficiente que acredite su pertenencia y los números que comprebenda», y si son adquiridas por endosos,\á quien están llen</t>
  </si>
  <si>
    <t>Briz, Rafael</t>
  </si>
  <si>
    <t>Rafael Briz</t>
  </si>
  <si>
    <t>l'Gasset,; á.primer Teniente al segundo D. Joseph Mallcnt; á secundo Teniente ai primer Subteniente D. Rafael Briz; á esta resulta al segundo Subteniente 0. Pedro de Calva v y á segundo Subteniente al Cadete D. Francisco.González; y en el regimiento Suizo de Coutten á Subteniente al Cadete D»</t>
  </si>
  <si>
    <t>Bromley, Coronel</t>
  </si>
  <si>
    <t>Coronel Bromley</t>
  </si>
  <si>
    <t>E MARZO DE 1801. D&lt; Cansíamittopla 4 de Enero, fe fas Costas de, Egipto acaba de llegar el Teniente Coronel Bromley: trae pliego* para el Almirante otomano, con los quales fue despachado de la esquídra inglesa el 18 de Noviembre.. El General francés Menou, aunqüe noticioso de* la rendicipn de M</t>
  </si>
  <si>
    <t>Bronvnrigg, Coronel</t>
  </si>
  <si>
    <t>Coronel Bronvnrigg</t>
  </si>
  <si>
    <t>ida de Jos contrarios fué mucho mas considerable." Extracto de una carta del Coronel- Anstruther al Coronel Bronvnrigg: fecha en el campo inmediato d Alexandría d 16 de Marzo. „La esquadra se hizo á la vela de Marmaxia el 22 de Febrero,, y fondeó en la bahía de Abukir el 2 de Marzo. Desde aquel di</t>
  </si>
  <si>
    <t>Brosey, Juan</t>
  </si>
  <si>
    <t>Juan Brosey</t>
  </si>
  <si>
    <t>btenientes al Cadete D.-Francisco de Paula Chichery^y á los Sargentos: primeros D. Joseph Dietrich; D. Juan Brosey y D. Joseph’Re van ger de Bompre. En el regimiento de caballería del Príncipe se ha servido el Rey promover á Ayudante al primer Teniente D. Tomas Perez ; á primer-Teniente al segundo</t>
  </si>
  <si>
    <t>Brown, Andrés</t>
  </si>
  <si>
    <t>Andrés Brown</t>
  </si>
  <si>
    <t>ron en la hoguera, y murieron canutando su muerte y las glorias de su esposo, Ha nombrado el Rey al Dr. Andrés Brown para profesor de retórica y buenas letras: empleó vacante én la universidad'de' Edimburgo por mñer¿ te del célebre Dr.,Hugo Blair. El Lord Federico Montágue irá quanto antes á tom</t>
  </si>
  <si>
    <t>Brownrigg, Coronel</t>
  </si>
  <si>
    <t>Coronel Brownrigg</t>
  </si>
  <si>
    <t>mo Lord para el Duque de Yótck y para el Ministro de Estado; y otra carta del Coronel Anstruther al Coronel Brownrigg. Estos documentos son del tenor siguiente: „ Carta de Mr. Abercrombie al Conde Elgin i delante de Alexandría J&lt;Tde Marzo. La esquadra llegó el i.° de este mes á vista de Alexandrí</t>
  </si>
  <si>
    <t>Brrnidotte, General</t>
  </si>
  <si>
    <t>General Brrnidotte</t>
  </si>
  <si>
    <t>1 a propia audiencia se despidió del primer Cónsul el Principe de líohenzollern-Hec» kingen. , , El General Brrnidotte escribe desde su quartel de, Pontiví al Ministro de Guerra que acaba de llegar de Inglaterra á aquel país mucho di** ñero destinado a fomentar robos y muertes en dicho departamento,</t>
  </si>
  <si>
    <t>Brte, Pedro Antonio</t>
  </si>
  <si>
    <t>Pedro Antonio Brte</t>
  </si>
  <si>
    <t>de la colegial de S. Felipe, vacante por promoción de D. Toribio Ximenez á'una Canongía de León, á D. Pedro Antonio Brte: para una Ración de la metropolitana de Tarragona, vacante pon fallecimiento de D. Joseph Bertrán, á D. Rafael de Galli: para el Beneficio que este obtiene,"y resultará vacante en</t>
  </si>
  <si>
    <t>Bruce</t>
  </si>
  <si>
    <t>de 20© barriles de harina. Se ha publicado la siguiente carta escrita en Smirna á 15 de Febrero : „Mr. Bruce, hermano del Lord Elgin, yendo de Constantinopia á Bagdad fijé detenido y preso en Malatia , á 12 leguas de Madaun por un rebelde llamado Cuchute-Ally. La causa de su prisión sé c</t>
  </si>
  <si>
    <t>Bruce, Juan</t>
  </si>
  <si>
    <t>Juan Bruce</t>
  </si>
  <si>
    <t>Sota Crespo en el térmico de 30 dias contados desde 19 de este mes* Se avisa i Juan Bruce, hijo de Jorge:Bruce,, labrador que fué en Cowden en el Condado de MicULothian, en Norte-Bretafia en Inglaterra, ó á sus descendientes , que Jorge Bruce , su hermano , murió en el mes d</t>
  </si>
  <si>
    <t>Bruix, Almirante</t>
  </si>
  <si>
    <t>Almirante Bruix</t>
  </si>
  <si>
    <t>lmirante Latouche, consta de 5 navios y varias 11. ves menores; y la otra, á las órdenes del Contra-Almirante Bruix, se «otnpcme de 15 buques españoles y otros 15 franceses. En la casa de inválidos de París hay un militar llamado Guilhemen que tiene 106 años de edad: de ningún sentido carece, y</t>
  </si>
  <si>
    <t>Brun, Francisco</t>
  </si>
  <si>
    <t>Francisco Brun</t>
  </si>
  <si>
    <t>......... 134. -28. Francisco Brun... Pedro............ Josepha Nicolao.. Mat de las Matas...... Alcañiz........... 133. 1</t>
  </si>
  <si>
    <t>Brune, General</t>
  </si>
  <si>
    <t>General Brune</t>
  </si>
  <si>
    <t>s en perfeccionar las fortificaciones de Aiexandría , son circunstancias que inducen á creer que el General Bruñe ha recibido orden de romper la suspensión de armas.” Varios viageros que llegan de Kiovia aseguran que un exército ruso de tnas de 100© hombres se halla acantonado en una línea, q</t>
  </si>
  <si>
    <t>sip aguardar respuesta. Poco después de su salida-vino un oficial cisalpino-con nuevos pliegos del General Bruñe , y una carta para el Papa, á quieá-la entregó en mano propia, como lchabia solicitado.--—Nada se trasluce sobre lo que.ise trata'entre, este-gobierno^ los franceses. - r■?.- t--.</t>
  </si>
  <si>
    <t>artilleros enemigos, y les cogió ün cañón. ' Posteriormente se ha publicado Ja siguiente carta del General Bruñe al Ministro de Guerra: ^Quartel general de Verona j de Enero. El i.° deteste rites pasamos el Adige mas arriba de Bucelingo. Un falso ataque dado á una milla de Verona, engañó á l</t>
  </si>
  <si>
    <t>és atravesó el Adige los dias i y 2 de este mes por Polo l otros puntos. Ocupó luego á Verona, y el General Bruñe marchó hacia dcenza. El General Monnier es el que manda ahora eí bloqueo de Mantua, en donde los austríacos han dexado una crecida guarnición. Ya habrá llegado de Riga á Verona el</t>
  </si>
  <si>
    <t>co; y comunicamos por nuestra derecha con el General Moncey&gt; que se halla en Roveredo.” Asimismo el General Bruñe ha escrito á dicho Ministro en estos térmi-j nos: „Vicenza£ de Enero, Recibo, ciud. Ministro, vuestra carta de i.° de este mes. Se cumplirán las intenciones del gobierno- No se co</t>
  </si>
  <si>
    <t>egión itálica, que había reforzado al exército francés de los Grisones, va á servir ahora en el del General Bruñe, Bruselas ij de Enero. R eíiere una carta del Haya que el Rey de Rusia ha mandado embargar todas las embarcaciones inglesas que habia en los puertos de sus dominios. Léese en vari</t>
  </si>
  <si>
    <t>iones debían unirse así para el bien general. Milán 3 de Febrero. A ntes de ayer tarde vino aquí el General Bruñe, y desde luego comunicó al gobierno la noticia de que en virtud de un convenio recien concluido en Luneville, la plaza de Mantua se entregaba al exército francés. El gobierno mand</t>
  </si>
  <si>
    <t>l General Conde de Bdlegárde ha escrito desde su quartel de Udína con fecha de 31 de Enero al mismo General Bruñe diciéndole’: „ Tengo el gusto de comunicaros que S. M. el Emperador, en fuerza de las repetidas instancias que le he dirigido de parte vuestra, acaba de convenir en que se pongan</t>
  </si>
  <si>
    <t>nald tiene su quartel en Trento. * Milán 12 de Febrero. , . A yer publicó el gobierno úna carta del General Bruñe, que dice1: ,¿Lós ‘ países- conquistados por el exército francés, que formaban parte dél térritó-* •rio de la Cisalpina, sé restituyen á esta República.,En todos ellos arregla^ rá</t>
  </si>
  <si>
    <t>zé, Secretario de legación, y Saint-Merí, hijo ^ Secretario íntimo. Milán j$ de AbriL Dícese que el General Bruñe volverá de París aquí con el ciud. Melzi, que viene á ocupar el primer, puesto en el nuevo gobierno cisalpino. . Ayer entraron encesta ciudad los patriotas cisalpinos que los aust</t>
  </si>
  <si>
    <t>es heridos. Ha escrito el Almirante Cornwallis que ha sido apresada la corbeta francesa nombrada el General Bruñe i1 que venia de la Guadalupe á Burdeos, y en ella se hallaba el General Pelardy, ultimó Gobernador de aquella colonia. ' ' ; : • También se dice que el gobierno ha recibido notici</t>
  </si>
  <si>
    <t>H abiendo conocido la Consulta la necesidad de completar la contribuí cion militar impuesta por el General Bruñe sobre los países de la derecha del Adige devueltos ó reunidos á la República cisalpina, ha puesto á disposición del gobierno la cantidad de 6 millones de libras en bienes nacional</t>
  </si>
  <si>
    <t>r graduación. - * ; ^ Mañana, que es el cumpleaños del dia en que se firmó la capitulación entre el General Bruñe y el Duque de Yorck (por la qual los rusos é in</t>
  </si>
  <si>
    <t>Brunet, Joseph</t>
  </si>
  <si>
    <t>Joseph Brunet</t>
  </si>
  <si>
    <t>en id...... 33. 8. Joseph Brunet.............. Altxar.dro y Ana Ruano... Ribssaitaen id. (jó. ai. Lorenzo Joe................. Rafael y María Porcada...,</t>
  </si>
  <si>
    <t>Brunet, Juan</t>
  </si>
  <si>
    <t>Juan Brunet</t>
  </si>
  <si>
    <t>a del original en figura He medalla del célebre D. Bernardino Noecbi, pintor de S. S. , grabado par D. Juan Brunet?. Se vende en la librería de Escribano, calle de las Carretas,á 4rs. En ía librería de Barco, carrera de S. Gerónimo , se hallarán las nuevas obras de música s guien tes: la march</t>
  </si>
  <si>
    <t>Bruneti, Juan</t>
  </si>
  <si>
    <t>Juan Bruneti</t>
  </si>
  <si>
    <t>, D. Alon­ pliego de marca ma^or, grabado á una línea so Perez de Guzman, y Rodrigo Díaz de Vi­ por D. Juan Bruneti , á 10 rs. var. Cada quaderno de seis estampas sin el Otro del Rey nuestro Señor , grabado por epítome de sus vidas á go rs. D. Fernando Selina , en 6 rs.. Idem con el epítome á 6</t>
  </si>
  <si>
    <t>Bruno Barrera</t>
  </si>
  <si>
    <t>uerrero: en el de Asturias á Sargento mayor al Capitán de granaderos» graduado de Teniente Corone], D. Bruno Barrera); y ha nombrado Capellán del tercer batallón del de Guadalaxara al presbítero D. Domingo de Castro. También en el regimiento de caballería del Príncipe se ha servido S. M, promove</t>
  </si>
  <si>
    <t>Bruno de Sarmejan</t>
  </si>
  <si>
    <t>D. Joseph y-Dofia Francisca de Ollert...................................... Movenir en id.. 23. 10. D. Bruno de Sarmejan. D. Pedro y Dofia Juana de Donasas.......................... ............. Tolosa........ ...... 21. ip. D. Francisco Coduatn.. D. Bernardo y Doña Luisa de Castelnodarryen Grave..</t>
  </si>
  <si>
    <t>Bruno Francisco López y Pascual</t>
  </si>
  <si>
    <t>nio Morales, á D. Juan Francisco Angel: para otra, vacante por fallecimiento de D. Manuel Medina, á D. Bruno Francisco López y Pascual : para el oficio regular de Sacristán menor y Prior de Santo Tomas del Real monasterio de. Amer a D. Fr. Bartolomé Coromiñola y Masstguenpara el oficio regular dé Paborde de Viiad</t>
  </si>
  <si>
    <t>Bruno Joseph</t>
  </si>
  <si>
    <t>os al de fusileros» D. Manuel Zorrilla : en el de Reales Guardias Walonas á Alféreces á los Cadetes D. Bruno Joseph dei Pratsj D. Manuel Narciso de Terrazas, D. Aquíles de Bureau y D. Joachin de Ezpeieta: en el de infantería de España á segundo Subteniente al Cadete D. Faustino Manuel Martínez: en</t>
  </si>
  <si>
    <t>Bruno Ximenez de Crsoeros, Joseph</t>
  </si>
  <si>
    <t>Joseph Bruno Ximenez de Crsoeros</t>
  </si>
  <si>
    <t>a el Beneficio simple de h villa de Árgete, en la diócesis de Toledo,, vacante puf fallecimiento de D. Joseph Bruno Ximenez de Crsoeros, á 0. Cuspar López de Ribas: para el Beneficio de S. Pedro de Pola de Siero, en la diócesis de Oviedo, vacante por promoción de D. Pedro Alvarez Caballero áj</t>
  </si>
  <si>
    <t>Bryce, Coronel</t>
  </si>
  <si>
    <t>Coronel Bryce</t>
  </si>
  <si>
    <t>lo en el desembarco murieron los 3^0, y otros 750 en la refriega del '13. Díces'e igualmente que el Coronel Bryce y el Capitán de ingenieros M’Gennis están prisioneros. El General Abercrombie de resultas de su herida se retiró al navio Fóudroyani, dexando el mando al General Hutchínson, Fasta que</t>
  </si>
  <si>
    <t>Btrgaño, Domingo</t>
  </si>
  <si>
    <t>Domingo Btrgaño</t>
  </si>
  <si>
    <t>provinciales se ha servido el Rey promover en el de Segovia á Capitán de cazadores al de fusileros D. Domingo Btrgaño; á Capitán de fusileros al Teniente de granaderos D. Fernando García Valdes; á Teniente de granaderos al de fusileros £). Miguel Murilio; á Teniente de fusileros al Subteniente de</t>
  </si>
  <si>
    <t>Buc y Palos, Joseph</t>
  </si>
  <si>
    <t>Joseph Buc y Palos</t>
  </si>
  <si>
    <t>iscípulos D. Joachín Celina y Perez, Di Ccferino Lagraba y Orobia , D. Francisco Aba*~ día y Lrson, D. Joseph Buc y Palos y D. Francisco Arce35 Palaeió,. presentó á los* mismos juntamente con D. Miguel Ordos y íí^iol y. D¿. Ramón. García y Gal ve en los dias 17 ,, fT, 1-9 y 20 de Jimio-á ejercicios púbMe</t>
  </si>
  <si>
    <t>Bucar, Carlos</t>
  </si>
  <si>
    <t>Carlos Bucar</t>
  </si>
  <si>
    <t>........... 3^. ai. Carlos Bucar.............. Francisco y Teresa Bucai......... Cors.................. y. ai.</t>
  </si>
  <si>
    <t>Bucar, Juan Antonio</t>
  </si>
  <si>
    <t>Juan Antonio Bucar</t>
  </si>
  <si>
    <t>s........... so. 4. Juan Antonio Bucar... Francesco y Teresa Bucar.......... Cors.............. 3^. ai. Carlos Bucar.............. Francisco y Teresa Bucai......... Cors.................. y. ai.</t>
  </si>
  <si>
    <t>Bucelli, Luis Andrés</t>
  </si>
  <si>
    <t>Luis Andrés Bucelli</t>
  </si>
  <si>
    <t>sco Hidalgo, Cura párroco de esta villa, zeloso de que el feto recibiese agua devsocorro, previno á D. Luis Andrés Bucelli, Cirujano latino titular, á fin que hiciese la operación cesárea después de espirar la madre. En efecto, ia executó con la mayor destreza, á presencia del Capellán de Animas D. Ma</t>
  </si>
  <si>
    <t>Buergo, Miguel</t>
  </si>
  <si>
    <t>Miguel Buergo</t>
  </si>
  <si>
    <t>Christóbal Vilanováy D. Antonio Jaquez; á primeros Subtenientes á los segundos D. Nicolás Caonedo, D. Miguel Buergo, D. Bernardino dei Pozo, D. Luis Gutiérrez, D. Christóbal Bolano y D. Andrés jQlarria, y a segundos Subtenientes á.los Sargentos primeros D. Juan Sobrado , ¡ D. Manuel Torregrosa</t>
  </si>
  <si>
    <t>. Joseph Juan de Rico; á Subtenientes de granaderos a ios primeros Subtenientes D. Nicolás Caonedo, D. Miguel Buergo y D. Btrnardino del Pozo; á primeros Subtenientes á los segundos D. Rafael Maroto, D. Antonio Casanoves, D. Manuel Cadavid, D. Juan Sobrado, D. Joachín Albizu, D. Joseph Aballe y D. M</t>
  </si>
  <si>
    <t>Buhler</t>
  </si>
  <si>
    <t>ión del Archiduque Juan. Dicho oficio y la respuesta del Elector se han comunicado por órden suya á Mr. Buhler, Ministro de Rusia, y al General Hegmann, Ministro de Prusia cerca de S. A. Electoral. Con esta solicitud del ministerio austríaco se ha aumentado el descontento que había entre l</t>
  </si>
  <si>
    <t>Buil, Joachín</t>
  </si>
  <si>
    <t>Joachín Buil</t>
  </si>
  <si>
    <t>ientes D. Manuel O-Daly, D. Pedro Dejouy ,D. Pablo Rosello,D.Miguei 1 uictll,f)on Manuel de Olmedo, D. Joachín Buil, D. Carlos Stonor, D. Felipe Ancora v D. Benito Albini; á primeros Subtenientes a los segundos D. Agustín Poncerot, D. Bernardo Álvarez, D. Blas Áivarez, D. Joseph Aguado y ÓquenH</t>
  </si>
  <si>
    <t>Buisset, Bartolomé</t>
  </si>
  <si>
    <t>Bartolomé Buisset</t>
  </si>
  <si>
    <t>on......... 48. 14. Bartolomé Buisset.,...... Juan Pedro y María Ana Cosinet........................................ Montardi........... 41. ay. Pedro Fuxet.................. Francisco y Rosa Carbouell.,..</t>
  </si>
  <si>
    <t>Burder</t>
  </si>
  <si>
    <t>ajustase el tratado con Francia. ■ Las sesiones del Parlamento han sido estos dias de poco ínteres. Mr. Burder suspendió hasta el dia 19 la proposición que había de hacer el 18 sobre que se examine la conducta de los últimos Ministros. A propuesta de Mr. Tierney se revocará con alguna anti</t>
  </si>
  <si>
    <t>Burdet</t>
  </si>
  <si>
    <t>nte, no paree iéndole conveniente que se tratase de este asunto durante las negociaciones de paz; y Mr. Burdet convirrer en elfo. ’ Mr. Tierney pidió en otra sesión que se concediese á los particulares la libertad de hacer el comercio de la India. Mr. Addington se opuso á esta proposición</t>
  </si>
  <si>
    <t>Burdett</t>
  </si>
  <si>
    <t>. Finalmente, se acordó cobrar 4 schelines por libra esterlina sobre todos los sueldos y pensiones. Mr. Burdett ha anunciado á la Cámara de los Comunes que el dia 18 pedirá se forme una junta para examinar la conducta de los Ministros á quienes acusa de ser causa de la,última guerra. Varios</t>
  </si>
  <si>
    <t>Burr</t>
  </si>
  <si>
    <t>nuevo Presidente, por 4 años, á Mr. Tomas Jtíferson, en quien se reunieron los votos de 10 estados. Mr. Burr, que tuvo los de 4, es V ice-Presidente: otros 2 estados enviaron sus votos en blanco. El nuevo Presidente prestó juramento, y tomó posesión el 4 de Marzo__— Mr. Madison está eleg</t>
  </si>
  <si>
    <t>Burriel, Márcos</t>
  </si>
  <si>
    <t>Márcos Burriel</t>
  </si>
  <si>
    <t>os Reales estudios de M =drid, dedicadas á la Reyna Ntra. Sra. El nombre del P. Márcos Burriel, autor de estas memorias, y las doctas adiciones con que el editor las ha ilustrado, y de que da razón en el prólogo, bastan para hacer recomendable esta obra. La multitud de documentos</t>
  </si>
  <si>
    <t>Buscall, Pedro</t>
  </si>
  <si>
    <t>Pedro Buscall</t>
  </si>
  <si>
    <t>nis en id*. goi ig; Pedro Buscall............. Pedro y Francisca Seane........... Casidigorral en * id.*»..,.......... 8r. sé.</t>
  </si>
  <si>
    <t>Bussi, Conde</t>
  </si>
  <si>
    <t>Conde Bussi</t>
  </si>
  <si>
    <t>algunas tropas pontificias. - ’ &lt; Ha restablecido S. S. la congregación militar., y se compone del Conde Bussi, el Condestable Colona, y el Coronel ColR Esté liltimo tiene el mando interino de-un cuerpo de mil hombres que se acaba de formar. - •• Turin 24de Febrero,' A yer tarde llegó aquí</t>
  </si>
  <si>
    <t>Bustiilo y la Cueva, Andrés</t>
  </si>
  <si>
    <t>Andrés Bustiilo y la Cueva</t>
  </si>
  <si>
    <t>de Aragón á D. Santiago Piñuela; y para la plaza del Crimen, que este dexa en la de Extremadura, á D. Andrés Bustiilo y la Cueva. Para el Corregimiento de capa y espada de la ciudad de Plasencia se ha servido nombrar el Rey á D. Joseph Castilla: para el de letras de la de Toro á D. Antonio Urizar de Aldaca</t>
  </si>
  <si>
    <t>Bustillo y Cevallos, Joseph</t>
  </si>
  <si>
    <t>Joseph Bustillo y Cevallos</t>
  </si>
  <si>
    <t>l del nuevo Reyno de León, vacante por renuncia que ha hecho de ella D. Juan Nepomuceno Larralde, á D. Joseph Bustillo y Cevallos, Cura en el obispado de Mechoaean. En ei regimiento de infantería del Rey fixo de Manila se ha servido S.M. promover á Capit^-ms ai Ayudante mayor D. Manuel de Arce y al Teniente</t>
  </si>
  <si>
    <t>Bútíer, Agustín</t>
  </si>
  <si>
    <t>Agustín Bútíer</t>
  </si>
  <si>
    <t>el 7 de Enero de i«ox. Los consignatarios son : B. Tomas y B. Henrique Licnch y compañía, de Cádiz. D. Agustín Bútíer, id. X). Joseph García y Gravados, Puerto de Sta Mana. B. Juan Francisco Polanco, Cádiz. B. Joseph Aspijlaga , id. B Carlos Fiioz, id. B. Miguel Matheu, id. D. Miguel Martínez Per</t>
  </si>
  <si>
    <t>Butler, Capitán</t>
  </si>
  <si>
    <t>Capitán Butler</t>
  </si>
  <si>
    <t>o un cuerpo de infantería que estaba emboscado dispersó á nuestras tropas, cogiendo prisioneros ai ,Capitán Butler, al Sargento mayor Turner y ai Portaestandarte Daniel!* con algunos soldados. El Coronel Archdall quedó gravemente herido, y se hizo indispensable cortarle un brazo. Se sabe que e</t>
  </si>
  <si>
    <t>Caballé, Joseph</t>
  </si>
  <si>
    <t>Joseph Caballé</t>
  </si>
  <si>
    <t>........... 60. 30. Joseph Caballé........... Juan y Teresa Costa................. Villalongaenid. 81. ad. Jayme Ricart.............. Silvestre y María Villanova.... . Roca en id....... 8í. 26. Joseph Mas.</t>
  </si>
  <si>
    <t>Caballereólos, Francisco</t>
  </si>
  <si>
    <t>Francisco Caballereólos</t>
  </si>
  <si>
    <t>yor al Capitán de granaderos D. Joseph Ignacio de Merlos; y á Capitán de granaderos al de fusileros D. Francisco Caballereólos dos primeros graduados de Coroneles, y los otros dos de Teniente» Coroneles. El Rey se ha servido'conferir Compañía en e! regimiento de dragone* de Buenos Ayrés á D. Joseph de Espina,</t>
  </si>
  <si>
    <t>Caballero Boisdeffre</t>
  </si>
  <si>
    <t>en carta. Principios esenciales para la caballería, por el Capitán graduado el Caballero Boisdeffre , Teniente que fué en el Cuerpo de Carabineros, y discípulo de la Real escuela militar de Francia : trasladado del francés por el Brigadier D. Manuel de -Aguirre: un tono en 8/ marquilla, en</t>
  </si>
  <si>
    <t>Caballero Díaz, Joseph</t>
  </si>
  <si>
    <t>Joseph Caballero Díaz</t>
  </si>
  <si>
    <t>a el Arcédianato de Ribas del Sil, Dignidad de la catedral dé Astorga, vacante por fallecimiento de D. Joseph Caballero Díaz, á D. Gerónimo Herran y Salcedo , Cura del lugar dei Castrilhrdé los Pólvazáres, era el obispado de Astorga; para la Canongía de la catedral de Orense, vacante'por muerte de D. Fr</t>
  </si>
  <si>
    <t>Caballero, Francisco</t>
  </si>
  <si>
    <t>Francisco Caballero</t>
  </si>
  <si>
    <t>Subtenientes de granaderos D. Joseph González y 'Dy Agustín Martínez, y á los primeros Subtenientes D. Francisco Caballero, D. Jóseph Girón, D. Juan Vital, D. Joseph Arevaliilo, D. Luis de Ribera, Don Francisco Orellana, D. Laureano de Salas y D. Tomas dé Cear rote ;• á tenientes de granaderos á los s</t>
  </si>
  <si>
    <t>Caballero, Joseph Antonio</t>
  </si>
  <si>
    <t>Joseph Antonio Caballero</t>
  </si>
  <si>
    <t>minios para su cumplimiento. Señalado de la Real mano de S. M. En Aranjuez á 27 de Abril de 1801.=A D. Joseph Antonio Caballero.” El Rey se ha servido nombrar para la Canongía de la catedral de León, vacante por promoción de D. Manuel Vaícarce á la Dignidad de Tesorero de la misma catedral, á D. Pedro Pasc</t>
  </si>
  <si>
    <t>CaballerQ, Joseph María</t>
  </si>
  <si>
    <t>Joseph María CaballerQ</t>
  </si>
  <si>
    <t>estandarte al Sargento D. Joachín del Campo ; y en .él de voluntarios de España á Alférez al Cadete D. Joseph María CaballerQ. También lia nombrado S. M. Ayudantes de los regimientos de dragones de Almansa y Numancia á los Tenientes de los propios cuerpos D. Juan Lezeano y D. Joseph López, concediéndoles</t>
  </si>
  <si>
    <t>Cabello, Bartolomé</t>
  </si>
  <si>
    <t>Bartolomé Cabello</t>
  </si>
  <si>
    <t>te por fallecimiento de D. Pedro Castro, al Racionero D. Joseph García de Prado: para esta Ración á D. Bartolomé Cabello, Cura de Santa María: para la Canongía vacante por fallecimiento de D. Antonio Moreno, á Don JosephRamon Aldama: para la Ración, que este de*a,á D. Nicolás Maestre: para la Media-</t>
  </si>
  <si>
    <t>Cabeza, Pedro Martín</t>
  </si>
  <si>
    <t>Pedro Martín Cabeza</t>
  </si>
  <si>
    <t>para el Beneficio de la parroquial de S. Chidrían, en lá diócesis de Avila, vp.caníe por muerte de D. Pedro Martin Cabeza, á Don Victoriano Hernández, con la carga que tiene anexa: para otro Beneficio de la parroquia de Montejo de la Vega, en la misma diócesis de Avila, vacante por fallecimiento de D</t>
  </si>
  <si>
    <t>Cabezas, Luis Joseph</t>
  </si>
  <si>
    <t>Luis Joseph Cabezas</t>
  </si>
  <si>
    <t>ph Velazquez: dos empleos de Teniente del regimiente de Milicias urbanas de caballería de Chancay á D. Luis Joseph Cabezas y D. Pedro de la Puente: igual ascenso en las compañías de Milicias urbanas de caballería de Santa á D. Joseph Pió de Salas y D. Juan Ib iñez, Alféreces; y empleos de Alféreces a D. I</t>
  </si>
  <si>
    <t>Cabnnety, Antonio</t>
  </si>
  <si>
    <t>Antonio Cabnnety</t>
  </si>
  <si>
    <t>97° pitancs á los Tenientes de granaderos D. Antonio Cabnnety ,. D. Francisco Teobaído Chichera y ai Ayudante, graduado de fcapitan, D. Federico Hackenhergerj á Teniente de granaderos al de fusileros D. Llris Richenbach, y á grado de^Cagitan</t>
  </si>
  <si>
    <t>Cabo, Joseph</t>
  </si>
  <si>
    <t>Joseph Cabo</t>
  </si>
  <si>
    <t>ia......... 95- *4- Joseph Cabo........ Juan............ . Andrea Janero..... Mátelo.,.,...... Santiago . de Cor</t>
  </si>
  <si>
    <t>Cabredo, Joseph</t>
  </si>
  <si>
    <t>Joseph Cabredo</t>
  </si>
  <si>
    <t>cación que ha de hacerse de ellos: escrita en francés |ior Mr. Miteau de Blánville, y traducida por D. Joseph Cabredo: obra útil y compendiosa, en que con claridad y método se enseña quanto es necesario en esta materia. Véndese á 3 rs. en casa de Claros , calle del Arenal. La fe de Abraham y sacr</t>
  </si>
  <si>
    <t>Cabrera, Antonio</t>
  </si>
  <si>
    <t>Antonio Cabrera</t>
  </si>
  <si>
    <t>ría de Navarra se ha servido S. M. promover á primer Teniente de fusileros al segundo de granaderos D. Antonio Cabrera; á segundo Teniente de granaderos al de fusileros D. Simón Henrique; á esta resulta al Subteniente de granaderos D. Angel García; á Subteniente de granaderos al primer Subteniente</t>
  </si>
  <si>
    <t>Cabrol, Francisco</t>
  </si>
  <si>
    <t>Francisco Cabrol</t>
  </si>
  <si>
    <t>ntes D. Manael Torralbo y I); Ignacio Baknzat;á pri^ meros Teníentres á- los segando^ dé granaderos D. Francisco Cabrol y í)o» Joseph Orsini; á segundos'Tenientes dé granaderos á los dé fusileros D. Au-¿ gusto. Dupuy y D. Juan Bautista Chavert f% segundos Tenientes al Subtes niente de granaderos D. R</t>
  </si>
  <si>
    <t>Cadabal y Correa, Antonio Joseph</t>
  </si>
  <si>
    <t>Antonio Joseph Cadabal y Correa</t>
  </si>
  <si>
    <t>cazadores; su resulta á D. Jacinto. Figueroa, Subteniente de fusileros, y Subtenencia de bandera á D. Antonio Joseph Cadabal y Correa ; y Subtenencias'de bandera en los regimientos de Monterey, Mondoñedo, Ronda y Burgos á D. Joseph María Román, D. Joseph de Lago y RoblesKD. Joseph Guardado Miguens y Diúz, y D. C</t>
  </si>
  <si>
    <t>Cadavid, Manuel</t>
  </si>
  <si>
    <t>Manuel Cadavid</t>
  </si>
  <si>
    <t>Btrnardino del Pozo; á primeros Subtenientes á los segundos D. Rafael Maroto, D. Antonio Casanoves, D. Manuel Cadavid, D. Juan Sobrado, D. Joachín Albizu, D. Joseph Aballe y D. Manuel Torregrosa, y á segundos Subtenientes á los Sargentos primeros D. Gabriel Cárdena y D. Francisco Joseph García, a</t>
  </si>
  <si>
    <t>CafTarelli, General</t>
  </si>
  <si>
    <t>General CafTarelli</t>
  </si>
  <si>
    <t>a, llegó á esta plaza ayer á las 2 de la tarde &gt; acompañándole por orden dél gobierno francés' * el General CafTarelli y sus edecanés. Entre las personas te su eómitlVá se cuentan el Consejero dé Estado Nolikoífel Consejero áulico Magñitsky, ei Consejero Onhrií, y dos Ayudantes del Emperador con otr</t>
  </si>
  <si>
    <t>Calatayud, Melchor</t>
  </si>
  <si>
    <t>Melchor Calatayud</t>
  </si>
  <si>
    <t>villa de Guimerá, diócesis de Tarragona, por fallecimiento de I). Juan Millat, á D. Felipe Bosch. A D. Melchor Calatayud, segundo Teniente de la Compañía Americana de Reales Guardias de Corps, ha conferido el Rey el empleo de Ayudante general del cuerpo, que ha resultado vacante por salida de D. Ped</t>
  </si>
  <si>
    <t>undo Teniente de la Compañía Americana del Real cuerpo de Guardias de Corps, vacante por ascenso de D. Melchor Calatayud, ha nombrado el Rey á D. Antonio de Zayas, Alférez de ella: para esta resulta al Exento D. Eusebio Herrera : para el Bastón de Exento de numero, que este dexa, al supernumerario D</t>
  </si>
  <si>
    <t>Calder, Almirante</t>
  </si>
  <si>
    <t>Almirante Calder</t>
  </si>
  <si>
    <t>por noticias de Lisboa que el navio S. Nicolás de 74 cañones, perteneciente á la división del Vice-Almirante Calder, y.una fragata de la misma, quisieron entrar en aquel puerto durante un temporal, sin esperar á los pilotos- portugueses, y ambos buques baráron en un banco. Costó mucho trabajo l</t>
  </si>
  <si>
    <t>Calderón, Bartolomé</t>
  </si>
  <si>
    <t>Bartolomé Calderón</t>
  </si>
  <si>
    <t>na,Rodríguez : una tierra í ia cañada de Sacedon, de 3 fanegas, tasada en 4500 rs. Vínculo del Lie. D. Bartolomé Calderón* una tierra junto aiCalvario,Me '4'facegas y TS celemines ,'tasada en £© rs.</t>
  </si>
  <si>
    <t>Calderón, Juan</t>
  </si>
  <si>
    <t>Juan Calderón</t>
  </si>
  <si>
    <t>leros D. Jo seph Malpica y D. Felipe Gironda; á segundos Tenientes á los Subtenientes de granaderos D. Juan Calderón, Joachín Benitez y D. Nicolás Ortuno, y al-primer Subteniente D. Leonardo Martines; á Subtenientes de granaderos á Josi primeros Subtenientes D. Joseph Galludo, D. Joseph Calíava</t>
  </si>
  <si>
    <t>Calíava, Joseph</t>
  </si>
  <si>
    <t>Joseph Calíava</t>
  </si>
  <si>
    <t>D. Leonardo Martines; á Subtenientes de granaderos á Josi primeros Subtenientes D. Joseph Galludo, D. Joseph Calíava y D. Rafael Ramiro; á primeros Subtenientes á los segundos D. Antonio Merlo, D. Joseph Juano, D. Joseph Rodríguez, D. Miguel Márquez y D. Joseph Casaus, y a segundos Subtenientes á lo</t>
  </si>
  <si>
    <t>Calixto de Ojeda, Juan</t>
  </si>
  <si>
    <t>Juan Calixto de Ojeda</t>
  </si>
  <si>
    <t>n y conducta en el colegio militar'de Segovia los caballeros' Cadetes del Real cuerpo de Artillería D. Juan Calixto de Ojeda» 0. Manuel1 de la Puente» D» Francisco Arias 4® Saavedra, D. Bartolomé Gutiérrez» Don Francisco Campo-Redondo » Dr Antonio Rodríguez de Toro» D.. Amadeo Juan de Mora»• D; Matías M</t>
  </si>
  <si>
    <t>Calixto Sancho</t>
  </si>
  <si>
    <t>niente al Subteniente de granaderos 0. Joseph Martínez; á Subteniente de granaderos al de fusileros D. Calixto Sancho; á primer Subteniente al segundo Don Francisco OHvencia, y á segundo Subteniente al Sargento primero de gra</t>
  </si>
  <si>
    <t>Calleja, Bartolomé</t>
  </si>
  <si>
    <t>Bartolomé Calleja</t>
  </si>
  <si>
    <t>D. Francisco Domínguez; para el Deanato de la catedral de Calahorra, vacante ppr falleciniiento de D. Bartolomé Calleja , al Chantre dé la misma iglesia D. Antonio Carrillo Mayoral, con retención de la Canongía: para la Canongía que obtenía él referido D. Bartolomé Calleja, á D. Rafael'de-Gastrecio</t>
  </si>
  <si>
    <t>Callejas, Diego</t>
  </si>
  <si>
    <t>Diego Callejas</t>
  </si>
  <si>
    <t>e......... 4&lt;5. ao. Diego Callejas..,. Diego........... JosephaTurriaga. Logroño......... Idem................. 4a. ia. Mateo Tarjuclo... Juan.............. Isabel Barbula..... Consuegra...;. T</t>
  </si>
  <si>
    <t>Calonge, Francisco</t>
  </si>
  <si>
    <t>Francisco Calonge</t>
  </si>
  <si>
    <t>a D. Tade°¿iTos1 raimientos provinciales se ha servido el Rey nombrar Sargento mayor del de Soria á D. Francisco Calonge, que lo era del de Avila, y ® ¿ esta resulta i D. Francisco Meodiri, que servia igual empleo en aquel</t>
  </si>
  <si>
    <t>Calonge, Nicolás</t>
  </si>
  <si>
    <t>Nicolás Calonge</t>
  </si>
  <si>
    <t>cia.,,........ Sres. Moreda y Ladalid. . , En Oviedo..,,.......D. Manuel Rubiano. En Palenda........D. Nicolás Calonge. En Palma............. D. Martin Mayol. En Pamplona.,.,... Sres. Viuda de Barbería é hijos. En Salamanca......Sres. Hurrero y Casaseca. En Santander...... Sres. Vial é hijo y comp</t>
  </si>
  <si>
    <t>.......... Sres. Moreda y Ladalid. En Oviedo.............. D. Manuel Rubiano. En Falencia.......... D. Nicolás Calonge. En Palma.............. D. Martin Mayo!. En Pamplona........ Sres. viuda de Barbería é hijos# En Salamanca....... Sres. Urrero y Casaseca. En Santander.,.....Sres. Vial é hijo y c</t>
  </si>
  <si>
    <t>17 de noviembre de 1801</t>
  </si>
  <si>
    <t>...........Sres. Moreda y Ladalid. En Oviedo.............. D. Manuel Rubiano. En Falencia...........D. Nicolás Calonge. En Palma.............. D. Martin Mayol. En Pamplona........ Sres. viuda de Barbería 6 hijos# En Salamanca.......Sres. Urrero y Casaseca. En Santander........Sres. Vial é hijo y c</t>
  </si>
  <si>
    <t>a.......... . Sres. Moreda y Ladalid. En Oviedo.............. D» Manuel Rubiano. Eñ Palenda...... . D. Nicolás Calonge. En Palma............. D. Martin Maybl. - En Pamplona........Síes, viuda de Barbería é hijos. - En Salamanca........Sres. Utrero y Casaseca. En Santander........ Sres. Vial é hijo</t>
  </si>
  <si>
    <t>Calvin, General</t>
  </si>
  <si>
    <t>General Calvin</t>
  </si>
  <si>
    <t>vigilancia de la brigada de derecha de la división de Monnier, que defendía á Macaría al mando del General Calvin. Los austríacos añadiéron á estas precauciones un ardid que les hace poco favor: pues esperando sorprehendernos nos declararon pocos dias antes por un oficial que'mandaba sus pues</t>
  </si>
  <si>
    <t>Calvo y Antequera, Juan</t>
  </si>
  <si>
    <t>Juan Calvo y Antequera</t>
  </si>
  <si>
    <t>ente de granaderos á.D. Buenaventura Morales ;.á Subtenientes de fusileros á los Sargentos primeros D. Juan Calvo y Antequera, D. Fernando Rodríguez, D. Mariano Cevallós, D. Gregorio Alagon, D. Luis Vargas y D. Diego Orellana, y á Subtenientes de.bandera á D. Pedro Estrada, D. Diego de la Vaca y Don Bart</t>
  </si>
  <si>
    <t>Calvo, Joseph</t>
  </si>
  <si>
    <t>Joseph Calvo</t>
  </si>
  <si>
    <t>Canónigo de la misma catedral: para una .Canon gia de i a catedral de Zamora» vacante por muerte de D. Joseph Calvo» á D. Joachín Esearano: para otra de Ja de Guadix, vacante por fallecimiento de D. Pascual Ruiz, á D. Andrés de Anaya y Ribas: para una Ración del colegio de Sancti Spíritus de la</t>
  </si>
  <si>
    <t>Calvo, Nicolás</t>
  </si>
  <si>
    <t>Nicolás Calvo</t>
  </si>
  <si>
    <t>............ 34* 7* Nicolás Calvo...... Cárlos.......... Angela Fercandez.CantodeMuro.Vivero*............. 37. 10. Joseph Vega........ Joseph.......... María Fernandez. Edrada.... Conso............</t>
  </si>
  <si>
    <t>Camarero, Francisco</t>
  </si>
  <si>
    <t>Francisco Camarero</t>
  </si>
  <si>
    <t>os Cadetes D. Joseph Cerón y D. Manuel Arjona : en ei dei Itífaii-, te á Alférez al Portaestandarte D. Francisco Camarero, y á esta resulta ab Cadete graduado de Alférez D. Joseph Chirac y Tirado*, en ei de BorboiV 4 primer. Teniente al segundo D. Manuel Lamarca,y k segundos Tenientes' áTos Alféreces</t>
  </si>
  <si>
    <t>Camba, Pedro</t>
  </si>
  <si>
    <t>Pedro Camba</t>
  </si>
  <si>
    <t>Mariano Cal" fe 11 También ha conferido S.-M. Compañía en el regimiento de caballería de Montesa á D. Pedro Camba, Teniente de la Real brigada de-Carabineros. En América. El Rey se lm dignado conferir la plaza de Oficial tercero de 1? Contaduría de Real Hacienda de Veracruz a D. Joseph I oblo</t>
  </si>
  <si>
    <t>Camero, Juan</t>
  </si>
  <si>
    <t>Juan Camero</t>
  </si>
  <si>
    <t>ubteniente al segundo D. Baltasar Araujo, y á segundo Subteniente el Sargento primero de granaderos D. Juan Camero. También en el de caballería de Húsares Españoles se lia servido S. M. promover á primer Teniente al segundo, graduado de Capitán, D. Vicente Bracamonte; y á Ayudante en el de la</t>
  </si>
  <si>
    <t>Camilo de Rosieres</t>
  </si>
  <si>
    <t>ros D. Balbino Cortés y D. Torlbio de Robles; á segundos Tenientes de granaderos á los de fusileros D. Camilo de Rosieres y D. Francisco Requesens; á segundos Tenientes al primer Subteniente,, graduado de Teniente, D. Carlos Kersech y al Subteniente de granaderos D. Juan Antonio Monet; á Subteniente de g</t>
  </si>
  <si>
    <t>Campbell, Almirante</t>
  </si>
  <si>
    <t>Almirante Campbell</t>
  </si>
  <si>
    <t>quieran navegar por su cuenta y riesgo en buques de otras potencias. T? Hamburgd 2j de Junto* J5'f Almirante Campbell llegó aquí de Italia hace 3 días: venia de Egipto, y continuó su viage á Londres. El Príncipe de Conde llegó también el 23 , y ántes de ayer salió para Cuxhaven, en donde le esper</t>
  </si>
  <si>
    <t>Campbell, Coronel</t>
  </si>
  <si>
    <t>Coronel Campbell</t>
  </si>
  <si>
    <t>o que salió de Inglaterra, y trae el aviso de-que u,n cuerpo de tropas- ingle-' sas mandadas por el Coronel Campbell atacó el castillo de Tranquebar en 3a costa de Coromandel, cuya guarnición se * entregó sin hacer resistencia porque no se hallaba en estado de defenderse; Las cartas de la India</t>
  </si>
  <si>
    <t>Campillo y Cosío, Joseph</t>
  </si>
  <si>
    <t>Joseph Campillo y Cosío</t>
  </si>
  <si>
    <t>ra que la primera tenga considerables ventajas. y Ja segunda mayores intereses $ obra compuesta por D. Joseph Campillo y Cosío: un tomo en 8.° marquilla, dividido en dos partes: la primera consta de 10 capítulos, con reflexiones, reglamentos económicos, visita general, circunstancias para ella, imitación</t>
  </si>
  <si>
    <t>Campo-Redondo, Francisco</t>
  </si>
  <si>
    <t>Francisco Campo-Redondo</t>
  </si>
  <si>
    <t>Calixto de Ojeda» 0. Manuel1 de la Puente» D» Francisco Arias 4® Saavedra, D. Bartolomé Gutiérrez» Don Francisco Campo-Redondo » Dr Antonio Rodríguez de Toro» D.. Amadeo Juan de Mora»• D; Matías Muñido, 1&gt;. CayetanoBlengáayD. 'Luis García y Pina, D¿ Migue! María PanesyD.'Ma'nuélAutranysehaservidoel Key pr</t>
  </si>
  <si>
    <t>Campós, Joseph</t>
  </si>
  <si>
    <t>Joseph Campós</t>
  </si>
  <si>
    <t>............ 38. 4* Joseph Campós... Francisco,....* María Bpuzada.... Velay...........Los Baños...... 33* l8‘ Luis Meniño....... Pedro............ Josepha Luis........ Cima de Vita. Cordeyro.....</t>
  </si>
  <si>
    <t>Campos, Juan Francisco</t>
  </si>
  <si>
    <t>Juan Francisco Campos</t>
  </si>
  <si>
    <t>olitana de México, vacante por fallecimiento de D. Valentín García Narro, al Arcediano de la propia D. Juan Francisco Campos: para, el Are dim.to al Chantre D. Manuel Antonio de Sindovalpara la Chaotría al Maestrescuela D. Joseph Ruiz de Conejares: para la Maestrescoíía al T.sorcro D. Juan de' Mier y Vi</t>
  </si>
  <si>
    <t>Campos, Vicente</t>
  </si>
  <si>
    <t>Vicente Campos</t>
  </si>
  <si>
    <t>oronel, D. Cayetano Esparza: en el de las Ordenes Militares á Capitán de granaderos al de fusileros D. Vicente Campos; á esta resulta al primer Teniente del de Toledo D. Bonifacio de Ribas, y á segundos Subtenientes á los Sargentos primeros D. Juan Torres y D, Narciso de Salas, y á los Cadetes í)</t>
  </si>
  <si>
    <t>Camps, Juan</t>
  </si>
  <si>
    <t>Juan Camps</t>
  </si>
  <si>
    <t>aya enV contrado alisará á D. Fulgencio Antonio Moreno , Vécinó d&lt;f dicha piucíad de1 Llerena ¿ ó á D. Juan Camps y cotúpafíía , del comercio de ésfch .corlear’ j Por el Lie. D. Manuel Angel Carrancio, Juez comisiónalo’para le en a ge na* cion de finéas de obras pias existentes; en¿los pueblos</t>
  </si>
  <si>
    <t>Campunot, Joseph</t>
  </si>
  <si>
    <t>Joseph Campunot</t>
  </si>
  <si>
    <t>ente de granaderos al de fusileros D. Henrique de Chauveron; á primeros Subtenientes á los segundos D. Joseph Campunot y D. Luis de Solan, y á segundos Subtenientes i los Cadetes D. Carlos y D. Francisco de Massia. S. M. se ha servido nombrar para la Vara de Alcalde mayor de la villa de Pedro-Muñoz á</t>
  </si>
  <si>
    <t>Canales, Andrés</t>
  </si>
  <si>
    <t>Andrés Canales</t>
  </si>
  <si>
    <t>a, D. Domingo Canigniani, D. Silverio de Beingolea y D. Damián Alarcon; Subtenencia de granaderos á D. Andrés Canales; Subtenencias de fusileros al Sargento primero D. Nicolás Sánchez, D. Alexandro Vega, D. Rafael Lobaton y Don Isidro Pugi, y Subtenencias de bandera á D. Agustín Moseoso y D. Juan</t>
  </si>
  <si>
    <t>Cañaveras, Juan Antonio</t>
  </si>
  <si>
    <t>Juan Antonio Cañaveras</t>
  </si>
  <si>
    <t>or D. Vicente Garviso: Mapamundi ó carta universal de la tierra, dispuesta bazo un nuevo método por D. Juan Antonio Cañaveras: continuación de las noticias literarias sacadas de la gazeta universal de literatura alemana. Se subscribe á esta obra en la librería de Escribano , calle de las Carretas, pagand</t>
  </si>
  <si>
    <t>Canciller y Mr, Lord</t>
  </si>
  <si>
    <t>Lord Canciller y Mr</t>
  </si>
  <si>
    <t>antiguos .se han retirado^ y son el Lord Grenville, el Conde de Spencer y Mr; Windham. Mr. Pitt, el Lord Canciller y Mr. Dundas debían retirarse.ayer; pero es probable que á lo^iiiénos el primero exerza.yí conservé, las funciones ds su empleo, tanto mas que: su sucesor Mr. Addigron no ha prestado t</t>
  </si>
  <si>
    <t>Canciller, Lord</t>
  </si>
  <si>
    <t>Lord Canciller</t>
  </si>
  <si>
    <t>de los individuos de1 la Cámara de los Comunes., les dirigió un discurso; y cónéluido habló así el Lord Canciller: „Milores. y. Señores. Manda S. M. que la proclama eu que declara su intención de que los vocales que compionen el Parlamento actual lo sean del Parlamente del ^eynórunido de la G</t>
  </si>
  <si>
    <t>. os individuos de las dos Cámaras del Parlamento se reunieron en la de los Pares el ¡dia 22., y el Lord Canciller les declaró que conforme á los deseos de S. M. debían proceder á la elección de un orador. Se retiraron luego los Comunes á su Cámara ; y en la alta se leyéron los nombres de los.</t>
  </si>
  <si>
    <t>buir al sosiego publico. El Lord EIdon prestó el día 14 en la Cámara de los Pares su juramento como Lord Canciller.__ En la de los Comunes se comunicó el 13 en junta secreta un informe sobre los documentos relativos al estado interior del Reyno. De dicho informe resulta que.los nocivos princip</t>
  </si>
  <si>
    <t>l Lord Elgin. ' A las tres y media de la tarde se cerró hoy el Parlamento. En nombre del Rey fué el Lord Canciller quien pronunció el discurso, en el qual no se advirtieron expresiones que alienten las esperanzas de paz: pues únicamente di$o que la mayor ventaja de los triunfos de las armas in</t>
  </si>
  <si>
    <t>A las 5 se había enviado la caxa de plata (que desde la paz con los americanos no habia servido) al Lord Canciller para que sellase y firmise. Los demás Ministros diéron su consentimiento; y á las 7 el Lord Hawkesbury y el ciud. Otto firmaron los preliminares en Downing-Street. El mención ido</t>
  </si>
  <si>
    <t>Canclaux, General</t>
  </si>
  <si>
    <t>General Canclaux</t>
  </si>
  <si>
    <t>siguen por el departamento del Ain á lo interior de la República. Ha salido de Berna para París el General Canclaux, Inspector general de infantería. Roma g de Junio. S rn muchos los correos que vienen aquí de Viena, Paris y aun de Londres: la mayor parte de ellos sigue luego á Ñapóles. Ademas,</t>
  </si>
  <si>
    <t>Cándido Failde</t>
  </si>
  <si>
    <t>838 naderos al de fusileros D. Cándido Failde ; á segundo Teniente al Subteniente de granaderos V. Vicente Anduaga; á Subteniente de granaderos al primer Subteniente D. Antonio Fortun; á esta resulta al segundo Subteniente D.</t>
  </si>
  <si>
    <t>Cándido María Trigueros</t>
  </si>
  <si>
    <t>á 100 rs. en rústica , y iao en pasta. Sancho Ortiz de las Roelas: tragedia(española arreglada por D. Cándido María Trigueros, Bibliotecario que fué de los Reales estudios de Madrid: publicada por el Sr. Manuel García Parra , primer actor de una de las compañías cómicas de esta córte, que la representó e</t>
  </si>
  <si>
    <t>rvantes Saavedra , abreviada después y punto del P. Marti ni ; traducida del italiano concluida por D. Cándido María Trigueros:' por dicho D. Francisco Antonio Gutiérrez: 4 tomos encuadernados en 2 , á 34 rs. en pasun tomo en 8.° marquilla, á 18 rs. en papel, ta, 30 en rustica, y 24 en papel. y 23 en past</t>
  </si>
  <si>
    <t>Candone, Bernárdo</t>
  </si>
  <si>
    <t>Bernárdo Candone</t>
  </si>
  <si>
    <t>en id... S'&lt;. a&lt;S. Bernárdo Candone,.;... Fé*ix y María Catalat......... Eira en id....... £0. 30. Francisco Fenateu.. .... Pablo y, María Rocía.... .</t>
  </si>
  <si>
    <t>Cañedo Valdés, Ramón</t>
  </si>
  <si>
    <t>Ramón Cañedo Valdés</t>
  </si>
  <si>
    <t>mayor al segundo Teniente D. Antonio Juez Sarmiento, y á segundo Teniente al Alférez de granaderos D. Ramón Cañedo Valdés: en el de Reales .Guardias Wálonas á Alféreces de granaderos á los de fusileros D. Joseph de Zaldivaí y D. Bernardo María Guendulain. En él de infantería deSaboya á Comandante del</t>
  </si>
  <si>
    <t>Cañeiíasi, Juan</t>
  </si>
  <si>
    <t>Juan Cañeiíasi</t>
  </si>
  <si>
    <t>Zel ge r. . j Asimismo en el regimiento de dragones del Rey ha promovido S. M. á; AlFérez ai Cadete D. Juan Cañeiíasi '■ 'l ■: , r,»'.7 •- *&gt;- / r.íHabiéndose verificado el sorteo &gt; segundo de; la, rifatde quinientos; millos» nes de reales de la Real Gaxa de Descuentos, según se anuncio ai public</t>
  </si>
  <si>
    <t>Cañete, Juan</t>
  </si>
  <si>
    <t>Juan Cañete</t>
  </si>
  <si>
    <t>uba; á segundo Teniente al Alférez de carabineros D. Antonio Leguey, y á Alférez al Portaestandarte D. Juan Cañete; y en el de dragones de Aimansa á Alféreces al Sargento primero de granaderos. D. Ramón Bertrán y al Cadete D. Antonio Salgado. S. M. ha promovido á Ingenieros extraordinarios de</t>
  </si>
  <si>
    <t>Canga Arguelles, Joseph</t>
  </si>
  <si>
    <t>Joseph Canga Arguelles</t>
  </si>
  <si>
    <t>una de las de infantería fixa de la Costa de Granada, al Soldado distinguido de la de Velez-Málaga D. Joseph Canga Arguelles. El Rey se ha dignado conferir el Gobierno militar y político de la plaza de Ciudad-Rodrigo á D. Fernando Gáber, IngenieroMirector de los Reales exércitos, plazas y fronteras: la</t>
  </si>
  <si>
    <t>Canigniani, Domingo</t>
  </si>
  <si>
    <t>Domingo Canigniani</t>
  </si>
  <si>
    <t>de granaderos al Subteniente D. Melchor Alarcon; Tenencias de fusileros á D. Manuel de la Rey naga, D. Domingo Canigniani, D. Silverio de Beingolea y D. Damián Alarcon; Subtenencia de granaderos á D. Andrés Canales; Subtenencias de fusileros al Sargento primero D. Nicolás Sánchez, D. Alexandro Vega,</t>
  </si>
  <si>
    <t>Canijo, Julián</t>
  </si>
  <si>
    <t>Julián Canijo</t>
  </si>
  <si>
    <t>fíos....... ¿o. s8. Julián Canijo...... Manuel;;....... Isabel Rodríguez.. Campo..... . Ponferrada..... í 4* 7* Pascual Gil......... Francisco...... Antonia Chaves... Garbajosa.... Sigüenza........</t>
  </si>
  <si>
    <t>Cano, Antonio</t>
  </si>
  <si>
    <t>Antonio Cano</t>
  </si>
  <si>
    <t>la Princesa á primer Subteniente al segundo D. Joachín Granzberg, y á segundo Subteniente al Cadete D, Antonio Cano. También se ha servido S. M. nombrar en el regimiento de caballería de Santiago Portaestandarte ai Cadete D. Joseph Cueto: en el de Borbon á Portaestandarte al Cadete D. Manuel Gó</t>
  </si>
  <si>
    <t>Cano, Vicente</t>
  </si>
  <si>
    <t>Vicente Cano</t>
  </si>
  <si>
    <t>na y manufacturas de lino, que fomentó y estableció baxo un pie brillante el zelo y laboriosidad de D. Vicente Cano, Corregidor que fué de esta ciudad ,y ha sabido hacer aumentar la actividad y acierto de su actual Director el Dr. D. Luis Vaicárcel y Daoiz, Canónigo de esta santa iglesia. Proce</t>
  </si>
  <si>
    <t>villa de Madrid á O. Vicente Torres Cónsul: para el Corregimiento político de la ciudad de Ronda á D. Vicente Cano: para la Vara de Alcalde mayor de las villas del Ferrol y Grana á D. Miguel Benitez Cortés; y para la de la isla de la Palm?, en Cana-, rías á D. Anastasio Aguilar. El Consejo, á</t>
  </si>
  <si>
    <t>Canten, Tomás</t>
  </si>
  <si>
    <t>Tomás Canten</t>
  </si>
  <si>
    <t>os segundos D. Agustín Poncerot, D. Bernardo Álvarez, D. Blas Áivarez, D. Joseph Aguado y ÓquenHo , D. Tomas Canten , D. Guillermo Líons, D. Andrés.Agnado y Oou-ndo , D. Joseph Alvarez , D. Pedro Dalesme y D. Juan O-Laugbhn, v á segundos Subtenientes al Cadete D. Manuel Quarteraro y O-Donovan y</t>
  </si>
  <si>
    <t>Cantón, Vicente</t>
  </si>
  <si>
    <t>Vicente Cantón</t>
  </si>
  <si>
    <t>dad los pasages que se les señalaron de las Selectas) y O. Manuel de la Fuente, y en la de sintaxis D. Vicente Cantón, D. Lucas de la Fuente y D, Francisco Munguia. En la prosodia sobresalió D. Her^ menegiído Toraya* Pmgcerdd i&lt;&gt; de X&gt;iciembre. E 1 Dr. D. Francisco Piguillem, socio de varios cuer</t>
  </si>
  <si>
    <t>Caonedo, Nicolás</t>
  </si>
  <si>
    <t>Nicolás Caonedo</t>
  </si>
  <si>
    <t>. Matías Retamar, D. Christóbal Vilanováy D. Antonio Jaquez; á primeros Subtenientes á los segundos D. Nicolás Caonedo, D. Miguel Buergo, D. Bernardino dei Pozo, D. Luis Gutiérrez, D. Christóbal Bolano y D. Andrés jQlarria, y a segundos Subtenientes á.los Sargentos primeros D. Juan Sobrado , ¡ D.</t>
  </si>
  <si>
    <t>. Manuel Zerbeía y D. Joseph Juan de Rico; á Subtenientes de granaderos a ios primeros Subtenientes D. Nicolás Caonedo, D. Miguel Buergo y D. Btrnardino del Pozo; á primeros Subtenientes á los segundos D. Rafael Maroto, D. Antonio Casanoves, D. Manuel Cadavid, D. Juan Sobrado, D. Joachín Albizu, D</t>
  </si>
  <si>
    <t>Capel</t>
  </si>
  <si>
    <t>y pliegos. En el golfo, de México ha zozobrado el buque ingles de guerra el Meleagro, del mando de Mr. Capel. Los oficiales y la tripulación se salvaron, y han llegado á Jamayca. AI volver de Constantinopla á Trieste Mr. Spencer-Smith, último Ministro ingles en Turquía, hubo de perecer,</t>
  </si>
  <si>
    <t>Capilla, Isidoro</t>
  </si>
  <si>
    <t>Isidoro Capilla</t>
  </si>
  <si>
    <t>z y D. Felipe Aner; en la clase de buenos D. Ramón Salazar, Doft Joachín Royo, D. Antonio' Capilla,\D. Isidoro Capilla, D. Vicente Royo, D. Ildefonso González, D. Francisco Rimont, D, Joseph Latasa Hernández de Larrea y D.: Salyador Sobrevillahabiendo este demostrado prácticamente Jas diferentes m</t>
  </si>
  <si>
    <t>Capini, Benito</t>
  </si>
  <si>
    <t>Benito Capini</t>
  </si>
  <si>
    <t>a misma compañía D. Antonio Lrminiana; para el empleo de Brigadier, que este dexa, al Sub-Brigadier D. Benito Capini; para su resulta ál Cadete D. Luis Marques?; para el emplea de Cadete de número al supernumerario D. Gerónimo Pietrt, y para Cadete supernumerario al Guardia D. Nicolás Abarna: en</t>
  </si>
  <si>
    <t>Capnra, Cardenal</t>
  </si>
  <si>
    <t>Cardenal Capnra</t>
  </si>
  <si>
    <t>e transferirá á Brest por disposición de los Cónsules de la República. El Sr. Júnior, mayordomo del Cardenal Capnra» llegó á París el 2 7del mes último,y espera en breve á dicho Emo. Legado. Apénas se recibió el dia 3 por la tarde la noticia de la paz, se comunicó al público en todos los teatro</t>
  </si>
  <si>
    <t>Caprara, Cardenal</t>
  </si>
  <si>
    <t>Cardenal Caprara</t>
  </si>
  <si>
    <t>dura de la gran cruz, signo característico del título de Legado á látete^ que S. S. ha conferido al Cardenal Caprara, encargado de desempeñar esto destino en Francia. El ciud.'Cacault, todos los franceses y los extrangeros que había en Roma asistieron á aquella ceremonia.__ El Cardenal Caprara e</t>
  </si>
  <si>
    <t>Caravantes y Haho, Carlos</t>
  </si>
  <si>
    <t>Carlos Caravantes y Haho</t>
  </si>
  <si>
    <t>ón. 1 : ; Madrid77 de yI; Rey* fea nombrado 'Tehiénté Coronel del rcgímiénto provincial dé Málaga á D. Carlos Caravantes y Haho ¿ Cápitan del mismo cuerpo; y ha conferido Subtenencia de bandera á D. Andrés Román, Cadete dél de indo / fusileros al Subteniente dé cazadores D. Félix Trapero; lis Subtenencias</t>
  </si>
  <si>
    <t>Carbón, Manuel</t>
  </si>
  <si>
    <t>Manuel Carbón</t>
  </si>
  <si>
    <t>nio Ordonfez: en el primer batallón de Voluntarios de Aragoti a segundo Ayudante al primer Teniente D. Manuel Carbón; á primer Teniente al segundo D. Ramón Garcés; á esta resulta al primer Subteniente D. Pío Ambrós; á primer Subteniente al segundo D. Juan Lafuente,y á segundo Subteniente al Sarg</t>
  </si>
  <si>
    <t>Carbóneda, Ignacio Andrés</t>
  </si>
  <si>
    <t>Ignacio Andrés Carbóneda</t>
  </si>
  <si>
    <t>Antonio Cutanda para la Prestamera de Pradma, vacante en el mismo obispado de Córdoba pór muerte de D. Ignacio Andrés Carbóneda. Asimismo'se ha servido S. M. nombrar para lá Prestimara de la villa de Sahta Eufemia en dicha diócesis de Córdoba, vacante por fállecimiéntb de B. NáfcijíÓ Ladero, y el Beneficio</t>
  </si>
  <si>
    <t>Cárdena, Gabriel</t>
  </si>
  <si>
    <t>Gabriel Cárdena</t>
  </si>
  <si>
    <t>Albizu, D. Joseph Aballe y D. Manuel Torregrosa, y á segundos Subtenientes á los Sargentos primeros D. Gabriel Cárdena y D. Francisco Joseph García, al Soldado distinguido del Real cuerpo de artillería D. Juan Manuel Ruiz, y al Subteniente que fue de los extinguidos batallones de Voluntarios de Guipúz</t>
  </si>
  <si>
    <t>Cargóles, Estéban</t>
  </si>
  <si>
    <t>Estéban Cargóles</t>
  </si>
  <si>
    <t>en id...... 45* 33. Estéban Cargóles........ Jayme y Catalina Martina. Castel Roselló</t>
  </si>
  <si>
    <t>Cari, Lord</t>
  </si>
  <si>
    <t>Lord Cari</t>
  </si>
  <si>
    <t>ste,puerto 4 prer sas inglesas ricamente cargadas.;-. Refieren las últimas, cartas de Berlín que el Lord Cari,sford&gt;ha salido de allí para Londres: que las tropas prusianas han ocupado, ya el Electorado de Hannóver: que los puertos de Lubeck , Bremen y otros se cerrarán para las embarcaci</t>
  </si>
  <si>
    <t>Cariíiona, Juan Antonio Salvador</t>
  </si>
  <si>
    <t>Juan Antonio Salvador Cariíiona</t>
  </si>
  <si>
    <t>Sra. del Rosario ébmó“se vecera en sh tk^illa del ¿óíegio dé Sto. Tomas de esta corte, grabada por D. Juan Antonio Salvador Cariíiona , grabador’ de cámara de S.-M. Véndese en las librerías de Barca, carrera-dé ^. ^eiónimo', de Escribano, calle de las Carretas, y de la viuda de Cerro, red de S. Luis, ,á 6 rs. ,</t>
  </si>
  <si>
    <t>Cariol, Juan</t>
  </si>
  <si>
    <t>Juan Cariol</t>
  </si>
  <si>
    <t>............. 31 n, Juan Cariol............... Vicente y Ana María Carabasa. S. Feliu en el Rosellon......... 48. 14. Bartol</t>
  </si>
  <si>
    <t>Cárior de Hesse, Príncipe</t>
  </si>
  <si>
    <t>Príncipe Cárior de Hesse</t>
  </si>
  <si>
    <t>peíjufcio 4* su independencias - Se ha ajustado unaespecio de* capitulación entre la ‘ciudad? y el1 Príncipe Cárior de Hesse, estipulándose en eUa&lt; las varias" condiciones ofrecidas verbalmente? por el mismo Principe;. Este*ha pedido¡al Senado 12®? parés dé botándoteos tantos de zapatos, io9 pantalones,</t>
  </si>
  <si>
    <t>Cários, Príncipe</t>
  </si>
  <si>
    <t>Príncipe Cários</t>
  </si>
  <si>
    <t>uesto enteramente de estudiantes; se llama el batallón de Corps, y en campaña servirá de guardia'al Príncipe Cários, En Praga se ha formado también lih cuerpo de voluntarios de caballería con el mismo destino*. —„ En medió de estas y otras disposiciones guerreras se ha esparcido la voz de que e</t>
  </si>
  <si>
    <t>Carisfford, Lord</t>
  </si>
  <si>
    <t>Lord Carisfford</t>
  </si>
  <si>
    <t>de la solicitud formal que hizo aquella Regencia; pero se ha sabido que S. M. Prusiana respondió al Lord Carisfford que no retirará sus tropas hasta que se arreglen definitivamente todos los asuntos entre las potencias del Norte é Inglaterra. Basilea tj de Julio. caba de recibir este gobierno u</t>
  </si>
  <si>
    <t>Carisfórd y de Mr, Lord</t>
  </si>
  <si>
    <t>Lord Carisfórd y de Mr</t>
  </si>
  <si>
    <t>al Lord Corregidor de esta sagital: „C)s informó con la mayor satisfacción de que según cartas del Lord Carisfórd y de Mr. Crawiord, recibidas hoy mismo, parece que las cortes de Berlín y Copenhague se han determinado á dexar libre la entrada y navegación de los rios del ;norte de Alemania, y que tod</t>
  </si>
  <si>
    <t>Carisford, Lord</t>
  </si>
  <si>
    <t>Lord Carisford</t>
  </si>
  <si>
    <t>rzadas aLexérc¡tQ;én numerqVé; 2$© hombres^. f , ; t ^ ' Bertin 29 de Diciembre. v77*' 7 V *1 ' E 1 Lord Carisford, Ministro de Inglaterra, entregó ayer á los Ministros de Suepia y DÍnaiíiatrca un,oficio, por eh/qvál, pide una explicación definitíryá,- jcatpgóricá ^b«*lqs mueyoá^píices, dé ^^r</t>
  </si>
  <si>
    <t>orte y*la de Stockolmo han enviado ya á Petersburgo la ratificación del convenio de neutralidad. El Lord Carisford, Ministro ingles, ha hecho representaciones en nombre de su Soberano Sobre lai accesión de esta corte á dicho convenio; y en una nota que acaba de presentas asegura que d Rey de l</t>
  </si>
  <si>
    <t>í con el nombre de Conde de Northeim. . Acaban de llegar dos correos de Londres con pliegos para el Lord Carisford, Ministro ingles. Dícese que ha recibido orden de entablar negociaciones con el gabinete prusiano relativamente á las desavenencias.movidas entre Inglaterra’y-.las cortes del Nort</t>
  </si>
  <si>
    <t>los Electores ha acordado que se dexe éste punto al arbitrio y resolución de S. M. el Emperador. El Lord Carisford, Ministro dé Inglaterra en Berlín, hk{comunicado k aquel gabinete una nota remitida por el Lord Grefcville al Ministro ruso^ la qual contiene fuertes quejas sobre el embargo de la</t>
  </si>
  <si>
    <t>británico contestado á la nota que el Ministro prusiano Conde de Haugwitz entrego al Enviado ingles Lord Carisford* ha declarado este soberano que miraba como hecha á su Real persona la respuesta de la Gran Bretaña al Rey de Suecia. En conseqiiencia de esto se' a r» PYl\Pni^in viu hAXX VIWMW A</t>
  </si>
  <si>
    <t>uelto repentinamente su viage ; irá á Hamburgo , en donde se embarcará para Inglaterra. Asimismo el Lord Carisford se dispone á retirarse , habiendo ya despedido todos los criados prusianos que tenia. Francfort jo de Marzo. D e Ehrenbreitstein, que está ya enteramente desmantelada, han sacado</t>
  </si>
  <si>
    <t>en lugar. de adoptar el expediente propuesto, pasó en silencio la respuesta entregada en Berlín al Lord Carisford j continuó tratando como enemigas las banderas del ‘Nortea y en una nota: comunicada por el Secretario de Estado Lord Harwkesbnry: al Enviado dé.Suecia Barón dejEhrensverd con fec</t>
  </si>
  <si>
    <t>quilizar á dicha ciudad sobre la seguridad de, su independencia y el goce de todos sus fueros. . El Lord Carisford, Ministro de Inglaterra en Berlín, ha declarado de oficio á aquel gabinete que los ingleses respetarán la bandera de Prusia y los géneros y efectos prusianos cargados en embarcaci</t>
  </si>
  <si>
    <t>un gran banquete diplomático, al que asistieron el General Beurnonville, Ministro de Francia, y el Lord Carisford, Ministro ingles; y se noto que estaban sentados el uno al lado del otro. El ciud. Hultmann, que ha venido aquí por orden del Directorio de Holanda para arreglar las indemnizacion</t>
  </si>
  <si>
    <t>t $91 nístra de Prusla y' el Lord Carisford, relativas i los estados que el Rey de Inglaterra posee en Alemania. Hasta ahora no se disponen? las tropas prusianas .á ev icuar aquellos .estados:; pero se asegura que el mencio</t>
  </si>
  <si>
    <t>Es tan elevada que puede verse desde 12 leguas. Hasta ahora no se habia señalado en ningún mapa. Eb Lord Carisford está, nombrado Embaxador ingles en Petersburgo en lugar del Lord Saínt-Helens, que se restituye á Inglaterra á causa de hallarse enfermo. Refieren los últimos avisos de Bengala que</t>
  </si>
  <si>
    <t>¡tuvo del Ministro prusiano^ volvió á insistir en la evacuación de aquel Electorado; y asimismo el Lord Carisford, Embaxadon británico, repitió sus oficios sobre el asunto, haciendo proposiciones admisibles. Pero parece que el gabinete prusiano esperaba avisos de Londres para resolver; pues e</t>
  </si>
  <si>
    <t>á varias mudanzas y mejoras en la agricultura y el comercio. Hannover 5 de Noviembre. A otes que el Lord Carisford, Ministro británico en Berlín, saliese de allí para Londres, fué cumplimentada con motivo del restablecimiento de la paz que tanto se deseaba. Uno de los primeros beneficios que d</t>
  </si>
  <si>
    <t>tención se hace á costa ae los habitantes del Brisgaw. Londres 14 de Noviembre. H a llegado aquí el Lord Carisford, que ha sido Embaxador de esta corte en la de Berlín. Las cartas de Alemania vuelven á hacer rnencion de la entrada de tropas prusianas en el obispado de Munster. De Calais á Douw</t>
  </si>
  <si>
    <t>CárJos</t>
  </si>
  <si>
    <t>a de sus Soberanos y de la patria. ' Tratado de paz y amistad entre los muy Altos y Poderosos Sres, D. CárJos i7 Rey de España , y D. Juan, Príncipe Regente de Portugal y dé los AJgarbes firí filado en Badajoz á 6 de Junio de 1801. Véndese i a rs. en el despacho de Ja imprenta Real. . ? *</t>
  </si>
  <si>
    <t>Carlile</t>
  </si>
  <si>
    <t>enviado los marineros ingleses á Siberia y á Moscow. El Obispo de Lincoln ha recibido una carta de Mr. Carlile, sabio profesor déla universidad de Cambridge, que se halla actualmente en Constantinopla. Le dice que habiendo reconocido con el mayor cuidado la biblioteca imperial del palacio</t>
  </si>
  <si>
    <t>Carlisle</t>
  </si>
  <si>
    <t>eses, no haber querido aquella corte contribuir á cerrar el Elba a las embarcaciones británica. ' . Mr. Carlisle, catedrático de lengua árabe en la universidad de Oamibridge , pasó á Turquía Con ci Lord Elgin , Embajador británico cerca del 'Gran Señor. Se sabe que ha salido ^de Constantinop</t>
  </si>
  <si>
    <t>Carlos Luis</t>
  </si>
  <si>
    <t>con su plana mayor, un destacamento militar, y un crecido cuerpo de cazadores franceses. El Infante D. Carlos Luis, Príncipe heredero , fué el primero que llegó escoltado por dos destacamentos de caballería polaca. A las 12 entraron sus augustos padres. H ¿liaron fuera de la ciudad un numeroso</t>
  </si>
  <si>
    <t>mente dias del Sr. Infante D. Carlos María, de la Sra. Infanta Princesa del Brasil, del Sr. Infante D. Cárlos Luis, y de la Reyna de Nápoles. En el regimiento de infantería de Asturias se ha servido S. M. promover á Capitán de granaderos al de fusileros D. Ignacio Maraber; á Capitán al primer</t>
  </si>
  <si>
    <t>. . E 1 mirles de esta, semana se vistió la corte de gala con motivo del cumpleaños del Sr. Infante D. Carlos Luis. El Rey se ha servido nombrar para una Canongía de la catedral de Zamora, vacante por fallecimiento de D. Pedro Perez, á D. Agustín Sánchez Villalobos: para una Ración de la cated</t>
  </si>
  <si>
    <t>Carlos María</t>
  </si>
  <si>
    <t>umplimentáron á SS. MM. y AA. con tan plausible motivo, y el de ser igualmente dias del Sr. Infante D. Carlos María, de la Sra. Infanta Princesa del Brasil, del Sr. Infante D. Cárlos Luis, y de la Reyna de Nápoles. En el regimiento de infantería de Asturias se ha servido S. M. promover á Capitá</t>
  </si>
  <si>
    <t>tarde de 4 del corriente, en obsequio de los augustos nombres de S. M. y del Serenísimo Sr. Infante D. Carlos María, Hermano mayor de él, un lucido manejo de caballos, al que se siguiéron lances de cintas y cabezas, concluyendo con parejas á los Reales retratos, que estaban colocados baxo un ma</t>
  </si>
  <si>
    <t>Carlos, Archiduque</t>
  </si>
  <si>
    <t>Archiduque Carlos</t>
  </si>
  <si>
    <t>que no emplean granos del país. Aupsburgo jo de Noviembre, R efieren algunas cartas de Viena que el Archiduque Cárlos llego á aquella ciudad el 21 de este mes al anochecer; y añaden que el Emperador éstaba en ánimo de salir el dia 24 para el exército, acompañándole el mencionado Príncipe.—Parece</t>
  </si>
  <si>
    <t>y." .Francfort / / de Diciembre. D e Praga avisan que el Rector de aquella universid d presentó al Archiduque Carlos óoo estudiantes, que suplicaban ai Príncipe los admitiese en la legión de Bohemia. Se asegura que el General Bellegarde, comand *nte en xefe del exército austríaco en Italia, ha r</t>
  </si>
  <si>
    <t>a del armamento general, aunque ho se esperaba que produxese mas que 45®. „ Vuelve á decirse que el Archiduque Cárlos saldrá quanto ántes de Praga con una división de la legión de Bohemia, y se dirigirá al exército principal austriaco. Los exércitos rusos de las orillas del Vístula y de los conto</t>
  </si>
  <si>
    <t>iones de aquella ciudad, en la qual se esperaba el dia 11 al mismo General Murat. ■ , Dícese que el Archiduque Carlos ha admitido mando en el ejercito austríaco con tal qué el Emperador si* hermano pase también al exército y tome su mandoi en xefe^í- pues deoesté^modoí quedará el Bríncipe baxo la</t>
  </si>
  <si>
    <t>llones podrian formarse 30 ó 40 si se necesitasen. ' 1 Praga 1$ de Diciembre. A yer mañana salid el Archiduque Carlos de aquí para el exército: y el mismo día se publicó la siguiente declaración, que con fecha de 12 dirigió dicho Príncipe ai Conde de Stampach, primer Burgrave: „S.M. Imperial y Real</t>
  </si>
  <si>
    <t>neros austríacos, y muchos heridos de ámbos exércitos.. ‘ Se asegura que la primer orden que dio el Archiduque Carlos así que liego al quartel general del exército de Alemania, fué que no se cortasen los puentes del Danubio en Lintz ni otras partes, como se había empezado á nacer. Esta orden infu</t>
  </si>
  <si>
    <t>ido por unos dias las hostilidades, y de que las negociaciones entre el General en xefe Múreau y el Archiduque Cárlos dan esperanza de una próxima paz., ........... , ■ . ■ EÍ obispado de Salzburgo debia pagar á los republicanos 6íjudiones de francos, 500 bueyes, 1 y©’ quintales- de granos, 9® de he</t>
  </si>
  <si>
    <t>iendo su quartel general en Straswalden, de donde el 17 se transfirió á Schwanstatt, y allí tomó el Archiduque Carlos el mando en xefe. Desde luego mandó este Príncipe se hiciesen varias disposiciones defensivas; pero antes que pudiesen concluirse, el centro del exército del Rhin y parte del ala de</t>
  </si>
  <si>
    <t>o que salir por orden expresa de Paulo I, ''J. 'MuTÜchatfde Dictemhré.\'.A J..-V J Q uando llego el Archiduque Cárlos al exército se estaban reuniendo sus tropas en las tronteras del Austria. Advirtió S. A. que en varios regimientos rey naba el mayor desorden, y que l&lt;$s Generales no estaban aun</t>
  </si>
  <si>
    <t>9Ó para facilitar cl'pasó de los oficiales y ¿órréos que S. A.'Real el Archiduque Carlos juzgue á propósito-enviar á las-plazas que han de evacuarse, ó al Tirol, y generalmente'á los países comprehendidos en lá demarcación, durante! el armisticio. —tHecho doble en Ste</t>
  </si>
  <si>
    <t>■ ^'^ierid)i0^Diéuinbtjái-ry ••••••' H a‘causado aqutgenerd satisfacción la noticia de hallarse él Archiduque Carlos alfrentedélas principales tropas austríacas; y sé espéra que los enemigos no sagiMritvya-ganánaO íerrenovNoáeeptó el Árcbidiíqué el mandó del exército sino ba^'cSéttóá cOndíéátohf</t>
  </si>
  <si>
    <t>ha.-Ue. está ,proclama, es 24 de Diciembre, víspera del día 'en que se firmo ef armisticio entre el Archiduque Cárlos y él General Moreau. Poco antes se había intimado orden á esta guarnición para que saliese inmédj a tapie rite á campana; y se publicó un llamamiento y exhortaciojq'á Tos' estudiant</t>
  </si>
  <si>
    <t>exército imperial se transferirá quanto dntés á Viena,ó á las inmediaciones de aquella capital. El Archiduque Carlos salió él dia 27 para la misma ciudad con toda su comitiva. '' El exército del armamento de Hungría ha llegado á Laxémburgo, y forua campamento en aquellos contornos, de los quales</t>
  </si>
  <si>
    <t>año último 3982 personas, nacieron 3S17 criaturas, y hubo 1441 matrimonios. Viena j de Enero. ^ E 1 Archiduque Carlos ha venido del exército. Quando entró en esta capir tal, el pueblo celebró con entusiasmo y muchos Víctores su llegada, y quiso desenganchar los caballos de su coche y tirar de él;</t>
  </si>
  <si>
    <t>ublicado la siguiente próclama: „ Habiéndose apestado el exército Tmperiai y Real , del &gt; mando ael Archiduque Cárlos, cerca de Viena despues de haberse concluido el armisticio, se encarga en nombre de S. M. á los habitantes dóesta ciudad y á los de los lugares inmediatos den quantos auxilios pue</t>
  </si>
  <si>
    <t>el dia 4 •en palacio, y aquella noche cenó con SS. MM. &gt; Frantfort ig de Enero* S e asegura que el Archiduque Cárlos estuvo el 6 de este mes en el quartel. general de Moreau en Salzburgo. ., ; Han impuesto los. franceses una contribución de 8 millones de francos á los pueblos dúL Aiistria-Superior</t>
  </si>
  <si>
    <t>Vhna £ de Enere. orno el Archiduque Carlos tiene á su cargo todas las disposiciones j medidas en orden á la defensa de esta capital, se ha intimado á los xefes civiles, comisionados para concurrir á este objeto, se conform</t>
  </si>
  <si>
    <t>El'Archiduque Carlos ha regalado á dicho:General Mofean 50 caballos húngaros para su cuerpo de guias, y dos carros de vino de lokay. Igualmente el Elector de Baviera le ha regalado un broche o presill</t>
  </si>
  <si>
    <t>que no tardará en firmarse entre el Austria, Rusia, Francia y Suecia. Viena 16 de Enero. A caba el Archiduque Carlos de nombrar individuas del Consejo iulico do guerra á los Generales Mack, Lichtenstein, Schmidt y Schwarzenberg. • Llegan diputados de varias provincias de los dominios austríacos par</t>
  </si>
  <si>
    <t>de los franceses en una de las batallas de Bavíera, ha conseguido su libertad por recomendación del Archiduque Carlos, que escribió al General Moreau diciéndole que aunque sabia que no era regular pedir la libertad de un oficial prisionero de guerra, miraba como obligación suya mediar por la de u</t>
  </si>
  <si>
    <t>el de la fecha de este tratado, xvi. Los bienes raíces y personales no enagenados de S. A. Real el Archiduque Cárlos, y de los herederos de S. A. Real la Sra. Archiduquesa Christina, ya difunta, que están situados en países cedidos á la República francesa, se les restituirán baxo la condición de</t>
  </si>
  <si>
    <t>ias dé conferencias sé fixáron en 3 millones de florines» Señalándose los plazos para el pago. ■ El Archiduque Carlos' ha enviado á Líntz un comisario encargado de . comprar los almacenes que habían formado allí los franceses. Berlm ij de Febrero. M ” ' , anana salen de aquí los Príncipes de Meckl</t>
  </si>
  <si>
    <t>nados para los'pobres de aquella 'ciudad ,y dicho almacén había caído en manos de lós franceses^ El Archiduque Carlos escribió al General Morj re^u informándole del piadosoidestino, de aquel repuesto,, y pidiéndole Jél tuviese en,consideración. Gontestó el GenefaL que no, era su. ánimo apode-, rars</t>
  </si>
  <si>
    <t>difunto Prelada ha sacado el Baxá una suma de 100© piastras. Viena 27 dé Febrero. A proposición del Archiduque Cárlos se ha adoptado en los estados austríacos un nuevo arreglo militar, por el qual se ahorrarán mas de 10 millo*nes de florines anuales en los gastos del exército. Los Enviados de los</t>
  </si>
  <si>
    <t>ignado enviar al Conde 4e Zinzendodf para cumplimentarles por su elevación á la sagrada púrpura. El Archiduque Carlos estuvo muy enfermo en el palacio de $ehocen-' bruna, adonde fuéron á visitarle el Emperador y la Emperatriz; pero ya se halla huera de peligro. Las tropas francesas han evacuado ent</t>
  </si>
  <si>
    <t>que esta nueva guerra pueda producir.” Francfort 26 de Marzo. S egun los últimos avisos de Viena el Archiduque Carlos ha recaído; y no ha sido posible transferirlo á Viena, domo se había pensado. Durante su enfermedad exerce el Archiduque Juan, su hermano, las funciones de Presidente del Consejo</t>
  </si>
  <si>
    <t>lido de Constantinopia para comunicar esta noticia al General Abercrombie. Prosigue recobrándose el Archiduque Cárlos. Así el gabinete austríaco como el Lord Minto han recibido cartas recientes de Constantinopia con noticia de que el General Abercrombie h* desembarcado un cuerpo de 60 hombres en</t>
  </si>
  <si>
    <t>n de las hostilidades : pues entonces tuvo que salir de Ratisbona en fuerza de la intimación que el Archiduque Carlos mandó hacerle en calidad de General en xefb del exército* austríaco y del Imperio. Dícese que una diputación de 4 vocales de la Dieta* compuesta de Enviados- de Austria, Brandembu</t>
  </si>
  <si>
    <t>a retrocedido háciaVidin. Viena 24 de Marzo, r D esde el 22 de este mes se halla en esta capital el Archiduque Carlos, y sigue restableciéndose. Se lia alojado en el palacio del Príncipe Bathiani. . Acaba el Emperador de conceder á los emigrados franceses, que han servido ó se retiren del exércit</t>
  </si>
  <si>
    <t>el Conde de Starembeirg Vice-Canciller. Este último es Mifiístro del Emperador en Londres. Está el Archiduque Carlos enteramente restablecido. Iil General JVfo-: reau le ha escrito que no puede ir á Viena como lo habia resuelto, porque t\ene que asistir fen su exércitó , el qual: ha empezado su ma</t>
  </si>
  <si>
    <t>: fué su madrina la Reyna de Ñapóles, y le pusieron los nombres de María Carolina. El Emperador, el Archiduque Carlos y el Duque Alberto de SaxoniaTeschen saliéron de aquí el 7 para Buiweis , adonde el día anterior se habían transferido los Archiduques Juan y Antonio. Va S. M. I. á revistar la legión</t>
  </si>
  <si>
    <t>ado el Tirol, el Vorárlberg y el AustriáSuperior, no se habla ya de su marcha contra los turcos. El Archiduque Cárlos , con anuencia del Emperador, ha nombrado al General Melas para comandante en Bohemia , al General Starray para el Austria, y al General Bellegarde para Italia. Avisan de Peterswa</t>
  </si>
  <si>
    <t>hacer y componer los caminos. Algunas de ellas están ya trabajando en los de Stiria. Por orden del Archiduque Cárlos se han hecho y publicado varios te</t>
  </si>
  <si>
    <t>juramentada en manos del.Emperador, y la repetirán todos los años. Vuelve á hallarse indispuesto el Archiduque Cárlos. Dícese que el,Emperador tomará el .típjío de( Duque de Venecia¿ Se ha propuesto á los nobles de aquel nuevo estado imperial indiquen al gobierno la carrera en que quieran servir.</t>
  </si>
  <si>
    <t>Pentecostés habrá aquí fiestas públicas en celebridad de la paz. Se hallo tan gravemente enfermo el Archiduque Cárlos, que se llegó á temer por su vida; pero desde ayer experimenta alguna mejoría. Se han despachado de aquí varios correos á París , Berlín , Londres y otras cortes---- Se asegura qu</t>
  </si>
  <si>
    <t>ncia de las ciudades anseáticas. Vien a, 14 de Mayo* S e ha restablecido de su última enfermedad el Archiduque Carlos. El Emperador ha nombrado al Conde de Sommereau y al Consejero Fechtitz para que en calidad de Comisarios plenipotenciarios hagan la entrega del Brisgaw al Duque de Módena. ' Escr</t>
  </si>
  <si>
    <t>ervaba los principios de moderación que ha adoptado el actual gobierno. A no haber sido S. A. R. el Archiduque Cárlos, no hubiera el Imperio hallado quizá la paz sino en su ruina: y sepultado baxo el peso de un yugo extr ngero, no habría recobrado su tranquilidad sino á costa de crecidos sacrific</t>
  </si>
  <si>
    <t>nmediatamente á sus respectivas cortes la proposición del Rey de Suecia sobre erigir una estatua al Archiduque Carlos; y el Ministro directorial está encargado de participarlo así á aquel Príncipe. El Colegio de las ciudades imperiales ha enviado diputados á Mr. de Fatznenberg para entregarle una</t>
  </si>
  <si>
    <t>las Princesas sus hijas irán- á Schoenbrunn con los Archiduques hermanos del Emperador, excepto el Archiduque Carlos que á causa de sus achaques pasara el verano en ef sitio de Belvedere. Dícese que el Rey de Ñapóles llegará á esta capital afines de Junio, Hace este ministerio disposiciones que</t>
  </si>
  <si>
    <t>unto. H a Informado á la Dieta el Ministro directorial de Maguncia de que ha recibido una carta del Archiduque Carlos, relativa á la proposición del Rey de Suecia sobre erigirle en esta ciudad una estatua como libertador de Alemania. Se muestra el Príncipe sumamente reconocido á esta Señal de agr</t>
  </si>
  <si>
    <t>íh.- ó~ y 4t.á£, .1 x,. ^¿i» '■■■ ■■ J1 x. ..ti, ’j; »)j- £/ tr " Viétta 2 de Juntó* lia escrito el Archiduque Cárlos al Rey de Suecia' uoa carta mvy expresiva, maní fest.rndolé s^agfa¿U¡¿ííniénk&gt; pbr4á preposici^a'qiíe aquel Soberano mandó hacer en la Dieta del Imperio de erigirle una estatua en</t>
  </si>
  <si>
    <t>odavía en ella. Según gazetas de Alemania será una estatua eqüestre la que se erija en Ratisbona al Archiduque Carlos: la executará el escultor Zauner , de Viena, que actualmente está haciendo la de Joseph 11, y se colocará en la plaza llamada Hayd-Latz, en la qual el año 1436 se celebró el torne</t>
  </si>
  <si>
    <t>‘ , r Augshurgo ii de Junto. • XN o se ha resuelto todavía en Ratísbona si la estatua eqüestre dél Archiduque Carlos se colocará en aquella ciudad, en la de Srock&amp;ch, o en esta, que se halla cerca y casi en el centro de los principalesearainos dé Alemania. Ademas hay en ella gran número de obras</t>
  </si>
  <si>
    <t>algunas Compañías : y desdé entonces no ha Habido mas inquietud.. Viena 14 de Junto: Jriabiendo e! Archiduque Carlos sido elegido unánimemente Coadjutor de la orden Teutónica, y aprobada la elección * por S . M. I., se procedió leí dia i* a la ceremonia de conferirle-esta nueva dignidadyy de pre</t>
  </si>
  <si>
    <t>bía proyectado, dexaria su cumplimiento al cuidado de la República si quería encargarse de ello. El Archiduque Cárlos, Coadjutor de la órden Teutónica, ha regalado á Mr. de Schlik, Comisario imperial, una caxa guarnecida de brillantes valuada en 120 florines; y á cada caballero de los que votáron</t>
  </si>
  <si>
    <t>I Archiduque Maximiliano, Gran Maestre de la órden Teutónica, lia señalado 80© florines anuales al Archiduque Carlos, como Coadjutor dc dicha orden. r- h ’,\.'r Vuelve á esparcirse ía voz de que se junta nuevamente: en'la izquierda del Rhin gran numero de tropas francesas; y como se dice qúe1 ¿n</t>
  </si>
  <si>
    <t>stados y Príncipes del cuerpo germánico han aprobado la erección del monumento público en honra del Archiduque Carlos. El Rey de Suecia ha ofrecido para hacer la estatua de S. A. su escultor Serget, profesor en lá academia de Stockolmo, y caballero de la orden de Vasa. v . Las tropas prusianas' d</t>
  </si>
  <si>
    <t>unio. S e ha publicado aquí un decreto imperial de 5 de este mes por el qual nombra el Emptrador al Archiduque Carlos su hermano p r.i Director de marina en las nuevas provincias de Italia, Istria, Dalm.tcia y Albania. En conseqüencu de ello el Archiduque, de acuerdo con la Cancillería áulica de</t>
  </si>
  <si>
    <t>cia parte alguna. Nada se ha resuelto todavía en orden al monumento que ha de erigirse en honor del Archiduque Carlos. Mankeim 2 3 de Julio. E I Elector de Baviera ha recurrido al Consejo supremo de los feudos de Bohemia quejándose de que las tropas austríacas hayan ocupado á Schoensée. Asimismo</t>
  </si>
  <si>
    <t>Abril de 1784. Algunas horas antes de fdlecer m&lt; ndó llamar á su hermano el Archiduque Fernando. El Archiduque Cárlos como Coadjutor suyo qu«;da Gran Maestre de dicha órd«?n, y por conseqüencia Príncipe del Imperio.</t>
  </si>
  <si>
    <t>4 de septiembre de 1801</t>
  </si>
  <si>
    <t>r de Ia proposición hecha de p rte del Rey.de Suecia para ,1a erección de un monumento en honra del Archiduque Cárlos: son ya muchos los estados que han votado del mismo modo; pero los Electores de Austria y Brandemburgo no h¿n manif-fiado todavía su dictamen. De Viena escriben que Mr. Paget ha s</t>
  </si>
  <si>
    <t>eratriz de Alemania, el Emperador y la Emperatriz de Rusia,, el Príncipe y la Princesa de Gales, el Archiduque Carlos, el Dtique' de Braunschweig, el Príncipe y la Princesa de Mecüenburgp-Scbwérin, y, «el Mar grave de Anspach. El dia del bautismo hizo S. M. á la Reyita yarios regalos , cuyo impor</t>
  </si>
  <si>
    <t>jércitos del Emperador. Hasta ahora habían sido inútiles tódassus representaciones; pero así que el Archiduque Cárlos filé nombrado Presidente del Consejo de Guerra, las renovó S. A. Electoral con mas confianza: y en efecto el Archiduque ha respondido que no hay que temer se enganche por fuerza á</t>
  </si>
  <si>
    <t>nutención del- exército a ustrino, el qual consta de 360© hombres, se ha resuelto á proposición dél Archiduque Carlos reformar 6o$hom6res efectivos á fines de ¡este anai 1. „ Se augura- que; por órdén del "Emperador de Rusia se há declarado á fe corte de Berlín que no consentirá aquel Soberano qu</t>
  </si>
  <si>
    <t>osesiones que ha perdido tü la izquierda del Rhin. De Viena avisan que el Emperador ha conferido ai Archiduque Carlos el regimiento de infantería de Deutschmeistre. Ha muerto en Badén el Feld-Mariscal Lasoi, que era el decano de los Generales del Emperador. Francfort 8 de Setiembre. A ntes de ayer</t>
  </si>
  <si>
    <t>mplido en todo su tenor el artículo 7.0 del tratado de Luneville relativo á las indemnizaciones. El Archiduque Carlos ha salido de aquí para OfFen, en donde verá á su hermano el Archiduque Palatino de Hungría. Se ha reformado el cuerpo franco húngaro llamado Capas-roxas, que fué muy célebre en al</t>
  </si>
  <si>
    <t>Setiembre. - ; S e está disponiendo aquí la casa de la orden Teutónica, en que ha de alo- jarse el Archiduque Carlos qu- ndo llegue á esta ciudad. Las últimas noticias de Egipto publicadas de oficio en Londres des* .mienten 1 ¿s muchas f.-dsedades esparcidas por sg« ni\s ingleses durante un mts</t>
  </si>
  <si>
    <t>n de Ratisbona que se ha/recibido el voto de Prusia sobre Ift erección de un monumento en honra del Archiduque Carlos. Haciendo justicia á este Príncipe, especialmente por la parte que tuvo en la paz,.observa el Ministro prusiano que .dicho monumento serviría para perpetuar una memoria ¿olorosa á</t>
  </si>
  <si>
    <t>ttgard, en donde visitó á la Duquesa de Wurtemberg, hija mayor dél Rey de Inglaterra. Por orden del Archiduque Carlos se ha avisado á los habitantes de las posesiones de la orden Teutónica, que á causa de los graves apuntos que le ocupan en Viena no podrá transferirse á Mergentheim hasta la prima</t>
  </si>
  <si>
    <t>ofrendas que hiciéron, hay la de una ciudad de provincia, que consiste en una estatua de plata del Archiduque Carlos de pie y medio de alto* .Berlín 8 de Setiembre. H a vuelto de Petersburgq el Coronel Lecoq, y ha entregado al Rey una carta del Emperador de Rusia, cuyo contenido no dexa duda sobre</t>
  </si>
  <si>
    <t>nombre dé la República* í. ■ Francfort 11 de Octubre. P asan de 12® las licencias absolutas que el Archiduque Carlos ha dado £ individuos del exército austríaco, y se regulan en 30® las que dará de aquí á fines de año. Por lo tocante al nuevo arreglo de las tropas imperiales se executará con len</t>
  </si>
  <si>
    <t>de Octubre. L os Ministros de Bohemia y Austria han aprobado la erección del monumento en honor del Archiduque Cárlos. El número de votos dados hasta ahora sobre este asunto es de 7 en el colegio de los Elecrores, 80 en el de los Príncipes, y 41 en el de las ciudades imperiales; y todos son á fav</t>
  </si>
  <si>
    <t>siná comitiva le acompañó al¡ quarto de la Emperatriz. Tuvo igualmente audiencia de SSi :AA. RR. el Archiduque Cárlos, el Archiduque Fernando y su esposa; y sólo espera que vtielvaií los demas Príncipes dé la familia Imperial para presentarse1 á SS. A A. Manifestó en todas partes el* Embaxador y</t>
  </si>
  <si>
    <t>los regimientos austríacos, y quedarán de guarnición en Inspruck y sus con-' tornos. Parece que el Archiduque Carlos apoya esta solicitud, y se cree que ti -Emperador la despachará favorablemente. De Tcmeswart escriben que el Comandante general de aquella provincia ha public do el aviso de que p</t>
  </si>
  <si>
    <t>ticia. Vierta- 16 de Noviembre. H aliase de vuelta aquí el Conde'de Grenville, Ayudante general del Archiduque Carlos, que fué á visitarlos puertos y costas de las provincias venecianas, y con mas particularidad las de Dalmacia; y en el Consejo de conferencias ha dado cuenta del estado actual de</t>
  </si>
  <si>
    <t>Carlos, Príncipe</t>
  </si>
  <si>
    <t>Príncipe Carlos</t>
  </si>
  <si>
    <t>nso y de todos los almacenes de. los enemigos, no dista mas que 5 jornadas de Vie»na. Allí pidió el Príncipe Carlos, y el General en xefe del.exército deí r Rhin concedió un armisticio, cuyas condiciones vais á saber. El.Conde de Cobentzel, Plenipotenciario del Emperador én Luneviile, ha declar</t>
  </si>
  <si>
    <t>neciente á la línea del Rednitz. A solicitud del Barón de Simbschen-, y en consideración á S. A. el Príncipe Carlos, se concederá el paso del Mein por Hallstatt al Barón de Albini, en caso que este Ministro quiera reunirse con el exército grande. La línea de los acantonamientos del exército del</t>
  </si>
  <si>
    <t>olstein se está formando un exércita dinamarqués: de 12© hombres, que militará baxo las órdenes del Príncipe Carlos de: Hesse. Para completarlo se forman nuevos cuerpos de milicias: y así en dicho pais como en otros de Dinamarca nadie está exento de alistarse en estas nuevas tropas; ni los profeso</t>
  </si>
  <si>
    <t>e adoptará quanto ántes en todo el exército. Durante el verano la aprenderán las tropas; y luego el Príncipe Cárlos las revistará á fin de examinar por sí mismo lo que hayan adelantado en las nuevas evoluciones. El 26 del mes anterior salió de aquí para Venecia el Conde de Maylath, Comisario imperi</t>
  </si>
  <si>
    <t>Saxonia, hermano ddl Elector. Espérate en la misma ciudad al Príncipe Henrique de Prusia. : 11 ' El Príncipe Cárlos visitó el día 5 ^1 Príncipe de CGndé, y conversó con él mas de dos horas; y el día 12 el Duque Alberto de SaxoniaTeschen le dió .un convite, al qual asistiéron el Emperador5, el A</t>
  </si>
  <si>
    <t>Carmen Cervetpy</t>
  </si>
  <si>
    <t>ai de fusileros D. Francisco Xaraquerhada; á primeros Tenientes^ al segundo Teniente dé granaderos D. Carmen Cervetpy y á los de fusileros D. Lorenzo Botija, D¿ Joseph Acostá, D. Joséph,JC)6Tscey Doní Luis Gerveto; á segundos Tenientes dé granaderos a los de ftfáileros D; Joseph Mirez, B¿ Gínes Sán</t>
  </si>
  <si>
    <t>Carmena, Manuel Salvador</t>
  </si>
  <si>
    <t>Manuel Salvador Carmena</t>
  </si>
  <si>
    <t>12 rs. Diez vistas del Real Sitio de Aranjuez, Catorce estampas en quartilla de marca marabadas por D. Manuel Salvador Carmena, 'or que forman un quaderno de los.ApóstoÍ ). Fernando Selma , y otros buenos profe­ Í es y el Salvador del mundo, copiados de sores : cada juego 200 rs. Rafael de Urbino, á 28 rs</t>
  </si>
  <si>
    <t>Carmona, Juan Manuel</t>
  </si>
  <si>
    <t>Juan Manuel Carmona</t>
  </si>
  <si>
    <t>gis Fernandez Costa y D. Lúeas Ortega, y á segundos Subtenientes á los Cadetes D. Joachín Palacios, D. Juan Manuel Carmona, D. Jesualdo de Vea y Murguia y D. Antonio María de Mené, y al Sargento primero de granaderos Don Francisco García: en el de Irlanda á primer Teniente al segundo de granaderos D.</t>
  </si>
  <si>
    <t>Carnero Ramos, Juan</t>
  </si>
  <si>
    <t>Juan Carnero Ramos</t>
  </si>
  <si>
    <t>ro, á percibir lo que les pertenezca en la herencia de los bienes que quedaron por fallecimiento de D. Juan Carnero Ramos , vecino que fué de aquella ciudad. El remedio con el nombre de Específico febrífugo galicano publicado en la gazeta de 10 de Noviembre de este año. de venta en fa botica de D. To</t>
  </si>
  <si>
    <t>Carnicero, Juan</t>
  </si>
  <si>
    <t>Juan Carnicero</t>
  </si>
  <si>
    <t>nombrar para juna Canongía de la catedral de Tarazona, vacante por múert£ de D.-Fernando Santas, á D. Juan Carnicero; y para un .Beneficio, &gt; vacante en la parroquial de la villa de Guimerá, diócesis de Tarragona, por fallecimiento de I). Juan Millat, á D. Felipe Bosch. A D. Melchor Calatayud, s</t>
  </si>
  <si>
    <t>Carrafa, Juan</t>
  </si>
  <si>
    <t>Juan Carrafa</t>
  </si>
  <si>
    <t>lar,xefe de la tercera división , confié la empresa de embestir á Olí venza; y al Mariscal de Campo D. Juan Carrafa, con una sección dé la misma división Ja de apoderarse de Jurumeña. Al Teniente General D. Ignacio Lancáster, xéfe de la segunda, lo destiné con ella á amenazar á Campomayor, y po</t>
  </si>
  <si>
    <t>3 de junio de 1801</t>
  </si>
  <si>
    <t>47 (extraord.)</t>
  </si>
  <si>
    <t>guarnición de la plaza de Jurumeña hoy dia de la fecha d las $ de la noche por el Mariscal de Campo D. Juan Carrafa, General de la sección de la tercera división destinada d ocupar la referida plaza y sus inmediaciones, y arreglada por el Teniente Coronel Don Mariano Fernandez de Folgueras , se</t>
  </si>
  <si>
    <t>o nombrar por segundo Cabo ó Comandante militar de la provincia de Extremadura al Mariscal de Campo D. Juan Carrafa, pira que interinamente sirva este encargo, con la Presidencia de Ja Audiencia de Cáceres, durante la ausencia del Capitán general D. Joseph Alvarez. Asimismo ha nombrado el Rey p</t>
  </si>
  <si>
    <t>Carrancio, Manuel Ángel</t>
  </si>
  <si>
    <t>Manuel Ángel Carrancio</t>
  </si>
  <si>
    <t>cas de obras pías fundadas en pueblos de la Intendencia de Madrid, para cuya venta esté comisionado D. Manuel Angel Carrancio. Zorita de los Canes. Colegio de S. Buenaventura de Pastran»; un cañamar donde dicen el Llano detras de la Cuesta, de 2 fanegas, tasado en 1600 rs. Otro en el mismo parage, de 6 c</t>
  </si>
  <si>
    <t>iucíad de1 Llerena ¿ ó á D. Juan Camps y cotúpafíía , del comercio de ésfch .corlear’ j Por el Lie. D. Manuel Angel Carrancio, Juez comisiónalo’para le en a ge na* cion de finéas de obras pias existentes; en¿los pueblos de ésta intendencia ,sé ha mandado sacar i pública subasta, por término de 30 dias un</t>
  </si>
  <si>
    <t>Carranclo, Manuel Ángel</t>
  </si>
  <si>
    <t>Manuel Ángel Carranclo</t>
  </si>
  <si>
    <t>en los pueblos que comprehende dicha intendencia rematadas eir los dias ip y ao del mismo. El Lie. D. Manuel Angel Carranclo,comisionado por dicho Sr. Intendente, ha señalado para el remate de todas las fincas pertenecientes á los establecimientos píos, fundados en la villa de Carmena, Brúñete,Belmonte</t>
  </si>
  <si>
    <t>Á LA GAZETA DE MADRID SEL MARTES 28 SE ABRIL SE I&amp;Qt. * or Don Manuel Angel Carranclo, Abogado délos Reales “Consejos, comisionado de orden de S. M. por el Sr. Intendente de esta provincia para entender y conocer en esta villa y corte en la venta y enagenacion déla</t>
  </si>
  <si>
    <t>28 de agosto de 1801</t>
  </si>
  <si>
    <t>iesen hacer postura á él acudirán al Corregidor de dicha villa de Talavera de ia Reyna. Por ei Lie. D. Manuel Angel Carranclo , comisionado para la enagenacion de ¡ fincas propvas de L&gt;s fundaciones de los pueb os de esta provincia , se ha stfíaladó para su remate los dis siguientes. Para las de Torrelod</t>
  </si>
  <si>
    <t>esde ai de Setiembre, con arreglo á lo mandado por el Sr. Intendente de esta provincia. Por el Lie. D. Manuel Angel Carranclo, Juez comisionado en virtud de orden de S. M. para la enagenacion de fiuc&amp;sde los establecimientos piadosos existentes en los pueblos de esta provincia, se ha señalado para el rem</t>
  </si>
  <si>
    <t>Carrascon, Jacinto</t>
  </si>
  <si>
    <t>Jacinto Carrascon</t>
  </si>
  <si>
    <t>131. 10. Cabo a.° Jacinto Carrascon......... Francisco. Teresa Sola........... Zaragoza....... Id^m............... 131. 10. Gabriel Lizarri.... Matías..... Valvanera García. Logroño.</t>
  </si>
  <si>
    <t>Carrasqueño, Félix</t>
  </si>
  <si>
    <t>Félix Carrasqueño</t>
  </si>
  <si>
    <t>niente D. Luis Gutiérrez de Celis; y ha nombrado para esta resulta al Subteniente del propio cuerpo D. Félix Carrasqueño. En las provincias internas de Nueva España se ha dignado el Rey promover á Teniente de la compañía presidial de Horcasitas á D. Joseph María González, Alférez de la misma: á segu</t>
  </si>
  <si>
    <t>Carrera, Antonio</t>
  </si>
  <si>
    <t>Antonio Carrera</t>
  </si>
  <si>
    <t>Lérida, á D. Melchor Zamora: para tres Raciones de la parroquial de Azanuy, en la misma diócesis, 4 D. Antonio Carrera, D. Joseph Alfós, y D. Joseph Ximenez de Bagues: para un Beneficio de la catedral de Lérida á D. Joseph Pont; y para el Beneficio de la parroquial de Chinchilla, en la diócesis de</t>
  </si>
  <si>
    <t>Carrera, Luis</t>
  </si>
  <si>
    <t>Luis Carrera</t>
  </si>
  <si>
    <t>ncisco de Izaguirre*.....i.............783^062. ¡ D. Manuel Uriarte....................... 719,007. D. Luis Carrera.................. 719,001. D. Francisco Antonio Bengoecheá*............i,.. 781,680. , D. Joseph; Conde..-.....,...........732^642. /, El ciudadano Juan Balkenaérv..... . 823,902.</t>
  </si>
  <si>
    <t>Carrete, Joseph</t>
  </si>
  <si>
    <t>Joseph Carrete</t>
  </si>
  <si>
    <t>n.............. gi. Joseph Carrete........... . Pedro y. Rosa Fernán.................. Perpifian........... go. ig* Esteban .Pesquer.......... Juan y Margarita Sernie..,....... Id....,................... 2</t>
  </si>
  <si>
    <t>Carrey</t>
  </si>
  <si>
    <t>pueblos de la India mas de 100© excmpl.res del Nuevo Testamento, traducido en la lengua dd pus por Mr. Carrey. En Calcuta se ha abierto una universid d, cuya biblioteca ha t mpez 'do á formarse con los libros y manuscrisos que tenía Tippoo-Saib, y se irá aumentando con muchas obras que se</t>
  </si>
  <si>
    <t>Carril, Tomás</t>
  </si>
  <si>
    <t>Tomás Carril</t>
  </si>
  <si>
    <t>go. 28. Tomas Carril....... Manuel......... Antonia Perez..... Gallinal........ Oviedo......10. Tomas Galli........ Bernardo.,.,.. Bárbara Blanco,... S. Millan de</t>
  </si>
  <si>
    <t>Carrillo de Al, Joseph</t>
  </si>
  <si>
    <t>Joseph Carrillo de Al</t>
  </si>
  <si>
    <t>r. Francisco Ximenez de Cisneros, Vasco Palacio, grabadas por Goya y Castillo , en Nuñez de Valboa, D. Joseph Carrillo de Al­ 24 rs.. bornoz, y Hernando Alarcon: n.° Juan de Treinta y quatro estampas, que forman un Torquemada, Hernando de Soto , D. Rodri- quaderno del Viage de Constantinopla , eu 0 Xime</t>
  </si>
  <si>
    <t>Carrillo Mayoral, Antonio</t>
  </si>
  <si>
    <t>Antonio Carrillo Mayoral</t>
  </si>
  <si>
    <t>l de Calahorra, vacante ppr falleciniiento de D. Bartolomé Calleja , al Chantre dé la misma iglesia D. Antonio Carrillo Mayoral, con retención de la Canongía: para la Canongía que obtenía él referido D. Bartolomé Calleja, á D. Rafael'de-Gastreciones, Cura Párroco de la. villa de Valgañon, en el arzobispado</t>
  </si>
  <si>
    <t>Carrillo, Francisco</t>
  </si>
  <si>
    <t>Francisco Carrillo</t>
  </si>
  <si>
    <t>. Manuel María de Larreátegui: en el de la Princesa á segundo Teniente al Subteniente de granaderos D. Francisco Carrillo; á Subteniente de granaderos al primer Subteniente D. Joseph Medel de Prada; á primer Subteniente al segundo D. Joseph Ximenez Bagues, y á segundo Subteniente al Cadete del de Tol</t>
  </si>
  <si>
    <t>Carrillo, Ignacio</t>
  </si>
  <si>
    <t>Ignacio Carrillo</t>
  </si>
  <si>
    <t>caballería de Santa á D. Joseph Pió de Salas y D. Juan Ib iñez, Alféreces; y empleos de Alféreces a D. Ignacio Carrillo, Sargento Pr i mero*, y D. Joseph Sebastian de Mutua., Soldado distinguido del mismo cuerpo: el empleo de Coronel del regimiento de Milicias urbanas de caballería de lea al Comand</t>
  </si>
  <si>
    <t>Carrillo, Joseph</t>
  </si>
  <si>
    <t>Joseph Carrillo</t>
  </si>
  <si>
    <t>e al Sargento primero D. Rafael Rivas : en el de Málaga á Ayudante al primer Teniente de granaderos D. Joseph Carrillo; y en el de Cazadores Voluntarios de la Corona á Subteniente de tiradores al de cazadores D. Mari ¡no Cástdl, y p ira la resulta de este ha nombrado al segundo Subteniente del de</t>
  </si>
  <si>
    <t>Carrillon, Juan</t>
  </si>
  <si>
    <t>Juan Carrillon</t>
  </si>
  <si>
    <t>en id.,.. 30. a a . Juan Carrillon........,, Bernardo y Juana Carellan........ Viefesansac en Francia......... 41. Jayme O</t>
  </si>
  <si>
    <t>Carrington, Lord</t>
  </si>
  <si>
    <t>Lord Carrington</t>
  </si>
  <si>
    <t>nos baldíos en Inglaterra y el país de Giles, sin necesidad de recurrir para ello al Parlamento. El Lord Carrington apoyando esta resolución dixo que las tierras incultas componen cerca de 8 millones de acres, de las quales una gran parte puede producir granos; y entonces no tendrá el pueblo qu</t>
  </si>
  <si>
    <t>Carrion Monge, Tomás</t>
  </si>
  <si>
    <t>Tomás Carrion Monge</t>
  </si>
  <si>
    <t>nombres y destinos, da este aviso para que expongan su parentesco con los cita-ios fundadores ante D. Tomas Carrion Monge , Comisario de Guerra honorario de los Reales exércitos, y Oficial segundo de la Contaduría principal del exérdto de Castilla ; en el seguro que verificado que sea el probar paren</t>
  </si>
  <si>
    <t>Carrion, Pedro</t>
  </si>
  <si>
    <t>Pedro Carrion</t>
  </si>
  <si>
    <t>on y D. Manuel Casaus; á segundos Tenientes de granaderos á los de fusileros D. Agustín Fuensalida, D. Pedro Carrion y D.‘Vicente Conty; á segundos Tenientes á los Subtenientes de granaderos D. Miguel de Santiago y D. Francisco Martínez, y á los primeros Subtenientes O. Juan Ortiz de Saracho y D. Ma</t>
  </si>
  <si>
    <t>Cartwrigt</t>
  </si>
  <si>
    <t>osófico de Londres al publicar este descubrimiento advierte que se ha recibido en Inglaterra quando Mr. Cartwrigt hacia iguales experiencias con el propio éxito. Este Mr. Cartwrigt es el mismo que hadescubierto que la levadura de cerveza es un específico contra la fiebre pútrida. Madrid a de</t>
  </si>
  <si>
    <t>Carv, Diego</t>
  </si>
  <si>
    <t>Diego Carv</t>
  </si>
  <si>
    <t>ugenio Muría Ycbra. S. M. ha conferido el empico de Coronel del regimiento provincial de Truxiílo á D. Diego Carv. jal Roco de Godoy, Teniente Coronel del misal» cuerpo; la Subtenencia de cazadores dei de Mundoñcdo á D. Pedro</t>
  </si>
  <si>
    <t>Carvallo, Joseph</t>
  </si>
  <si>
    <t>Joseph Carvallo</t>
  </si>
  <si>
    <t>dante, con grado de Subteniente , al Cadete D. Pedro Junco: en el de Valdivia á Capitán al Teniente D. Joseph Carvallo; á Teniente al Subteniente D. Diego Adriasola, y á Subteniente al Cadete D. Juan Angel Cosío. Eí Consejo á consulta de la Comisión gubernativa de Consolidación de Vales, y con apr</t>
  </si>
  <si>
    <t>Casadavante y Ézpeleta, Joseph</t>
  </si>
  <si>
    <t>Joseph Casadavante y Ézpeleta</t>
  </si>
  <si>
    <t>Manuel Martínez: en el regimiento de granaderos Voluntarios de Estado á primer Teniente al segundo D. Joseph Casadavante y Ézpeleta; á esta resulta al Subteniente D. Luis Rengifo; y ha concedido Subtenencias en el mismo cuerpo á D. Joseph de Luna y D. Luis Manuel Zamora, Subtenientes del de Navarra, á D. Anton</t>
  </si>
  <si>
    <t>Casado, Joseph</t>
  </si>
  <si>
    <t>Joseph Casado</t>
  </si>
  <si>
    <t>: en el de Oalatrava á Alférez ai Portaestandarte D. Francisco Gayangos; y á esta resulta al Cadete D. Joseph Casado: en el de Húsares Españoles á Comandante de esqúadron al Sargento mayor D. Manuel Freyre: en el de la Costa de Granada á Capitán al Ayudante, graduado de Teniente Coronel, D. Juan</t>
  </si>
  <si>
    <t>Casado, Juan</t>
  </si>
  <si>
    <t>Juan Casado</t>
  </si>
  <si>
    <t>al Sargento D. Manuel Rodríguez; y en el de Voluntarios de Espa- t ña á Ayudante al primer Teniente D. Juan Casado, y á Alférez al Sargento D. Bartolomé Lozano. También se ha dignado S. M. conferir el empleo de Sargento mayor del regimiento de dragones de Lusitania al Capitán del de dragonesde</t>
  </si>
  <si>
    <t>obos: para una Ración de la catedral de Sigiienza, vacante pof muerte de D. Juan Sotillo Hurtado, á D. Juan Casado, Cura Párroco Rector del hospicio de Salamanca: para una Media-Ración de la metropolitana de Sevilla, vacante por fallecimiento de D. Joseph Suarez Carbonero, i D¿ Joseph María de</t>
  </si>
  <si>
    <t>Casal, Ignacio</t>
  </si>
  <si>
    <t>Ignacio Casal</t>
  </si>
  <si>
    <t>restantes de i.° de Máyo,.nums. 433,45a, 433,451,429,464, 419,441,429,431 , remitidos de.Cádiz por D. Ignacio Casal, endosados á Don Antonio Azpiazu,de Madrid. Quien supiese su paradero avisará á D. Ignacio Casal en Cádiz, ó en Madrid á D. Antonio Azpiazu. Habiéndose reclamado en la oficina de</t>
  </si>
  <si>
    <t>avisarán en Madrid calle angosta de. Mab:áeritc¿ , mun. sa , quarto 2.0 j; é en Cádiz al mencionado D. Ignacio Casal. Se huí extraviado dos vales Reales de á 300 pesos , creación de t.° de Enero, números *01,353 y 101,625, con los últimos endosos por Jos Sres-. SuubironRodríguez y compañía, de M</t>
  </si>
  <si>
    <t>Casals, Manuel</t>
  </si>
  <si>
    <t>Manuel Casals</t>
  </si>
  <si>
    <t>enundo .de granaderos Voluntarios de Estado á D. Tomas.Bonafos: del primero del de Guada laxara , á D. Manuel Casals; y del segundo del del Rey á Don Domingo Gerbert y Llobet. En consideración á li antigüedad y lustre de la nobleza por ámbas líneas de la casa y Emilia de D. Buenaventura de March</t>
  </si>
  <si>
    <t>Casamitjana, Joseph</t>
  </si>
  <si>
    <t>Joseph Casamitjana</t>
  </si>
  <si>
    <t>Colominas; á esta resalta al Alférez D. Buenaventura Boix, y á la que este dexa al Sargento primero D. Joseph Casamitjana. También ha conferido S. M. compañía en el batallón de milicias disciplinadas de las Quatro Villas, en la isla de Cuba, á D. Joseph Fernanda</t>
  </si>
  <si>
    <t>Casanova, Manuel</t>
  </si>
  <si>
    <t>Manuel Casanova</t>
  </si>
  <si>
    <t>la parroquia de la villa de «Aldeadávila, en la diócesis de Salamanca, vacante por fallecimiento de D. Manuel Casanova, á D. Francisco Mato, con la calidad de servirle: para el Beneficio simple llamado sin Gura de la parroquial de Santiago de Arcade, en el obispado de Tuy, vacante por fallecimient</t>
  </si>
  <si>
    <t>Casanoves, Antonio</t>
  </si>
  <si>
    <t>Antonio Casanoves</t>
  </si>
  <si>
    <t>D. Miguel Buergo y D. Btrnardino del Pozo; á primeros Subtenientes á los segundos D. Rafael Maroto, D. Antonio Casanoves, D. Manuel Cadavid, D. Juan Sobrado, D. Joachín Albizu, D. Joseph Aballe y D. Manuel Torregrosa, y á segundos Subtenientes á los Sargentos primeros D. Gabriel Cárdena y D. Francis</t>
  </si>
  <si>
    <t>Casas, Domingo</t>
  </si>
  <si>
    <t>Domingo Casas</t>
  </si>
  <si>
    <t>li en id.... 10. 4. Domingo Casas.......... Domingo y Mariana Forrana.... Delsoli en id.... io. 4. Juan Margal............... Miguel y María Fatiga............. Fulla en id...... 17. ad*. Juan Francisco</t>
  </si>
  <si>
    <t>Casas, Sebastián</t>
  </si>
  <si>
    <t>Sebastián Casas</t>
  </si>
  <si>
    <t>............ P- «3* Sebastian Casas......... Domingo y Mariana Forrana..... Delsoli en id.... 10. 4. Domingo Casas.......... Domingo y Mariana Forrana.... Delsoli en id.... io. 4. Juan Margal.............</t>
  </si>
  <si>
    <t>Casaus, Joachín</t>
  </si>
  <si>
    <t>Joachín Casaus</t>
  </si>
  <si>
    <t>seph Losada, D. Andrés Rodríguez, D. Manuel Gallardo, D. JuarF de Torr.es Coca, D-Joseph Martinez y D. Joachín Casaus , y á los Sargen-r tos primeros Di Poiicarpo de Frías, D. Francisco Barrera, de granaderos, D. Narciso Lafuente y D, Joseph Cembrano; en el de Irlanda á Capitán de granaderos al d</t>
  </si>
  <si>
    <t>Casaviella, Antonio</t>
  </si>
  <si>
    <t>Antonio Casaviella</t>
  </si>
  <si>
    <t>z de Santa María; y en el de Reales Guardias Walon ts á segundo Teniente al caballero Page de S. M. D. Antonio Casaviella. En el de inf&gt;. atería dei Príncipe á Sargento mayor al Capitán de granaderos del de Saboya, graduado de Teniente Coronel, D. Manuel Artazo: en el citado de Saboya á segundo Subte</t>
  </si>
  <si>
    <t>Cases, Joseph Ignacio</t>
  </si>
  <si>
    <t>Joseph Ignacio Cases</t>
  </si>
  <si>
    <t>s D&gt; Francisco Martínez de Porras, y para una Subteuencirde bandera del propio Iv. tallón al Cadete D. Joseph Ignacio Cases. A pesar de los repetidos avisos que se Jiamelado por itiedio.de las gaze— tas y di,ríos de esta- corte p ira qm/los tenedores de los billetes de la rifa ¿e fa Reai Gaxs do Descue</t>
  </si>
  <si>
    <t>Casildo Posada</t>
  </si>
  <si>
    <t>o Urqiiijo, y a los paisanos D. Fernando Pineda, D. Juan de Dios Pader^s, D. .Juan Marcelino Casas, D. Casildo Posada y D. Nicolás de Lora; á Subtenientes de granaderos al Cadete, D. Bartolomé Gallardo y ai Sargento segundo voluntario D. Pedro Moreno: á Subtenientes de fusileros al Cadete D. Joseph R</t>
  </si>
  <si>
    <t>Casimir</t>
  </si>
  <si>
    <t>15 de junio de 1801</t>
  </si>
  <si>
    <t>54 (extraord.)</t>
  </si>
  <si>
    <t>ya y segundo de Barcelona, con 30 caballos del reginiientq de Santiago, á las órdenes del Brigadier D. Casimir</t>
  </si>
  <si>
    <t>Casimiro Antonia Gómezai</t>
  </si>
  <si>
    <t>tán admitidasf y para su remate se ha se4i&lt;*Jado elbdta r 3 de Abril en la escribania'del número de D. Casimiro Antonia Gómezai ¡anochecer. Quien quisiere hacer mejora aci*de &gt;que &gt;*e le admitirá, ■^Avoliintad de su dutfto,y;por la escrit anía del número de X&gt;. Casi mi rp An— tonioGotnfcz,se vende ¿una'pos</t>
  </si>
  <si>
    <t>Casimiro Antonio Gómez</t>
  </si>
  <si>
    <t>del corriente, comparezcan ante el Sr. D. Juan Antonio Santa María por la escribanía del número de D. Casimiro Antonio Gómez: el primero con presentación de la escritura de imposición de censo de 5376 rs. 14 mrs,* situado sobre las casas de la calíe de Silva, rúms. 10 y 11, macz. 44Ó, que posee D. Joach</t>
  </si>
  <si>
    <t>Escribano del número. Por providencia del mismo Sr. Teniente primero de Corregidor de Madrid, ante D. Casimiro Antonio Gómez, de su número, se manda que en el término de 1$ dias acudan los acreedores que no se hubieren presentado, en virtud de los tres avisos anteriores, á la compañía de la Buena Fe, de</t>
  </si>
  <si>
    <t>villa de Brúñete y otras partes , para que en el termino de 15 dias, ante S. S. y por ef oficio de D. Casimiro Antonio Gómez, expongan lo que á su derecho convenga en razón de la obtención y goce de las limosnas y dotes que dexáron las susodichas, con los documentos que acrediten el parentesco, horfanda</t>
  </si>
  <si>
    <t>Casou, Juan</t>
  </si>
  <si>
    <t>Juan Casou</t>
  </si>
  <si>
    <t>da en la Real casa aduana, y en las provincias á los comisionados siguientes: En Alicante.......... D. Juan Casou y compañía. En Avila........... D. Fernando de Echepare. En Badajoz.......... D. Manuel de Ja Peña. En Barcelona....... D. Ramón de Llordella é hijo. En Burgos............. D. André</t>
  </si>
  <si>
    <t>ada en la Real casa aduana, y en las provincias á los comisionados siguientes. En Alicante......... D. Juan Casou y compañía. En Avila................ D. Fern ando de Eche pare. En Badajoz........... D. Manuel de la Peña. En Barcelona»...... D. Ramón de Llordella é hijo. En Burgos.............</t>
  </si>
  <si>
    <t>a en la Real casa aduana, y en las provincias á los comisionados siguientes. En Alicante......... . D. Juan Casou y compañía. En Avilan............. D. Fernando de Echepare. En Badajoz........... D. Manuel de la Peña. : En Barcelona____D. Ramón de Llordella é hijo. En Burgos........... I). Andr</t>
  </si>
  <si>
    <t>a en la Real casa aduana, y en las provincias á los comisionados siguientes. En Alicante........... D. Juan Casou y compañía. En Avila................ D. Fernando de Echepare. En Badajoz........... D. Manuel de la Peña. En Barcelona....... D. Ramón de Llordella é hijo. En Burgos.......... D. An</t>
  </si>
  <si>
    <t>Casous, Joseph</t>
  </si>
  <si>
    <t>Joseph Casous</t>
  </si>
  <si>
    <t>ón; á primer Teniente al segundo de granaderos D. Joachín Juano; á esta resulta al segundo Teniente D. Joseph Casous; á segundo Teniente al Subteniente de granaderos D. Rafael Ramiro; á Subteniente de granaderos al primer Subteniente D. Francisco Gallardo; á primer Subteniente al segundo D. Andr</t>
  </si>
  <si>
    <t>Cassagne, General</t>
  </si>
  <si>
    <t>General Cassagne</t>
  </si>
  <si>
    <t>del quartel general, se hicieron du©ños,dc Váiteggio, no obstante la mas obstinada resistencia. El General Cassagne cogió 4 cañones y 1© prisioneros; y el castillo de Valleggio se entregó al General Bisson, que halló en él 3 cañones y 300 hombres. Durante esto el General Lessuire atacaba á Borg</t>
  </si>
  <si>
    <t>Cassini</t>
  </si>
  <si>
    <t>1250 Mr. Cassini, que en tiempo de Paulo i fué Agente de Rusia cerca del Papa, y luego por orden del mismo Soberano se retiró de Roma, ha llegado estos dias aquí, y vuelve á aquella ciudad en cali</t>
  </si>
  <si>
    <t>Cassoni, Felipe</t>
  </si>
  <si>
    <t>Felipe Cassoni</t>
  </si>
  <si>
    <t>ncia, y otra de Sevilla, que se halla vacante por muerte de D. Rodrigo de Sierra y L!anes, nombro á Don Felipe Cassoni, Arzobispo de Perges. Tendráse entendido en la Cámara, ,y se dispondrá lo correspondiente á su cumplimiento. En Palacio á 21 de Diciembre de 1800.nAl Marques de Murillo.” En el re</t>
  </si>
  <si>
    <t>Castafiy, Luís</t>
  </si>
  <si>
    <t>Luís Castafiy</t>
  </si>
  <si>
    <t>ia......... 41. ap. Luís Castafiy............... Pedro yAntonia Ros................ Nimes en idem. 33. 4. Pascual Miteno........... Agustín-y Mana Pirret............ Montalban........ 32. 24. D. Juan de Oriol</t>
  </si>
  <si>
    <t>Castán, Joachín</t>
  </si>
  <si>
    <t>Joachín Castán</t>
  </si>
  <si>
    <t>443&gt;lo7&gt; con ?ndoso á £av?r¿d*D' miel González Rodríguez. Quien los hubiere hallado los entregará á D. Joachin Castán, presbítero, plazuela de la Leña, número. 18, quarto 3.0 La Real dirección de Abastos de Madrid avisa al publico que admitirá las proposiciones que se hagan para surtir de vaca de</t>
  </si>
  <si>
    <t>Castañera, Francisco</t>
  </si>
  <si>
    <t>Francisco Castañera</t>
  </si>
  <si>
    <t>eniente D. Joseph Ximeno, y á segundos Subtenientes al Sargento primero D. Bernabé Frex y al Cadete D. Francisco Castañera: en el de la princesa á segundo Subteniente al de esta clase del de Córdoba D. Joseph Navarro: en el de Jaén á Ayudante al primer Teniente de granaderos D. Lorenzo de Ascasso; á p</t>
  </si>
  <si>
    <t>Castañon, Antonio</t>
  </si>
  <si>
    <t>Antonio Castañon</t>
  </si>
  <si>
    <t>granaderos D. Mariano Ribas y D. Domingo Tierra, y á los primeros Subtenientes D. Mariano Galindo, D. Antonio Castañon , D. Manuel Zerbeía y D. Joseph Juan de Rico; á Subtenientes de granaderos a ios primeros Subtenientes D. Nicolás Caonedo, D. Miguel Buergo y D. Btrnardino del Pozo; á primeros Su</t>
  </si>
  <si>
    <t>Castejon, Pedro</t>
  </si>
  <si>
    <t>Pedro Castejon</t>
  </si>
  <si>
    <t>eros al seguá&amp;o de fusileros D. Joseph Valdes deL Busto; á segundo Teniente al Alférez de cazadores D. Pedro Castejon, y á Alférez de granaderos al de fusileros» D. Manuel Zorrilla : en el de Reales Guardias Walonas á Alféreces á los Cadetes D. Bruno Joseph dei Pratsj D. Manuel Narciso de Terraza</t>
  </si>
  <si>
    <t>Castelar, Francisco</t>
  </si>
  <si>
    <t>Francisco Castelar</t>
  </si>
  <si>
    <t>a según los cálculos, monedas d» cambio y otres pr.rt.cu ares que en cada una de ellas se usan; por D. Francisco Castelar , del comer in de la ciudad de Alicante. Es6a obra , la mas necesaria y útil para el comercio, reúne las noticias y métodos mas claros para girar sobre qualquie.ra pl \za de Europ</t>
  </si>
  <si>
    <t>Castelar, General</t>
  </si>
  <si>
    <t>General Castelar</t>
  </si>
  <si>
    <t>aciones, minas y almacenes. = Frente de Oliveñza á las 9 de la mañana del día 20 de Mayo de 1801. = General Castelar. Confirmada por mí y por toda la oficialidad de la gobernación. Olivenza 20 de Mayo de 1^01.=. Firmado: Julio César Augusto Chermont, Mariscal de Campo, y Gobernador de Oliveñza.</t>
  </si>
  <si>
    <t>Castelmaure, Agustín</t>
  </si>
  <si>
    <t>Agustín Castelmaure</t>
  </si>
  <si>
    <t>ViUaespesa; y en el regimiento de infantería de Borbori á primer Teniente al segundo de granaderos D. Agustín Castelmaure; á segundo Teniente de granaderos al de fusileros D. Henrique de Chauveron; á primeros Subtenientes á los segundos D. Joseph Campunot y D. Luis de Solan, y á segundos Subtenientes</t>
  </si>
  <si>
    <t>Casteras, Luis</t>
  </si>
  <si>
    <t>Luis Casteras</t>
  </si>
  <si>
    <t>ao. 30. Juan Dangen........ . Francisco y Claudina Nicolás.... S. Licier en Francia..... . ao. 30. D. Luis Casteras........ D. Jayme y Dofia Isabel Palernion....... ............ ......... .. Tuxi.... ........... 19. g. D. Pedro Laborde....... D. Juan y Doña María Negre.... Castel Sanasin en Fra</t>
  </si>
  <si>
    <t>Castilla, Joseph</t>
  </si>
  <si>
    <t>Joseph Castilla</t>
  </si>
  <si>
    <t>va. Para el Corregimiento de capa y espada de la ciudad de Plasencia se ha servido nombrar el Rey á D. Joseph Castilla: para el de letras de la de Toro á D. Antonio Urizar de Aldaca :para el de la villa de Albacete á Don Luis Antonio Mosquera : para el de la de Molina de Aragón á D. Ignacio Yañcz</t>
  </si>
  <si>
    <t>Castillejo, Antonio</t>
  </si>
  <si>
    <t>Antonio Castillejo</t>
  </si>
  <si>
    <t>S. MM. y AA. En el Real cuerpo de Artillería se ha servido S. M. promover á Toq^ente al Subteniente D. Antonio Castillejo. En América. El Rey se ha servido nombrar para una Ración de la ca-J terral del Nuevo Reyno de, Lfeon., vacante por renuncia de D. Joseph Pedjp Bustülo y Cevailos, á D. Francisco</t>
  </si>
  <si>
    <t>Castle-Reagh, Lord</t>
  </si>
  <si>
    <t>Lord Castle-Reagh</t>
  </si>
  <si>
    <t>erio ha dimanado de las ofertas hechas á los católicos irlandeses por el Marques de Cornwállis y el Lord Castle-Reagh (autorizados para ello por los Ministros),y mediante las quatés se consiguió la unioirde Irlanda. Posteriormente aconsejá-ron algunos al-Rey que no aprobase esu.disposición!; y se</t>
  </si>
  <si>
    <t>Castriílo Cevallos, Ramón</t>
  </si>
  <si>
    <t>Ramón Castriílo Cevallos</t>
  </si>
  <si>
    <t>badillo, D. Joachtn María de Flores Cardero , D. Marcelino García Riofrió, D. Antonio Barriopuevo , D. Ramón Castriílo Cevallos, D. Joseph Herrera Ladrón y Don Joseph B-día. .. En consideración á los servicios y méritos de D, Juan de Uribarri, Oficial mayor del Parte de esta Cortea se ha servido eLRey conc</t>
  </si>
  <si>
    <t>Castro Marín, Pedro</t>
  </si>
  <si>
    <t>Pedro Castro Marín</t>
  </si>
  <si>
    <t>u resulta á D. Juan Laso de la Vega VeLizquez de Haro : ea el de Lugo á Subtenientes de fusileros á D. Pedro Castro Marín y á D. Joseph María Marín; y á Subtenientes de bandera en los de Truxillo y Oviedo á D. Diego González de Mendoza y D. Anselmo Suarez Quirós. También ha concedido S. M. agregación d</t>
  </si>
  <si>
    <t>Castro, Antonio</t>
  </si>
  <si>
    <t>Antonio Castro</t>
  </si>
  <si>
    <t>Cosgalla, y al de fusileros D. Lorenzo del Castillo; y á Subteniente de granaderos al de fusileros D. Antonio Castro. En la gazeta anterior de 13 dd corriente se dixo por equivocación haber nombrado ti Rey para una Ración de la catedral del nuevo Reyno dé León á D. Francisco de Paula Rodríguez,</t>
  </si>
  <si>
    <t>Castro, Pedro</t>
  </si>
  <si>
    <t>Pedro Castro</t>
  </si>
  <si>
    <t>aexa, al Cura de S. Isidoro D. Luis González Blanco: para la Canongía, vacante por fallecimiento de D. Pedro Castro, al Racionero D. Joseph García de Prado: para esta Ración á D. Bartolomé Cabello, Cura de Santa María: para la Canongía vacante por fallecimiento de D. Antonio Moreno, á Don Josep</t>
  </si>
  <si>
    <t>Catalina Aumenti y Villarin</t>
  </si>
  <si>
    <t>^-voluntad de la actual poseedora del vínculo que fundáron D. Christóba! González'Cosío de la Hoz y Doña Catalina Aumenti y Villarin, se ha mandado sacar*? á subasta una casa en la calle de Santiago, núm. $, manz. 418, conocida por la de Ja Hoz, perteneciente á,dicho vínculo, la qual tiene de sitio ¿479 pies, t</t>
  </si>
  <si>
    <t>Catalina de Aguilera</t>
  </si>
  <si>
    <t>toria y Bracamonte, como sucesor en el mayorazgo que fundaron el secretario Christóbal de Vitoria y Doña Catalina de Aguilera su muger , y poseía en el de 1719 D. Juan de Salinas, Cuerva y Aguilera, vecino del lugar de Valjécas, de esta jurisdicción, para que en el término,de jg días acudan ante el Sr. £</t>
  </si>
  <si>
    <t>Catalina de Alfaro</t>
  </si>
  <si>
    <t>e de sitio 217$! pies, y está tasada en 139.733 rs., ámbas pertenecientes á la capellanía que fundó Doña Catalina de Alfaro, acuda ante el mismo Sr. D. Juan Antonio Santa María, por la escribanía del número de Do« Vicente de la Costa. = Asimismo quien quisiere hacer postura á otra casa sita en la calle</t>
  </si>
  <si>
    <t>Catalina de Heras</t>
  </si>
  <si>
    <t>Matías de Valparda ; D; Juan Martin de Irigoyen , vecino del lugar de Ciga, en el valle de Bastan ; Doña Catalina de Heras, viuda de D. Manuel de la Sierra, vecina de esta villa; D. Tomas Antonio de la Teja, como marido de Doña María Ana de la Sierra, vecinos del lugar de Septiem, de la junta de Cudey</t>
  </si>
  <si>
    <t>Catalina García Montero</t>
  </si>
  <si>
    <t>aeHortt.ee», eúm a&lt; como perteneciente í la memoria que en la sano, car, dr«l or Sifu-naa fuñdáron Doña Catalina García Montero y D. Alfonso Ramos, su hijo, tasad, en ap&lt;,0&lt;&lt;5 rs., V tiene de sitio 7513 pies- Y 'a otra en '» !,„« c«l r , trente lia anterior, núm. 8 . perteneciente á dicha menoría, tasad» en 33</t>
  </si>
  <si>
    <t>Catalina GeSron</t>
  </si>
  <si>
    <t>l lugar de Torrubia del Campo^el uno de 7 años y la otra de a: pues ‘■su abu-la Catalina GeSron, murió en el hospital sin haber declarado dónde los "dexó, en Setiembre dél ¿ño último , y se desea saber su paradero para llevarlos su casa. Quien supiere de tjlos avisará en -el lugar</t>
  </si>
  <si>
    <t>Cátchart</t>
  </si>
  <si>
    <t>portes. ; ’ m -, El Cónsul Angio-Amerrcano, residente aquí', ’ha recibido la siguiente• circular dé Mr. Cátchart, Cónsul de los &lt; Estados-Unidos en; Túnez , con encargo de que la publique y comunique áquien corresponde. „ Túnez 2$ de Julio. Habiendo el Bjy de Trípoli declarado guerra á los E</t>
  </si>
  <si>
    <t>Cathcart</t>
  </si>
  <si>
    <t>e ya no había un oficial ni un subalternó- que pudiese mandar, y lo hubieran cogido los enemigos si Mr. Cathcart no lo hubiese sacado á remolque. La -parte de: mi división mandada, por Mr. Williams cogió un londro , y aiacalum berganrtin ; pero;;su tripulación padeció casi tanto como la nues</t>
  </si>
  <si>
    <t>Catheart</t>
  </si>
  <si>
    <t>3 de abril de 1801</t>
  </si>
  <si>
    <t>Cónsules de su nación en los puertos de Francia, el siguiente aviso; „ He recibido una circular de Mr. Catheart, Agente de los Estados-Unidos en Trípoli de Berbería, por la qual me informa con fecha de 3 de Enero que aeradla Regencia ha declarado guerra á los Estados-Un idos; y añade que ha</t>
  </si>
  <si>
    <t>caudillo aumenta todos los dias su exército</t>
  </si>
  <si>
    <t>n cuerpo de 20® hombres y los envié contra Baswan-Oglow. Por él contrario, este caudillo aumenta todos los dias su exército, especialmente con desertores franceses, polacos y alemanes. Dicen no obstante que ha retrocedido háciaVidin. Viena 24 de Marzo, r D esde el 22 de este mes se</t>
  </si>
  <si>
    <t>caudillo ha tenido pérdidas que se ignoran</t>
  </si>
  <si>
    <t>botín cogido en los último*encuentros á Basw. n'Ogíów: y esto prueba que aquel caudillo ha tenido pérdidas que se ignoran. Ei Baxá de Belgrado mandó desde luego cerrar las puertas de la plaza, y consiguió satisfacer y apaciguar á las tropas. . . j» Berlín jg&gt; de Agosto. &gt; I Ll Gen</t>
  </si>
  <si>
    <t>caudillo habrá ocupado ya aquella plaza</t>
  </si>
  <si>
    <t>s que los sublevados han pues to al Baxí en manos de Baswan, y se creé que este caudillo habrá ocupado ya aquella plaza. * , Munich 26 de Setiembre, £ ,1 dia 13 asistió el Elector á la distribución de premios de la escuela de artes nos y gentes de oficio, la qual está abierta lo</t>
  </si>
  <si>
    <t>caudillo insurgentes del Val de Chíano</t>
  </si>
  <si>
    <t>se hacia Toscana. El Presidente de este gobierno ha mandado prender á todos los caudillos insurgentes del Val de Chíano. • Avisan 4e Salo que el comandante de la esquadrilla austríaca parlamentó con el de la francesa recomendándole varios emigrados que tiene á su bordo; puro el</t>
  </si>
  <si>
    <t>caudillo lesghianos</t>
  </si>
  <si>
    <t>romen el campo i joo hombres, entre los quaksse hallaban dos de los principales caudillos lesghianos, á quienes los vencedores ¡cortaron Í4 cabeza. El hijo de! Kan Alejandro salió,¿herido,„Las tropas del Grusrn estaban -tan encarnizadas,, qi|e no diéron quartd</t>
  </si>
  <si>
    <t>caudillo no se ha presentado todavía en clh</t>
  </si>
  <si>
    <t>llegado á aquella plaza otros destacamentos de las tropas de.Baswan; pero este caudillo no se ha presentado todavía en clh. ^ Los geníz. ros de Semendria, Kladowa , Sabacz y otras plazas han eehodo también de elLs á sus comandantes , y exercen la autoridad pública. . Viena 2$ de Se</t>
  </si>
  <si>
    <t>caudillo otomano padeció en HeBópolisA Quando-el eludí</t>
  </si>
  <si>
    <t>ilitares* del Gran.Visir,, ganadas pon-’los* franceses en. la derrota que aquel caudillo otomano padeció en HeBópolisA Quando-el eludí. V¡al saiíq,de Egipto- se gozaba ¡cm todo el país Ja mayor* tranquilidad ; y desde que, $e, habían; retiradb- los- enemigos que cruzaban* diejante.-de. Alcxand</t>
  </si>
  <si>
    <t>caudillo para combinar sus fuerzas con las de los ingleses</t>
  </si>
  <si>
    <t>Gran Visir están tan desbaratadas, que no obstante quantos esfuerzos haga aquel caudillo para combinar sus fuerzas con las de los ingleses (y es dudoso lo consiga) apénas podrá salir con so® hombres dispuestos á volver las espaldas al primer encuentro. Por otra parte las tropas inglesas no podrán</t>
  </si>
  <si>
    <t>caudillo permanece en total inacción</t>
  </si>
  <si>
    <t>hia, ha sido derrotado por las del Gran Señor. Actualmente el exército de dicho caudillo permanece en total inacción , lo qual se atribuye á las siguientes causas : i.a á varias cartas que ha recibido de ios Generales austríacos que -mandan en el Bannato y en Transiivania■; 2</t>
  </si>
  <si>
    <t>caudillo rebelde</t>
  </si>
  <si>
    <t>l Bái$fiáki lia, tiene orden de hacer los mayores esfuerzos para sometr á aquel caudillo rebelde, y que én conscqüencra está; haCÍendo disposiciones para sitia» áty^idíh.- ó~ y 4t.á£, .1 x,. ^¿i» '■■■ ■■ J1 x. ..ti, ’j; »)j- £/ tr " Viétta 2 de Juntó* lia</t>
  </si>
  <si>
    <t>caudillo rebelde se halla dueño de Buchirest</t>
  </si>
  <si>
    <t>Valaquia, y dexan aniquilado todo el país por donde pasan. Ya se asegura que el caudillo rebelde se halla dueño de Buchirest, capital y residencia del Hospodar. Falta saber que partido tomará en caso que el exército ruso llegue á Moldavia y Valaquia. Díeese que el Gran Señor le ha pr</t>
  </si>
  <si>
    <t>Causa, Francisco</t>
  </si>
  <si>
    <t>Francisco Causa</t>
  </si>
  <si>
    <t>enis en id.. íp. 7. Francisco Causa.......... Nicolás y María SalJy. Grange en Francia................ &lt;53. if. bautista Cabanat........ Joseph y Isabel Baleta.</t>
  </si>
  <si>
    <t>Cavalier, Coronel</t>
  </si>
  <si>
    <t>Coronel Cavalier</t>
  </si>
  <si>
    <t>Brigadier general Doyle orden de salir con la caballería, 2 cañones y una brigada de infantería. Ei Coronel Cavalier, que venia mandando á los enemigos, sospechó que nuestro exéícito no estaba muy distante , y se retiró al desierto: fuimos en su alcance, y al cabo de 3 horas de marcha los alcanz</t>
  </si>
  <si>
    <t>Cavalle, Juan</t>
  </si>
  <si>
    <t>Juan Cavalle</t>
  </si>
  <si>
    <t>............... 31. Juan Cavalle.....,.- Gerónimo y Madalena Roca Villalonga de Muns en el</t>
  </si>
  <si>
    <t>Cavanilles, Antonio Joseph</t>
  </si>
  <si>
    <t>Antonio Joseph Cavanilles</t>
  </si>
  <si>
    <t>estas anticipaciones se dirigirán personalmente , ó por escrito, á su Dean,&lt;5 Secretario capitular. Don Antonio Joseph Cavanilles, Profesor de botánica y xefe del Real establecimiento de ésta ciencia, dará principio á sus lecciones en la mañana del mirtes 30 de Junio á las 8 y media. Quien quisiere hacer mej</t>
  </si>
  <si>
    <t>l Real jardín botánico y de las que crecen en España, «£• gunda y ú’tima parte del tonco &lt;5.° : por D. Antonio Joseph Cavanilles, Con esta entrega se concluye la obra, empezada á publicar en 1791. La novedad de ías 71a plantas descritas en ella , de las quales 60 forman otros tantos géneros nuevos: las much</t>
  </si>
  <si>
    <t>se cultivan en sus jardines. Son 6 tomos en los senos , cosenos y tangentes de minuto eh folio, por D. Antonio Joseph Cavanilles, que minuto , ó de diezmilésima en diezmilésima constan de 10 quadernos con 10 estampas á para los _ i 00 grados del quadranté, según la 28 rs. cada quaderno, y cada tomo de 100 l</t>
  </si>
  <si>
    <t>Cavazelize, Joseph</t>
  </si>
  <si>
    <t>Joseph Cavazelize</t>
  </si>
  <si>
    <t>ros D. Francisco Munárriz: en el de Carabineros de la Reyna María Luisa á Portaestandarte al Cadete D. Joseph Cavazelize: en el de Húsares Españoles á Alférez al Cadete D. Antonio Marcoleta; y en el de dragones de Almansa á Alférez al Cadete D. Pedro Alsina. Asimismo ha nombrado S. M. para la Regenc</t>
  </si>
  <si>
    <t>Cayeta</t>
  </si>
  <si>
    <t>ultivo de las moreras ,y de Discurso sobre la abundancia de comestila cria de gusanos de seda , por D. Cayeta­ bles que puede haber en España á modera</t>
  </si>
  <si>
    <t>Cazalés</t>
  </si>
  <si>
    <t>ro. .a llegado á esta ciudad el General Aiigereau.. x „:i Noticioso, el Ministro de^Pólicta de qué 'Mr. Cazalés se habla embarqa«k&gt;r.én^Dodvres á fiñ~de entrad én ‘Francia por Calais ,pHa enviado órdéil á aquebpuerto para qué lo vuelvátl á'éhíbarcar, "y íqr lleVen U Irig/aterra. .; -oifíari</t>
  </si>
  <si>
    <t>Cbavaiíi, Domingo</t>
  </si>
  <si>
    <t>Domingo Cbavaiíi</t>
  </si>
  <si>
    <t>n Gomales, vecino de la villa de Covefia, que ¿ su dueBo. Quien los haya encontrado los entregará i D. Domingo Cbavaiíi, del comenció de lienzos, calle de Postas, ó al administrador del Real hospicio. Por providencia de 19 del pasado, dada por el Sr. Juez que conoce en los autos formados por los ac</t>
  </si>
  <si>
    <t>Cean Bermudez, Juan Agustín</t>
  </si>
  <si>
    <t>Juan Agustín Cean Bermudez</t>
  </si>
  <si>
    <t>Diccionario histórico de los mas ilustres profesores de las bellas artes en España , compuesto por D. Juan Agustín Cean Bermudez, y publicado por la Real academia de S. Fernando: en la imprenta de la viuda de Ibarra: tomo &lt;S.° y último en. 8.° Contiene las letras X , Y , Z , un suplemento y las tablas crono</t>
  </si>
  <si>
    <t>Cebasco y Rosas, Bernardo</t>
  </si>
  <si>
    <t>Bernardo Cebasco y Rosas</t>
  </si>
  <si>
    <t>agón, á D. Juan Ignacio de la Pardina: , pata el de. la villa de Alcoy, en-el Rey nó-de Valencia, á D. Bernardo Cebasco y Rosas; y para la Escribanía de Registro de.ía Real Audiencia r dé Aragón á T&gt;. Antonio Lerga. . ^ , Los 13 pedazos de tierra de caber 34 fanegas, 10 celemines y un estadal, sitos en el</t>
  </si>
  <si>
    <t>Cecilio Calonge</t>
  </si>
  <si>
    <t>e fusileros D, Antonio Urruchurtu y D. Esréban Ximenez; á Tenientes de fusileros á los Subtenientes D. Cecilio Calonge, D. Antonio Navarro, D. Buenaventura Berrueco, D. Manuel Urruchurtu, D. Joseph María Gómez de Humaran, D. Manuel Pantoja, D. Joseph Ignacio García, D. Cayetano Revueltas, a! Cadet</t>
  </si>
  <si>
    <t>Cedilio, Joseph</t>
  </si>
  <si>
    <t>Joseph Cedilio</t>
  </si>
  <si>
    <t>Masiliere, D. Pedro de Champañac y D. Luis de Gazan, y i segundos Subtenientes al Sargento primero D. Joseph Cedilio, y á los Cadetec D. Jorge Baregcs, D. Juan Gautier y D. Carlos de Thesan; y ht</t>
  </si>
  <si>
    <t>Ceferino Castañeda</t>
  </si>
  <si>
    <t>es delregitoiiento, de Milicias urbanas( de infantería de Caxamarca, en el.Perú, á los Subtenientes D, Ceferino Castañeda y D. Ramón Campos; á Subteniente de granaderos al de fusileros D. Juan Francisco Arana, y á Subteniente ae fusileros al Cadete D. Joseph Francisco Bonifaz: á Capitanes de grana</t>
  </si>
  <si>
    <t>Celedonio Eguizaval</t>
  </si>
  <si>
    <t>güedad de Alférez, con sueldo de tal y mando sobre el propietario, al Ajudante de la mism3 Compañía D. Celedonio Eguizaval. Ha nombrado asimismo S. M. Cadete de número de la Española al supernumerario D. Francisco de Paula Bernui; y por Cadete supernumerario al Guardia D. JoacLín Muñoz. El Rey ha conf</t>
  </si>
  <si>
    <t>Celina y Pérez, Joachín</t>
  </si>
  <si>
    <t>Joachín Celina y Pérez</t>
  </si>
  <si>
    <t>io de esta ciudad,, después de tener en 5- dias exercicios. latinos-de filosofía con sus discípulos D. Joachín Celina y Perez, Di Ccferino Lagraba y Orobia , D. Francisco Aba*~ día y Lrson, D. Joseph Buc y Palos y D. Francisco Arce35 Palaeió,. presentó á los* mismos juntamente con D. Miguel Ordos y íí^io</t>
  </si>
  <si>
    <t>Cenon Alonso</t>
  </si>
  <si>
    <t>jjp de Agosto. • L a sociedad médica de emulación de Paris ha nombrado por individuos honorarios á D. Cenon Alonso, oficial primero 2° de la secretaría de Gra-* eia y Justicia de Indias; á D.Joseph Celestino Mutis, botánico y astrónomo de; S. M. Católica , y director de la expedición botánica</t>
  </si>
  <si>
    <t>Cenon Calvo, Lorenzo</t>
  </si>
  <si>
    <t>Lorenzo Cenon Calvo</t>
  </si>
  <si>
    <t>rimer Teniente de granaderos D. Lorenzo de Ascasso; á primer Teniente de granaderos al de fusileros D. Lorenzo Cenon Calvo; á primer Teniente al segundo D. Ramón Reynalte; á segundo Teniente al Subteniente de granaderos D. Manuel Romero de Leis; á esta resulta al primer Subteniente D. Nicolás Salazar</t>
  </si>
  <si>
    <t>Cenon de Sesma</t>
  </si>
  <si>
    <t>I3°4 . una plaza Racional de Oidor deí Consejo de Navarra, vacante por fallecimiento de D. Cenon de Sesma, al supernumerario de el D, Joachín Antonio Rada. ^ Igualmente ha venido S. M. á solicitud de D. Juan Bautista Pascual de Nieva, por razón de sus achaques y avanzada edad, en Jubi</t>
  </si>
  <si>
    <t>Ceraso, Joseph</t>
  </si>
  <si>
    <t>Joseph Ceraso</t>
  </si>
  <si>
    <t>a Paz, vacante por ascenso de D. Rafael de la Vara á Obispo, Auxiliar de Santa Cruz de la Sierra, á D. Joseph Ceraso, Medio-Racionero de la misma catedral: para una Media-Ración de la catedral de Quito, vacante por muerte de D. Ignacio Joseph Patricio Batallas, á D. Mariano Hcnriquez deGuzman, C</t>
  </si>
  <si>
    <t>Cerda, Juan</t>
  </si>
  <si>
    <t>Juan Cerda</t>
  </si>
  <si>
    <t>o Joseph Granado, Cura de S. Bartolomé de aquella ciudad. S. M. ha nombrado Exento supernumerario á D. Juan Cerda, Brigadier de la Compañía Italiana del Real cuerpo de Guardias de Corps, En ei regimiento de caballería del Príncipe se ha servido $. M. pronto* ver á segando Teniente al Alférez</t>
  </si>
  <si>
    <t>l Exento D. Ramón San Martin: para.el empleo de; Exento de número, que este dexa, al supernumerario D. Juan Cerda; ypor Exento supernumerario al Brigadier de la misma compañía D. Joachím López. . En el regimiento de infantería de Córdoba se ha servido el Rey promover á Capitán de granaderos a</t>
  </si>
  <si>
    <t>Cerón, Joseph</t>
  </si>
  <si>
    <t>Joseph Cerón</t>
  </si>
  <si>
    <t>ta y.i D. Carlos Lanzarote,y á Portaestandartes al Sargento-D.Franci'ÍsepfOv*M*í do y á los Cadetes D. Joseph Cerón y D. Manuel Arjona : en ei dei Itífaii-, te á Alférez al Portaestandarte D. Francisco Camarero, y á esta resulta ab Cadete graduado de Alférez D. Joseph Chirac y Tirado*, en ei de Bor</t>
  </si>
  <si>
    <t>. M. pronto* ver á segando Teniente al Alférez D. Jorge Zambrana; á esta resulta al Portaestandarte D. Joseph Cerón, y á Portaestandarte al Cadete D. Vicente López S'in Román: en el del Infante á Portaestandarte al Sargento D. Seb-sri -n de Torres: en el de Borbon á Alférez al Portaestandarte D</t>
  </si>
  <si>
    <t>esta resulta al CadetoD. Hilario García Victoria; en el del Príncipe á segundo Teniente al Alférez D. Joseph Cerón f á Alféreces á los* Portaestand artes D ¿Baltasar del Corraly D. Ambrosio González y y á Portaestandar tes 4 los Cadetes: de los regimientos de Alcántara y Montesa D: Francisco C</t>
  </si>
  <si>
    <t>Ceruelo Sanz, Antonio</t>
  </si>
  <si>
    <t>Antonio Ceruelo Sanz</t>
  </si>
  <si>
    <t>ncisco Muñoz y Gómez: para otra Media-Ración de la catedral de Valladolid, vacante por promoción de D. Antonio Ceruelo Sanz á una Canongía de Orihuela, á Don Simón Valles y Dávila;y para el Beneficio servidero de la villa de Coria» en la diócesis do Sevilla, vacante por fallecimiento de D. Diego Moreno</t>
  </si>
  <si>
    <t>Cerut-lo Sanz, Antonio</t>
  </si>
  <si>
    <t>Antonio Cerut-lo Sanz</t>
  </si>
  <si>
    <t>do nombrar para una Canongía de la catedral de Oríhuela, vacante por muerte de D. Pedro Lespiault,á D. Antonio Cerut-lo Sanz -. para la Ración de la de Sigüenza, que ha vacado por fallecimiento de D. Manuel de Lezama (á quien S. M. había nombrado para ella) antes de habérsele expedido la Real presentaci</t>
  </si>
  <si>
    <t>Cervera, Lorenzo</t>
  </si>
  <si>
    <t>Lorenzo Cervera</t>
  </si>
  <si>
    <t>egundo Teniente ai Subteniente de- granaderos D. Joseph Isasy; á esta resulta al primer Subteniente D. Lorenzo Cervera; 4 primer Subteniente al segundo D. Agustín Wan-herck, y á segundos Subtenientes á los Cadetes del de infantería de Burgos ^ fixo de Ceuta Don Sebastian de Arcos y D. Antonio Ordo</t>
  </si>
  <si>
    <t>César Phíuoger, Francisco</t>
  </si>
  <si>
    <t>Francisco César Phíuoger</t>
  </si>
  <si>
    <t>granaderos al de fusileros D. Antonio Miesch; á Teniente de fusileros al Subteniente de granaderos D. Francisco César Phíuoger, y á Subteniente de granaderos al de fusileros D. Francisco Molí. También ha promovido S. M. en el regimiento de caballería de España á primer Teniente aí segundo D. Joseph de! Ca</t>
  </si>
  <si>
    <t>César Ventura, Conde</t>
  </si>
  <si>
    <t>Conde César Ventura</t>
  </si>
  <si>
    <t>us victorias. No le qu-da ya qüe v ncér sino á Inglaterra. Firmado'. Agar.M Habiendo venido aquí el Conde César Ventura por orden d; S. M. Luis I Rey de Etruría, para recibir en su nombre el juramento de los toscanos y tomar posesión de sus nuevos estados, se procedió \ este solemne acto el du 2 de</t>
  </si>
  <si>
    <t>ltas sé han hecho, Nos colocado en el trono augusto de Toscana encargamos al Marques de Gallinella, Conde César Ventura, Gran Cruz de la orden Real de Carlos m , Gentilhombre de Gimara con ejercicio, y Consejero del Consejo secreto de S. A. R. el Infante Duque de Parma, tome en nuestro Real nombre,</t>
  </si>
  <si>
    <t>Cesáreo de Nava Palacio</t>
  </si>
  <si>
    <t>en ingles por Andrés Kipis, de la Real sociedad de Londres y de la de antigüedades, y traducida por D. Cesáreo de Nava Palacio. Comprehende la historia de este inmortal navegante, cuyos arriesgados viages al rededor del mundo al paso que han extendido la esfera del conocimiento del globo han promovido y p</t>
  </si>
  <si>
    <t>Cesarowitz-Constantino Paulowitz, Duque</t>
  </si>
  <si>
    <t>Duque Cesarowitz-Constantino Paulowitz</t>
  </si>
  <si>
    <t>por el otro presenta un libro de evangelip con una cruz. Petersburgo 17 de Abril. S . A. I. el Gran Duque Cesarowitz-Constantino Paulowitz está nombrado Inspector de infantería y caballería en varias provincias del Imperio. El General Conde de Pahlen ha salido para Revel y Riga á examinar el estado de ambos puertos; y</t>
  </si>
  <si>
    <t>Cetto</t>
  </si>
  <si>
    <t>o. Manheim jo de Agosto. E I 27 por la noche pasó por esta ciudad un correo de París con pliegos de Mr. Cetto para el Elector. Dícese que lleva á Munich la ratificación del tratado recien concluido entre S. A. y el gobierno de Francia, el qual se supone relativo 2 das indemnizaciones»1 Pa</t>
  </si>
  <si>
    <t>Cevailos, Vicente</t>
  </si>
  <si>
    <t>Vicente Cevailos</t>
  </si>
  <si>
    <t>fusileros D. Francisco Torres; á primeros Tenientes á los segundos de granaderos D. Pedro Zorrilla,.D. Vicente Cevailos y D. Eugenio Iglesias, y al de fusileros Don Francisco Fernandez ; á segundos Tenientes de granaderos á los de fusileeos D. Juan Antonio Abal , ¡D. Manuel Barranco y D. Gerónimo de la</t>
  </si>
  <si>
    <t>Cevallos Guerra, Pedro</t>
  </si>
  <si>
    <t>Pedro Cevallos Guerra</t>
  </si>
  <si>
    <t>ercicio y decoro : y habiendo yo teñido á bien el nombrar ahora por miprimer Secretario de Estado á D. Pedro Cevallos Guerra , vengo en conferirle igualmente plaza efectiva de mi Consejo de Estado, con la casa de aposento, emolumentos y relevación de medía anata, consiguiente al citado Real decreto. =.T</t>
  </si>
  <si>
    <t>Cevallos, Pedro</t>
  </si>
  <si>
    <t>Pedro Cevallos</t>
  </si>
  <si>
    <t>e destino.^: Tendreislo entendido para su cumplimiento. = En Palacio á 28 de Diciembre de i8uo^ = A D. Pedro Cevallos.” Con la misma fecha expidió S. M. el decreto siguiente: „ Por Real decreto expedido por mi augusto padre al Secretario del Consejo de Estado en 21 de Octubre de 1777 , declaró se</t>
  </si>
  <si>
    <t>endición y toma de la isla de Santa Catalina en la costa del Brasil : en la expedición del mando de D. Pedro Cevallos al rio de la Plata ; y por ultimo en el sitio y toma del fuerte de S. Felipe de Mahon, donde cubrió la compañía de granaderos de dragones de Almansa. No tuvo ©tra enfermedad en to</t>
  </si>
  <si>
    <t>Ch'isrtia</t>
  </si>
  <si>
    <t>boMt al crud. Four-'ro?: extracto de una carta de D. l&gt;!égo Larrafibga á D. Ch'isrtia¡ o H-rrgen; aviso mineralógico:. descripción tír.l Amiiracói.-ito: observacioi.esastro; -.ÓTiiicas: continua ció a de las observaciones de Pedro LotfUr-g: de la A'galia, que ts un</t>
  </si>
  <si>
    <t>Chacón, Joachín</t>
  </si>
  <si>
    <t>Joachín Chacón</t>
  </si>
  <si>
    <t>5376 rs. 14 mrs,* situado sobre las casas de la calíe de Silva, rúms. 10 y 11, macz. 44Ó, que posee D. Joachin Chacón, otorgada en ix de Febrero por Antonio y Francisco de Moya, á percibir el citado capital y los réditos que le corresponr dan , y otorgar la escritura de redención y liberación de</t>
  </si>
  <si>
    <t>Chacón, Joseph María</t>
  </si>
  <si>
    <t>Joseph María Chacón</t>
  </si>
  <si>
    <t>isla de la Trinidad de barlóvento que hizo á las fuerzas británicas el Brigadier de: la Real Armada D. Joseph María Chacón, Gobernador de ella , y el incendio que dispuso el Xefe de esquadra D. Sebastian Ruiz de Apodaca de los 4 navios y. una fragata que se hallaban en el puerto de Chaguaramas, son do</t>
  </si>
  <si>
    <t>ChacQn, Joseph María</t>
  </si>
  <si>
    <t>Joseph María ChacQn</t>
  </si>
  <si>
    <t>ge el honor y la obligaciónídel ¿servicio. ¿En su conseqitencia se ha servido S.&lt;M. declarar que el D. Joseph María ChacQn nó defendió como pudo la isla de la Trinidad, y que^D. Sebastian Ruiz' de Apodaos sel determinó preinátúí^mente¿ db i&amp;óendi# de^sti</t>
  </si>
  <si>
    <t>Chamorro, Francisco Sebastián</t>
  </si>
  <si>
    <t>Francisco Sebastián Chamorro</t>
  </si>
  <si>
    <t>e Quesaltenango, en el Reyno de Goatemala, vacante por fallecimiento de D. Manuel Ignacio Letona, á D. Francisco Sebastian Chamorro; y para ia Alcaldía mayor de A titán y Tepenatitan, en el mismo Reyno , á D. Rafael de la Torre y Unirme. Habiéndose verificado' eí sorteo segundo de la tifa de quinientos millone</t>
  </si>
  <si>
    <t>Chasteller, General</t>
  </si>
  <si>
    <t>General Chasteller</t>
  </si>
  <si>
    <t>para seguridad del pueblo, Los cuerpos de milicias del país empiezan á disolverse. Está nombrado el General Chasteller para mandar las guardias austríacas que quedan en el Tirol. Florencia 6 de Enero, No se teme incursión, de parte de los enemigos desde que las tropas napolitanas han evacuado nues</t>
  </si>
  <si>
    <t>Chatelcr, General</t>
  </si>
  <si>
    <t>General Chatelcr</t>
  </si>
  <si>
    <t>ecida suma para estas varias obras de defensa, y baxo las órdenes de dicho Príncipe las dirigirá el General Chatelcr. 2 Sdaniieim g de Setiembre. 1 Í»1 Margrave de Badén ha publicado una declaración avisando á sus súbditos que en virtud del ajusté hecho con la República francesa, pueden libremen</t>
  </si>
  <si>
    <t>Chatham, Lord</t>
  </si>
  <si>
    <t>Lord Chatham</t>
  </si>
  <si>
    <t>cederle al Lord Pelham, promoviendo al referido Duque á Presidente del Consejo privado en lugar del Lord Chatham, que ha reemplazado al Lord Cornwallis. La esquadra que el Lord Nelson manda actualmente consta de muchas naves pequeñas armadas, y el domingo ultimo se avistaba desde las alturas</t>
  </si>
  <si>
    <t>Chavarría, Juan Manuel</t>
  </si>
  <si>
    <t>Juan Manuel Chavarría</t>
  </si>
  <si>
    <t>e la propia catedral, vacante por ascenso de D. Miguel. Al°ns9y: Alcalá al Arcedianato de Ayllqn, á D. Juan Manuel Chavarría: para unja. Capellanía de la catedral de Pamplona, vacante por promoción de D. Juan Fern^ia de Oteyza y Larrayoz al Arccdianato de Valdeaybar, Dignidad de aqueila catedral, á D* P</t>
  </si>
  <si>
    <t>Chavert, Juan Bautista</t>
  </si>
  <si>
    <t>Juan Bautista Chavert</t>
  </si>
  <si>
    <t>y í)o» Joseph Orsini; á segundos'Tenientes dé granaderos á los dé fusileros D. Au-¿ gusto. Dupuy y D. Juan Bautista Chavert f% segundos Tenientes al Subtes niente de granaderos D. Ramón Daprea y al primer Subteniente D. Anaeleto Valinani ; á Subteniente de granaderos al primer Subteniente D. Antonia De</t>
  </si>
  <si>
    <t>Chaves y Mendoza, Antonio</t>
  </si>
  <si>
    <t>Antonio Chaves y Mendoza</t>
  </si>
  <si>
    <t>nombrar para la Dignidad de Maestrescuela de la catedral de Badajoz,. vacante* por fallecimiento de D. Antonio Chaves y Mendoza» á D. Fernando del Peral Bereterra, Canónigo de la misma catedral: para una .Canon gia de i a catedral de Zamora» vacante por muerte de D. Joseph Calvo» á D. Joachín Esearano: par</t>
  </si>
  <si>
    <t>Chiistoba</t>
  </si>
  <si>
    <t>da» Murcia y Jaetl á los presbíteros Don Ghristobal Martínez de Mora, D. Félix de Soto y Melgarejo, D. Chiistoba 1 Antonio de Coptrerus y D. Manuel Flores. En America. El Rsy se ha servido nombrar para la Dignidad de Dean de la metropolitana de México, vacante por fallecimiento de D. Valentí</t>
  </si>
  <si>
    <t>Chirac y Tirado, Joseph</t>
  </si>
  <si>
    <t>Joseph Chirac y Tirado</t>
  </si>
  <si>
    <t>á Alférez al Portaestandarte D. Francisco Camarero, y á esta resulta ab Cadete graduado de Alférez D. Joseph Chirac y Tirado*, en ei de BorboiV 4 primer. Teniente al segundo D. Manuel Lamarca,y k segundos Tenientes' áTos Alféreces D. Nicolás Delgado y Monroy y D. Antonio González: envide Alcántara á Alf</t>
  </si>
  <si>
    <t>Chitroff, Coronel</t>
  </si>
  <si>
    <t>Coronel Chitroff</t>
  </si>
  <si>
    <t>o JQ de Setiembre. H án salido de esta capital casi todos los Ministros extrangeros para Moscow. El Coronel Chitroff, cuñado del Embaxador ruso en París, ha venido de aquella ciudad como correo, no habiendo tardado mas que 16 dias en su viage. El 7 de este mes, S. M. I. ántes de ponerse en camin</t>
  </si>
  <si>
    <t>Cholét, Capitán</t>
  </si>
  <si>
    <t>Capitán Cholét</t>
  </si>
  <si>
    <t>Calvin luego que supo la inarcha de los austríacos Volvió aceleradamente á sostener la refriega. El Capitán Cholét, que se hallaba cortado, tomó el partido de abrirse piso por medio de un batallón enemigo, y sostenido por el valeroso Vergés rechazó todos ios ataques de la caballería. Entonces</t>
  </si>
  <si>
    <t>Chrisóstomo Ruiz Amaya, Juan</t>
  </si>
  <si>
    <t>Juan Chrisóstomo Ruiz Amaya</t>
  </si>
  <si>
    <t>ntonio Figueroa; la de este al Subteniente D. Joseph Martínez Henao, y una Subtenencia de bandera á D. Juan Chrisóstomo Ruiz Amaya; y en el de Salamanca Tenencia de fusileros al Subteniente de esta clase Doa Pedro Altainirano. Atendiendo el Rey á los respectivos méritos, servicios y buen desem</t>
  </si>
  <si>
    <t>Christiano Herrgen</t>
  </si>
  <si>
    <t>tiene : memoria sobre los progresos y utilidad del estudio mineralógico , traducida del aleonan por D. Christiano Herrgen: descripción de dos géneros nuevos de plantas : de la Juncia avellanada : extracto de una memoria sobre la enfermedad y curación de tres hombres mordidos por un perro rabioso: enf</t>
  </si>
  <si>
    <t>no , y van hechas 17 tos á .26 el 1." , y á 14 el 2.” en papel. Esta ediciones. obra, traducida por D. Christiano Herrgen, Extracto de dicho Compendio, parahusó comprehende el sistema mas moderno y com­ de los niños de primeras letras, por el mismo pleto de la Mineralogía. autor. Un tomo en 8.° á 2 r</t>
  </si>
  <si>
    <t>Christkno Bagníoud, Juan</t>
  </si>
  <si>
    <t>Juan Christkno Bagníoud</t>
  </si>
  <si>
    <t>món Brandis y D. Joseph Pardo de Celar en el de Suizos de Reding a Capitán primero al de granaderos D. Juan Christkno Bagníoud; á esta resulta al Capitán segundó D. Antonio Kayser; i Capitán segúado al Teniente de granaderos 0. Alexandro de Korb; á Teniente, de granaderos al de fusileros 0. Ignacio Preux,</t>
  </si>
  <si>
    <t>Christóba</t>
  </si>
  <si>
    <t>o. Por el propio juzgado y escribanía, y ^-voluntad de la actual poseedora del vínculo que fundáron D. Christóba! González'Cosío de la Hoz y Doña Catalina Aumenti y Villarin, se ha mandado sacar*? á subasta una casa en la calle de Santiago, núm. $, manz. 418, conocida por la de Ja Hoz, perte</t>
  </si>
  <si>
    <t>Christóbai Artola</t>
  </si>
  <si>
    <t>al segundo de granadero^. D. Francisco Wan-nerck; á segundo Teniente de granaderos ai de .fusileros D. Christóbai Artola; á segundo Teniente ai Subteniente de- granaderos D. Joseph Isasy; á esta resulta al primer Subteniente D. Lorenzo Cervera; 4 primer Subteniente al segundo D. Agustín Wan-herck, y</t>
  </si>
  <si>
    <t>Christóhal Ruiz de Salcedo</t>
  </si>
  <si>
    <t>D. Francisco Paula Cerero: para la Ración vacante por ascenso de I). Francisco de Paula Bucareli á D. Christóhal Ruiz de Salcedo: para la Media-Ración, que este dtxa, á D. Francisco Salas Rodríguez, Cura de S. Telmo: para la Canongía de la colegial del Salvador de dicha dudad de Sevilla, vacante por falleci</t>
  </si>
  <si>
    <t>Chrlstóbal Moreno, Joseph</t>
  </si>
  <si>
    <t>Joseph Chrlstóbal Moreno</t>
  </si>
  <si>
    <t>'.............................. Vt 203 dase á los Soldados distinguidos D. Joseph Chrlstóbal Moreno, D. Simón Rodríguez Concha y D. Joseph Alvarado. El Consejo á consulta-de la Comisión gubernativa y, con aprobación dé S. M. ha acordado la octava amortización de 500 Vales de óoo</t>
  </si>
  <si>
    <t>Chueca y Mezquita, Joseph</t>
  </si>
  <si>
    <t>Joseph Chueca y Mezquita</t>
  </si>
  <si>
    <t>io y misa de la festividad del SS. Sacramento y su octava , según el breviario y misal romano , por D. Joseph Chueca y Mezquita, Doctor en derechos del gremio y claustro de la unipiersidad de Zaragoza, $e hallará á 14 rs, en pasta en la librería de Castillo, frente á las gradas, en la de la viuda de Cerro,</t>
  </si>
  <si>
    <t>Cíarck, Henrique</t>
  </si>
  <si>
    <t>Henrique Cíarck</t>
  </si>
  <si>
    <t>d. Se ha publicado el extracto de una carta de Mr. Magra, Cónsul de Inglaterra en Malta, dirigida á Mr. Henrique Cíarck, Encargado de Negocios -de Ja misma nación en Túnez , con fecha de 6 de Enero; la qual en suma dice así: „ En qaanto á la vaccina, que ef Bey de Túnez desea introducir en sus esta</t>
  </si>
  <si>
    <t>Cicilia, Manuel</t>
  </si>
  <si>
    <t>Manuel Cicilia</t>
  </si>
  <si>
    <t>.......... aoo. 8». Manuel Cicilia..... Manuel...i...... María Gregoría... Villarroya.... Calatayud...... 40g. &lt;S» Domingo Fernan­ Val de S. Lc</t>
  </si>
  <si>
    <t>Ciríaco, Miguel</t>
  </si>
  <si>
    <t>Miguel Ciríaco</t>
  </si>
  <si>
    <t>55. 2. Miguel Ciríaco.... Miguel Ignacio............ María Marinalna. Donamaría.... Pamplona.......... 21. 6. Joseph Piedra.....* joseph........... Madalena N....... . Batea...........</t>
  </si>
  <si>
    <t>Cirilo Dosisto</t>
  </si>
  <si>
    <t>3- Cirilo Dosisto..... Leonardo...... Clara de Traba... Vigo............ Finisterra....... 93* 3* Joseph Seco........ Francisco..... . Ántonia.de'Rarro. Vilacire.........Villalba..</t>
  </si>
  <si>
    <t>Cirilo Joseph María</t>
  </si>
  <si>
    <t>a y Burgos á D. Joseph María Román, D. Joseph de Lago y RoblesKD. Joseph Guardado Miguens y Diúz, y D. Cirilo Joseph María deí Canto. . El Rey se ha servido conferir la Capellán! &gt; del sexto batallón del Real cuerpo de Artillería al presbítero D. Manuel Flores, y Muñoz. . El Rey se ha servido nombrar Cir</t>
  </si>
  <si>
    <t>Cirios Lanzarote</t>
  </si>
  <si>
    <t>iento de caballería del Príncipe se ha servido el Rey promover á segundos Tenientes á los Alféreces D. Cirios Lanzarote, Don Ildefonso Quintana y D. Francisco Oviedo; á Alféreces á los Portaestandartes D. Joseph Lináres y D. León de León, y á Portaestandartes al Sargento D. Valeriano García, y á lo</t>
  </si>
  <si>
    <t>Cirios Tresegny</t>
  </si>
  <si>
    <t>, que este dexa, al supernumerario D. Joseph Ferriol; y para el de Cadete supernumerario al Guardia D. Cirios Tresegny. S. M. ha concedido grado de Teniente Coronel de infantería al Capitán D. .fxiid res Guardabrazo, Sargento mayor de la plaza de Barcelona: y ha promovido en el regimiento de infan</t>
  </si>
  <si>
    <t>Cirios, Archiduque</t>
  </si>
  <si>
    <t>Archiduque Cirios</t>
  </si>
  <si>
    <t>ioneros___En la acción que hubo el 18 á orillas del Traun, entre Wolbruck y Schwansladt, mandaba el Archiduque Cirios á los austriacos.</t>
  </si>
  <si>
    <t>de-Alemania publicaron que Mr. de Traitor, Coronel de Ingenieros austríaco, estaba encargado por el Archiduque Cirios de ir á Philipsburgo pira restablecer las fortificaciones de aquella plaza. Esto es incierto: pues el tr t.¿do de Luneville se opone formalmente á ello. El encargo de Mr. Traitor se</t>
  </si>
  <si>
    <t>presentar á la deliberación de la Dieta la proposición de S. M. Sueca sobre erigir un monumento^al Archiduque Cirios, y ha pedido á los demás Ministros celebren una conferencia particular para resolver sobre el asuntos ’ &gt; Munich 12 de Octubre, H a adoptado el Elector varias providencias pira ex</t>
  </si>
  <si>
    <t>stinos; . - ■ ■ •, u- • Vierta 11 de Noviembre. E n celebridad de los dias del Rey de Ñapóles y del Archiduque Cirios dio el Gran Duque de Toscana el 4 de este mes una grato comida á que asistiéron SS. MM. 11. El mismo dia el Embarcador francés Champagni hizo su primer visitp í los Archiduques -h</t>
  </si>
  <si>
    <t>Cirios, Príncipe</t>
  </si>
  <si>
    <t>Príncipe Cirios</t>
  </si>
  <si>
    <t>cscriíoque acababa de dar fin á la.ca'mpána :y a la guerra mediante un aimifticio concluido conr el Príncipe Cirios , el qual pone ipor mñcho tH’mpo á la ¿asá de Austria en la imposibilidad de volver á tomar.las arjfnas, Quando el 22- dé Diciembre despachó el Archiduque al Conde de Mee*fcld des</t>
  </si>
  <si>
    <t>s de Si M.” ' it El quartei general del armamento húngaro está en Laxémburgo, y el de! exército del Príncipe Cirios1 ¿n Schonbrüim r que soh dos palacios y ca-sa&amp; de campó. del Emperador. El Archiduque Carlos», que se halla aquí cén el Archiduque Juan, conferencia y trabaja mucho con ei Feid-Ma</t>
  </si>
  <si>
    <t>enado para Petersburgo; y se asegura, que un diputado de Lubeck irá quanto antes k París. Entre, el Príncipe Cirios de. Hesse, comandante de las tropas dinamarquesas, y Mr. Crawfort, Ministro., inglesase ajustó el dia 7 un nuevo convenio á presencia del Ministro de Prusia. Contiene ios 'artículos</t>
  </si>
  <si>
    <t>ciud Abbema</t>
  </si>
  <si>
    <t>pleo se reunirá con el de Agente ó Ministro de rentas, que se ha conr ferido ai ciud. Abbema, en lugar del ciud. Gagel, que lo servia. » \ Berna 3 de Octubre. 1 A caba el ciud. Vérninac de presentar al Consejo executivo sus credenciales como Ministro d</t>
  </si>
  <si>
    <t>ciud Aléxándrb</t>
  </si>
  <si>
    <t>Ministro plenipotenciario de da Répúblici francesa en el congreso de AmieOs; al ciud. Aléxándrb¿ LárOchefoucaült para Ministro plenrfbtéhciaric^cerca ^de S: A. Sv ¿I Elector de SjxonKi, y al ciud. Dumoutietf páfá^ccrétário^dé^ii'légácion.^ n , El Ministro</t>
  </si>
  <si>
    <t>ciud Alexandre</t>
  </si>
  <si>
    <t>sociedad de agricultura establecida aquí tuvo el día 19 una junta, eñ la que el ciud. Alexandre, profesor de farmacia, dio cuenta de los éxpeTÍmentos que ha hecho con la planta llamada pistacho terrestre, ó arachide , y en España cacahuete, que es el Arac</t>
  </si>
  <si>
    <t>ciud Alquier</t>
  </si>
  <si>
    <t>uecas. El mismo dia llegó de Madrid á París con dos secretarios de Erub xada eí ciud. Alquier , Embaxador que fué de Francia cerca de S. Católica.</t>
  </si>
  <si>
    <t>sistiéron á la bendición pontifical, como asimismo la Archiduquesa Mariana y el ciud. Alquier, Ministro de Francia, que ha pasado* por aquí ara ir á Ñapóles. También ha venido de Florencia el caballero Micheroux, S linistro plenipotenciario de S. M. Sic</t>
  </si>
  <si>
    <t>o salió de aquí para Inglaterra¿el año de 1795. &lt; i * Ñapóles 8 de Maya. -. E 1 ciud. Alquier, Ministro de la República francesa, atendiendo á su seguridad, tiene una guardia de 100 hombres en la casa que habita. Se ha creído precisa esta precaución por</t>
  </si>
  <si>
    <t>68'9 Ñapóles 27 de Mayó. E I ciud. Alquier, Embaxador de Francia, ha sido presentado al Príncipe heredero. Prosiguen los ingleses cruzando á vista de este puerto. Habiendo ido S. M. Siciliana hace algun</t>
  </si>
  <si>
    <t>l bayle general, que duró hasta las j de la mañana. Extracto, del Monitor. „ El ciud. Alquier, Ministro de Francia en Ñapóles, escribe desde aquella ciudad que por hallarse el Rey en Palermo fué presentado al Príncipe Real : que la quietud se restablece</t>
  </si>
  <si>
    <t>ciud AlquLr</t>
  </si>
  <si>
    <t>Temí, y allí tenia el Genera! Mur,t su quartel. El armisticio ha concluido. El ciud. AlquLr, Plenipotenciario del gobierno francés, llego al qnartel general,.) ha tenido varias conferencias con el caballero Mícheroux. La paz se tubra firmado el 29 ó e</t>
  </si>
  <si>
    <t>ciud Alyon</t>
  </si>
  <si>
    <t>za del xt¡go gástrico, el mecanismo de la digestión, tisis pulmonar &amp;c., por el ciud. Alyon , oficial de sanidad del hospital de Valde-Gracía: un tomo en 8.°,á 1» rs. en rústica, y 14 en pasta. = Ensayo sobre las propiedades medicinales del oxígeno ,</t>
  </si>
  <si>
    <t>ciud Apostool</t>
  </si>
  <si>
    <t>a destino á las Indias occidentales. ' Ha despachado este gobierno á Londres el ciud. Apostool, emplead® en la secretaría de Relaciones exteriores ó de Estado, que entre otras comisiones lleva la de renovar los antiguos enlances mercantiles entre las dos</t>
  </si>
  <si>
    <t>iones holandesas que han de ir á las Indias: ni ha vuelto todavía de Londres el ciud. Apostool. » Berna 27 de Noviembre. I .1 Poder executivo ha suspendido sus funciones, y así lo ha comunicado á todas las autoridades y empleados públicos. Para Secretari</t>
  </si>
  <si>
    <t>ciud Augusto Brousso</t>
  </si>
  <si>
    <t>cción á la Ichtyologia oriental de España .‘ fascículo II de las plantas que el ciud. Augusto Brousso— net colectó en Africa y Canárias : suplemento al género Buena. Se hallará en el despacho de la imprenta Real. Real cédula de S, M. y Sres. del Consejo , por l</t>
  </si>
  <si>
    <t>ciud Bacher</t>
  </si>
  <si>
    <t>de intento, y se paso en camino para aquella capital. Francfort 27 de Mayo. E 1 ciud. Bacher, Encargado de Negocios de la República francesa en la Dieta germánica, ha llegado á Ratisbona, y ha sido muy bien recibido por los demas Ministros. Expresan la</t>
  </si>
  <si>
    <t>e las indemnizaciones, a fin de presentarlo tod© á S. M. I. en un conclusum. El ciud. Bacher, Ministro de Francia, ha declarado que solamente corresponde al Imperio conceder al Gran Duque de Toscana las indemnizaciones que le corresponden, y que en ell</t>
  </si>
  <si>
    <t>an que Porto-Ferrayo se ha entregado á los franceses. Ratisbona 27 de Junio. Ll ciud. Bacher, Encargado de Negocios de la República frpncesa en la Dieta del Imperio, entregó ántes de ayer el siguiente oficio al Ministró directorial de Maguncia. , 1 Ext</t>
  </si>
  <si>
    <t>se debe dar resarcimientos en virtud del tratado de Luneviíle. Este oficio del ciud. Bacher, como también, el otro que presento contra el enganche que hacen los ingleses en Alemania, se comunicarán á todas las cortes y ciudades del Cuerpo germánico, F</t>
  </si>
  <si>
    <t>rdo salió de aquí el Conde do Gortz: díeese que va á Anspach. Se asegura que el ciud. Bacher, Ministro de Francia eii Ratisbona, asiV tirá á la diputación del Imperio en nombre dé la República* í. ■ Francfort 11 de Octubre. P asan de 12® las licencias</t>
  </si>
  <si>
    <t>ciud Bacher-----París</t>
  </si>
  <si>
    <t>xtracto de una carta del Ministro de Relaciones exteriores de la Re* pública al ciud. Bacher-----París 26de Mesidor (ó 15 de Julio). Fecurri-, reis a la Dicta, y os quejareis de que los ingleses reclut n por todas parres en el Imperio, lo qual es evidentemente c</t>
  </si>
  <si>
    <t>ciud Balzac</t>
  </si>
  <si>
    <t>lí mismo: la musica es del ciud. Rigel, individuo del instituto, y la letra dei ciud. Balzac, de la junta de artes. Hay también dos salas para conciertos y bayle. El ciud. Geoiíroy, individuo del mismo instituto, tiene en su poder 3 momias humanas muy</t>
  </si>
  <si>
    <t>ciud Baohqr</t>
  </si>
  <si>
    <t>ha salido de aquella ciudad, y se ha repartido por las aldeas. El oficio que el ciud. Baohqr, Ministro de la República de Francia en Ratisbona, comunicó á varios .Enviados del Imperio en la Dieta, pidiendo que se acelerase el arreglo de los resarcimien</t>
  </si>
  <si>
    <t>ciud Barbé-Marbois</t>
  </si>
  <si>
    <t>aquellas tropas viene en 40 transportes convoyados por 5 buques de guerra. , El ciud. Barbé-Marbois, Consecro de* Estado y Director general* de ía» tesorería de Francia, ha sido nombrado Ministro de la misma tesorería ; y son ahora 8 los Ministros de Estado.</t>
  </si>
  <si>
    <t>ciud Barthez</t>
  </si>
  <si>
    <t>Cónsules conferir el título de médicos de gobierno con 12® francos de sueldo al ciud. Barthez', profesor de medicina en Montpeller, y al ciud. Corvisard, profesor de medicina en París, imponiéndoles la obligación de instruir al gobierno de todos y quales</t>
  </si>
  <si>
    <t>pa. Llego luego el Prefecto con los empleados del gobierno y la plana mayor. Él ciud. Barthez, canciller que fué de la extinguida universidad, pronunció un discurso en que instruyó á los discípulos de aquella escuela sobre los grandes servicios que el p</t>
  </si>
  <si>
    <t>ciud Begoz</t>
  </si>
  <si>
    <t>parciales del antiguo gobierno y los del nuevo. Todos los Ministros, excepto el ciud. Begoz, que lo es de Relaciones exteriores, han hecho dexacion de sus empleos, como también la mayor parte de los que servían en sus respectivas secretarías. Liorna 2</t>
  </si>
  <si>
    <t>ciud BellevHíe</t>
  </si>
  <si>
    <t>mpleo, y se le ha conferido otro.** El General de división Watrin ha escrito al ciud. BellevHíe, Cónsul de Frr,neis en Etruría, la siguiente carta: „Quartelgeneral de Longone 75 de Setiembre. La esquadra del Almirante Warren, compuesta de 7 navios de line</t>
  </si>
  <si>
    <t>ciud Belloni</t>
  </si>
  <si>
    <t>ción del célebre Tardieu; y otros á las obras de mosayco, siendo su, maestro el ciud. Belloni, romano, el qual tiene y,a 20 discípulos. Madrid iG de Junio. E I sábado de Ja semana anterior se vistió la corte de gala en el Real sitie: de Aranjqez con mot</t>
  </si>
  <si>
    <t>ciud Boccardi</t>
  </si>
  <si>
    <t>e 500 hombres de guarnición. ;v ....Gériúva iS de Enero. ■ au sido depuestos el ciud. Boccardi*, 3&amp;iaistfo*4s Relaciones exteriores,</t>
  </si>
  <si>
    <t>ciud Boisserotes</t>
  </si>
  <si>
    <t>l 4 de Febrero. El Teniente de navio Barret, comandante de esta embarcación, el ciud. Boisserotes, agregado á la plana mayor, y yo, traemos los pliegos del General Menou, y los dirigimos al Prefecto de Tolon para que los envie á París. Con anuencia del Gene</t>
  </si>
  <si>
    <t>ciud Bordeaux</t>
  </si>
  <si>
    <t>Conde de Haugwitz, Ministro de gabin te; y en breve será presentado á S. M. El ciud. Bordeaux, que residía aquí haciertdo veces de Encargado de Negocios de Holanda,está nombrado primer secretario de la nueva legación con título de Consejero. El Príncipe</t>
  </si>
  <si>
    <t>ciud Bourgoing</t>
  </si>
  <si>
    <t>Marta. * " E 1 Barón de Oxensticrn, Ministro de S. M. Sueca en esta corte, y el ciud. Bourgoing, Enviado de Francia, han salido de aquí para Elseneur á esperar al Príncipe Real de Dinamarca, que .sé ha transferido á aquella ciudad, de la qual pasará á Hel</t>
  </si>
  <si>
    <t>se avistó un convoy ingles de 32 velas, escoltado por dos navios de guerra. El ciud. Bourgoing, Ministro de la República francesa en esta corte , y los ciudadanos Mechain, Delaplace y Delambre, del instituto nacional de Francia, han sido nombrados socios</t>
  </si>
  <si>
    <t>Estado. El dia ¿6 concurrió el General MacdonaJd con sus 5 Ayudantes á casa del ciud. Bourgoing, en la qual se hallaban los individuos del cuerpo diplomático, incluso el Ernbaxador de Rusia. j\J o tardará el Conde Felipe de Cobentze! en ir á servir la etn</t>
  </si>
  <si>
    <t>ciud Bóurgoing</t>
  </si>
  <si>
    <t>perteneciente al Barón de Tnlh- De allí pasaránMAL &gt;á rH«ls»iqgbarg Milmoj ; El ciud. Bóurgoing, nuévo ’Embaxador dé* Francia , llegó.'él fdiá 12^*4 esta capital, á la qual habían ya llegado con dos dias de anticipación &gt;su$ Secretarios Fcnelon y Caiiiard</t>
  </si>
  <si>
    <t>entre tanto queda Mr. Alopaus por Encargado de Negocios. - -:í. 7 '\ ' V.^ . El ciud. Bourgoing, Ministro de la República francesa , ha presentado sus credenciales a Mr. de Erenheim, Presidente de la Charicijflería de Estado. " Mr. de Ehrensward, recien n</t>
  </si>
  <si>
    <t>nde de Lodron, Ministro de Austria, ha obsequiado con una fiesta muy lucida.—El ciud. Bourgoing, Ministro de Francia, dará en breve otra gran fiesta para celebrar el ajuste de los preliminares de la paz marítima. Ha muerto Mr. de Rosenstein, Almirante en</t>
  </si>
  <si>
    <t>ciud Bouvard</t>
  </si>
  <si>
    <t>que descubre el ciud. Messier, el duodécimo del ciud. Mechain, y el quarto del ciud. Bouvard. El 18 por la noche se vio cerca de la estrella Lambda en el pie de la Osa mayor, habiendo caminado 4 grados cada dia, y aumentádose algo su luz. Como se dirig</t>
  </si>
  <si>
    <t>ciud Bremontier ha conseguido hacer un plantío de pinos</t>
  </si>
  <si>
    <t>o, cuyas cenizas llegaron hasta Constantinopla y cubrieron toda la Europa. x El ciud. Bremontier ha conseguido hacer un plantío de pinos, de 1200 jornales dé tierra, en .laá dunas ó arenales de Burdeos. El gobierno ha formado una junta presidida por el misino .ciudadano, y encargada de ade-í Unt</t>
  </si>
  <si>
    <t>ciud Brugnatelli</t>
  </si>
  <si>
    <t>n de los medicamentos en el cuerpo humano y en otras clases de animales; por el ciud. Brugnatelli, al que acompaña otra del ciad. Fourcroy sobre Jos contravenenos , y en particular contra los acres y corrosivos : un tomo en 8.°, á 3 rs. en rústica. Obras tr</t>
  </si>
  <si>
    <t>ciud Bruix á Petersburgo</t>
  </si>
  <si>
    <t>os sentimientos favorables del nuevo-Soberano de Rusia. Antes de la llegada del ciud. Bruix á Petersburgo. había el Emperador nombrado, al sugeto que ha de venir á residir, aquí en. calidad de su, Ministro., L, Roma § de Ahñlh ; ■ as tropas francesas, siguen marcha</t>
  </si>
  <si>
    <t>ciud Brurmann</t>
  </si>
  <si>
    <t>de Petersburgo á Francia, se presentó también al Rey y á la familia Real con el ciud. Brurmann, que le acompaña en su viage. Copenhague 2 de Octubre. P or nueva orden de 30 de Setiembre anula S* M. en todos sus estados’lá prohibición de destilar aguardie</t>
  </si>
  <si>
    <t>ciud Cacauít llegó aquí el dia</t>
  </si>
  <si>
    <t>e, las personas mas acaudaladas se hallarían expuestas á carecer de víveres. El ciud. Cacauít llegó aquí el dia 9 en calidad de Ministro de la República francesa cerca de S. S. ; y ántes de ayer tuvo audiencia privada, acompañándole el General Villeneuve y otros 3 Genera</t>
  </si>
  <si>
    <t>ciud Cacault</t>
  </si>
  <si>
    <t>9 de la manana llegó un secretario del primer Cónsul, que se ap-.:ó en casa del ciud. Cacault, Ministro de aquella República. Hablase mucho del consistorio que S. S. celebró el dia 27 : duró horas, y se dice que en él se versó un asunto de la mayor impo</t>
  </si>
  <si>
    <t>or el Estado eclesiástico para ir al Reyno de Ñipóles. Hállanse también aquí el ciud Cacault, Ministro de Francia cerca de S. S., y el General de brigada Poulet.__ Dicho Ministro fué con la esposa del General Murat á ver á Venecia, en donde estuvo dos</t>
  </si>
  <si>
    <t>ntes de la antigüedad. ' Roma 7 de Julio. f Lspérase en breve de vuelta aquí al ciud. Cacault, Embaxador de Francia. Entre tanto su secretario de embancada conferencia fr&lt; qüentemente con el Emo. Doria, que sirve 1a secretaría de Estado hasta que vuelva</t>
  </si>
  <si>
    <t>: ; "iiRoma 8 de Agosto. _ . . £ iíEmo. GonsalVi Ea vuelto' aquí de París\ y el ciud. Cacault, Ministro</t>
  </si>
  <si>
    <t>ciud Caigné</t>
  </si>
  <si>
    <t>de 110 cañones, otros cinco de 74, y 3 corbetas también otomanas. En poder del,ciud. Caigné, escribano, calle del A*Pa&gt; núm. 237, se ha &lt;Jeposrtado una suma de 600 francos, que,ha de entregarse al astrónomo nacional ó extrangero que de aquí á fines de</t>
  </si>
  <si>
    <t>ciud Caiilard</t>
  </si>
  <si>
    <t>ificación, la qual se cangeó el dia siguiente en la forma acostumbrada entre el ciud. Caiilard, Plenipotenciario de la República ,* y Mr. de Cetto, Plenipotenciario de S. A. S. Electoral. Ha salido de París el Conde Cobentzel, que fué Plenipotenciario de</t>
  </si>
  <si>
    <t>ciud Caillard</t>
  </si>
  <si>
    <t>es del Emperador. Francfort 8 de Setiembre. A ntes de ayer transitó por aquí el ciud. Caillard &gt; que va á Ratisbona con un encargo del gobierno francés.__ Parece qüe el asunto de los resarcimientos se ha arreglado definitivamente entre Francia» Prusia y</t>
  </si>
  <si>
    <t>ciud Caillard y Mr</t>
  </si>
  <si>
    <t>rande, valeroso y terrible en. los combates, dulce y humanó en la victoria/’ El ciud. Caillard y Mr. .Cetto, Plenipotenciarios de la República fran* cesa y del Elector de Baviera, firmáron el dia 23 del corriente en París un tratado de paz entre los dos Estad</t>
  </si>
  <si>
    <t>ciud Carlos Juan María Alquier</t>
  </si>
  <si>
    <t>ber, el primer Cónsul de la República francesa en nombre del pueblo francés, al ciud. Cárlos Juan María Alquier; y S. M. Siciliana al Señor Antonio de Micheroux, caballero de varias órdenes, y Coronel al servicio de S. M. : los quales, después de cangear sus plenipotenci</t>
  </si>
  <si>
    <t>ciud Carlos Mauricio Talleyrand</t>
  </si>
  <si>
    <t>aber: el primer Cónsul de la República francesa en nombre del pueblo francés al ciud. Carlos Mauricio Talleyrand, Ministro de Relaciones exteriores; y S. M. el Emperador de todas las Rusias al Sr. Arcadio Conde de MarcofF, su Consejero prir vado actual, caballero de la or</t>
  </si>
  <si>
    <t>ciud Carlos Mauricio-Talléyrarid</t>
  </si>
  <si>
    <t>er; el primer Cónsul dé lá Republicá' f^añcésa éñ ñóinbfe dél pueblo francés al ciud. Cárlos Mauricio-Talléyrarid, Ministró de Relaciones -esté* riores; y la Sublime Puerta á Esseyd-Aly-Effendi, que fué íu BíTseh-Muhassebe y Embaxador *. los quales después de cangear sus p</t>
  </si>
  <si>
    <t>ciud Caulincourt</t>
  </si>
  <si>
    <t>y a los discípulos premiados. De Luñevilie ha salido por orden del gobierno el ciud. Caulincourt, comandante del regimiento de carabineros, y Je acompañan los oficiales del mismo cuerpo Diettmaa -y Lameth. Créese que va á Constantinopla en calidad de Minis</t>
  </si>
  <si>
    <t>en palacio. No se sabe si va á Viena ó á Constantinopla. Aunque se dixo que el ciud. Caulincourt, xefe de brigada de carabineros, estaba nombrado Embaxador de Francia cerca del Sultán, ahora se asegura que va á Petersburgo con la ratificación del gobierno</t>
  </si>
  <si>
    <t>ciud Champagni</t>
  </si>
  <si>
    <t>na'breve se espera aquí al Conde Luis de Cqbehtzel, que vuelve de - París. V ai ciud. Champagni, Ministro de Fraílela. El comandante de Semlin avisa que Baswan-Oglow no ha tenido parte en la insurrección de los genízaros de Betoadoi que estos declaran que</t>
  </si>
  <si>
    <t>cobrar su gobierno. Viena 21 de Setiembre. A, .otes de ayer noche llegó aquí el ciud. Champagni, Embaxador de la República fr ncesa. A mas de 40© hombres asciende el número de soldados á quienes en lo restante de este año se dará licencia; y añadiendo á e</t>
  </si>
  <si>
    <t>ciud Champagny</t>
  </si>
  <si>
    <t>8ó3 Parts 27 de Julio. E 1 ciud. Champagny, Consejero de Estado, está nombrado Embaxador de Francia en la corte de Viena. Lleva por primer secretario de embajada al Xefe de brigada Lacuée, por segundo a</t>
  </si>
  <si>
    <t>bién en calidad de Presidente al Conde de Pergen, que ha obtenido su retiro. El ciud. Champagny, Ministro de Francia, ha recibido y publicado la noticia de la paz marítima, la qual asegura, sin duda por muchos años, el sosiego de Europa, y se ha sabido aq</t>
  </si>
  <si>
    <t>ciud Clement otra carta al Ministro de Guerra</t>
  </si>
  <si>
    <t>de los puertos. Parts 4 de Junio. D esde el lazareto de Marsella ha dirigido él ciud. Clement otra carta al Ministro de Guerra, escrita el 24 de Mayo. Dice así: „Las voces que se han esparcido en todo el Mediterráneo de que el exército ingles ha sido derrotado 20 dias después de la bat</t>
  </si>
  <si>
    <t>ciud Cliampagni su audiencia del Emperador co-i mo Emb axador</t>
  </si>
  <si>
    <t>que asistieron todos-ios Príncipes de la familia imperial. Aun no ha tenido el ciud. Cliampagni su audiencia del Emperador co-i mo Emb axador de Francia ,1o qual se atribuye á que no están dispuestos sus equipages. ' ‘... ’ Varían mucho las noticias de Semlin en orden á los sucesos de Belgrado. Las que</t>
  </si>
  <si>
    <t>ciud Clodion</t>
  </si>
  <si>
    <t>irió i íoseph Carlos Marín, natural de Paris, de edad de 37 años, discípulo Vid ciud. Clodion; y el otro á Domingo Amado Milhomme, de Vakneienes, de 39 años, discípulo del difunto Alíograin: el segundo pr-.mio lo obtuvo D. Joseph Alvtrez, natural de Cór</t>
  </si>
  <si>
    <t>ciud Coenon</t>
  </si>
  <si>
    <t>En la esquadra que se está disponiendo para Sto. Domingo irá á aquella isla el ciud. Coenon, director del instituto nacional de las colonias, y lleva consigo los dos hijos de Santos Louverture, que se educaron en el instituto de París. Eí General Dugu</t>
  </si>
  <si>
    <t>ciud Cologne</t>
  </si>
  <si>
    <t>nchas y barcos mettórés pasasen á Abukir, en donde una de ellas, mandada por el ciud. Cologne, tomó á bordo algunos granaderos, y fué á colocarse entre ei navio náufrago y las fragatas enemigas, para impedir que salvasen la tripulación; y otros dos barc</t>
  </si>
  <si>
    <t>ciud Cometti en el empleo de Encargado de Negocios</t>
  </si>
  <si>
    <t>s helvéticos se hará también alguna reforma. El ciud. Venturi, que reemplaza al ciud. Cometti en el empleo de Encargado de Negocios de la República cisalpina cerca de este gobierno, ha llegado aquí. Su antecesor está nombrado para residir con igual carácter en Genova. Acaba de publicarse por el S</t>
  </si>
  <si>
    <t>Ciud Cónsul</t>
  </si>
  <si>
    <t>bukír luri escrito en nombre de toda ella al primer Cónsul la siguiente c*rta: „Ciud. Cónsul. Unos militares valerosos, que han servido</t>
  </si>
  <si>
    <t>ciud Cónsul</t>
  </si>
  <si>
    <t>se; verían en un solo momento confundidos con los cobardes y los traidores? No, ciud. Cónsul: no habéis creído tal cosa. Nuestros mismos oficiales, si hubiesen movido la qiiestion de entregarse quando aun podíamos defendernos, nos hubieran,hallado por</t>
  </si>
  <si>
    <t>ciud Conté</t>
  </si>
  <si>
    <t>. . m , , J„ ci«; v el ciud. Conté, cuyos conocimientos y mado algm.os^ut os d *¡J coionb .fabrica paños de excelente actividad h~n , ,uVtíEn todas las obras que están a cargo del calidad para o</t>
  </si>
  <si>
    <t>ciud Corvisard</t>
  </si>
  <si>
    <t>® francos de sueldo al ciud. Barthez', profesor de medicina en Montpeller, y al ciud. Corvisard, profesor de medicina en París, imponiéndoles la obligación de instruir al gobierno de todos y qualesquier casos en que la salud pública peligre, y se halle am</t>
  </si>
  <si>
    <t>ciud Corvisart</t>
  </si>
  <si>
    <t>mpo que el primer Cónsul padecía un reumatismo que le empezó en el exército. El ciud. Corvisart, su médico, juzgó que esta era Ja estación favorable para ver de curarle. Le echó sucesivamente vexigatorios en el pecho y en el brazo; y este remedio, cuyos e</t>
  </si>
  <si>
    <t>ciud Costaz</t>
  </si>
  <si>
    <t>v En el avisc( S. Felipe recien llegado de Alexandría á Frejus han venido, los. ciud. Costaz -y. Descotils, individuos del instituto de Egipto. Por la carta que el primero ha escrito á Bonaparte, y por los pliegos del General Menou corista el buen esta</t>
  </si>
  <si>
    <t>quellas tierras sin ir expuestos á que Ies acometan los habitantes del país. El ciud. Costaz, individuo del instituto de Egipto, al llegar de Alexandría al golfo de Frejus , escribió al primer Cónsul una dilatada carta dándole cuenta del estado en que</t>
  </si>
  <si>
    <t>ciud Courte</t>
  </si>
  <si>
    <t>jo de gobierno, están nombrados Consejeros de la administración general. 3.° Ej ciud. Courte , Inspector superior de la guerra, Chiabrera, Inspector de rentasí Geymet, Inspector superior de policía, y Gandoífc, Regente de lo interior, continuaran exerc</t>
  </si>
  <si>
    <t>ciud Creuzé</t>
  </si>
  <si>
    <t>á S., A. R. el Infante Duque, y el 30 á la Duquesa de Párma: le acompañaban los ciud. Creuzé, Secretario de legación, y Saint-Merí, hijo ^ Secretario íntimo. Milán j$ de AbriL Dícese que el General Bruñe volverá de París aquí con el ciud. Melzi, que vi</t>
  </si>
  <si>
    <t>ciud Daniel se manifiestan al público algunos racimos de uvas</t>
  </si>
  <si>
    <t>age son tan extraordinarias que podrían formar parte de una novela. En casa del ciud. Daniel se manifiestan al público algunos racimos de uvas de extraordinario tamaño: dos de ellos tienen pie y medio de largo, dos pies de grueso, y cada uno pesa 5 libras. Las cepas en que se han cogido se habían helado</t>
  </si>
  <si>
    <t>ciud Daure</t>
  </si>
  <si>
    <t>n su mesa. Hoy salió para Parma , adonde llegará mañana. París 30 de Julio. E 1 ciud. Daure, Inspector de revistas del exército de Oriente, llegó $ Liorna el 21 de este mes, y de allí ha escrito íá-siguiente carta al Ministro de Guerral ,,Salí de Alex</t>
  </si>
  <si>
    <t>ciud Daure en calidad de Comisario ordenador</t>
  </si>
  <si>
    <t>mayor del exército destinado para Sto. Domingo___ En la misma expedición irá el ciud. Daure en calidad de Comisario ordenador, y xefe del ramo político en aquella colonia. El Marques de Cornwallis ha dado una gran comida al ciud. Joseph Bonaparte, al Ministro de Relaciones exteriores,</t>
  </si>
  <si>
    <t>ciud Dcjoux</t>
  </si>
  <si>
    <t>ba, de 27 años de edad, pensión ¡do por S. M. el íiey de España., discípulo del ciud. Dcjoux, individuo del instituto nacional. Este cuerpo científico propone para asunto de un premio de gramática el elogio de César Dum msais; y para el de antigüedades</t>
  </si>
  <si>
    <t>ciud de Ancona</t>
  </si>
  <si>
    <t>arca de Ancona y en el Ducado de Urbino; y aun se espera que no ocupará sino la ciud de Ancona, limitándose su fuerza á 1500 hombres. La suma carestía que reyna en los estados pontificios obliga á esta disposición: pues á no ser la libertad del comercio</t>
  </si>
  <si>
    <t>ciud de Larochefoucault</t>
  </si>
  <si>
    <t>en ello obra de acuerdo eon el gobierno de Francia. Dresde 10 de Noviembre. E 1 ciud. de Larochefoucault, Ministro plenipotenciario de la República francesa en esta corte, dio ayer con motivo dé la paz una brillante fiesta, en la que hubo mas de 300 personas: á la</t>
  </si>
  <si>
    <t>ciud Debrun</t>
  </si>
  <si>
    <t>Turin por Nisa, particularmente desde el Var hasta los confines de Píamonte. El ciud. Debrun, profesor de historia natural en la escuela central del departamento del Otsa , ha hecho en el jardín botánico de Beauvais una experiencia sobre la fecundidad</t>
  </si>
  <si>
    <t>ciud Desgcnettes</t>
  </si>
  <si>
    <t>on refieren que el General Menou ha llegado á Francia___ Hállase ya en París el ciud. Desgcnettes, primer médico del exército de Egipto , el qual para que los soldados perdiesen todo miedo á la peste , tuvo el valor de inoculársela á sí mismo. Se ha publica</t>
  </si>
  <si>
    <t>ciud Desquinemare</t>
  </si>
  <si>
    <t>ncia. En el puerto de Dunkerque se ha repetido la experiencia de un invento del ciud. Desquinemare, para preparar el lienzo y hacerle impenetrable al ayre y al agua. En un saco de lienzo dispuesto según su método, se metió todo lo que compone ua vestido de m</t>
  </si>
  <si>
    <t>ciud Dolomieú</t>
  </si>
  <si>
    <t>póles ha cedido á la República francesa. El 27 de Marzo llego á está capital el ciud. Dolomieú, ex-Comendador de la orden de S. Juan , y célebre naturalista, que ha estado 22 meses encarcelado en Mesina. En su encierro ha compuesto una obra de mineralogí</t>
  </si>
  <si>
    <t>ciud Dubois</t>
  </si>
  <si>
    <t>barcos fran-&gt; ceses. . ; Extracto de una carta de Argel del.14 de Febrero. „El ciud. Dubois-¡ Thainviiie, Comisario general de relaciones mercantiles de Francia en esta\ Regencia, tuvo orden de su gobierno para trasladarse á un puerto de Es-r paña, rd</t>
  </si>
  <si>
    <t>ciud Dufourny para ir á Italia</t>
  </si>
  <si>
    <t>e ha restablecido enteramente la tranquilidad en aquella isla. Está nombrado el ciud. Dufourny para ir á Italia, y atender á la restitución de los objetos de bellas artes cogidos por los napolitanos en Roma; y lleva encargo de despacharlos á Francia con todo lo demas que</t>
  </si>
  <si>
    <t>ciud Dumoutietf páfá</t>
  </si>
  <si>
    <t>t para Ministro plenrfbtéhciaric^cerca ^de S: A. Sv ¿I Elector de SjxonKi, y al ciud. Dumoutietf páfá^ccrétário^dé^ii'légácion.^ n , El Ministro dé Marina'há'dado orden pará que se desarme la. esquádri11a ligera, lo.qual sé éxCcutáirá en el puerto de Dunquerke:</t>
  </si>
  <si>
    <t>ciud Duroc</t>
  </si>
  <si>
    <t>beriscos. Ha pasado por Riga un correo despachado de Petersburgo á Paris por el ciud. Duroc: lleva al gobierno de Francia un convenio concluido ' ntre la corte de Rusia y la República sobre el ajuste de algunos puntos qub faltaba que arreglar entre la</t>
  </si>
  <si>
    <t>cretarios de Embaxada, y ai vice-comisario de relaciones de comercio Gummer. El ciud. Duroc, que vuelve de Petersburgo á Francia, se presentó también al Rey y á la familia Real con el ciud. Brurmann, que le acompaña en su viage. Copenhague 2 de Octubr</t>
  </si>
  <si>
    <t>erán aquí 4 semanas. Copenhague ig de Octubre. A caba de llegar de Stockoimo el ciud. Duroc. Mr. Oxenstiern, Ministro de Suecia en esta corte, le ha entregado de parte del Rey su amo una carta y un presente traído por un correo extraordinario.</t>
  </si>
  <si>
    <t>destinos, los quales hasta ahora se. ignoran en el público. Ayer llegó aquí el ciud. Duroc, que viene de Petersburgo, Stockolmo, Copenhague y Berlín, y se restituye á Francia. Parece que han de formarse 203 batallones para nuestras colonias, y á. est</t>
  </si>
  <si>
    <t>ciud Duroc á iCjwa de Mr</t>
  </si>
  <si>
    <t>ibio solo en su gabinete-, y le hizo lam¿sfivor.able acogida. Despu¿&amp; ¿afjsó el ciud. Duroc á iCjwa de Mr.Panin 4 Opnsejerp ^vada^top^^jquál-.bji' tenido varías conferencias. Él dia aj , estando eí Emperador ea la parada, le presentó el mismo Burqp íps ^ñeiales^que</t>
  </si>
  <si>
    <t>ciud Durqc con</t>
  </si>
  <si>
    <t>, le llevó á un parage retirado, ycon£ejr^ició, mucho tiempo :con él.—Había. el ciud. Durqc con, los ipayores JeJpgiot de los cuerpos que ..componen la guardia dd ^mp^rador, y,de .^¡d^stretza^y exactitud en jas evoluciones. La presencia de Aiexandrp ,1, i</t>
  </si>
  <si>
    <t>ciud Duvivier acaba de grabar una medalla</t>
  </si>
  <si>
    <t>de Plombieres: las acompaña el ciud. Rapp, Edecán del primer Cónsul. ’ ■' •&gt; El ciud. Duvivier acaba de grabar una medalla de 18 líneas de diámetro á la memoria del inmortal Abate de l’Epéc. La stmcj nza del rostro con el original es tal, y los discípulos de este bienhechor del género</t>
  </si>
  <si>
    <t>ciud Eourier</t>
  </si>
  <si>
    <t>iente carta: „ Rog mdo á Dios por tu prosperidad te informamos, General, que el ciud. Eourier, comisario en el Divan^</t>
  </si>
  <si>
    <t>ciud Eymar</t>
  </si>
  <si>
    <t>, y Mr. Guillermo Dubenson, vocal de la Cámara de los Comunes de Inglaterra. El ciud. Eymar, Prefecto del departamento del Leman, ha hecho un</t>
  </si>
  <si>
    <t>ciud Federico Volloston</t>
  </si>
  <si>
    <t>para, comprobar el importe de dichos resarcimientos. Ginova 17 de Febrero* Jfcd ciud. Federico Volloston , Cónsul de Jos Estados-Unidos, ha recibido dfel Cónsul de ki misma nación residente en Trípoli el aviso de oficio dé ctie aquella Regencia ha declarado guerra</t>
  </si>
  <si>
    <t>ciud Fleuri</t>
  </si>
  <si>
    <t>ividad sus tareas, á fin de no retardar la partida de esta gente. La preside el ciud. Fleuri, Cónsul que ha sido de Francia en Valaquia. Stockolmo 14 de Setiembre. E n Carlscrona y Gothemburgo se arman varias fragatas y cuters destinados á reforzar la</t>
  </si>
  <si>
    <t>ciud Fontana</t>
  </si>
  <si>
    <t>y entró en la ciudad» Posteriormente se. ha publicado la siguiente relación del ciud. Fontana, xefe de la plana mayor de la mencionada división cisalpina: „ Conforme á las órdenes del General Miollis, comandaste en Toscana, la división del General Pino,</t>
  </si>
  <si>
    <t>ciud Fourcroy</t>
  </si>
  <si>
    <t>o de química en esta: corte, sobre el sistema de los conocimientos químicos del ciud. Fourcroy, en el que se hallan reflexiones muy importantes acerca de las principales operaciones quí-* micas: nuevas reflexiones sobre la tragedia del Duque de Viseo: no</t>
  </si>
  <si>
    <t>ciud Fourcroy sobre la naturaleza del xt</t>
  </si>
  <si>
    <t>na y Cirujano general de la Real artillería; traducida del ingles con notas del ciud. Fourcroy sobre la naturaleza del xt¡go gástrico, el mecanismo de la digestión, tisis pulmonar &amp;c., por el ciud. Alyon , oficial de sanidad del hospital de Valde-Gracía: un tomo en 8.°,á 1» rs. en</t>
  </si>
  <si>
    <t>ciud francés Duroc</t>
  </si>
  <si>
    <t>nor del tratado de Luneville no se comunicará á la Dieta germánica hasta que el ciud. francés Duroc (que se halla en Petersburgo, y debe presentarlo al Emperador de Rusia) haya participado al gobierno de Francia la adhesión de Alexandro i al mencionado plan.</t>
  </si>
  <si>
    <t>ciud francés Duroc llegó á</t>
  </si>
  <si>
    <t>que las tropas dinamarquesas se retiren de Hamburgo. Berlín 12 de Mayo. , , ll ciud. francés Duroc llegó á e$ta capital el dia 6 con los Capitanes Leclerc y Btürmarin. El dia 8 se traslado á Potsdam, y comió con SS. MM. A la mañana siguiente asistió á la revista parti</t>
  </si>
  <si>
    <t>ciud francés Dúroc tuvo tres conferen</t>
  </si>
  <si>
    <t>te y la Inglaterra^ &gt;c dáx’ií ara 4 . . ' \ • .• Escriben de Petersburgo que el ciud. francés Dúroc tuvo tres conferen*-# cia$ 99»; 6l imperador dé,Ruda en los quatro primeros dias de su llegada á aquella capital.. Fue también presentado al Gran Duque Constantino, con quien tuv</t>
  </si>
  <si>
    <t>ciud francés Lagrange</t>
  </si>
  <si>
    <t>mas que dos días en esta capital, y salió ya para su destino. Llegó aquí con el ciud. francés Lagrange, xete de batallón; y al día siguiente comió en casa del General Damas, que habla Convidado á los individuos de plana mayor de su exércitó, al Cardenal RulFo, a</t>
  </si>
  <si>
    <t>ciud Francisco Antonio Kirmjnne</t>
  </si>
  <si>
    <t>les que el primer Cónsul ha conferido últimamente, ha dado un sable^de honor al ciud. Francisco Antonio Kirmjnne , Capitán del regimiento núm. 20 de cazadores de á caballo, que sirvió en el exército del Rhin , y en la acción de Erbach, acaecida el 18 de Mayo del año próxi</t>
  </si>
  <si>
    <t>ciud Francisco Borda</t>
  </si>
  <si>
    <t>e algún tL mpo que esta, planta preciosa se cultiva $n el Reyno de Valencia. El ciud. Francisco Borda , de Dax, que ha residido muchos años en España, la dio á conocer en este país; y el ciud. Luciano Bonapárte , Embaxador de la República en Madrid, ha enviado</t>
  </si>
  <si>
    <t>ciud Francisco Manuel Foderé</t>
  </si>
  <si>
    <t>as, ó tratado de medicina legal y de higiene pública, escrito en francés por el ciud. Francisco Manuel Foderé, Médico del hospital de Caridad de la ciudad de Marsella , y traducido al castellano por D. J. D. R. I. C. tomo 3.0 Esta obra es' de la nnyor utilidad ¿ import</t>
  </si>
  <si>
    <t>ciud Fratnerí</t>
  </si>
  <si>
    <t>era; y en efecto de un pistoletazo le quitaron la vida en su misma lancha.__ El ciud. Fratnerí , Comisario de relaciones mercantiles de Francia en Christiansand, que recibió las declaraciones del Capitán Marión y de sus compañeros, avisa al Ministro que</t>
  </si>
  <si>
    <t>ciud Gagel</t>
  </si>
  <si>
    <t>gente ó Ministro de rentas, que se ha conr ferido ai ciud. Abbema, en lugar del ciud. Gagel, que lo servia. » \ Berna 3 de Octubre. 1 A caba el ciud. Vérninac de presentar al Consejo executivo sus credenciales como Ministro de la República francesa, e</t>
  </si>
  <si>
    <t>ciud Garios Denina</t>
  </si>
  <si>
    <t>í __J“-' |__ :itfa¥&gt;t-E-iíPatá* bílíBótecáríB^príiáéiíó d^lurhs^ nfom* brado,eI ciud. Garios Denina &gt; catedrático qiié ha sKtadeetoqüenciay létt* güa griega en está universidad y y posteriormente miembro de la-Real academia de ciencias de Berlín, é historiógr</t>
  </si>
  <si>
    <t>ciud Garnerin</t>
  </si>
  <si>
    <t>sonas de la misma casa. Se va á poner también en ella una fabrica de tabaco. El ciud. Garnerin , que ha hecho gran numero de viages en globos aerostáticos, está disponiendo otro, durante el qual hará varias experiencias en la atmósfera para averiguar la</t>
  </si>
  <si>
    <t>n la fiesta pública que5 hubo el mismo dia 14 emprendió un viage aerostático el ciud. Garnerin, y al dia siguiente escribió al Ministro de lo Interior diciéndole que en 3 horas había andado 15 leguas con las 3 personas que le acompañaban, siendo una de e</t>
  </si>
  <si>
    <t>ciud Gaudin</t>
  </si>
  <si>
    <t>mas de, esta contri- r bucion se cobran las siguientes , según la cuenta qué el ciud. Gaudin, Ministro de Hacienda, ha dado á los Cónsules,: el impuesto territorial pro-: ducirá 15 millones de francos: los derechos sobre líos Xeques-él-Bclea de: las 22</t>
  </si>
  <si>
    <t>ciud General</t>
  </si>
  <si>
    <t>del intrépido y virtuoso Desaix, muerto en los campos de Marengo , per-mitidme,;ciud. General, que como compañero que fui suyo en la conquista del Said , derrame también algunas flores sobre su tumba. En estos -momentos de’la mas profunda tristeza, care</t>
  </si>
  <si>
    <t>ciud Geoffroy</t>
  </si>
  <si>
    <t>ión de antigüedades y de curiosidades de historia natural que está formando el :ciud. Geoffroy. Madrid 24 de Abril. P ara el empleo de segundo Teniente de la Compañía Americana del Real cuerpo de Guardias de Corps, vacante por ascenso de D. Melchor Calat</t>
  </si>
  <si>
    <t>ciud Geoffroy una memoria intitulada</t>
  </si>
  <si>
    <t>rer-con su manutención. En 11.12a de las juntas del instituto de Egipto leyó el ciud. Geoffroy una memoria intitulada: ,,Consideraciones sobre la fibra muscular, mediante las quales se explican, sin recurrir á la suposición del finido nervioso, las causas mecánicas de ia parál</t>
  </si>
  <si>
    <t>ciud Geoiíroy</t>
  </si>
  <si>
    <t>Balzac, de la junta de artes. Hay también dos salas para conciertos y bayle. El ciud. Geoiíroy, individuo del mismo instituto, tiene en su poder 3 momias humanas muy bien conservadas, que se encontraron en las excavaciones de Sakkara, y son las primeras</t>
  </si>
  <si>
    <t>ciud Goídb</t>
  </si>
  <si>
    <t>n protestado contra los últimos acontecimientos políticos de esta República. Ei ciud. Goídb. rg , Agente de la industria nacional, ha hecho dexaeion de este de?tino; h^sta ahñra no se le ha nombrado sucesor, y parece que su empleo se reunirá con el de</t>
  </si>
  <si>
    <t>ciud GuilIermo Arnaldo</t>
  </si>
  <si>
    <t>nciado al publico el estableció* miento del .nuevo gobierno, dé. este; país» El ciud. GuilIermo Arnaldo do» BeyereU; es Eresidentei:de J&amp;cRegeoqisf ó/poderl éxecutivo de la República?; l¿.|aifft,duraute .el primer- trli$ie$tt$* .Dicha Regencia, que secompobe de &amp;£pe</t>
  </si>
  <si>
    <t>ciud Guiñes</t>
  </si>
  <si>
    <t>te de poniente de.Candía habían pasado 27 velas inglesas con rumbo á Europa. El ciud. Guiñes, hijo del sabio académico de este nombre, ha llegado á Copenhague, al cabo de 21 años que ha estado ausente de Europa. Desde 1784 era Agente de Francia eñ Cant</t>
  </si>
  <si>
    <t>ciud Hautpoul</t>
  </si>
  <si>
    <t>general de la fábrica de pólvora. Os remito todos los pliegos que me entregó el ciud. Hautpoul. El exército del Cayro, al mando dei General Belliard , consta de unos 12,200 hombres, inclusos 1© enfermos. No bastando para ellos el lazareto de Tolon, he es</t>
  </si>
  <si>
    <t>ciud Helsinger</t>
  </si>
  <si>
    <t>do de Mánster. ; Francfort i.° de Setiembre. stos Magistrados han comunicado al ciud. Helsinger, Residente de la República francesa, las medidas que han adoptado para que en adelante no se les pueda reconvenir de que favorecen directa ni indirectamente á</t>
  </si>
  <si>
    <t>ciud Henrique ViÜemet de Charieville</t>
  </si>
  <si>
    <t>bién salva. El dia 18 se tomó en la junta de sanidad de Marsella declaración al ciud. Henrique ViÜemet de Charieville, xefe de esquadron en ei regimiento</t>
  </si>
  <si>
    <t>ciud Herbelin</t>
  </si>
  <si>
    <t>n las aguas vivas: y de resultas tuvimos tres hombres muertos y dos heridos. El ciud. Herbelin, comandante de la Inflamada, me avisó que se iba á pique; le mandé que diese á la costa si no tenia otro remedio. En su cañonera hubo varios muertos. También p</t>
  </si>
  <si>
    <t>ciud Hersinger</t>
  </si>
  <si>
    <t>s; regulándose en 30$ hombres el aumento que va á hacerse en aquel exército. El ciud. Hersinger, Residente de Francia en esta ciudad, ha entregado recientemente sus credenciales al Burgomaestre Barón de Humbracht. El Senado le envió una diputación para cu</t>
  </si>
  <si>
    <t>ciud Hnltmann para Embaxador de Holanda en Berlín</t>
  </si>
  <si>
    <t>ya 1° de Abril. H a nombrado el Directorio execurivo á su Secretario general el ciud. Hnltmann para Embaxador de Holanda en Berlín. Va también encargado de arreglar el asunto de las indemnizaciones, que han de darse al Principe de Orange por la cesión de los bienes raíces que poseia en est</t>
  </si>
  <si>
    <t>ciud Huitín aun</t>
  </si>
  <si>
    <t>ero de naves británicas, cuyo objeto se ignora. Ya salió de aquí para Berlín el ciud. Huitín aun» que residirá en aquella corte como Ministro plenipotenciario de Holanda. Lleva consigo un secretario de embaxada. La ésquadra del Texel está pronta á salir pa</t>
  </si>
  <si>
    <t>ciud Hultman están casi paradas en el dia</t>
  </si>
  <si>
    <t>nia en Holanda. Lo cierto es que las. negociaciones entabladas en Berlín por el ciud. Hultman están casi paradas en el dia^ Rotterdam 20 de Agosto. L as lanchas cañoneras y demas buques destinados á la defensa del Mosa, de la isla^de; Gorea y de Helvoetsluys, se han colocado ya en</t>
  </si>
  <si>
    <t>ciud Hultman y los apoderados del Príncipe de Orange</t>
  </si>
  <si>
    <t>s de Berlín que no tardarán en concluirse las negociaciones entabladas entre el ciud. Hultman y los apoderados del Príncipe de Orange* el qual quedará competentemente indemnizado de la pérdida de ios bienes que le pertenecían en la República hátava; de suerte que todo se arreglará á satisfacc</t>
  </si>
  <si>
    <t>ciud Hultmann</t>
  </si>
  <si>
    <t>an todavía 30 votos; pero de estos hay 4 va-cantes. in Berlín 23 de Abril. JlLI ciud. Hultmann, Ministro plenipotenciario de la República bátavS, ilegó el día 20 á esta capital, acompañándole un oficial de húsares de su nación, y el segundo secretario de</t>
  </si>
  <si>
    <t>rd, Ministro ingles; y se noto que estaban sentados el uno al lado del otro. El ciud. Hultmann, que ha venido aquí por orden del Directorio de Holanda para arreglar las indemnizaciones que aquella República tiene que dar al Principe de Orange, halla, seg</t>
  </si>
  <si>
    <t>ciud id</t>
  </si>
  <si>
    <t>os que hay en él. Tomó Mr. Nelson tochs las precauciones para no maltratar á la ciud id, supuesto que su intención era únicamente destruir los preparativos militares del enemigo, hin embargo, padeció algo la ciudad, pues la iglesia y algunos otros</t>
  </si>
  <si>
    <t>ciud Jádefot</t>
  </si>
  <si>
    <t>publicará el resultado de su cu ración »’V - - ’ Desde el 'mes dé Setiembre el ciud. Jádefot, primer módico det hospicio llamado de Alumnos de la patria » ha inoculado con la vaccina 237 personas de ámbos sexos, y de varias edades» que no habían- padec</t>
  </si>
  <si>
    <t>ciud Jaquemain</t>
  </si>
  <si>
    <t>mismo delito de otros cuerpos que estaban en Turin; y se erigirá una estatua at ciud. Jaquemain , xefe de batallón y comandante de la ciudadela de Turin, que perdió la vida en el puente levadizo al defender la entrada de aquella fortaleza. S. A. S. el Ele</t>
  </si>
  <si>
    <t>ciud Jaujas</t>
  </si>
  <si>
    <t>bricados con upa ftprra o. harina fósil descubierta en rages de Francia, por el ciud. Jaujas » director' del museo de París. En. un barco viejp se construyo con dichos. ladrillos una cámara de bóveda ^ se jíer. no,dó pplyora, y sé cubrió con maf:&lt;er¡?f</t>
  </si>
  <si>
    <t>ciud Jborfaít</t>
  </si>
  <si>
    <t>289 El ciud. Jborfaít, Ministro de Marina, ha comunicado al primer Cónsul imareiacien del combate sostenido contra la fragata añglo-americana nombrada Boston, por una corbeta de Ja</t>
  </si>
  <si>
    <t>ciud Jos ph Bo na par te</t>
  </si>
  <si>
    <t>rns, al qual, según dicen, irá también como Ph nípottnri rio de la República el ciud. Jos ph Bo na par te: de suerte que firmará allí ia paz marítima, así como firmó la del continente en Lu»levnb-\ ^ ; El día 3 hubo consejo de gabinete en la secretaría del Eord Pla</t>
  </si>
  <si>
    <t>ciud Joseph Bo ñapar te</t>
  </si>
  <si>
    <t>de legación. El 9 comíérpn *en casa dsd Conde de Cobentz.el, y él io en la del ciud. Joseph Bo ñapar te.Lanoche de esté último día sigüiétón : su viáge* á Sbn ahora' mas fréqüentes y mas largas qué antes las conferencias entré los dos mencionados Plenipotenciario</t>
  </si>
  <si>
    <t>ciud Joseph Bonaparte</t>
  </si>
  <si>
    <t>; y el primer Cónsul de la República francesa, en nombre del pueblo francés, al ciud. Joseph Bonaparte, Consejero de Estado: los quales, después de cangear sus plenipotencias, han convenido en los siguientes artículos: i. Habrá en adelante y para siempre paz, am</t>
  </si>
  <si>
    <t>y una-mezcla de lenguas orientales.; 1 « ¡j Ha-:llegado de Lunsvílle á París el ciud. Joseph Bonaparte;y se dice . que también vendrá quanto antes el Conde de Coheatzel. . '</t>
  </si>
  <si>
    <t>olítico en aquella colonia. El Marques de Cornwallis ha dado una gran comida al ciud. Joseph Bonaparte, al Ministro de Relaciones exteriores, á varios Ministros extrangeros y Generales, como también al Ayudante general Duroc, que acaba de llegar de Rusia, y al x</t>
  </si>
  <si>
    <t>mbre. P arece que hoy saldrán de aquí para Amiens el Marques de Cornwallis y el ciud. Joseph Bonaparte, Plenipotenciarios de Inglaterra y Francia en el congreso de paz. Ha llegado á Nantes Mr. Liwingston, Ministro plenipotenciario de los Estados-Unidos. El Prefe</t>
  </si>
  <si>
    <t>ciud Kuhne</t>
  </si>
  <si>
    <t>luego al nombramiento de presidente y de los dos secretarios: el primero es el ciud. Kuhne, de Berna, y los segundos los ciudadanos Ustcri y Anderwerth. "in1 •' Nadales 2.8 eie Agóste. ; , — jE-sl 19 de este mes, día del cumpleaños del Príncipe hered</t>
  </si>
  <si>
    <t>ciud Lacchini</t>
  </si>
  <si>
    <t>esta capital. Bolonia 5 de Junio. A visan de Verona que el dia 13 llegó allí el ciud. Lacchini, Comisario de la Cisalpina, que llevaba encargo de su gobierno para entender en el nuevo arreglo del departamento del Mincio, del qual es ya parte Verona y su</t>
  </si>
  <si>
    <t>ciud Lagrange</t>
  </si>
  <si>
    <t>, llegó aquí á fines del m-:$ pasado con dos oficiales, uno de los quales es el ciud. Lagrange, pariente del primer Cónsul. Ai dia siguiente fueron presentados por el Embaxador francés .al Emperador, y poco después siguieron su viage á Turquía. Quando el</t>
  </si>
  <si>
    <t>ciud Lagrauge</t>
  </si>
  <si>
    <t>á los individuos de plana mayor de su exércitó, al Cardenal RulFo, al referid# ciud. Lagrauge, y á un Ayudante del General Murat. . Al paso que las tropas napolitanas siguen retirándose, sé ha adelantado el exércitó francés de Perusa á Foligno.—.La Prin</t>
  </si>
  <si>
    <t>ciud Lalande</t>
  </si>
  <si>
    <t>uyos individuos leyéron algunas memorias sobre estos ramos: entre ellas una del ciud. Lalande, en queñxacon exactitud Ja longitud de Florencia , que hasta abora estaba equivocada. Después de nombrar á varios astrónomos, y otros sugetos ilustres, todos f</t>
  </si>
  <si>
    <t>ciud Lalande ha publicado sobre este descubrimiento el siguiente aviso</t>
  </si>
  <si>
    <t>hácia los bordes, los quales son tan apagados que no se ve donde rematan.__ £1 ciud. Lalande ha publicado sobre este descubrimiento el siguiente aviso: „El cometa descubierto la noche del 12 de Julio por 3 astrónomos á un mismo tiempo, es una singularidad de que no había exemplo. Es el vigésimo que descubre e</t>
  </si>
  <si>
    <t>ciud Lamottc</t>
  </si>
  <si>
    <t>el Rey dePrusia ó á los del Rey de España, según la parte de donde soplaren. El ciud. Lamottc, comerciante en el Havre, ha regalado á la biblioteca nacional 2462 estampas, la mayor parte de los mejores maestros, muchas de ellas raras y preciosas, y toda</t>
  </si>
  <si>
    <t>ciud Lauriston</t>
  </si>
  <si>
    <t>generales aplausos. Los franceses ocupáron aquella ciudad 9 meses y medio. Los ciud. Lauriston, Edecán del primer Cónsul de Francia, y Berthier, oficial de artillería de la guardia consular, llegaron á Hamburgo el 12 del corriente, y salieron de allí al</t>
  </si>
  <si>
    <t>l Elba, han vuelto á colocarse las valizas y los íanálts en las costas. Ayer ei ciud. Lauriston, Edecán del primer Cónsul, fue á comer con los Ministros de Francia'y Suecia á bordo del navio el Din marca de 74 “cañones, mandado por el Chambelán Bille. Est</t>
  </si>
  <si>
    <t>e embarcaciones de Holstein y Schleswig. Antes de ayer salió de esta capital el ciud. Lauriston, Ayudante del primer Cónsul, quien el dia anterior se había despedido de todas las personas de la Real familia. En la última audiencia que tuvo del Príncipe Re</t>
  </si>
  <si>
    <t>llegó aquí el 13 á las 8 de la noche, habiendo salido de Londres el dia 11. El ciud. Lauriston, Edecán del primer Cónsul, llegó á Londres el 10 de este mes á las 10 de la mañana. El cange de las ratificaciones se verificó aquel mismo dia, y por la noche</t>
  </si>
  <si>
    <t>ciud Lauriston se presentó sin perder tiempo al Lord Hawkesbury</t>
  </si>
  <si>
    <t>artillería de la Torre anunció esta noticia á la inmensa ciudad de Londres. El ciud. Lauriston se presentó sin perder tiempo al Lord Hawkesbury, á Mr. Addington y al Lord S. Vicente; y comió con el Lord Hawkesbury. Mr. Addington le dixo: „Esta no es una paz ordinaria: es una reconciliación entre las do</t>
  </si>
  <si>
    <t>ciud Leclerc</t>
  </si>
  <si>
    <t>í'rí mwJ' n^i gárlas fávbrableé don e$perán5&amp; "dé ’sérf mt)St‘ rédibidos.’’v El ciud. Leclerc, oficial de la gu ddia de los GóiVsnles, qué acbmpáño a! cind.' Durdc- á Petersbnrgo, volvió aParís el di rió con~pK¿cosqué alcanzáii * " " ...... . '"*■ ~ ...</t>
  </si>
  <si>
    <t>ciud Leroy</t>
  </si>
  <si>
    <t>egos, procedentes de Alexandría cen parte de la guarnición de aquella plaza. EÍ ciud. Leroy, Prefecto marítimo de Egipto, el xefe del gobierno civil, y varios oficíales, superiores, vienen en dichos buques, los quales han hecho su viage en 23 dias. Al</t>
  </si>
  <si>
    <t>ciud Luciano Bonaoarte en nombre de la República</t>
  </si>
  <si>
    <t>Madrid la paz entre la República francesa y el Reyno de Portugal, firmándola el ciud. Luciano Bonaoarte en nombre de la República, y el Sr. Cipriano Bibeyro Freyre, Comendador de la orden de Christo, de p:.rte de S. M. Fidelísima. El día 7 se publico aquí esta paz con mucha solemnidad y r</t>
  </si>
  <si>
    <t>ciud Luciano Bonapárte</t>
  </si>
  <si>
    <t>Dax, que ha residido muchos años en España, la dio á conocer en este país; y el ciud. Luciano Bonapárte , Embaxador de la República en Madrid, ha enviado una gran remesa de simiente á petición del Prefecto de este departamento. Se espera que se pro¿ pague en nues</t>
  </si>
  <si>
    <t>ciud Luciano Bonaparte</t>
  </si>
  <si>
    <t>derán su viage en toda la semana próxima. El día 14 volvió de Madrid á París el ciud. Luciano Bonaparte, Embaxador que ha sido de Francia cerca de S. M. Católica. Mr. Jakson, Ministro plenipotenciario de la Gran Bretaña en la República francesa, llegó el 22 á Cal</t>
  </si>
  <si>
    <t>ciud Lugan</t>
  </si>
  <si>
    <t>xador de Francia cerca del Rey de Etruria. Extracto del Monitor del dia _p. „El ciud. Lugan-, Capitán de fragata y comandante de IaHelidpolis, salió de Alexandría el 14 de Julio en el pingue Ntra.Sra. de Idra, que se armó con-20 marineros franceses esc</t>
  </si>
  <si>
    <t>ciud Luis Bon</t>
  </si>
  <si>
    <t>ta corte, ha recibido órde* de su gobierno para obsequiar lo mejor que pueda al ciud. Luis Bon.ípme, que según dicen ha ido á Varsovia, y vendrá á esta ciudad pasando por Bres4aw. Sin embargo otros avisos suponen que sefiaüa enfermo enDantzi Je.</t>
  </si>
  <si>
    <t>ciud Luis Lemercier</t>
  </si>
  <si>
    <t>en Granada en la de Moreno. Agamenón ; tragedia en cinco actos ; escrita por el ciud. Luis Lemercier , y traducida del francés por D. E. T., representada en el coliseo de la calle del Príncipe; en 8.°, á 3 rs. Se hallará en las librerías de Quiróga, calle de l</t>
  </si>
  <si>
    <t>ciud Lupi</t>
  </si>
  <si>
    <t>ey de Etruria pasó por Alexandría le cumplimentó en nombre de esta República el ciud. Lupi, que fué Ministro extraordinario de Génova en Paris, y actualmente es Comisario de este gobierno en NcvL El Principé lo recibió con la mayor benignidad: manife</t>
  </si>
  <si>
    <t>ciud M--ssias</t>
  </si>
  <si>
    <t>Badén: y para ello se firmó recien• teniente un convenio en Carlsruhe entre el ciud. M--ssias, Encargado' 'de ^Negocios de Francia, y el Barón de Edelheim, Ministro de Estado dfel Margrave. ."Francfort &lt;) de Setiembre. - ; S e está disponiendo aquí la c</t>
  </si>
  <si>
    <t>ciud Macdonald la honra de comer con el Rey</t>
  </si>
  <si>
    <t>de Francia en la corte de Rusia. Antes de salir de aquí para Dinamarca tuvo el ciud. Macdonald la honra de comer con el Rey. Londres 27 de Julio. P or orden del gobierno se hacen con la mayor actividad preparativos para oponerse al desembarco que se teme de los enemigos. Antes de ay</t>
  </si>
  <si>
    <t>ciud Magallon entró un bergantín procedente de Macri</t>
  </si>
  <si>
    <t>de Nápoles y Sicilia temiendo las embargasen___.El dia antes de la partida del ciud. Magallon entró un bergantín procedente de Macri, con ia noticia de que la esquadra inglesa había salido de aquella rada, y se aseguraba que iba á tentar su desembarco enfrente de Damieta. Si executasen los i</t>
  </si>
  <si>
    <t>ciud Marescaíchi</t>
  </si>
  <si>
    <t>u, Chambelán de S. M. Prusiana, y al Conde Stolberg-Wernigerode. Finalmente, el ciud. Marescaíchi, Ministro de la República cisalpina ; presentó ai General cisalpino Lechi, y á los ciudadanos Aldini, Servelloni y otros. Todos estos súgetos , como también lo</t>
  </si>
  <si>
    <t>ciud Marión</t>
  </si>
  <si>
    <t>ontraron una lancha con 3 naturales del país*, creyéron que uno de ellos era el ciud. Marión , gritaron todos á un tiempo muera, muera; y en efecto de un pistoletazo le quitaron la vida en su misma lancha.__ El ciud. Fratnerí , Comisario de relaciones</t>
  </si>
  <si>
    <t>ciud Marson</t>
  </si>
  <si>
    <t>primer Cónsul para Comisario de relaciones mercantiles/ ó Cónsul en Paiermo, ai ciud. Marson, que era Prefecto del departamento del Doubs. Se ha suspendido por ahora la venta de bienes llamados nacionales, excepto los que están en litigio, y los que se</t>
  </si>
  <si>
    <t>ciud Martín</t>
  </si>
  <si>
    <t>La sociedad de agricultura del departamento del Sena ha recibido una carta del ciud. Martin, botanista y director del jardín nacional de Cayena, en. que avisa que sigue propagando con felicidad, en aquella colonia el cultivo del árbol de canela, el de</t>
  </si>
  <si>
    <t>ciud Mechain</t>
  </si>
  <si>
    <t>o había exemplo. Es el vigésimo que descubre el ciud. Messier, el duodécimo del ciud. Mechain, y el quarto del ciud. Bouvard. El 18 por la noche se vio cerca de la estrella Lambda en el pie de la Osa mayor, habiendo caminado 4 grados cada dia, y aumentá</t>
  </si>
  <si>
    <t>ciud Melzi</t>
  </si>
  <si>
    <t>imo. Milán j$ de AbriL Dícese que el General Bruñe volverá de París aquí con el ciud. Melzi, que viene á ocupar el primer, puesto en el nuevo gobierno cisalpino. . Ayer entraron encesta ciudad los patriotas cisalpinos que los austríacos habían llevado</t>
  </si>
  <si>
    <t>ciud Messier</t>
  </si>
  <si>
    <t>po, es una singularidad de que no había exemplo. Es el vigésimo que descubre el ciud. Messier, el duodécimo del ciud. Mechain, y el quarto del ciud. Bouvard. El 18 por la noche se vio cerca de la estrella Lambda en el pie de la Osa mayor, habiendo camin</t>
  </si>
  <si>
    <t>ciud Micdonald</t>
  </si>
  <si>
    <t>el 11 de Abril, y en Petersburgo el 11 de Junio. Copenhague i.° de Agosto. E 1 ciud. Micdonald, Embaxador de Francia, y el ciad. Bourgoing, su antecesor, tuvieron el 29 del mes último su audiencia del Rey. Ambos pronunciaron los discursos de estiló , y e</t>
  </si>
  <si>
    <t>ciud Ministro</t>
  </si>
  <si>
    <t>e ha escrito á dicho Ministro en estos térmi-j nos: „Vicenza£ de Enero, Recibo, ciud. Ministro, vuestra carta de i.° de este mes. Se cumplirán las intenciones del gobierno- No se concluirá armisticio sino mediante la cesión de Mantua,Pesebrera, Ferrara y</t>
  </si>
  <si>
    <t>Ciud Ministro</t>
  </si>
  <si>
    <t>ación, ha dirigido al Ministro de Guerra la carta siguiente; Milán 13 de Enero. Ciud. Ministro. El General Murat recibió vuestras órdenes en Ginebra; y al instante se puso en marcha el cuerpo de observación^ Una de sus divisiones pasó los Alpes del monte</t>
  </si>
  <si>
    <t>alguno.; pero i a fragata enemiga biró de bordo y se acercó á su línea. Tal es, ciud. Ministro ; el estado de las cosas á las 6 de la tarde. No se sabe lo que .quieren los inglesespero á ^ada instante ce espera que empiecen el bombardeo, auiíque será inf</t>
  </si>
  <si>
    <t>ciud Miot</t>
  </si>
  <si>
    <t>s de París, en el qual habrá 3© de estos veteranos estropeados en la guerra. El ciud. Miot, Consejero de Estado y Administrador general de los departamentos del Golo y del Liamone, en Córcega, escribe desde Bastía con fecha de 18 de Abril, que se ha</t>
  </si>
  <si>
    <t>ciud Mohr</t>
  </si>
  <si>
    <t>l ciud. Stapfer para Enviado de esta República cerca del gobierno francés; y al ciud. Mohr, Canónigo que ha sido de Lucerna, para Ministro del despacho ó ramo de ciencias y artes. Toda la artillería de Baviera, que había quedado e« Philipsburgo, se h</t>
  </si>
  <si>
    <t>ciud Moreau Saint-AÍerí</t>
  </si>
  <si>
    <t>el (Sonde de iBuffon ; y está traducida del manuscrito inédito del autor por el ciud. Moreau Saint-AÍerí* Son dos tomos en 8.° de mas de 9©o páginas.. Daroca 2 de Julio. E ! 27 de Junio se presentáron los discípulos de las escuelas pías de estar dad á un publico e</t>
  </si>
  <si>
    <t>ciud Moreíni de Saint-Merí</t>
  </si>
  <si>
    <t>4?9 Partirá j de Abril. Ei A ciud. Moreíni de Saint-Merí, Consejero de Estado , y Residente de la República francesa fue. presentado-el dia 26 á S., A. R. el Infante Duque, y el 30 á la Duquesa de Párma: le acompañab</t>
  </si>
  <si>
    <t>ciud Mossdorf</t>
  </si>
  <si>
    <t>heim prestaron ayer juramentó de fidelidad á la República francesa en manos ael ciud. Mossdorf, Prefecto interino. Hízose esta ceremonia enJa iglesia de S. Pedro con salva de artillería y repique general El Maire ó Corregidor dió un gran convite para cel</t>
  </si>
  <si>
    <t>ciud Netteman</t>
  </si>
  <si>
    <t>zobispo de Milán, no obstante su avanzada edad, desea asistir á dicha junta. El ciud. Netteman,- que fue Agente del gobierno de Francia en Inglaterra, ha salido para Ami&amp;ns con los empleados de la legación francesa. Antes de ayer el General de división M</t>
  </si>
  <si>
    <t>ciud óFjétgé Bméi</t>
  </si>
  <si>
    <t>) 4*7 Han señalado los Cónsules óco francos de pensión'á; kijv}-uda de! ciud. óFjétgé Bméi&amp;i Capotan dé oavío,, que murió. en la^ag^^vATrtftftpi\ defendiendo ía-bardera francesa. Dos niños .que de«3 ¡estse, ya^r'OSO:K5ík:M} (serán íredbldos'en'd Brit</t>
  </si>
  <si>
    <t>ciud Oíivier</t>
  </si>
  <si>
    <t>se -aun^ertta.-Aftíes había reconocido la fábrica de minio -y:de'alfafería 'dél ciud. Oíivier. El propio •' díá hubo en éP páíácfo í4é’4asc Tüllérías^üna g*lart-comida, á-que asistieron el Sr. Conde de Liorna , el Cardenal Consalvir el Conde de Schock,</t>
  </si>
  <si>
    <t>ciud Otro pidió ai gobierno británico pasaportes para que volviesen</t>
  </si>
  <si>
    <t>mas fusiles, balas y trepas que las que hubieran llevado las 6 fragatas----- Ei ciud. Otro pidió ai gobierno británico pasaportes para que volviesen de Egipto á Francia 6 individuos de la junta de artes; y los ingleses desecharon igualmente esta solicitud. De estos ó sugetos, á quien la Inglaterra negó pasapor</t>
  </si>
  <si>
    <t>ciud Otto</t>
  </si>
  <si>
    <t>y de consiguiente hubiera podido mandar aprehenderlos. ,,La doctrina (anadia el ciud. Otto) de tratar como eftcmígos á ios que puede» llegar á serlo, seria tan? nueva como peligrosa, y complicaría de tal modo el código público de las naciones, que to</t>
  </si>
  <si>
    <t>e han roto las negociaciones entre el Lord Hawkesbury, Ministro de Estado, y el ciud. Otto; y suponen las gazetas ministeriales que la causa del rompimiento ha sido que el primer Cdnsu! exige por primera condición, y por prueba de la sinceridad y bue</t>
  </si>
  <si>
    <t>unio. E n Douvres entró el dia 26 un parlamentario con pliegos de París para el ciud. Otto; y el 25 había salido de aquel puerto otro parlamentario para Calais. El nombramiento de Mr. Merry para residir en París, y su próxima partida para Francia, au</t>
  </si>
  <si>
    <t>con mucha actividad la correspondencia entre este gabinete y el de Francia. El ciud. Otto, de resultas de los últimos pliegos que recibió de París, tuvo una conferencia con el Lord Haw kesburi, el qual despachó luego un correo á Mr. Addington , Canc</t>
  </si>
  <si>
    <t>u gobierno sobre el proyecto de paz que el ministerio ingles había entregado al ciud. Otto. Botona 17 de Setiembre. L a división inglesa que se había retirado de estos mares, ha vuelto á su apostadero; pero la esquadrilla de este puerto había salido</t>
  </si>
  <si>
    <t>ificación del primer Cónsul, y fue á presentarla al ministerio acompañándole el ciud. Otto. Ei pueblo desenganchó los caballos de su coche, y tiró de él hasta la casa del Lord Hawkesbury, con repetidos Víctores y aplausos. De allí los llevaron del mi</t>
  </si>
  <si>
    <t>creen que los puntos principales se han arreglado entre el Lord Hawkesbury y el ciud. Otto; pero otros por el contrario rezelan que se diéron priesa en ajustar los preliminares, dexando varias dificultades pendientes para que se arreglen al tratarse</t>
  </si>
  <si>
    <t>ciud Otto firmaron los preliminares en Downing-Street</t>
  </si>
  <si>
    <t>Los demás Ministros diéron su consentimiento; y á las 7 el Lord Hawkesbury y el ciud. Otto firmaron los preliminares en Downing-Street. El mención ido Lord Hawkesbury escribió inmediatamente al Lord Corregidor l siguiente carta: „Con la mayor satisfacción os comunico que los preliminares de pa</t>
  </si>
  <si>
    <t>ciud Otto ha conseguido de parte del gobierno británleofearias'franquicias</t>
  </si>
  <si>
    <t>al estado en que se hallaban los caminos. ' ' : ; *J Segurt gazetas ¡nglésák el ciud. Otto ha conseguido de parte del gobierno británleofearias'franquicias ^ue no se conceden sino á los Embajadores,</t>
  </si>
  <si>
    <t>ciud Otto Ies dice</t>
  </si>
  <si>
    <t>nos prisioneros franceses de fos que auní hay en Inglaterra. Al contestarles el ciud. Otto Ies dice^ „ Oxaíá que otras ciudades imitasen este exemplo: pues estos socorros hartan mé* nos dura la suerte de ios prisioneros, ya que no puede esperarse que la mejor</t>
  </si>
  <si>
    <t>ciud Otto llegó aquí el</t>
  </si>
  <si>
    <t>ricio Talleyrand.___El Conde de MarcofF.” Extracto del Monitor. „E1 hermano del ciud. Otto llegó aquí el 13 á las 8 de la noche, habiendo salido de Londres el dia 11. El ciud. Lauriston, Edecán del primer Cónsul, llegó á Londres el 10 de este mes á las 10 de la ma</t>
  </si>
  <si>
    <t>ciud Otto su protesta solemne contra una violación tan</t>
  </si>
  <si>
    <t>la pesca b*xo la seguridad dada poc el gobierno ingles. En su respuesta hizo el ciud. Otto su protesta solemne contra una violación tan. manifiesta del convenio, ajustado entre Iqs do»'países pata la neutralidad de los; pescadores- Expuso que Mr- Dundas no alegaba ningún hecho posttfco* sino me</t>
  </si>
  <si>
    <t>ciud Otto tuvo el dia</t>
  </si>
  <si>
    <t>s atribuyen á un proyecto de invasión ’en este pais. Se sabe no obstante que el ciud. Otto tuvo el dia 19 una larga conferencia con el Lord Hawkesbury, á la qual asistió Mr. Addington; y se asegura que los últimos pliegos del gobierno de Francia están concebidos</t>
  </si>
  <si>
    <t>ciud Pichón</t>
  </si>
  <si>
    <t>ciario de los Estados-Un id os recien llegado al Loríente, ha traído cartas del ciud. Pichón, Comisario general de Relaciones mercantiles en América. Avisa al gobierno que entre los negros de Santo Domingo reynaban disensiones, y que de resultas había</t>
  </si>
  <si>
    <t>ciud Poras</t>
  </si>
  <si>
    <t>enido gustosos eá que se le confiera dicha suma, sin&gt;pararse en averiguar si el ciud. Poras :hiz© quando desciíá brió el cometa las*bbfevheioneS que ellos hiuréron * aqudiíaónocheb dEi ciudJLaíande fué eí depositó las ócodíbr.asy y -ahora sollíitaixji</t>
  </si>
  <si>
    <t>ciud PÓrtalis</t>
  </si>
  <si>
    <t>So .Francfort zj de Diciembre. P or esta ciudad transito el día 24 el ciud. PÓrtalis, uno de los secretario* del Plenipotenciario, francés que está en Luneviile. Dícese que va á la corte de Dresde por orden y con encargo de su gobierno. Los fra</t>
  </si>
  <si>
    <t>ciud Portalis</t>
  </si>
  <si>
    <t>! Presentaron este meñsage al Senado conservador tres Consejeros de Estado. El ciud. Portalis, que era uno de ellos, dixo: ^Ciudadanos Senadores. Nuestros deseos eran por la paz. Unos exércitos á cuya presencia enmudece la tierra, la han impuesto á los</t>
  </si>
  <si>
    <t>ciud Posnel</t>
  </si>
  <si>
    <t>mbajada al Xefe de brigada Lacuée, por segundo al eiud. Dodun, y por tercero al ciud. Posnel. . También está nombrado el General de división Clarke para Ministro de Francia cerca del Rey de Toscana. El General Liebert ha dado cuenta al Ministro de Guer</t>
  </si>
  <si>
    <t>Ciud primer Cónsul</t>
  </si>
  <si>
    <t>o: Leroy.” Carta del mismo Prefecto ál primer Cónsul. -Alexandría 15 de Marzo. „Ciud. primer Cónsul. Los Ministros de Guerra y Marina os darán cuenta de nuestra situación. Permítaseme solamente aseguraros que todos los franceses, así los que sirven en mar com</t>
  </si>
  <si>
    <t>ciud Rampon</t>
  </si>
  <si>
    <t>ibertad al agente Romme, el qual acababa de llegar á los Estados-Unidos.’* „ El ciud. Rampon, General de división y Senador , ha llegado á Mar</t>
  </si>
  <si>
    <t>ciud Rapp</t>
  </si>
  <si>
    <t>Bonaparte y su hija salen mañana para las aguas de Plombieres: las acompaña el ciud. Rapp, Edecán del primer Cónsul. ’ ■' •&gt; El ciud. Duvivier acaba de grabar una medalla de 18 líneas de diámetro á la memoria del inmortal Abate de l’Epéc. La stmcj n</t>
  </si>
  <si>
    <t>ciud Regnier</t>
  </si>
  <si>
    <t>El Ministro de Guerra dirigió el dia ii la siguiente carta á los Cónsules: „E1 ciud. Regnier, Comisario de guerra del exército de Oriente, me avisa desde Tolon,'en donde está haciendo quarentena, que conforme al artí— etilo 16 del convenio ajustado por</t>
  </si>
  <si>
    <t>ciud Rfcinhard está nombrado para residir en Munich como Plenipotenciario</t>
  </si>
  <si>
    <t>a llegado á Berna el ciud. Verninac, nuevo Ministro de Francia. Su antecesor el ciud. Rfcinhard está nombrado para residir en Munich como Plenipotenciario de la República francesa. ■ Strasburgo 8 de Setiembre. H a transitado por esta ciudad Mr. de Bunau, que va á residir en París como Enviado del Elector de Saxonia.</t>
  </si>
  <si>
    <t>ciud Rigel</t>
  </si>
  <si>
    <t>, comedias y óperas. Una de estas se ha compuesto allí mismo: la musica es del ciud. Rigel, individuo del instituto, y la letra dei ciud. Balzac, de la junta de artes. Hay también dos salas para conciertos y bayle. El ciud. Geoiíroy, individuo del mi</t>
  </si>
  <si>
    <t>ciud Robert</t>
  </si>
  <si>
    <t>• Turin 24de Febrero,' A yer tarde llegó aquí un correo de Milán con cartas del ciud. Robert, Encargado -de Negocios de Bíamonte, quien avisa de oficio á la Comisión</t>
  </si>
  <si>
    <t>ciud Robit</t>
  </si>
  <si>
    <t>concluyó en esta ciudad la venta de una colección de pinturas pertenecientes al ciud. Robit .* produxo cerca de 700® francos, pues en ningún tiempo se habían pagado aquí los quadros á un precio tan subido. Los mas preciosos (y de estos había muchísimo</t>
  </si>
  <si>
    <t>ciud Rossi</t>
  </si>
  <si>
    <t>E n la fiesta pública con que se celebró aquí la paz del continente, colocó el ciud. Rossi, Presidente del gobierno, la primer piedra de una coluna de mármol que ha de construirse en la plaza llamada ahora de la Libertad, con varios adornos y emblema</t>
  </si>
  <si>
    <t>ciud Ruffin</t>
  </si>
  <si>
    <t>se dice que la mayor parte de los anglo-turcos se han acercado á Alexandría. El ciud. Ruffin, Ministro que fué de Francia, y los individuos de su legación, salieron hoy del castillo de las Siete-torres; y todos los prisioneros de la misma nación ,que d</t>
  </si>
  <si>
    <t>ciud Rui</t>
  </si>
  <si>
    <t>era ría de/MaraiaateJ y la expisicioo analítica. del sistema de'lexicología del ciud. Rui* Set4&gt;ob9eBs&gt;aciones noortfororiógicas del mes.de Jpnio.lSe subscribe i esta' obra «en lalibrerj* de?«Escribano.j cálle de tCavrecasi, á razo*» de raí rs. por</t>
  </si>
  <si>
    <t>ciud Ruttimann</t>
  </si>
  <si>
    <t>Dieta helvética tuvo su primera sesión en las casas consistoriales de Berna. El ciud. Ruttimann, individuo del Consejo executivo, dixo el discurso de abertura, en el qual encargó á los vocales la mayor unión y serenidad en sus deliberaciones. Procedióse l</t>
  </si>
  <si>
    <t>ciud Scarabelli</t>
  </si>
  <si>
    <t>d.;Moréaú Saint&gt;Mery, Ministre rplétnpÓténéiário de Francia^ fe ha entregado el ciud. Scarabelli, Ministro de la República cisalpina eirWtk- córte j varias medallas de las que sé1 háñ acuñado én Milán para perpetuar la época del restablecimiento dé la libe</t>
  </si>
  <si>
    <t>ciud Schimmelpenninck para que se transfiera inmediat mente á París</t>
  </si>
  <si>
    <t>pública los celebraron con salva de artillería. Ha enviado el gobierno orden al ciud. Schimmelpenninck para que se transfiera inmediat mente á París. Dícese que irá al Congreso de Amiens como Ministro de la República bátava. Brest jo de Octubre. P or el telégrafo se supo aquí el día 5 el ajuste de los preli</t>
  </si>
  <si>
    <t>ciud Schuthefs</t>
  </si>
  <si>
    <t>o que expidiéron estableciendo la constitución. Ha salido de aquí para París el ciud. Schuthefs, oficial de la Secretaría de Hacienda. Hay alguna inquietud en muchos Cantones, y se dice que el General Thureau irá al Valais con un cuerpo de tropas. Milán 5</t>
  </si>
  <si>
    <t>ciud Scnez</t>
  </si>
  <si>
    <t>ada Boston, por una corbeta de Ja República, llamada el Berceau, mandada por el ciud. Scnez, Capitán de fragata. La Boston montaba veinte y seis cañones de á 12, y doce de á 9; y la corbeta no tenia mas que veinte y dos cañones de á 8, y ocho obuses d</t>
  </si>
  <si>
    <t>ciud Seguín ha empleado en ellos ai pie</t>
  </si>
  <si>
    <t>subido. Los mas preciosos (y de estos había muchísimos:) quedan en Francia: el ciud. Seguín ha empleado en ellos ai pie de 3® francos;,y otro francés pagó 40® por dos quadros muy pequeños de Murilio* Losingleses habían hecho encargos para comprar parte de esta colección,. peror no.</t>
  </si>
  <si>
    <t>ciud Segur</t>
  </si>
  <si>
    <t>dos del cuerpo de cazadores de á caballo, y uno de dragones. Este último es el ciud. Segur, hijo del Embaxador que fué de Francia en la corte de Rusia. Antes de salir de aquí para Dinamarca tuvo el ciud. Macdonald la honra de comer con el Rey. Londre</t>
  </si>
  <si>
    <t>dieron 231 espigas y 13,682 granos. “ El día 2i murió á los 78 años de edad el ciud. Segur, que fbé Mariscal de Francia en el anterior gobierno. .;l ; ' •' Madrid. 3 de Noviembre. E n el regimiento de Reales Guardias Españolas se ha servido promover</t>
  </si>
  <si>
    <t>ciud SemonviHe</t>
  </si>
  <si>
    <t>Abril con un cuerpo de 12© hombres para ocupar á Otranto, Tárenlo y Brindis. El ciud. SemonviHe, Ministro plenipotenciario de la República francesa en el Haya, Iva escrito con fecha del 29 de Marzo al Ministro de Relaciones exteriores, diciéndole que por</t>
  </si>
  <si>
    <t>ciud Semonville</t>
  </si>
  <si>
    <t>e hizo sin disturbios, y sin la menor oposición. Después llamó el,Directorio al ciud. Semonville, Ministro plenipotenciario del gobierno francés, y al General Augereau, para darles razón de su proyecto y de su execuclon. Al mismo tiempo, y á fin de mantene</t>
  </si>
  <si>
    <t>ciud Semotiville con aviso de haberse firmado los preliminares</t>
  </si>
  <si>
    <t>executivo con las formalidades de estilo.. Hoy llego aquí de París un correo al ciud. Semotiville con aviso de haberse firmado los preliminares de la paz. El Ministro francés lo comunicó inmedi Mínente al Directorio executivo, el qual mandó que esta feliz nueva se anunciase al público con salva de artillería</t>
  </si>
  <si>
    <t>ciud Senez negádose á arriar bandera</t>
  </si>
  <si>
    <t>uque arrojando al mar sus anclas y botes. Llegaron i parlamentar; y habiendo el ciud. Senez negádose á arriar bandera* rompio la fragata americana el fuego á las quatro ménos quarto; trabóse el combate, y se sostuvo con igual empeño por una y otra parte. Algunos masteleros, la</t>
  </si>
  <si>
    <t>ciud Stapfer</t>
  </si>
  <si>
    <t>na nota que el ciud. Tayllerand, Minta tro de Relaciones exteriores, entregó al ciud. Stapfer, nuestro Enviado en París. Pide en ella el gobierno de Francia que la República helvética le ceda todo el Valais, por haber probado la experiencia que la parte</t>
  </si>
  <si>
    <t>ciud Strick de Linschoten</t>
  </si>
  <si>
    <t>. Pindiney, que va de Ministro de los Estados-Unidos á la corte de Madrid, y el ciud. Strick de Linschoten, Ministro que fue de la República bátava en Stuttmmd. Habiendo sabido este gobierno por un correo extraordinario que el Rey de,« Inglaterra habla ratificado lo</t>
  </si>
  <si>
    <t>ciud Suvée</t>
  </si>
  <si>
    <t>rimer Cónsul ha nombrado para director de la escuela de bellas artes en Roma al ciud. Suvée, pintor y profesor en la escuela especial de pintura de París. De Lausana escriben que los ingenieros franceses que se hallan en el -Valais han trazado por la</t>
  </si>
  <si>
    <t>ciud Tallien</t>
  </si>
  <si>
    <t>dencia de sus fábricas. , El barco francés en que volvía de Egipto á Francia el ciud. Tallien, ha sido apresado por la esquadra de Mr. Keyth. « Al Lord Loughborough, último Canciller del Reyno, le han señalado mía pensión anual dé 4$ libras esterlinas.</t>
  </si>
  <si>
    <t>as públicas puede blasonar de haberlas hallado de oro, y dexarlas de papel.” El ciud. Tallien, que al salir de Egipto quedó prisionero de los ingleses , quienes lo traxéron aquí, fué examinado en Portsmouth y en Londres sobre la situación de los frances</t>
  </si>
  <si>
    <t>ón de El-Arisch; y este fue el partido que se adoptó. A dicha sesión asistió el ciud. Tallien. Mr. Sheridan, censurando en su discurso al ministerio por haber dado á luz con un comentario una correspondencia interceptada á los franceses de Egipto, dixo</t>
  </si>
  <si>
    <t>ciud Tassoni</t>
  </si>
  <si>
    <t>murallas de Verona de la parte de acá del Adige. •p Crénpva 7 de Noviembre. Xll ciud. Tassoni» Ministro,de la República cisalpina, se despidió de este gobierno el 28 de Octubre, y salió Iqegq para.Milan, de donde irá á Florencia como Ministro de aquella</t>
  </si>
  <si>
    <t>ciud Tayllerand</t>
  </si>
  <si>
    <t>Inglaterra. Basilea tj de Julio. caba de recibir este gobierno una nota que el ciud. Tayllerand, Minta tro de Relaciones exteriores, entregó al ciud. Stapfer, nuestro Enviado en París. Pide en ella el gobierno de Francia que la República helvética le ceda</t>
  </si>
  <si>
    <t>ciud Thormaun</t>
  </si>
  <si>
    <t>as autoridades y empleados públicos. Para Secretario de Estado está nombrado el ciud. Thormaun, que ha sido Bai;ío de Mórges. Parece que no tardará en incorporarse el Valais con la República francesa. Hasta ahora estaba aquel pais sujeto, en quanro á sus</t>
  </si>
  <si>
    <t>ciud Valckenaer</t>
  </si>
  <si>
    <t>aquel pueblo. l'hiya jo de Setiembre. E 1 dia 7 se restituyó de Madrid aquí el ciud. Valckenaer, que fué muchos años Ministro de esta República cerca de S. M. Católica. Los corsarios ingleses no molestan ahora tanto como ántes á las embarcaciones neutrale</t>
  </si>
  <si>
    <t>ciud Vaublanc dixo</t>
  </si>
  <si>
    <t>a/* Varios vocales del Cuerpo legislativo peroraron celebrando esta noticia. El ciud. Vaublanc dixo: „ Al fin brillada paz; y los exércitos que la han conquistado volverán triunfantes á sus hogares, para gozar del recuerdo de sus hazañas en medio de la felici</t>
  </si>
  <si>
    <t>ciud Veminac</t>
  </si>
  <si>
    <t>eissenberg, individuo del cabildo.de aquella catedral. . El mismo dia en que c! ciud. Veminac. presentó sus credenciales como Ministro de Francia v fe obsequió él Consejo executivo con una espléndida comida de 70 cubiertos. -■ r . .b . .» . Veneda 2Q de</t>
  </si>
  <si>
    <t>ciud Venturí</t>
  </si>
  <si>
    <t>o en Génova al ciud. Cometti, y para igual destino en la República helvética ai ciud. Venturí. El 8 de este mes se sintió en Bolonia un temblor de tierra, que por fortuna no causó ningún daño. Tolon 18 de Octubre. E n 27 dias de navegación ha llegado de</t>
  </si>
  <si>
    <t>ciud Venturi</t>
  </si>
  <si>
    <t>ontchoisí. En los tres batallones helvéticos se hará también alguna reforma. El ciud. Venturi, que reemplaza al ciud. Cometti en el empleo de Encargado de Negocios de la República cisalpina cerca de este gobierno, ha llegado aquí. Su antecesor está nomb</t>
  </si>
  <si>
    <t>ciud Venturi los acompañará hasta Florencia</t>
  </si>
  <si>
    <t>salpina, para cumplimentar en nombre de la República á los Reyes de Toscana. El ciud. Venturi los acompañará hasta Florencia, y residirá allí en calidad de Representante de la misma República. Turin 14 de Julio. E 1 Sr. Conde de Liorna llegó aquí el 12 por la noche, y se alojó en el</t>
  </si>
  <si>
    <t>ciud Vernime</t>
  </si>
  <si>
    <t>l primer Cónsul.: Por nuestra parte hubo xo muertos y 30 heridos/’ . í -'y*' El ciud. Vernime,.Prefecto de! Rhód tno, está nombrado Ministro plentpotenci trio de la República francesa en Suiza. t Extracto del Mantear del dia ,Xa República cisalpina ha e</t>
  </si>
  <si>
    <t>ciud Verninac</t>
  </si>
  <si>
    <t>Ministro de Holanda errFrancia. H Basilea 5 de Setiembre. a llegado á Berna el ciud. Verninac, nuevo Ministro de Francia. Su antecesor el ciud. Rfcinhard está nombrado para residir en Munich como Plenipotenciario de la República francesa. ■ Strasburgo 8</t>
  </si>
  <si>
    <t>ciud Viíiers</t>
  </si>
  <si>
    <t>17 se hizo 1a inauguración del museo de instrucción pública de esta ciudad: el ciud. Viíiers, profesor de historia natural, dixo el discurso de abertura, que mereció general aplauso. En este nuevo templo de las ciencias se ven reunidas muchas maravilla</t>
  </si>
  <si>
    <t>ciud Villemet prisionero de los ingleses el</t>
  </si>
  <si>
    <t>o-hubo algunas señales de peste: bien que no tardaron en desvanecerse. Quedó el ciud. Villemet prisionero de los ingleses el 21 de Marzo, en una acción que hubo á una legua de Aíexandría en el camino de Abukir-, en la qual quedíron en el campo de batalla-muchos muertos y heridos de a</t>
  </si>
  <si>
    <t>ciud Xnis</t>
  </si>
  <si>
    <t>eral Moreau de levantar el plan de aquella, parte de'la Selva Negra. « $■ . -El ciud. Xnis ’Elpnaparte,;que! llego de Berlín á Francfort * vino ayfté. aquí, y comió con el Príncipe de Hesse-Cassel*. hermano político de S. M. Prusiana. Por: la, noche</t>
  </si>
  <si>
    <t>ciudadano Aldini</t>
  </si>
  <si>
    <t>libras en bienes nacionales. ; . ... ( .. Mañana saldrán de aquí para Paris los ciudadanos Aldini y Serbelloni, en calidad de diputados de esta República cerca del gobierno francés. Vari encargados de varios asuntos importantes, entre otros el del arreglo de las tropas</t>
  </si>
  <si>
    <t>nistro de la República cisalpina ; presentó ai General cisalpino Lechi, y á los ciudadanos Aldini, Servelloni y otros. Todos estos súgetos , como también los Embaxadores, los vocales del Senado conservador, los del Tribunado, del Cuerpo legislativo, los Pre</t>
  </si>
  <si>
    <t>ciudadano Anderwerth</t>
  </si>
  <si>
    <t>los dos secretarios: el primero es el ciud. Kuhne, de Berna, y los segundos los ciudadanos Ustcri y Anderwerth. "in1 •' Nadales 2.8 eie Agóste. ; , — jE-sl 19 de este mes, día del cumpleaños del Príncipe heredero,Fuéron presentados á S„. A. R. el cakalléro-j4oksófi&gt; -Mí</t>
  </si>
  <si>
    <t>ciudadano Antolini</t>
  </si>
  <si>
    <t>l tratado de LuneviJle han recobrado, su libertad. De aquí han ido á París los, ciudadanos Antolini y Cellentani. Uno de ellos va encargado de presentar al primer Cónsul el plan del foro de Bonaparte, que es obra suya; y el otro entregará al General Berthier un sable d[e</t>
  </si>
  <si>
    <t>ciudadano Antonio Litta</t>
  </si>
  <si>
    <t>e restituyen á sus hogares. Milán 13 de Julio. H a nombrado este gobierno á los ciudadanos Antonio Litta, Alfonso Vizc;onti y el ex-Ministro Venturi, para que vayan á Turin en calidad de diputados de la Cisalpina, para cumplimentar en nombre de la República á los</t>
  </si>
  <si>
    <t>ciudadano Bacher</t>
  </si>
  <si>
    <t>isbona 31 de Agosto. A yer llegó un extraordinario de París con pliegos para el ciudadano Bacher, Enviado de la República francesa, el quát comunicó inmediatamente al Ministro directorial de Maguncia copia de una carta del Ministro de Negocios extrangeros,</t>
  </si>
  <si>
    <t>ciudadano Berthole</t>
  </si>
  <si>
    <t>ste mes á las 6 Parts de la 15 de 'Febrera tarde salió el primer Cónsul con los ciudadanos Monge y Berthole^, inclivíduos del Senado conservador, para Saa Quintín ^cuyo canal fue «a visitar. Baxó á la parte subterránea, é hizo inspección del terreno. Examinó también</t>
  </si>
  <si>
    <t>ciudadano Bessieres</t>
  </si>
  <si>
    <t>n los castillos del mar Negro, han llegado ya á Ancona el General Salcette, los ciudadanos Bessieres y Charbonell con varios oficiales de artillería é ingenieros. Los inválidos nacionales de Versálies y de San Cir han salido para Lovayna, en donde por orden del gobierno se ha formado un establecimiento dependiente de la</t>
  </si>
  <si>
    <t>ciudadano Bossi</t>
  </si>
  <si>
    <t>guientes artículos: „i.° El gobierno pumentes suspenderá siís sesiones. 2.0 Los ciudadanos Bossi, Botta y Giulio, individuos de la junta executíva, y los ciudadanos Brayda, Piossasco y Paroletty, individuos del consejo de gobierno, están nombrados Consejer</t>
  </si>
  <si>
    <t>ciudadano Brayda</t>
  </si>
  <si>
    <t>0 Los ciudadanos Bossi, Botta y Giulio, individuos de la junta executíva, y los ciudadanos Brayda, Piossasco y Paroletty, individuos del consejo de gobierno, están nombrados Consejeros de la administración general. 3.° Ej ciud. Courte , Inspector superior d</t>
  </si>
  <si>
    <t>ciudadano Broussonet</t>
  </si>
  <si>
    <t>s de Ciencias naturales, núm. 7.0 , contiene : fascículo i.° de las plantas del ciudadano Broussonet: observaciones astronómicas : observaciones y experimentos sobre el beneficio de las minas de plata por medio de la amalgamación: continuación de los materiale</t>
  </si>
  <si>
    <t>ciudadano Caíllard</t>
  </si>
  <si>
    <t>iencia del Rey como Ministro de la República francesa, y en ella presentó á los ciudadanos Caíllard y Fenelon, secretarios de Embaxada, y ai vice-comisario de relaciones de comercio Gummer. El ciud. Duroc, que vuelve de Petersburgo á Francia, se presentó también al Rey</t>
  </si>
  <si>
    <t>ciudadano Cellentani</t>
  </si>
  <si>
    <t>ciudadano Champagni</t>
  </si>
  <si>
    <t>sus rentas. - • ■' r Habiendo S. M. I. sabido por el Conde de Cobentzel que el ciudadano Champagni, Ministro de Francia, es muy aficionado á la caza, ha mandado al Conde de Hardegg ponga á su disposición un terreno de algunas millas para que pueda disfrutar</t>
  </si>
  <si>
    <t>ciudadano Charbonell con varios oficiales de artillería é ingenieros</t>
  </si>
  <si>
    <t>ciudadano Collin d’Harleville</t>
  </si>
  <si>
    <t>su Criada: comedia en tres actos','formada sóbre la que escribió en francas el ciudadano Collin d’Harleville; por D. T. G. S. : representada en el coliseo de la calle del Príncipe. Se hallará en 8.° á 3 rs. en la librería de Quixoga, calle de las Carretas, din la mism</t>
  </si>
  <si>
    <t>ciudadano con la seguridad de la iglesia anglicana protestante</t>
  </si>
  <si>
    <t>condiciones de la unión, aunque hubiera sido posihle conciliar sus derechos de ciudadanos con la seguridad de la iglesia anglicana protestante. Habló de la triste perspectiva de-qna guerra contra toda Europa: examinó la naturaleza y el fondo de la qíiestion de la neutralidad del Norte, en la quai incl</t>
  </si>
  <si>
    <t>Ciudadano Cónsules</t>
  </si>
  <si>
    <t>lo Interior ha dirigido á los Cónsules de la República la siguiente consulta: „Ciudadanos Cónsules. Todo lo que pertenece á la gloria del pueblo francés merece vuestra atención, y ahora os pido me la conceda is para lo que voy á proponeros en orden á la bibl</t>
  </si>
  <si>
    <t>ciudadano Cretet</t>
  </si>
  <si>
    <t>tí gobierno de la República francesa y el Papa. I.o firmaron por im » parte los ciudadanos Joseph Bonaparte y Cretet, Consejeros de Estajo, y el presbítero Bernier; y por otra el Emo.Cardenal Consalvi, .Secretario de Estadó, Móriseñbr Spin’iy'Arzobispo dé Corinto , y el P. Ca</t>
  </si>
  <si>
    <t>ciudadano Dantan</t>
  </si>
  <si>
    <t>olución deLSbltan, el- ciud?, M inistro plenipotenciario de la República, y los ciudadanos Keifter y Dantan, empleados en su legación, han sido conducidos á Pera, en donde gózaii de toda libertad, y Ies han concedido una .guardia de honor, en lalcasaque les sirve de</t>
  </si>
  <si>
    <t>ciudadano de dichos Estados</t>
  </si>
  <si>
    <t>Murray, Ministro plenipotenciario de los Estados-Unidos, presentó á Mr. Stori ¿ ciudadano de dichos Estados. r &gt; Se habían interrumpido los enlaces de amistad que subsistían entre la República francesa y dichos Estados-Unidos de América. El primer Cónsul acaba de rat</t>
  </si>
  <si>
    <t>ciudadano de la República</t>
  </si>
  <si>
    <t>ibución ni derecho. Est ¿ ajusto se ha renovado ahora extendiéndolo á todos los ciudadanos de la República, y á todos los habitantes del margraviato de Badén: y para ello se firmó recien• teniente un convenio en Carlsruhe entre el ciud. M--ssias, Encargado' 'de ^Neg</t>
  </si>
  <si>
    <t>ciudadano de la República fran</t>
  </si>
  <si>
    <t>sde el recibo de ésta orden ceseis las hostilidades contra las posesiones y los ciudadanos de la República fran-* cesa y de sus aliados; y sí encontráis esquadras ó; naves de la República S de sus aliados, notifiquéis á sus ¡comandantes porn algún; parlamentario el cange</t>
  </si>
  <si>
    <t>ciudadano Delacourciere</t>
  </si>
  <si>
    <t>del mes ultimó avisan de Calais haber llegado de Inglaterra á aquel puerto los ciudadanos Tallién y Delacourciere, habiéndoles permitido aquel gobierno embarcarse en Douvres.. Í*i Valencia &lt;T de Abrií» Lsta Real sociedad económica ofrece los. siguientes premios para el día</t>
  </si>
  <si>
    <t>ciudadano Dolder</t>
  </si>
  <si>
    <t>os del Consejo executivo que no io fueron de la Dieta helvética , á saber , los ciudadanos Dolder, Savary y Ruttrntnn, qu:dan por ahora encargados de todos los poderes correspondientes al Consejo executivo. 2.0 Se 1* s previene cuiden de mantener la segurid</t>
  </si>
  <si>
    <t>ciudadano Donzelot</t>
  </si>
  <si>
    <t>rte de S, A. el Gran Visir, é «Isaac Bey por la de S. A. el Capitán Baxá; y los ciudadanos Donzelot y « Moran, Generales d¿ brigada, y Tarayre,Xefe de brigada, por parte del «General de división BeiiLrd. Artículo I. Las tropas francesas de todas clases y sus au</t>
  </si>
  <si>
    <t>ciudadano Fenelon</t>
  </si>
  <si>
    <t>ciudadano Ferci</t>
  </si>
  <si>
    <t>sus derechos, ni renunciado á la reunión de los departamentos bélgicos.” ' Los ciudadanos Ferci, xefe de brigada , y Mangourit, Capitán Ayudante del General Monnier, háh presentado ai Ministro de Guerra 7 banderas cogidas á los austríacos en verona: El Ga</t>
  </si>
  <si>
    <t>ciudadano Fétmtíngér</t>
  </si>
  <si>
    <t>itantes servían como soldados; y ^rios empléádos-deí góbiérnb^^ntire-éllés- Ibi ciudadanos Mdm y Fétmtíngér ^ (Sbnséierbsén lá'Ihdia^ muriéron de resultas dé su tirabájo y fatiga^ siendo victimas de su zelo y amor á la’pátriai ~ c 1 ^ t;,z J i'y^-Pát^a-áT^Juni¿¿ • JE</t>
  </si>
  <si>
    <t>ciudadano francés</t>
  </si>
  <si>
    <t>ica, una compá*» nía de 1200 acciones á lo ménosy cada una de mil francos. Todo ciudadano francés, y qualquie.r extrangero establecido ó que se estableciere en Francia, podrá ser accionista. Lo propio se observará respecto á los marineros empleados en la pe</t>
  </si>
  <si>
    <t>ciudadano han merecido mejor que ellos es</t>
  </si>
  <si>
    <t>bunado, y repetido por todo el pueblo francés. En efecto, ¿que exército ni que .ciudadanos han merecido mejor que ellos es£e testimonio del agradecimiento nacional? ¿Con quantos peligros y trabajos no se ha conquistado el Egipto? ¿Y con quantos prodigios de valor 3; de sufrimiento</t>
  </si>
  <si>
    <t>ciudadano Hautpoul</t>
  </si>
  <si>
    <t>n fuerza de la capitulación del General Belliard , y á cuyo bordo se hallan los ciudadanos Hautpoul, xefe de brigada de ingenieros, Regnier, Comisario de guerra, y Champí, director general de la fábrica de pólvora. Os remito todos los pliegos que me entregó e</t>
  </si>
  <si>
    <t>ciudadano Joseph Bonaparte</t>
  </si>
  <si>
    <t>mado en Faris entre el Cardenal Consalvi, Monseñor Spina y el P. Gaselli, y íps ciudadanos Joseph Bonaparte, Cretet y Bernier, se ratificó en Roma el 15 de Agosto después de muchas conferencias celebradas á presencia del Papa, y á las quales asistiéron todos los Card</t>
  </si>
  <si>
    <t>ciudadano Juan Balkenaérv</t>
  </si>
  <si>
    <t>*............i,.. 781,680. , D. Joseph; Conde..-.....,...........732^642. /, El ciudadano Juan Balkenaérv..... . 823,902. , \ Doña Manuela Andreago....................... . 746,565, Doña María Josepha Pisón y Dalmases con Ios J 1 f* v r J 4504,518. D. Joseph Tajone</t>
  </si>
  <si>
    <t>ciudadano Jussitu</t>
  </si>
  <si>
    <t>esados por dicho corsario ingles. El Ministro de lo Interior ha encargado á los ciudadanos Jussitu , naturalista, Regnault, pintor, y Raimcnd, arquitecto (todos ellos individuos del instituto) que acompañen al General ruso Sprengportem y á las personas de su</t>
  </si>
  <si>
    <t>ciudadano Keifter</t>
  </si>
  <si>
    <t>ciudadano Lauriston</t>
  </si>
  <si>
    <t>ón entre las dos primeras naciones del mundo.” El Lord S. Vicente dixo al mismo ciudadano Lauriston „que se había dado priesa en despachar inmediatamente paquebotes á todas las partes del mundo para que cesasen Jas hostilidades, pues el menor retardo podría c</t>
  </si>
  <si>
    <t>ciudadano legisladores</t>
  </si>
  <si>
    <t>me promueve ya la industria en nuestros departamentos meridionales. Tales son,i ciudadanos legisladores, los derechos que tienen al agradecimiento de la nación el exército de Egipto y losj franceses que se han sacrificado por el la buena suerte de aquel estableci</t>
  </si>
  <si>
    <t>ciudadano Mdm</t>
  </si>
  <si>
    <t>ciudadano Mechain</t>
  </si>
  <si>
    <t>ra. El ciud. Bourgoing, Ministro de la República francesa en esta corte , y los ciudadanos Mechain, Delaplace y Delambre, del instituto nacional de Francia, han sido nombrados socios honorarios extrangeros de la Real sociedad de ciencias de Copenhague. 7 Sem</t>
  </si>
  <si>
    <t>minutos descubrieron un nuevo cometa el 12 de este mes á las 10 de la noche los ciudadanos Mechain, Bouvard y Messier, cada uno separadamente. Su ascensión recta era de m grados, 14 minutos á las 12 horas de tiempo medio,y de 69 grados, 31 minutos de declina</t>
  </si>
  <si>
    <t>ciudadano Monge</t>
  </si>
  <si>
    <t>ciudadano otra potencia por causa</t>
  </si>
  <si>
    <t>ro de todos los efectos, rentas y bienes embargados, confiscados &lt;5 retenidos á ciudadanos y vasallos de una y otra potencia por causa de la actud guerra, y á admitirlos respectivamente en el exercicip legal de las acciones y derechos que puedan corresponderles. 6.° A fin de borrar todo rastro de</t>
  </si>
  <si>
    <t>ciudadano por la máquina infernal</t>
  </si>
  <si>
    <t>me al instante una junta para reconocer y tasar los darlos ocasionados á varios ciudadanos por la máquina infernal, y presente cjuanto antes listas de las personas muertas ó heridas, con expresión de las mugeres é hijos de los que hayan muerto e je hallen gravemente heridos</t>
  </si>
  <si>
    <t>ciudadano que tienen derecho de votar</t>
  </si>
  <si>
    <t>a 6 de Octubre se recojan en registros dis-¡puesíos al intento los votos de los ciudadanos que tienen derecho de votar, sobre sí aceptan ó desechan. Ja-nueva constitución. ; &gt; . ' ■ ■ Venena 79 de Agosto. ; , S e ha recibido una carta de.Corfú, que con fecha de 29 de Julio dice</t>
  </si>
  <si>
    <t>royecto de constitución que formamos atendiendo á vuestra felicidad. De 416,410 ciudadanos que tienen derecho de votar, vemos con gusto que solamente 52,210 no han dado su aceptación: y así la mayoría absoluta de la nación bátava ha sancionado el nuevo pacto social. No queda du</t>
  </si>
  <si>
    <t>ciudadano respectivamente</t>
  </si>
  <si>
    <t>os, inmunidades y prbrogativas tque disfrutaban antes de la guerra, 3.° Que los ciudadanos y vasallos de las dos potencias gozarán igual y respectivamente en los estados de una y otra todos los derechos de que gozan los de las naciones mas favorecidas. 3.0 Que los frutos y géneros procedentes del territorio ó de</t>
  </si>
  <si>
    <t>ciudadano Schimmplpennink</t>
  </si>
  <si>
    <t>n dispuesto bordillos para bala roxa. Ha vuelto de París aquí con su familia el ciudadano Schimmplpennink, que era Ministro de Holanda errFrancia. H Basilea 5 de Setiembre. a llegado á Berna el ciud. Verninac, nuevo Ministro de Francia. Su antecesor el ciud. Rfcinh</t>
  </si>
  <si>
    <t>Ciudadano Senadores</t>
  </si>
  <si>
    <t>ador tres Consejeros de Estado. El ciud. Portalis, que era uno de ellos, dixo: ^Ciudadanos Senadores. Nuestros deseos eran por la paz. Unos exércitos á cuya presencia enmudece la tierra, la han impuesto á los enemigos ; y el genio de la Francia ha dictado sus</t>
  </si>
  <si>
    <t>ciudadano Serbelloni</t>
  </si>
  <si>
    <t>ciudadano suizos que la mejor constitución para aquel país será</t>
  </si>
  <si>
    <t>re el que le pareciese mejor. El primer Cónsul se limitó á hacer presente i los ciudadanos suizos que la mejor constitución para aquel país será la que 00 pueda apropiarse á otro alguno, y en la que se tengan presentes Jajr!q$g£imstanc¡as particulares del territorio, cliina y costumbres de Helvecia, las qu</t>
  </si>
  <si>
    <t>ciudadano Syman</t>
  </si>
  <si>
    <t>o al cíud. Hacd, á quien corresponde salir este año. Los tres nombrados son ios ciudadanos Syman, ex-Ministro de Guerra, Vander-Horsf, individuo de la Municipalidad de Alkmaer, y Liebeherz, que fué en otro tiempo individuo del Consejo de las colonias asiát</t>
  </si>
  <si>
    <t>ciudadano Tallién</t>
  </si>
  <si>
    <t>ciudadano Tayllerand</t>
  </si>
  <si>
    <t>. De una libra de dicha simiente sacó media de aceyte. &lt; Paris 30 de:Junio. £ J ciudadano Tayllerand , Ministro de Relaciones exteriores, salió dé aquí el 28 por la tarde para las aguas de Borbon-Larchambault. Créese que estará ausente 15 0 20 dias. Queda enca</t>
  </si>
  <si>
    <t>ciudadano Ustcri</t>
  </si>
  <si>
    <t>ciudadano y vasallos</t>
  </si>
  <si>
    <t>ormarán arreglos definitivos en orden á los bienes y efectos de los respectivos ciudadanos y vasallos, confiscados ó seqüestrados durante la guerra. Los agentes políticos y de comercio, y los prisioneros de guerra ,"de qualquier gradó que seán, se pondrán en li</t>
  </si>
  <si>
    <t>ciudadano y vasallos de las dos potencias gozarán igual</t>
  </si>
  <si>
    <t>ciudadano y vasallos de una</t>
  </si>
  <si>
    <t>CJ, Luis</t>
  </si>
  <si>
    <t>Luis CJ</t>
  </si>
  <si>
    <t>mo de la parroquial de Abarca, en la diócesis de Palencia, vacante por muerte de D. Manuel López, a D. Luis CJ5rti .n0, con retención de la demas renta eclesiástica que obtiene. El Rev se ha servido nombrar Teniente Coronel del regimiento provincial de Salamanca al de infantería D. Juan Ma</t>
  </si>
  <si>
    <t>Clairacy Tirado, Joseph</t>
  </si>
  <si>
    <t>Joseph Clairacy Tirado</t>
  </si>
  <si>
    <t>e, graduado de Coronel, D. Juan de Henestrosa: en el mismo del Infante á Alférez al Portaestandarte D. Joseph Clairacy Tirado» y á.Por*</t>
  </si>
  <si>
    <t>Clanwilliam y Mr, Lord</t>
  </si>
  <si>
    <t>Lord Clanwilliam y Mr</t>
  </si>
  <si>
    <t>. De Douvres han salido para Calais varios paquebotes con pasageros, entre los quales se cuentan el Lord Clanwilliam y Mr. Heil, secretario de Mr. Jakson en el congreso de Amiens. En el paquebot Swift se envía á Madama Bona parte'una preciosa colección de aves y otros objetos de historia natura!. Ha</t>
  </si>
  <si>
    <t>Claramunt, Francisco</t>
  </si>
  <si>
    <t>Francisco Claramunt</t>
  </si>
  <si>
    <t>r Subteniente al segundo D. Francisco de Paula Miranda, y á segundo Subteniente al Sargento primero D. Francisco Claramunt: en el de Asturias á Capitán de granaderos al de fusileros D. Pedro del Busto; á Capitán al primer Teniente de granaderos D. Joseph Zayas; á primer Teniente de granaderos al de fu</t>
  </si>
  <si>
    <t>Clarke, Diego</t>
  </si>
  <si>
    <t>Diego Clarke</t>
  </si>
  <si>
    <t>primer Teniente de granaderos D. Alexandro ODonell; á primer Teniente de granaderos al de fusileros D. Diego Clarke; á primer Teniente al segundo cíe granaderos D. Joseph Várela; á esta resulta al segundo Teniente D. Carlos de Caumont; á segundo Teniente al primer Subteniente'D. Agustín Ponzero</t>
  </si>
  <si>
    <t>Clarke, General</t>
  </si>
  <si>
    <t>General Clarke</t>
  </si>
  <si>
    <t>obsequiado, y al dia siguiente comió con el Prefecto. Créese que no tardará en venir á Paris-----El General Clarke llegó el propio dia á Bruselas, de donde se han despachado quantos repuestos de artillería y municiones había en sus almacenes, y se dirigen á la orilla derecha del Rhin. La notic</t>
  </si>
  <si>
    <t>cs-ra tas varias tropas se.reuniéron en Madrasy se han hecho ya;á Ja.tftJa baxo'i I as órdenes del General Clarke. Juzgan, algunos que se dirigen; epuma B.iHyifl;t pero generalmente'se cree que. van ¿ la isla de Borbón-s^loA ¿des IdeA año salió de Bombay otra expedición al mando del Almiratit</t>
  </si>
  <si>
    <t>do siempre escarmentados. TT Varis jo de-Setiembre, ; JtjLí.a salido de esta ciudad para Toscana el General Clarke ,vEítibaxador de Francia cerca del Rey de Etruria. Extracto del Monitor del dia _p. „El ciud. Lugan-, Capitán de fragata y comandante de IaHelidpolis, salió de Alexandría el 14 de</t>
  </si>
  <si>
    <t>ancia é Inglarerra por el ciad. Otro y el Lord Hawkesbüry.,* ,, El Príncipe Doígoruski ha traído al General Clarke, de parte de S. M. I. Alexandro i, un sable guarnecido de diamantes valuado en 50© francos, como un testimonio del esmero con que el mencionado General cuidó de las disposiciones</t>
  </si>
  <si>
    <t>campos fueron también considerables los daños. Florencia de Setiembre. A ntes de ayer llegó aquí el General Clarke, Ministro plenipotenciario de Francia en esta corte. Algunos dias antes habían venido sus secretarios-. El 12 siguió el Emo. Caprara su viage á París: se detuvo en esta capital 4</t>
  </si>
  <si>
    <t>Clement</t>
  </si>
  <si>
    <t>rantazgo y de gran número dé personas premió el Príncipe Real el dia 30 en la academia de inarina á Mr. Clement, dándole una medalla por haber sobresalido entre todos sus compañeros en el último examen de aquella enseñanza. Elseneur 2 de Enero, S egun noticias recientes de Suecia en todos l</t>
  </si>
  <si>
    <t>Clemente de Ly</t>
  </si>
  <si>
    <t>raló.... Francisco y Juana Mana de Maunos................................... Aux en id......... 31. D. Clemente de Ly..... D. Henrique y Dofia Carlota de Grau............ ........................... Limos en id...... 27. 17. D. Miguel Dupradel,... D. Luis y Doña María Limosin.....................</t>
  </si>
  <si>
    <t>Clemente de Navia, Juan</t>
  </si>
  <si>
    <t>Juan Clemente de Navia</t>
  </si>
  <si>
    <t>D. Manuel Avella: para, el Priorato Dacoba, Dignidad de la catedral de Lugo, vacante por muerte de D. Juan Clemente de Navia, á D. Antonio Roca y Seixas, Canónigo de la de Astorga: para esta Canongía que dexa á D. Vicente López Somqza, Racionero de la de Lugo: para una Canongía de la metropolitana de To</t>
  </si>
  <si>
    <t>Clemente de Saxonia, Antonio (duque)</t>
  </si>
  <si>
    <t>Duque Antonio Clemente de Saxonia</t>
  </si>
  <si>
    <t>bre de Condé ^ Condesa de Barby han llegado á Carlsbad la Archiduquesa María Teresa y su esposó el .Duque Antonio Clemente de Saxonia, hermano ddl Elector. Espérate en la misma ciudad al Príncipe Henrique de Prusia. : 11 ' El Príncipe Cárlos visitó el día 5 ^1 Príncipe de CGndé, y conversó con él mas de dos hora</t>
  </si>
  <si>
    <t>Clemente de Vargas</t>
  </si>
  <si>
    <t>ros; la resulta de este á D. Carlos Diez de Bulnes, Teniente de fusileros; Tenencias de esta dase á D. Clemente de Vargas y D. Joseph. Bejarano y Cuevas, Subtenientes de granaderos y cazadores, y* sus resultas á los Subtenientes de fusileros D. Gaspar de Torrejon y D. Joseph María Martinez: en el de Mala</t>
  </si>
  <si>
    <t>Clemente Palacio</t>
  </si>
  <si>
    <t>granaderos, graduadode Capitán , D. Joseph Ahumada; á segundo Temente dé granaderos al de fusileros D. Clemente Palacio ; i ésta resulta al primer Subteniente Di Manuel Martínez; á primer Subteniente al segnrido Luís Sánchez de la Peña¡, y á segundo Subteniente al Cadete í&gt;. Francisco Jsclfart: en</t>
  </si>
  <si>
    <t>Clfirps, Joseph</t>
  </si>
  <si>
    <t>Joseph Clfirps</t>
  </si>
  <si>
    <t>la tienda de acepte y vinagre de ‘Puerta .Cerrada^ ntíra, I-. ' . , , , Se ha extraviado de casa de D. Joseph Clfirps,, plajero fn la ciudad de Valencia un vale Real de 300 pesos de Ja creación de t© de-Abril, núiB- 439,300. La •ersona en cuyo poder se halle lo entregará eo el despacho de la impr</t>
  </si>
  <si>
    <t>Climen, Vicente</t>
  </si>
  <si>
    <t>Vicente Climen</t>
  </si>
  <si>
    <t>Vicente Climen... Miguel...........María Mingues.... Lombay.,.-:.... Valencia........... 75. Francisco Xbafiez. Joseph.......... 'Lorenza Llano.,... Pamanes....... Cudeyo...,...</t>
  </si>
  <si>
    <t>Clinton, Coronel</t>
  </si>
  <si>
    <t>Coronel Clinton</t>
  </si>
  <si>
    <t>íi, guarnecen nuestras tropas los castillos que dominan la bahía de Fonchal: las‘níánda el Teniente Coronel Clinton. Hasta ahora nada ha publicado la corte sébre esta expedición. De Portsmoüth ha salido un convoy para Lisboa, Oporto y el Mediterráneo. ' d Para mayor defensa de los navios que na</t>
  </si>
  <si>
    <t>Clinton, Lord</t>
  </si>
  <si>
    <t>Lord Clinton</t>
  </si>
  <si>
    <t>eñar á los turcos la táctica de Europa* En la sesión.de IaCamara de los Pares del dia 19 propuso el Lord Clinton se hiciesen dos leyes:, una para impedir se emplease avena en mantener á los caballos de laxó, y otra para limitar él consumo del pan á 4 libras por semana para oada personá eá to</t>
  </si>
  <si>
    <t>Clirnént, Joseph</t>
  </si>
  <si>
    <t>Joseph Clirnént</t>
  </si>
  <si>
    <t>o ducados, además de gco r?. para casa. Los subscriptores á los Sermones panegíricos del lin o. Sr. D. Joseph Clirnént, Obispo que fue de Barcelona, acudirán á recoger el tomo i.° y pagar el cuya impresión está muy adelantada. Por ahora no se vende el torno i.° sinoá quí^n subscriba al a.° Estos S</t>
  </si>
  <si>
    <t>Cobentzel</t>
  </si>
  <si>
    <t>que ratifique el tratado de paz en nombre del Imperio, sino también para que expida directamente ¿ Mr. Cobentzel en Luneville el documento de ratificación: es decir, para sancionar el conclusum por el qual la Dieta ratificará el tratado de paz. 4.0 El directorio de Maguncia comunicará del modo</t>
  </si>
  <si>
    <t>mer Cónsul el dia 7 á los Embaxadores, Ministros y Agentes de potencias extrangeras, fué presentado Mr. Cobentzel en calidad de Ministro plenipotenciario del Emperador para las conferencias de Lúneville. El Marques de Luchesini, Ministro de Prusia, presentó luego á Bonaparte el Conde de Linange</t>
  </si>
  <si>
    <t>Cobentzel, Conde</t>
  </si>
  <si>
    <t>Conde Cobentzel</t>
  </si>
  <si>
    <t>a Dieta relativo á las -indemnizaciones. El Ministro imperial residente en Ratisbona lo remitirá al Conde Cobentzel á fin de que lo comunique al gobierno francés; y hasta que se sepa su dictamen no enviará este Soberano su resolución á la Dieta. Se asegura que se ha intimado á los oficiales que</t>
  </si>
  <si>
    <t>io de la República ,* y Mr. de Cetto, Plenipotenciario de S. A. S. Electoral. Ha salido de París el Conde Cobentzel, que fué Plenipotenciario del Emperador de Alemania en LuneviUc. La víspera de su partida le regaló este gobierno una magnífica charretera guarnecida de diamantes. Se ha sabido po</t>
  </si>
  <si>
    <t>Cobo, Francisco</t>
  </si>
  <si>
    <t>Francisco Cobo</t>
  </si>
  <si>
    <t>ndoñedo..... 10. 7. Francisco Cobo.... Joseph....... .... Eulalia Perez....... Nonega....... . Vivero;,...,..... 434. 20. Manuel Quirós.... Fernando.,. Josepha Maroto... Alcázar de S</t>
  </si>
  <si>
    <t>Cobos, Manuel</t>
  </si>
  <si>
    <t>Manuel Cobos</t>
  </si>
  <si>
    <t>........ . xaa. 10. Manuel Cobos..... Manuel......... Lucía Galvez....... Guadalaxara. Idem................. 133. i&lt;5. Miguel Pindado... Pablo.............Francisca Rodríguez.................</t>
  </si>
  <si>
    <t>COCO</t>
  </si>
  <si>
    <t>i&lt;. c5 i'— rf « t*N tí so Os Os u- u- vy^so so OO Gs s^NO •-'*&gt;*• tí tí .y-SO so N Q\ h rn en f&lt;NS.D COCO títítítíJ-títJ- «j-Sso l&gt;0Ó OÓ Os Ó TÍ Vy—* Vy-s t^S '*■' ^•ststvrktv^fsr-t» *v\ ts *■ +• *s A -tv *v. t» A «v í «s ts ts ts ts 1 ts'. (Vs ; »s «X és ts A ts «s . «\ A fs /'#» «•»</t>
  </si>
  <si>
    <t>Coduatn, Francisco</t>
  </si>
  <si>
    <t>Francisco Coduatn</t>
  </si>
  <si>
    <t>edro y Dofia Juana de Donasas.......................... ............. Tolosa........ ...... 21. ip. D. Francisco Coduatn.. D. Bernardo y Doña Luisa de Castelnodarryen Grave...................................... id................ 2(5. 28. D. Pedro Godefua....... D. Pedro y Doña Josepha Ebe- Prada en</t>
  </si>
  <si>
    <t>CoefFé, Capitán</t>
  </si>
  <si>
    <t>Capitán CoefFé</t>
  </si>
  <si>
    <t>e la guerra: luego.Jos*sentó á su;mesa. También ha conferido el primar Cónsul unj sable de honor al Capitán CoefFé, que en el encuentro que hubo la-noche de 5 á 6 de Mayo del año último en el exército de It.Jia, .hallándose encargado de defender con ifo hombres eh puesto importante de la Brigv</t>
  </si>
  <si>
    <t>Colátid, General</t>
  </si>
  <si>
    <t>General Colátid</t>
  </si>
  <si>
    <t>irchen, marchó hacía Rosenheim á W de atravesar por aquel pueblo el mencionado rio. _ El cuerpo del General Colátid se Halla eiítné Mosburgo y FreysingSn, y tiene cercado un cuerpo ;de .4^ austríacos mandado por el Príncipe de Lichtenstein, que nb quiere entregarse. - &lt;L?á^Vangi^tr£áydÍBir^éí81</t>
  </si>
  <si>
    <t>Colaud, General</t>
  </si>
  <si>
    <t>General Colaud</t>
  </si>
  <si>
    <t>4&lt;&gt; sioneros; pero los franceses, sostenidos luego por dos divisiones al mando del General Colaud, vplviéron á entrar ios dias 5 y 6 en Freysingen, Mosburgo y Lartdsbut. La fortaleza de Hohentwiel, construida en la cumbre de un peñasco elevado , desde donde dominaba una gran e</t>
  </si>
  <si>
    <t>l dia 20 á Mr. MeerfekLpara que pidiese un armisticio al General Moreaú. ' La división francesa del General Colaud ocupa la ciudad de Passau, y la del General de Laborde habrá entrado ya en Ratisbona. &gt; Londres 24 de Diciembre. . ¿ E 1 General Abercombrie ha pedido ai gobierno le envíe los méi</t>
  </si>
  <si>
    <t>concluyendo la música de una ópera nueva intitulada Artemira. Strasburgo de Marzo. L a división del General Colaud, que consta de 12® hombres efectivos, ha entrado en el pais de Oettingen , y seguirá por el Palatinado á los quatro» nuevos departamentos franceses. ., , El Landgrave de Hessel-Ga</t>
  </si>
  <si>
    <t>Colbert</t>
  </si>
  <si>
    <t>de Escribano y de Montero * cálle de la Concepción. ‘ Proyecto «obre el -comercie:: -presentado por Mr. Colbert á Luis xiv, y traducido por el Couatsaiio-de Or'uerra de los Reales «xércitos D. Alejandro de Silara y Ayani. Esta -obra* que &lt;es una de las preciosas colecciones de mialmas econó</t>
  </si>
  <si>
    <t>Colii, General</t>
  </si>
  <si>
    <t>General Colii</t>
  </si>
  <si>
    <t>dole que el Consejo áulico de Viena pedia de orden expresa ||lí Emperador que fuese cangeado por el General Colii; y que. en consequencia puede restituirse al Austria.</t>
  </si>
  <si>
    <t>Coll de Tánger, Joseph</t>
  </si>
  <si>
    <t>Joseph Coll de Tánger</t>
  </si>
  <si>
    <t>Soberano á dicho facultativo el título de su primer Médico de Cámara. Con motivo de retirarse ahora D. Joseph Coll de Tánger, concluida su comisión, ha escrito Muley Solimán una carta á dicho su primer médico, escrita en estilo.^riental, cuya traducción literal es la siguiente: „La alabanza sea dada á D</t>
  </si>
  <si>
    <t>Coll, Joseph</t>
  </si>
  <si>
    <t>Joseph Coll</t>
  </si>
  <si>
    <t>ógicos acomodados i toda clase de literatos: traducidos del latín por el Dr. D.-Joseph Coll , Médico honorario de la Real familia, secretario segundo dé la Reai academia médico-práctica •de Barcelona &amp;c. : publícala el Dr. D. Bernardo Vaquer , cura párroco de Prats de Rey.- Esta</t>
  </si>
  <si>
    <t>Coll, Joseph Antonio</t>
  </si>
  <si>
    <t>Joseph Antonio Coll</t>
  </si>
  <si>
    <t>e la peste que se padecía en sus dominios, cuyos estragos desolaban el país: se dixo igualmente que Don Joseph Antonio Coll habia pasado á Tánger de orden del Rey con esta" comisión, y que satisfecho S. M. Marroquí del feliz éxito que Coll habia tenido y de su acierto en la curación, suponiendo que deb</t>
  </si>
  <si>
    <t>Colme, Joseph</t>
  </si>
  <si>
    <t>Joseph Colme</t>
  </si>
  <si>
    <t>tiago la Tenencia de granaderos al Teniente de fusileros D. Pedro González; Tenencia de fusileros á D. Joseph Colme lo, Subteniente de cazadores; esta resulta á D. Benito de Ponte, Subteniente</t>
  </si>
  <si>
    <t>Colominas, Luis</t>
  </si>
  <si>
    <t>Luis Colominas</t>
  </si>
  <si>
    <t>de infantería ligera de Cataluña, fixas de la Havana, ha promovido el Rey á Teniente al Subteniente D. Luis Colominas; á esta resalta al Alférez D. Buenaventura Boix, y á la que este dexa al Sargento primero D. Joseph Casamitjana. También ha conferido S. M. compañía en el batallón de milicias dis</t>
  </si>
  <si>
    <t>Colon</t>
  </si>
  <si>
    <t>ina,ó método fácil y seguro de preservarse para siempre de las viruelas: escritos en francés por el Dr. Colon, médico de París ; y traducido por el Dr. Francisco de Piguillem, socio íntimo de la Real academia de medicina práctica de Barcelona y del Real colegio de medicina de Madrid. Se h</t>
  </si>
  <si>
    <t>Colorado, Juan</t>
  </si>
  <si>
    <t>Juan Colorado</t>
  </si>
  <si>
    <t>D. Jacinto Gómez y D. Diego Ponce , y. á segundos Subtenientes al Sargento primero del mismo cuerpo D. Juan Colorado, al de Granaderos voluntarios de Estado D. Juan Manuel Sigíien7.2, y al Cadete del de Zamora D. Ignacio Mallen: y en el de infantería ee Borboo á primer Teniente al segundo de gra</t>
  </si>
  <si>
    <t>ColR Esté, Coronel</t>
  </si>
  <si>
    <t>Coronel ColR Esté</t>
  </si>
  <si>
    <t>tablecido S. S. la congregación militar., y se compone del Conde Bussi, el Condestable Colona, y el Coronel ColR Esté liltimo tiene el mando interino de-un cuerpo de mil hombres que se acaba de formar. - •• Turin 24de Febrero,' A yer tarde llegó aquí un correo de Milán con cartas del ciud. Robert</t>
  </si>
  <si>
    <t>Columbario Cabrera</t>
  </si>
  <si>
    <t>l Teniente de granaderos graduado de Capi¿ D Joachín García-, Tenencia de granaderos a. de fusneros D Columbario Cabrera : Tenencias de fusileros a los Subtenientes de granaderos Don Francisco Valencia y D. Miguel Gnecco-, Subtenencias de granaderos a íos de fusileros D. Joseph Angulo y D. Antonio P</t>
  </si>
  <si>
    <t>comandante activos concertaron entre sí presentar sus partidas á</t>
  </si>
  <si>
    <t>rra, y del Cadete del de caballería de Santiago D. Juan Bautista Delgado; estos comandantes jóvenes y activos concertaron entre sí presentar sus partidas á la vista del enemigo en posición de que percibiéndolas este confusamente, asomadas a las eminencias vecinas, le aparentaran una mayor indefinida fuerza; y hech</t>
  </si>
  <si>
    <t>comandante al V ice-AI mirante Lord Nelson</t>
  </si>
  <si>
    <t>r¿ quadra destinada'para el mar del Norte: se asegura que lleva .por, segundo.: comandante al V ice-AI mirante Lord Nelson, que debía ir. alMediterraneo, , y por tercero al Contra-Almirante Fairfax. „ : , v ' 'AcaB'a de permitir éste gobierno la libre introducción y extracción de</t>
  </si>
  <si>
    <t>comandante austríaco que había violado la neutralidad de Franconia</t>
  </si>
  <si>
    <t>I. b El Ministra de «Prusia remitió ;á. este gabinete una nota quejándose de un comandante austríaco que había violado la neutralidad de Franconia. El</t>
  </si>
  <si>
    <t>comandante austriacos</t>
  </si>
  <si>
    <t>erecho, y los vecinos de esta gozan la misma libertad para ir al otro lado. Los comandantes austriacos y franceses han expedido respectivamente órdenes rigurosas para que se observe la mejor armonía, y sobre todo para que no se altere la tranquilidad pública. Eh Veronetta está ya establecido el gobierno austríaco, y su guarnició</t>
  </si>
  <si>
    <t>comandante Benesoef juntasen barcos</t>
  </si>
  <si>
    <t>ntuviese el sosiego en el pais, y nos enviase granos,. Escribí igualmente á los comandantes de Minieh y Benesoef juntasen barcos y remitiesen al Cayro quantos granos pudiesen: pues nuestros almacenes estaban casi vacíos. Tuve el dia 25 noticia de la desgraciada jornada del 2J¡ de Marzo: y entonces se perdió l</t>
  </si>
  <si>
    <t>comandante británicos que excepto las embarcaciones españolas</t>
  </si>
  <si>
    <t>particular; y así ha ofrecido hacerlo. Ñapóles 2, de Agosto. H an declarado los comandantes británicos que excepto las embarcaciones españolas, francesas y genovesas, todas las demas de qualquier nación que sean, podrán navegar , salir y entrar libremente^ en los puertos de este Reyno. Se espera que m</t>
  </si>
  <si>
    <t>comandante con el mayor cuidado</t>
  </si>
  <si>
    <t>Baxá da Belgrado. Añaden que los génízaros siguen custodiando Ja persona de su comandante con el mayor cuidado, y continúan con actividad sus preparativos de guerra y defensa. i. El General Lusignan ha llegado á Lemberg en calidad de comandante; y se espera al General O</t>
  </si>
  <si>
    <t>comandante de</t>
  </si>
  <si>
    <t>los atacó, y los derrotó com- pletamente. Fué herido él Zarewitsch Alexandro , comandante de los. lesghianós, y quedáron en el campo de batalla muchos de ellos. En las tropas rusas no hubo casi pérdida. Se publicará una relación de este ataque. Stockolmo j</t>
  </si>
  <si>
    <t>erto', ,para que quieran persuadir á otras potencias que están bloqueados*_ Los comandantes de. Mahon escribieron á dicho Cónsul encargándole pidiese ai Bey licencia para cargar de.granos una embarcación* que se despachaba al intento; pero respondió', qu</t>
  </si>
  <si>
    <t>el castillo de Cronenburgo no puede absolutamente impedir el paso del Sund. El comandante de la .esquadra se portó en todo este lance^con la mira de que los dinamarqueses pareciesen culpados en haber sido los que rompieron el fuego, al qual no se expuso s</t>
  </si>
  <si>
    <t>le fuego ,qu.c’h. ei,.n Jos enemigos. 'Incluye las relaciones o partes de los 5 comandantes de. divisiones , de las qualcs se haa t</t>
  </si>
  <si>
    <t>Comandante de</t>
  </si>
  <si>
    <t>o. ín el regimiento de Reales Guardias Españolas se ha servido promover S. M. á Comandante de .granaderos .al primer Teniente .de fusileros Dan ¿Fernando Rodríguez Salamanca. En el de infantería de Soria á segundo Subteniente al Sargento primero del de</t>
  </si>
  <si>
    <t>comandante de Alexañdría</t>
  </si>
  <si>
    <t>puerto; pero la Africana no ha pareerdó todavía. EL General de división Friant, comandante de Alexañdría, salió de aquí el día 2 por la mañana con parte de la guarnición. El 5 por la tarde dos fragatas y un bergantín enemigos volvieron á cruzar delante de esté pue</t>
  </si>
  <si>
    <t>comandante de aquel cuerpo austríaco</t>
  </si>
  <si>
    <t>lo menos 600 soldados de caballería. Quedó también prisionero el General Lopes, comandante de aquel cuerpo austríaco. El 19 mudaron los enemigos los cuerpos que componían su retaguardia, y la formaron con los llamados capus-roxas, con los uníanos y los húsares de Mezurot, que</t>
  </si>
  <si>
    <t>comandante de aquel puerto pidiéndole socorros</t>
  </si>
  <si>
    <t>en, en Scania. El Capitán Spranger, que la mandaba, escribió tnmcdiatamenr-: al comandante de aquel puerto pidiéndole socorros, espucialm nte L.nch s en que poner su artillería á iin de aújír su buque. Se le concedió cjuarto solicitaba; pero no se permitió que botasen á tierra mas de 6</t>
  </si>
  <si>
    <t>comandante de ártilleríá</t>
  </si>
  <si>
    <t>7 ' • ;' y'¿/'--"v'.Basiled 23 de Abril. JRl General. So^bier Ha.'dado orden al comandante dé ártilleríá^jué está t» Zurich para '^ñé restituya k aquella ciudad los cañones yrIas uñtfhiéioííést que se habían sácádd dé TiUr afinería- para servicio del ex¡?rdtó fían</t>
  </si>
  <si>
    <t>comandante de artillería</t>
  </si>
  <si>
    <t>rdias Preobrattíski, como también otros varios cuerpos de tropas escogidas. Los comandantes de artillería y muchos marineros están ya en marcha para el mismo destino. ^ El Emperador ha nombrado á Mr. Hongberg por su Encargado de Negocios en la República bátava, miéntras que nombra á otro sugeto que vaya á r</t>
  </si>
  <si>
    <t>comandante de Belbeis</t>
  </si>
  <si>
    <t>Abril, en fuerza de órdénes que tuve del General en xefe* escribí á los mismos comandantes de Belbeis y Salahieh , que quando supiesen de cierto que desde Siria venían á Egipto fuerzas considerables, evacuasen las plazas, recogiendo quantas municiones y víveres pudiesen,</t>
  </si>
  <si>
    <t>comandante de bis tropas francesas énJAléxandnai</t>
  </si>
  <si>
    <t>uiente carta de Const.mtiúopla de x 2 de Setiembre: „ El General «rixefe Menou, comandante de bis tropas francesas énJAléxandnai,fpropiiso el 26 de Agosto lina suspensión de armas, á fin de arreglar los* artículos para-évaciiár ; la plaza. Accedió á ello el General Hmchirison con previo</t>
  </si>
  <si>
    <t>comandante de buques de guerra</t>
  </si>
  <si>
    <t>r voluntad de S. M. que se expidan órdenes á los oficiales en xefe, capitanes y comandantes de buques de guerra , para que desde luego se abstengan de todo acto de hostilidad contra las posesiones de Francia y de sus aliados, y que en caso de que los navios de S. M. enco</t>
  </si>
  <si>
    <t>comandante de cada distrito</t>
  </si>
  <si>
    <t>á lo int rior del país su ganado y sus granos, á la primera orden que les dé el comandante de cada distrito. Por las últimas embarcaciones de Jamayca han llegado cart s, según las quales en algunas partes de aquella isla se manifestaba una fiebre tpidémica. Lo cierto</t>
  </si>
  <si>
    <t>comandante de cada nave</t>
  </si>
  <si>
    <t>a destinados para el transporte, sus armas y municiones depositadas á cargo del comandante de cada nave , quien se las restituirá á su llegada á Francia. Las tropas que se embarquen en transportes no armados en guerra, conservarán á bordo sus armas y municiones,</t>
  </si>
  <si>
    <t>comandante de cada uno de dichps cuerpos de esa provincia</t>
  </si>
  <si>
    <t>arios en todas las partes del Reyno. En conseqüencia comunicareis esta carta al comandante de cada uno de dichps cuerpos de esa provincia, encargándoles que se la lean en la próxima parada, y en nombre de S&gt; M. les den gracias por su buena conducta, la qual contribuyó esencialmente á mantener la</t>
  </si>
  <si>
    <t>comandante de coluna despachará un oficial con</t>
  </si>
  <si>
    <t>onformarán puntualmente con las instrucciones que tienen para esta marcha. Cada comandante de coluna despachará un oficial con 24 horas de anticipación para asegurar los alojamientos y los víveres.” Turin 2 de Diciembre. S e ha señalado gran numero de campanas de este país para fundirl</t>
  </si>
  <si>
    <t>comandante de DasseldoríF</t>
  </si>
  <si>
    <t>rtificaciones de dichas plazas; pero habiéndolos pedido la junta de guerra, los comandantes de DasseldoríF y de otros parages volviéron á la ribera derecha, sacáron dichos testimonios, é hicieron que los firmasen los síndicos de las ciudades. Todo esto se executó en 24 horas.__- En Italia el exército franc</t>
  </si>
  <si>
    <t>comandante de dicha fragata</t>
  </si>
  <si>
    <t>eles; Al cabo de una hora volvió diciéndome que no ha-^ bia podido encontrar al comandante de dicha fragata, qué estaba en convite : le expresé quan desagradable conducta era la suva para un parlamentario; pero se fué otra vez. A cosa de un qoarto de hora vino á bord</t>
  </si>
  <si>
    <t>comandante de dicho apostadero</t>
  </si>
  <si>
    <t>as noticias se debe pues añadir que el Capitán de Nafvío D. Juan Pablo Lodáres, comandante de dicho apostadero , procuró desde los principios del ataque sostenerlo en el mejor modo posible con las 7 cañoneras que entonces había en la bahía de Algecir.¿s; para lo qiul hi</t>
  </si>
  <si>
    <t>comandante de ellos envid una lancha para pedirlos al Capitán</t>
  </si>
  <si>
    <t>banderas en Cukhavenyyse alistaron para servir en la de Inglaterra. El oficial comandante de ellos envid una lancha para pedirlos al Capitán de la esquadrilia inglesa, en cuyos buques se hallaban, el qual se negó á entregarlos. Renovó el comandante prusiano sus instancias; pero el Capitán británico ame</t>
  </si>
  <si>
    <t>Comandante de escuadrón del de ViUavfdosa</t>
  </si>
  <si>
    <t>elde Lusitama, graduado de Coronel, D.RaS n Tañado Pastor ; y 4 esta resulta al Comandante de escuadrón del de ViUavfdosa, graduado'de Coronel, D. Diego de Torres. _ El Rey ella servido nombrar para una plaza del Conse,o Real al Sr. D Pedro González Calderón, Teniente de Villa, en</t>
  </si>
  <si>
    <t>Comandante de esqoadron del del Infante</t>
  </si>
  <si>
    <t>eyna María Luisa Vizconde de Zolina, y á Teniente Coronel de este regimiento al Comandante de esqoadron del del Infante, graduado de Coronel, D. Juan de Henestrosa: en el mismo del Infante á Alférez al Portaestandarte D. Joseph Clairacy Tirado» y á.Por*</t>
  </si>
  <si>
    <t>Comandante de esquadren</t>
  </si>
  <si>
    <t>raduado de Capitán, D. Francisco Sagui: en el de Numancia á Teniente Coronel al Comandante de esquadren , graduado de Coronel, D. Julián de Castro; y en el de Lusitania á Ayudante al Teniente de granaderos, graduado ae Capitán, D. Isidoro Morcillo: habiéndose ser</t>
  </si>
  <si>
    <t>Comandante de esquadroa del regimiento de Milicias urbanas de caballería</t>
  </si>
  <si>
    <t>al Sargento primero D. luis Guinety. El Rey se ha dignado conferir el empleo de Comandante de esquadroa del regimiento de Milicias urbanas de caballería de Huanta al Sargento mayor D. Juan Antonio Beramendi, y Compañía al Teniente D. Juan Joseph Negron, Ayudante del mismo cuerpo: empleo de Comandante de esquadron</t>
  </si>
  <si>
    <t>Comandante de esquadron en el de Milicias urbanas de dragones</t>
  </si>
  <si>
    <t>ompañía al Teniente D. Juan Joseph Negron, Ayudante del mismo cuerpo: empleo de Comandante de esquadron en el de Milicias urbanas de dragones de Quispicanchi al Teniente Coronel agregado D. Bartolomé de Figueroa: igual ascenso en el dé Arica al Sargento mayor D. Joseph Lino Portocarrero; sus resultas al</t>
  </si>
  <si>
    <t>comandante de esta embarcación</t>
  </si>
  <si>
    <t>. Felipe, que salió de Alexandría el 4 de Febrero. El Teniente de navio Barret, comandante de esta embarcación, el ciud. Boisserotes, agregado á la plana mayor, y yo, traemos los pliegos del General Menou, y los dirigimos al Prefecto de Tolon para que los envie á París.</t>
  </si>
  <si>
    <t>comandante de esta última cañonera escribió el dia siguiente a</t>
  </si>
  <si>
    <t>s; solo falta la cañonera la Inflamada, que me fué forzoso dexar encallada.” El comandante de esta última cañonera escribió el dia siguiente a! General Latouche-Treville en estos términos: ,,Durante el combate que sostuve ayer contra la fragata inglesa nombrada Dart* Capitán Bóltón, de porte de 28 cañ</t>
  </si>
  <si>
    <t>comandante de Galitzia</t>
  </si>
  <si>
    <t>n entre las fronteras rusas y Galitzia; y acaba este ministerio de enviar á los comandantes de Galitzia, Hungría y otros países confinantes, instrucciones sobre la conducta que.han</t>
  </si>
  <si>
    <t>Comandante de Garlscrona y de la esquadra de aquel departanien</t>
  </si>
  <si>
    <t>i a El ha conferiífoa|ÍM¿dntí:a^A!iinránte Baron db ^ederstrom eli eiíi^pleo de Comandante de Garlscrona y de la esquadra de aquel departanien-; to,en Itfgár delV i cer AI mirante Cronstedt, que de orden de S. M. viene i destem;j&gt;efiáfíaqúíí^níei1tea|pgiíi‘'';i‘'''v‘lIr1EU?-&gt;,K£j ^ ■•=-':* Y: i Dícesd</t>
  </si>
  <si>
    <t>Comandante de granaderos</t>
  </si>
  <si>
    <t>Guardias Españolas se ha servido el Rey promover á Capitán al primer Teniente y Comandante de granaderos, graduado de Coronel, D. Joseph Moreno Daoiz; a Comandantes de granaderos y cazadores á los primeros Tenientes D. Joseph de Lila F antoni y Don Juan de Escoved</t>
  </si>
  <si>
    <t>comandante de IaHelidpolis</t>
  </si>
  <si>
    <t>truria. Extracto del Monitor del dia _p. „El ciud. Lugan-, Capitán de fragata y comandante de IaHelidpolis, salió de Alexandría el 14 de Julio en el pingue Ntra.Sra. de Idra, que se armó con-20 marineros franceses escogidos: pudo librarse de los enemigos, arribó á C</t>
  </si>
  <si>
    <t>Comandante de infantería</t>
  </si>
  <si>
    <t>s , siendo el precio de las de granaderos i 13 rs. y á 12 las de fusileros. Los Comandantes de infantería , caballería , dragones, artillería, marina, milicias é inválido» qué quieran surtir de las expresadas calcetas, á los individuos de sus respectivos cuerpos ac</t>
  </si>
  <si>
    <t>Comandante de ingenieros dixo que se necesitaban</t>
  </si>
  <si>
    <t>1290 va leva, que no tenían experiencia ni práctica. El Comandante de ingenieros dixo que se necesitaban de 5 á 6® hombres sanos y robustos solo para defender los puestos, los castillos y el cuerpo de la plaza; y que faltaba gran número de trabajadores para perfeccio</t>
  </si>
  <si>
    <t>comandante de Jas tropas británicas</t>
  </si>
  <si>
    <t>n en ningún otro puerto de Fr-.ncia, excepto en caso de absoluta necesidad. Los comandantes de Jas tropas británicas, Otomanas :y* francés $ contraen recíprocamente la misma obligación por el tiempo que. las tropas francesas permanezcan eñ Egipto desde la: ratificación de est</t>
  </si>
  <si>
    <t>comandante de la artillería</t>
  </si>
  <si>
    <t>na, engañó á los enemigos; y la actividad y los talentos del General j^larmoát, comandante de la artillería, facilitáron esta impoirtáqfe Operación. Él General Delmas, con algunos cañones, atcaiesó la cordillera qué separa el valle de PcllselLa del de Patatena: tuvo</t>
  </si>
  <si>
    <t>liabiéndose retirado la guarnición---- .Durante la acción del 16 el Mayor Hope, comandante de la artillería, yr yo, estuvimos e-n el c.'.mpo de batalla con el Gran Visir:-el-Capitán de ingenieros Lacey se hallaba con &lt;&gt;TBaxá Meh em»d; y el Capitán de artillería Leake</t>
  </si>
  <si>
    <t>comandante de la artillería en la expedición de la isla</t>
  </si>
  <si>
    <t>ovincial de la jilñza de Ceuta: fué Gobernador interino de la plaza de Melilla: comandante de la artillería en la expedición de la isla de Menorca, laque conquistada, pasó al sitio de Gibraltar: fué Capitán general de Mallorca: Comandante general de Artillería en el exército del Rosellon, y Capí t</t>
  </si>
  <si>
    <t>comandante de la Bravouref</t>
  </si>
  <si>
    <t>e empeñó un combate que duró media hora á tiro de pistola. El Capitán Dordelin, comandante de la Bravouref «quiso intentar el abordage; pero los enemigos lograron evitarlo, y huyéron á todo trapo. En esta acción padeciéron muchísimo Jos ingleses i por el fuego de nu</t>
  </si>
  <si>
    <t>Comandante de la brigada de Artillería volante del Real cuerpo</t>
  </si>
  <si>
    <t>r el santo bautismo. Madrid 2y de Enera, A 1 Coronel D. Vicente María Maturana, Comandante de la brigada de Artillería volante del Real cuerpo de Guardias de Corps, se ha servido el Rey promover á Brigadier de infantería de sus Exércitos. En el regimiento de Reales Guardias Españolas se ha servido promov</t>
  </si>
  <si>
    <t>comandante de la cañonera núm</t>
  </si>
  <si>
    <t>sto de Lt acción. En ella fué muerto el Alférez de Navio Z&gt;. Gerónimo Lóbaton , comandante de la cañonera núm. 12, 3 patronés y” 2 marineros, y saliérón heridos un condestable, 4 soldados y 5 marineros. El comandante del apostadero Lodáres elogía la apreciable conducta</t>
  </si>
  <si>
    <t>comandante de la capital de aquel Electorado</t>
  </si>
  <si>
    <t>el Rey de Inglaterra, Teniente General de las tropas d&amp; Hannóver, está nombrado comandante de la capital de aquel Electorado. f Según avisos de Gluckstadt «se há puesto embargó en las embarcaciones británicas surtas en aquel puerto dinamarqués, é igualmente se han detenido 4as de otr</t>
  </si>
  <si>
    <t>comandante de la Castor</t>
  </si>
  <si>
    <t>baxa. Continuaron ambas aproximándose, hasta que aprovechando la inmediación el comandante de la Castor , determino el aborda ge. Lo ejecutaron con intrepidez y bizarría 30 hombres de mar y 15 del regimiento de Lima, baxo la dirección de sus respectivos oficiales</t>
  </si>
  <si>
    <t>comandante de la ciudad</t>
  </si>
  <si>
    <t>r las tropas que se habían tendido á su paso. Al dia siguiente le visitaron los comandantes de la ciudad y los xefes de los cuerpos militares. Una carta de ToIon expresa que han vuelto á aquel puerto los navios Formidable, Indomable y Oesaix, que se separáron de la esquadra de Gantheaume en las aguas</t>
  </si>
  <si>
    <t>comandante de la ciudad y fortaleza</t>
  </si>
  <si>
    <t>305 i5 entre el Teniente General Baroft Mirtckwitz, comandante de la ciudad y fortaleza, y el Ayudante general fránceS Máthis. XaV dos primeras colunas se pusieron en marchá el mismo dia i j 'fór lamáñána, y la tercera el x 8 á la propia hora. Se</t>
  </si>
  <si>
    <t>comandante de la embarcación nombrada</t>
  </si>
  <si>
    <t>tados americanos -buriles de harina para este país. El Teniente Carlos htewart, comandante de la embarcación nombrada</t>
  </si>
  <si>
    <t>comandante de la esqu</t>
  </si>
  <si>
    <t>á favor de la Francia. . ' ' París 18 de Agosto. I 1 Contra-Almirante Latouche, comandante de la esqu^driha ligera de. la Mancha, ha escrito al Ministro de Marina en estos términos: „Botona j6 de Agosto. Tuve Ja honra de informaros en mi carta, del dia 5 del co</t>
  </si>
  <si>
    <t>comandante de la esquadra es Mr</t>
  </si>
  <si>
    <t>ombres y 150 artilleros: los Coroneles Clinton y Gordon mandan estas tropas. El comandante de la esquadra es Mr. Bowden , Capitán del Argos. Llegamos á la Madera el dia 26. Un oficial que se despachó al Gobernador, traxo una respuesta que no satisfizo á nuestro comandant</t>
  </si>
  <si>
    <t>Comandante de la esquadra que salió de Brest el</t>
  </si>
  <si>
    <t>nte. v Parts g de Marzo. E I Contra-Almirante Gantheaumé, Consejero dé Estado y Comandante de la esquadra que salió de Brest el 23 de Enero, ha escrito al Ministro de Marina desde la altura del cabo de Gata, á 10 de Febrero, informándole dé su navegación desde su salida del puerto. Empi</t>
  </si>
  <si>
    <t>comandante de la esquudra francesa repitiéron</t>
  </si>
  <si>
    <t>r. Gradina, contribuyeron á aumentar la pompa de dicha solemnidad. Los 3 navios comandantes de la esquudra francesa repitiéron las 3 salvas qne hicieron los navios españoles: concluyéndose esta fiesta con un espléndido convite que dio el referido General, y á que asistieron los xefes y com</t>
  </si>
  <si>
    <t>Comandante de la fragata Regenerfí</t>
  </si>
  <si>
    <t>Didier , que el diá 9 pasó por Damenhour.” Carta del Capitán de navio Ricker , Comandante de la fragata Regenerfí, al Ministro de Idartna ¡ escrita en Alexandría el í(T de ■ Rdarzo* Os</t>
  </si>
  <si>
    <t>Comandante de la Galitzia oriental</t>
  </si>
  <si>
    <t>ella provincia, recibió el 29 del mes anterior una carta del Conde de Gaisruga, Comandante de la Galitzia oriental, comunicándole que Mr. de Rbsfen&amp;erg, Gobernador de TCaminiek, lemvisaba de oficio que tema-orden d» «úe el'exSrcko imperial rusopque sq halla: un das frontera</t>
  </si>
  <si>
    <t>comandante de la Inflamada</t>
  </si>
  <si>
    <t>s: y de resultas tuvimos tres hombres muertos y dos heridos. El ciud. Herbelin, comandante de la Inflamada, me avisó que se iba á pique; le mandé que diese á la costa si no tenia otro remedio. En su cañonera hubo varios muertos. También perdimos un hombre en la lanc</t>
  </si>
  <si>
    <t>comandante de la izquierda</t>
  </si>
  <si>
    <t>Miémras la derecha executaba este movimiento, el General Paragüey d’ Hilliers, comandante de la izquierda, $e adelantaba por laEngadina. Atacámos y ganamos al instante á Schutz;y luego que .supe esta; primera ventaja mandé al General Baraguéy siguiese internáricfos</t>
  </si>
  <si>
    <t>comandante de la línea de defensa y de la rada</t>
  </si>
  <si>
    <t>ue con fecha de 3 del corriente dirigió al Príncipe Reai el Comendador Fischer, comandante de la línea de defensa y de la rada. Empieza este General dando al cielo gracias de que la Europa ha sido testigo de una bata!ia,ta''n desigual y gloriosa con. tra los ingleses. Durante quatro ho</t>
  </si>
  <si>
    <t>comandante de la marina francesa en Italia</t>
  </si>
  <si>
    <t>ta Lugan, recien llegado de Egipto, ha escrito al Contr {-Almirante Vilieneuve, comandante de la marina francesa en Italia, la siguiente carta con fecha de Otranto á 25 de Agosto: ,, En mí anterior nad 1 os dixe de las cosas de Egipto. Ahora os diré que aun conservamos á AI xind;í</t>
  </si>
  <si>
    <t>Comandante de la primer división del exército de los Grisones</t>
  </si>
  <si>
    <t>Acaba de llegar á París el General Baraguey-d’Hilliers, Comandante de la primer división del exército de los Grisones. En virtud de la resolución de la Puerta Otomana de dar libertad á los prisioneros franceses que había en Constantinopla y en los castillos del mar Negro, han</t>
  </si>
  <si>
    <t>comandante de la pUza no hubiese enviado á la playa</t>
  </si>
  <si>
    <t>das, que se hubieran infaliblemente apoderado de uno de ellos si desde luego el comandante de la pUza no hubiese enviado á la playa dos cañones de campaña con un destacamento de tropas, y despachado igualmente un cúter que salió d&lt;s aquel puerto á su socorro. La fragata disparó una andanada al</t>
  </si>
  <si>
    <t>Comandante de la tercera división</t>
  </si>
  <si>
    <t>tulación de la plaza de Oliveñza ajustada por él Exc. Sr. Marques de Castelar , Comandante de la tercera división, y el Mariscal de Campo julio César Augusto de Chermont, al servicio de S. M. Fidelísima, y Gobernador de ella. PROPOSICION 1.* CONTESTACION. a guarnición sald</t>
  </si>
  <si>
    <t>comandante de la torre entregó</t>
  </si>
  <si>
    <t>malezas, se apostaron al amanecer en las alturas de Marciana, y poco después el comandante de la torre entregó «sta á los franceses en fuerza de orden del Gobernador de Longone. Después de apostarse, y de dexar resguardado el convoy, se puso Marioti en marcha para Longo</t>
  </si>
  <si>
    <t>comandante de la tropa y del castillo de Abukir</t>
  </si>
  <si>
    <t>ción.__ Firmado: Dalhousie, Coronel. Viriacne, xefe de batallón de* ingenieros, comandante de la tropa y del castillo de Abukir. __ Aprobado por el comandante en xefe. — Firmado: J. Hope, Ayudanté general." Los prisioneros de Abukir son 2 xefes de batallón, 8 oficíales subalternos, y 14</t>
  </si>
  <si>
    <t>comandante de la vanguardia de las tropas de Belgrado</t>
  </si>
  <si>
    <t>rebelde. En un encuentro que hubo últimamente cerca de Negadin, el Baxá Delli, comandante de la vanguardia de las tropas de Belgrado, perdió*lá vida1 en íel eampo:de batalla,•con 150 kcrgaüs, y las demás tropas huyéron, dexando sus bagages en poder del vencedor. A esta noticia añaden los avi</t>
  </si>
  <si>
    <t>comandante de las esauadras</t>
  </si>
  <si>
    <t>las rentas corrientes del estado. La circular que el Almirantazgo dirigió á los comandantes de las esauadras y navios está substanciafmente concebida en estos términos: „Nos los comisarios encargados de las funciones del empleo de Gran Almirante d ! fteyno unido de la Gran Bretaña é Irlanda. Habiéndonos común? -ado &lt;</t>
  </si>
  <si>
    <t>comandante de las francesas al evacuar la ciudad entregó á</t>
  </si>
  <si>
    <t>eldorf escriben que 1 mediados de este mes entraron allí tro^ pas palatinas. El comandante de las francesas al evacuar la ciudad entregó á la Regencia del Ducado de Berg una razón del actual estado de las fortificaciones de la plaza. Sin embargo de todo esto se cree que el Duque de Baviera no conserv</t>
  </si>
  <si>
    <t>comandante de las frv</t>
  </si>
  <si>
    <t>a ampadasí-t^ dos^ingfefees. Contiene muchas quejas contra el Brigadier Eúller, comandante de las frv* pas británicas. Quando estas tomaron * posesión del aquél estvbiecimii. ato, manifestaron mucha moderación; pero (expresa-dichaicma).parece que du ánimo no er</t>
  </si>
  <si>
    <t>comandante de las fuerzas enemigas para marinarla</t>
  </si>
  <si>
    <t>en ella vienen prisioneros el oficial y los marineros ingleses que despachó el comandante de las fuerzas enemigas para marinarla/ * Chartres 29 de Setiembre. ^ Imemoria -1dia 23 se celebró aquí la inauguración de un obelisco erigido-i Ja del General Marceau. Este monumento, colocado entr</t>
  </si>
  <si>
    <t>comandante de las fuerzas navales apostadas en el lago</t>
  </si>
  <si>
    <t>eros, que esmeraban5 proporción para ir á Francia. El Capitán ingles Maitland , comandante de las fuerzas navales apostadas en el lago, tiene cortadas en gran parte las comunicaciones con Roseta, y los árabes abastecen de víveres á .Jos ingleses. Añaden que un cuerpo de tropas otomanas acababv</t>
  </si>
  <si>
    <t>Comandante de las lanchas de fuerza y todos sus oficiales</t>
  </si>
  <si>
    <t>egos, que desmontáron un canon. Iturrigaray concluye haciendo altos elogios del Comandante de las lanchas de fuerza y todos sus oficiales , é igualmente del oficial de artillería que reemplazó á su Comandante el Capitán D. Matías Rodríguez, y aun mas singulares del expresado D. Manuel Ramírez. Qu</t>
  </si>
  <si>
    <t>Comandante de las lanchas el Capitán de Navio Pascual Ruiz</t>
  </si>
  <si>
    <t>qual se rezeiaban íbamos á echar un puente de barcas. Iturrigaray dio orden al Comandante de las lanchas el Capitán de Navio Don Pascual Ruiz Huidobro para que con ellas reconociese é impidiese la continuación del trabajo; lo que executó este activo oficial en dos lanchas, Cuyo fuego ahuyentó á los t</t>
  </si>
  <si>
    <t>Comandante de las partidas destinadas á la persecución de contrabandistas</t>
  </si>
  <si>
    <t>, Capitán del regimiento provincial de Castellón de la Plana, en su comisión de Comandante de las partidas destinadas á la persecución de contrabandistas y malhechores en el Reyno de Valencia, se ha servido el Rey concederle el grado de Teniente Coronel de Milicias* También ha venido S. M. en conceder honores del</t>
  </si>
  <si>
    <t>comandante de las provincias confinantes con Bosnia</t>
  </si>
  <si>
    <t>ndencia con los genízaros. Ai mismo tiempo ha expedido el Consejo correos á los comandantes de las provincias confinantes con Bosnia y Servia, encargándoles envien tropas á la frontera, á fin de reforzar el cuerpo de observación que manda el referido General Jellachich. Berlín 22 de Setiembre. S e tr</t>
  </si>
  <si>
    <t>comandante de las provincias marítimas del Reyno la siguiente circular</t>
  </si>
  <si>
    <t>nside-» ración. ,Londres 20 de Octubre. S e ha remitido por el ministerio á los comandantes de las provincias marítimas del Reyno la siguiente circular: ,,De orden del Rey os comunico qu.e en conscqiiencia dei feliz acontecimiento de la ratificación de los artículos preliminares de paz entre S. M. y el gobiern</t>
  </si>
  <si>
    <t>comandante de las ti'ópas francesas</t>
  </si>
  <si>
    <t>stá nombrado Gobernador general de Egipto, y el .General de división Reynier es comandante de las ti'ópas francesas. ’ En el Divan» se ha aumentado la consternación desde" que el Capitán Baxá ha propuesto que se rompiesexon Inglaterra, á fin de evitar el rom-* pimiento con q</t>
  </si>
  <si>
    <t>comandante de las tropas de aquel Electorado</t>
  </si>
  <si>
    <t>rzo ha remitido $. M. Prusiana al Consejo Real y Electoral de Hannóver, y á los comandantes de las tropas de aquel Electorado, la declaración de ios motivos que le obligan á ocuparlo. j- Londres $ de Abril. F la entrado aquí la fragata inglesa nombrada la Blanca, á cuyo bordo vienen l</t>
  </si>
  <si>
    <t>comandante de las tropas de desembarco</t>
  </si>
  <si>
    <t>a manda el Contra-Almirante Gantheaume , en cuyo navio van el General Sahuguet, comandante de las tropas de desembarco , y el Consejero de Estado Lascaiiier. Ignórase el destino de esta expedición. Un corsario de la Rochela nombrado el Onde- Thomas ha entrado en</t>
  </si>
  <si>
    <t>comandante de las tropas deaquel Electorado</t>
  </si>
  <si>
    <t>452 ver, y á los comandantes dé las tropas deaquel Electorado, está concebida en estos términos: ,, Al cabo de tantas violencias como el comercio y la navegación neutral han padecido desde el principio de esta guerra de p</t>
  </si>
  <si>
    <t>comandante de las tropas dinamarquesas</t>
  </si>
  <si>
    <t>putado de Lubeck irá quanto antes k París. Entre, el Príncipe Cirios de. Hesse, comandante de las tropas dinamarquesas, y Mr. Crawfort, Ministro., inglesase ajustó el dia 7 un nuevo convenio á presencia del Ministro de Prusia. Contiene ios 'artículos siguientes:. i.° se restabl</t>
  </si>
  <si>
    <t>comandante de las tropas francesas en el Brisgaw</t>
  </si>
  <si>
    <t>, y de fidelidad al gobierno. strasburgo 26 de Noviembre. E t General Walther , comandante de las tropas francesas en el Brisgaw, ha recibido orden de ir al instante á Rochefort, en donde se embarcará para Santo Domingo , en cuya expedición servirá baxo las órdenes del General Leclerc. L</t>
  </si>
  <si>
    <t>Comandante de las tropas francesas en Suiza</t>
  </si>
  <si>
    <t>aquel pais sujeto, en quanro á sus relaciones militares, al General Montchoisy, Comandante de las tropas francesas en Suiza ; pero acaban de reunirlo á la división de Piamonte, baxo las órdenes del</t>
  </si>
  <si>
    <t>comandante de las tropas francesas que hay en el Tirol</t>
  </si>
  <si>
    <t>los bienes que les han señalado. - Strasburgo 28 de Marzo. Í A General Demort, comandante de las tropas francesas que hay en el Tirol, tiene orden de evacuar el Tirol aleman, y no tardará en executarlo. Han llegado á Burgdorff y Altoettingen algunos oficiales franceses encarg. dos de disponer</t>
  </si>
  <si>
    <t>comandante de las tropas maguntinas</t>
  </si>
  <si>
    <t>las 4 de la tarde debían empezar las hostilidades. Temiendo el Barón de Aibini, comandante de las tropas maguntinas, verse estrechado en Aschaffenburgo, y queriendo cubrir su retirada, mandó atacar á las 4 en punto con fuerzas considerables el puesto de infantería bátava que</t>
  </si>
  <si>
    <t>comandante de las tropas prusianas en el Electorado de Hannóver</t>
  </si>
  <si>
    <t>annuver. Mauhelm r6[ de Mayo. H a habido altercaciones entre el General Kleist, comandante de las tropas prusianas en el Electorado de Hannóver, y el ministerio de aquel pais, con motivo de la ocupación del castillo de Hamfcln; pero se asegura que al án se lian ¿pistado i satisfacción de la corte de Pr</t>
  </si>
  <si>
    <t>comandante de las tropas que tenemos en las colonias dinamarquesas</t>
  </si>
  <si>
    <t>embargo, hay esperanza de que no tardarán en ajustarse , pues se sabe que este comandante de las tropas que tenemos en las colonias dinamarquesas, sigue haciende aquí reclutas para ellas. Ademas, varias embarcaciones nacionales, que estuvieron mucho tiempo detenidas en este puerto, cargadas con destino á</t>
  </si>
  <si>
    <t>comandante de las tropas rusas en el país del Grusin</t>
  </si>
  <si>
    <t>iembre de 18 GQ. ~ Oe ha puMicadaíLx relacioii tólqueoelrMayor general Lasarew, comandante de las tropas rusas en el país del Grusin, da cuenta de Ja batalla que l^é^iron^Jos.^táfitem'Tle^lsbpacllB^hhaios^c^; extractada di§e~a$í: „ El 31 de Octubre álegdbMrlíLásarew.rcerca del cantillo 4e Si</t>
  </si>
  <si>
    <t>comandante de los aliados</t>
  </si>
  <si>
    <t>a«ione,s militares exigiesen el paso ó el alojamiento momentáneo de tropas, los comandantes de los exércitos de la República y de los aliados observarán en el pais dé Solms-Braunfeis el reglamento que para iguales casos se toriiió y</t>
  </si>
  <si>
    <t>Comandante de los buques</t>
  </si>
  <si>
    <t>de. todos suS dominios perpetuamente: y en atención á que según declaran - los Comandantes de los buques: incendiados, el Brigadier I&gt;. Gerónimo González de Mendoza , y los; Capitanes de i N'avío D. Joseph. Jordán, D. Gabriel Sorondo, D.RafaelBennazár y D. Manuel</t>
  </si>
  <si>
    <t>comandante de los buques otomanos</t>
  </si>
  <si>
    <t>inamente del mando á solicitud de los principales vecinos, y se concertó con el comandante de los buques otomanos, quien convino en que ningún turco de sus tripulaciones volviese á tierra. Después dió orden Mr Hastfert para que los habitantes entregasen sus armas; y con es</t>
  </si>
  <si>
    <t>comandante de los cophtos</t>
  </si>
  <si>
    <t>ue en Egipto sirvió con gran esmero á su patria. Con este motivo Maallen-Iácub, comandante de los cophtos, dirigió á Menou una carta árabe, que traducida dice así; ,,En estos moinenrtos lúgubres, en que el alma de los buenos republicanos llora la pérdida del intrép</t>
  </si>
  <si>
    <t>comandante de los de sus aliados</t>
  </si>
  <si>
    <t>de Solms-Braunfeis, serán tratados como amigos de la República francesa por los comandantes de sus exércitos y de los de sus aliados. 3.0 En atención ai artículo anterior los Generales que manden los exércitos franceses y Jos de los aliados exceptuarán al pais de Solms-Braunfeis de toda cont</t>
  </si>
  <si>
    <t>comandante de los Ducados de Holstein y Schlsewig</t>
  </si>
  <si>
    <t>a expedido S. M. la siguiente orden: ,,Nuestro colegio de comercio encargará al comandante de los Ducados de Holstein y Schlsewig, á los Grandes Baylíos de los dos Rey nos, al primer Presidente de la ciudad de Altóna , y á los Magistrados de esta capital, manden que todos los que carguen</t>
  </si>
  <si>
    <t>comandante de los exércitos aliados</t>
  </si>
  <si>
    <t>;^y;&gt;ui^.n^$rné enviarán á Francia baxo los mismos términos que las tropas. Los comandantes de los exércitos aliados. prometen proveer a dicho hospital dé quanto realmente necesite; y el gobierno de Francia reembolsará los gastos que para esto se ¡hicieren. XV. Verificada la</t>
  </si>
  <si>
    <t>comandante de los exércitos de la República</t>
  </si>
  <si>
    <t>comandante de los ingleses delante de Alexandría</t>
  </si>
  <si>
    <t>o señalado para que el General Menou, si aceptaba la capitulación lo avisase al comandante de los ingleses delante de Alexandría, era de 10 dias, y no de 2 como se dixo en la capitulación publicada en Londres. Al fin se halla la aprobación del Lord Keith. Incluye también el General Belli</t>
  </si>
  <si>
    <t>comandante de los países cisalpinos</t>
  </si>
  <si>
    <t>exercito de Italia. , Tampoco parece cierto que ei General Watrin esté nombrado comandante de los países cisalpinos, que en otro tiempo formaban las tres lega-' ciones. Florencia i.° de Mayo. C onforme al tratado de paz ajustado con Nápoles, debía cederse la isla de Elba á l</t>
  </si>
  <si>
    <t>comandante de Mantua</t>
  </si>
  <si>
    <t>n el monumento que los franceses habían erigido a Virgilio. El General Mioílis, comandante de Mantua, ha propuesto á la junta administrativa del departamento del Mincio que se restaure el referido monumento , y que entro tanto se coloque el busto del poeta man</t>
  </si>
  <si>
    <t>comandante de mar de las fuerzas británicas</t>
  </si>
  <si>
    <t>su Jle- j gada á Francia, segundos reglamentos de la marina inglesa.’ VIII. Los comandantes de tierra y de mar de las fuerzas británicas, y turcas darán embarcaciones para transportar las tropas francesas y auxiliares á los puertos de Francia en el Mediterráneo , como también todos ios franceses</t>
  </si>
  <si>
    <t>comandante de mar y los de las tropas terrestres</t>
  </si>
  <si>
    <t>á Londres, por exigirlo así la falta de unión y de intelir fgencia entre aquel comandante de mar y los de las tropas terrestres. Suponen algunos que el Lord Nelson irá á Constantinopla para aumentar el mfluxo que gozan allí los ingleses, y que entrará una ésquadra británica en el mar Ne</t>
  </si>
  <si>
    <t>comandante de Minieh</t>
  </si>
  <si>
    <t>comandante de otros parages volviéron á la ribera</t>
  </si>
  <si>
    <t>comandante de Porto-Ferrayo recibió de oficio la noticia</t>
  </si>
  <si>
    <t>estar prontas para embarcarse en el golfo de Tarento,de donde irán á Tolon. fü comandante de Porto-Ferrayo recibió de oficio la noticia de) ajuste de los preliminares: de resultas vino á Liorna con el Cónsul ingles, y posteriormente ha vuelto á Porto-Ferrayo. Llegan actualmente al puerto de Ancona</t>
  </si>
  <si>
    <t>comandante de provincia para qué-no procedan á la venta</t>
  </si>
  <si>
    <t>o atiende á socorrer á los sargentos y c%bos. ' ' Se han expedido ordenes á los comandantes de provincia para qué-no procedan á la venta de las municiones que se hallan en los almacenes militares.</t>
  </si>
  <si>
    <t>Comandante de sus</t>
  </si>
  <si>
    <t>la Reyna D. Félix Martines: en el de las Ordenes Miiitares y Ñapóles también á Comandantes de sus -terceros batallones a los Sárgeñtos mayores de los mismos Cúérpós, graduados de Teniente Coronel y-dé Coronel, D. Joseph Gavarre y D. Tomas Moreno. • : ' Asim</t>
  </si>
  <si>
    <t>comandante de sus exércitos</t>
  </si>
  <si>
    <t>comandante de tierra</t>
  </si>
  <si>
    <t>Comandante de tierra</t>
  </si>
  <si>
    <t>s víveres se arreglará por los Comisarios que nombren eí General Bellierd y los Comandantes de tierra -y- mar de Ls tuerzas combinadas así qu3 se ratifique el presente convenio. Los Comisarios se trasladarán á Roseta ó á Abukir para hacer las disposiciones nece</t>
  </si>
  <si>
    <t>comandante de todas las fuerzas navales desti</t>
  </si>
  <si>
    <t>promovido á Con-módoro el Príncipe de Bouilíon, y está al mismo tiempo nombrado comandante de todas las fuerzas navales desti</t>
  </si>
  <si>
    <t>comandante de todos los buques</t>
  </si>
  <si>
    <t>ros no obstante la notificación. Comunicareis iguales órdenes á los capitanes y comandantes de todos los buques de $. M. que teneis b xo vuestro mando, intimándoles las den por su parte á los demás ha-* vías ingleses, y á todos los de la República francesa y sus aliados que</t>
  </si>
  <si>
    <t>comandante de un buque de guerra de la parte</t>
  </si>
  <si>
    <t>gerante. En la visita se observará el mayor miramiento y circunspección. 5.0 El comandante de un buque de guerra de la parte* beligerante, que detenga una ó más embarcaciones escoltadas, será responsable ae los daños y perjuicios, y aun será castigado en caso de excederse en sus órde</t>
  </si>
  <si>
    <t>comandante de un buque de guerra quiera visitar una embarcación</t>
  </si>
  <si>
    <t>as: y á esta visita podrá asistir uno ó mas oficiales de dicho navio. Quando el comandante de un buque de guerra quiera visitar una embarcación, por qualquier causa que le parezca importante, lo avisará al comandante del navio de escolta: este podrá enviar un oficial para asistir á lavisitajy la embarc</t>
  </si>
  <si>
    <t>comandante de un navio</t>
  </si>
  <si>
    <t>mayor parte dé la gente..._El Lord Keith había nombrado al mismo Mr. Smith por comandante de un navio, 5 fragatas y otros buques destinados á una expedición secreta. Durante unos dias hubo embargo general en los puertos franceses de Cal ais, Dunkerque y Boloña;</t>
  </si>
  <si>
    <t>comandante de un regimiento de húsares</t>
  </si>
  <si>
    <t>la acción del 14 se reduce á unos ^00 heridos. El General de brigada Ducheyron, comandante de un regimiento de húsares, fue muerto; el General Schmer tuvo dos heridas , y el Ayúdente general Maiagiu un. brazo roto. Los ene-.</t>
  </si>
  <si>
    <t>comandante de una de ellas</t>
  </si>
  <si>
    <t>derado desde luego de la puerta de la villa, en cuya acción D. Joachin Solano , comandante de una de ellas, combatiendo con intrepidez y mucho valor, recibió dos heridas, de que murió el día 3 1 : llegado el destacamento de lá segunda división, se pose* sionó seguid</t>
  </si>
  <si>
    <t>comandante de varios cuerpos</t>
  </si>
  <si>
    <t>to. Dio aquel dia un convite de 50 cubiertos, al que asistieron los General s y comandantes de varios cuerpos, como también los xefes de los griegos, cophtos y sirios que han venido con dicho exército. jBrusélas 11de Noviembre. L os comerciantes de Ostende han reentabl</t>
  </si>
  <si>
    <t>Comandante deésqua</t>
  </si>
  <si>
    <t>Oviedo, y á esta resulta «I SargentolD. Juan de Aguilar *. en el del Infante á Comandante deésqua•dron al Sargento mayor, graduado de Coronel, D. Alfonso Fernandez dé Córdoba : en el de Calatrava á Portaestandarte al Sargento D. Joachín del Campo ; y en .él</t>
  </si>
  <si>
    <t>Comandante del</t>
  </si>
  <si>
    <t>érez de granaderos D. Joseph Ramírez de Arellano. En el de infantería del Rey i Comandante del* tercer batallón al Sargento mayor , graduado de Teniente Coronel, D. Carlos de los Ríos: en el de la Princesa á primer Snbtemente al segundo D. Felipe Gómez H</t>
  </si>
  <si>
    <t>comandante del apostadero Lodáres elogía la apreciable conducta de todos</t>
  </si>
  <si>
    <t>y” 2 marineros, y saliérón heridos un condestable, 4 soldados y 5 marineros. El comandante del apostadero Lodáres elogía la apreciable conducta de todos, recomendando su mérito á la soberana consideración de "S. M., que en consequéneia se fia dignado mandar se les den las gracias en su Real nombre. El ppnsejo á</t>
  </si>
  <si>
    <t>comandante del ba</t>
  </si>
  <si>
    <t>27 de noviembre de 1801</t>
  </si>
  <si>
    <t>ias personas que'están presas. Ha sido despedido del servicio el pohde Walkoff, comandante del ba- 4 tallón de la guarnición de Simbrrsk, en castigo de no haber cuidado de 1* disciplina de aquella trópa, la qual dexó escapar á 6 presos confiados á sil . cust</t>
  </si>
  <si>
    <t>comandante del Cabo pueda enviarlos</t>
  </si>
  <si>
    <t>na- Esoeranza algunos barcos muy veleros pidiendo socorros; pero se duda que el comandante del Cabo pueda enviarlos, supuesto que es tan general y extremado en aquella posesión el descontento contra los ingleses, que los militares de esta nación no pueden internarse media le</t>
  </si>
  <si>
    <t>comandante del castillo</t>
  </si>
  <si>
    <t>í, remitió al General Dumonceau una intimación, que se envió por en trompeta al comandante del castillo. Ignórase la respuesta. Augereau se restituirá á Closter-Eberach, en donde tiene su quartel general, y según apariencias no se adelantará de allí hasta que se</t>
  </si>
  <si>
    <t>és apostado aquí pasó al instante á ia fragata, y luego fue á dar su informe al comandante del castillo. Al cabo de una hora el Capitán Hammond con otro oficial ingles vino á tierra en su falúa con bandera parlamentaria: un oficial de la guarnición fue á recibirl</t>
  </si>
  <si>
    <t>Comandante del distrito de Sauzon</t>
  </si>
  <si>
    <t>forzó de vela para alejarse. Los pescadores dieron al instante aviso de todo al Comandante del distrito de Sauzon, el qual despachó inmediatamente 3 lanchas con cazadores y un sargento. Estos emprendiéron dar caza ai buque enemigo, y habiéndolo alcanzado, después de una de</t>
  </si>
  <si>
    <t>comandante del ejército</t>
  </si>
  <si>
    <t>secretaría del-despacho de guerra se ha expedido una circular á los Genérales y comandantes del ejército, encargándoles llamen á todos los soldados, á quienes se dió licencia para ayudar á los labradorvs durante el tiempo de la cosecha. De Dublin escriben que de r</t>
  </si>
  <si>
    <t>comandante del exército de demarcación</t>
  </si>
  <si>
    <t>retiró de aquí á Ham, y desde allí expidió un extraordinario ai General Kleist, comandante del exército de demarcación. De resultas de todo esto, un cuerpo de caballería prusiana ha recibido orden de ocupar este obispado*** Londres 1$ de Setiembre. S e ha suspendido hasta 22 de</t>
  </si>
  <si>
    <t>comandante del exército de observación</t>
  </si>
  <si>
    <t>a á otros países, si es cierto, como se dice, que el General Prusiano Schlatem, comandante del exército de observación, esper ra las últimas órdenes de Berlín para intimarles que se alejen. * Roma jo de Enero. S e ha publicado aquí un edicto ó ley contra los trages inmodestos d</t>
  </si>
  <si>
    <t>comandante del Mediterráneo</t>
  </si>
  <si>
    <t>la vida, y el segundo quedó prisionero. El Teniente Fruscott, despachado por el comandante del Mediterráneo, ha traído lista'de los heridos y muertos en las acciones del 8 y del 13 de dicho mes; y añade que nada aconteció desde este último dia hasta el 18. Estos Mini</t>
  </si>
  <si>
    <t>Comandante del mismo</t>
  </si>
  <si>
    <t>romovido el Rey á Gapiran á D. Ramón Melgarejo, primer Teniente de granaderos y Comandante del mismo ^cuerpo. Asimismo ha nombrado S. M. Sargento mayor &lt;Je lá plaza de Tarragona al Teniente Coronel D. Juan Francisco Garcés, Gapitan de granaderos del regimiento</t>
  </si>
  <si>
    <t>comandante del navio de escolta</t>
  </si>
  <si>
    <t>r una embarcación, por qualquier causa que le parezca importante, lo avisará al comandante del navio de escolta: este podrá enviar un oficial para asistir á lavisitajy la embarcación será conducida al puerto mas inmediato perteneciente á la potencia beligerante. En la vi</t>
  </si>
  <si>
    <t>comandante del navio Formidable en el combate</t>
  </si>
  <si>
    <t>Julio contra 6 ingleses , con un sable de honor: al Capitán de fragata Troudd, comandante del navio Formidable en el combate del 14 de dicho mes contra 4 bitjues enemigos, lejía promovido á Capitán de navio, concediendo igual ascenso al Capitán *de fragata Touífet, que mandó el navio Ind</t>
  </si>
  <si>
    <t>comandante del Proevesteen</t>
  </si>
  <si>
    <t>res demostraciones de aprecio. Entre ellos «e hallaban Mrs. Lessen y Riisbrich, comandantes del Proevesteen y del Vagrien. Los oficiales de mayor graduación cenáron con el Rey, y los demas con el Gran Mariscal de corte. Hábia entre estos últimos un mozo'de 19 años llamado Villcmus</t>
  </si>
  <si>
    <t>comandante del regimiento de carabineros</t>
  </si>
  <si>
    <t>premiados. De Luñevilie ha salido por orden del gobierno el ciud. Caulincourt, comandante del regimiento de carabineros, y Je acompañan los oficiales del mismo cuerpo Diettmaa -y Lameth. Créese que va á Constantinopla en calidad de Ministro plenipotenciario de la República cerca</t>
  </si>
  <si>
    <t>comandante del sitio de los castillos de Verona</t>
  </si>
  <si>
    <t>a intimación, hecha el 16 de Enero, dice así: „ Mottnier, General de división y comandante del sitio de los castillos de Verona, al Teniente Geneeral Barón de Riese, Gobernador de dichos castillos. Hasta ahpra , Señor General, no habéis visto mas que una parte de mis medios de ataque. A</t>
  </si>
  <si>
    <t>Comandante del tercer batallón</t>
  </si>
  <si>
    <t>urias, y la Tenencia Coronela de este regimiento at Coronel D. Rodulfo Gautier, Comandante del tercer batallón del de. infaja-* tería inmemorial del Rey. En el regimiento de infantería de Córdoba se ha servido el Rey promover á primer Teniente al segundo de granadero^. D. Fran</t>
  </si>
  <si>
    <t>del de Mallorca D. Joseph María Herrero: en el de Navarra á Teniente Coronel al Comandante del tercer batallón, graduado de Coronel, D. Cayetano Esparza: en el de las Ordenes Militares á Capitán de granaderos al de fusileros D. Vicente Campos; á esta resulta al primer T</t>
  </si>
  <si>
    <t>Comandante del tercer batallón ai Sargento mayor del de infantería</t>
  </si>
  <si>
    <t>r de el del Príncipe, graduado de Coronel, D. Joseph Falques: en el de Bárgos á Comandante del tercer batallón ai Sargento mayor del de infantería de la Reyna D. Félix Martines: en el de las Ordenes Miiitares y Ñapóles también á Comandantes de sus -terceros batallones a los Sárgeñtos mayores de los mismos Cú</t>
  </si>
  <si>
    <t>Comandante del tercer batallón al Sargento mayor del de Asturias</t>
  </si>
  <si>
    <t>seph de Zaldivaí y D. Bernardo María Guendulain. En él de infantería deSaboya á Comandante del tercer batallón al Sargento mayor del de Asturias * graduado Aé -Coronel, D* Francisco Fulgosio: en el de Soria á igual empleo al Sargento mayor de el del Príncipe, graduado de Coronel, D. Joseph Falques: en e</t>
  </si>
  <si>
    <t>Comandante del tercer batallón al Sargento mayor del de León</t>
  </si>
  <si>
    <t>zucla, y á esta resulta al Cadete D. Fernando Antonio Muñoz; en el de Navarra á Comandante del tercer batallón al Sargento mayor del de León, graduado de Teniente Coronel, D. Julián de Sequera: en el de la Princesa á primer Subteniente al segundo D. Joachín Granzberg, y á segundo Subteniente al Cade</t>
  </si>
  <si>
    <t>Comandante dél tercer esquadron al Coronel Marques de Malespina</t>
  </si>
  <si>
    <t>Morales. En el regimiento de dragones de Pavía se ha servido promover el Rey á Comandante dél tercer esquadron al Coronel Marques de Malespina, Sargento mayor del de Almansa; y á Tenientes en este cuerpo á los Alféreces D. Andrés Llauáer y D. Joachin Cabronero: habiendo también nombrado S. M. Portaest</t>
  </si>
  <si>
    <t>comandante del Vagrien</t>
  </si>
  <si>
    <t>comandante el cotejo de las fuerzas que pelearon</t>
  </si>
  <si>
    <t>lavados. La pólvora se había arrojado con tiempo al mar. Finalmente, hace dicho comandante el cotejo de las fuerzas que pelearon; las inglesas consistían en 12 navios de línea, los mas de ellos de 74 y uno de 80, con 6 ú 8 fragatas grandes : y las nuestras eran 7 navios desarbolados, el</t>
  </si>
  <si>
    <t>comandante el quartel general</t>
  </si>
  <si>
    <t>us órdenes se halla en el hayliagede NeuhofF, en cuyo castillo ha sentado aquel comandante el quartel general-.dicho cuerpo, que consta de 3® hombres de infantería y 280 de caballería, está cortado y sin comunicación con los austríacos en fuerza de la marcha de las trop</t>
  </si>
  <si>
    <t>Comandante en</t>
  </si>
  <si>
    <t>ia Real Capillái \ ' * r /;-? Al Teniente General D. Antonio Córdoba y Heredia, Comandante en? xefe de la Real brigada de Carabineros, ha conferido el Rey la Capitanía General de Ja Provincia de Castilla la Nueva; y ha nombrado S. M. por segundo Comanda</t>
  </si>
  <si>
    <t>Comandante en Belle-isle</t>
  </si>
  <si>
    <t>as á los austríacos en verona: El Gapitan Múller, Ayudante del General Quantin, Comandante en Belle-isle, ha escrito al General Bernadotte diciéndole: „E1 dia 18 al amanecer se avistó á tiro y medio de cañón de Belle-isle un buque con bandera francesa y señales de</t>
  </si>
  <si>
    <t>comandante en Bohemia</t>
  </si>
  <si>
    <t>chiduque Cárlos , con anuencia del Emperador, ha nombrado al General Melas para comandante en Bohemia , al General Starray para el Austria, y al General Bellegarde para Italia. Avisan de Peterswaradin que en aquella parte de la frontera han de juntarse 40© homb</t>
  </si>
  <si>
    <t>comandante en Plimouth</t>
  </si>
  <si>
    <t>dres &lt;2,$ de Julio.- , XrJa eHyiado el Almirantazgo¿órden 4 ^^:Tom.is,;PasIcy , comandante en Plimouth, para que mande armar con la posible brevedad todas l.íS'nayés; de guerra que se hallen en .eíftaiáo/dc^erydr. 'jAyimismf) los cuerpos de vpluntafios q'ue hay</t>
  </si>
  <si>
    <t>comandante en tefe</t>
  </si>
  <si>
    <t>guió Mr. Púltney respondiendo á los demas cargos dirigidos contra él, contra el comandante en tefe, y contra los Ministros; y negó que el Almirante de la esquadrá se hubiese opuesto‘á la retirada, y que la hubiese mandado el General en xefe del exercito._ Mr</t>
  </si>
  <si>
    <t>Comandante en xéfé</t>
  </si>
  <si>
    <t>les apostadas en las.costas de Francia.; El Almirante Hide-Párker está nombrado Comandante en xéfé de la ,esr¿ quadra destinada'para el mar del Norte: se asegura que lleva .por, segundo.: comandante al V ice-AI mirante Lord Nelson, que debía ir. alMediterraneo, ,</t>
  </si>
  <si>
    <t>comandante en xefe</t>
  </si>
  <si>
    <t>ded^jris de lta cañones ha tremolan do él Almirante Corn-véallis -su bándéra dé comandante en xefe.de Ja* esquié dra dé-la Mancha. ’■ Li f-iJ-í:o á -a:. . vCa. e ¿j ’ \¿ ■- Ayer cónéüfrió d lá Cáiháni dé los Comunes*Mr.?Fox y prestó el jurado mentó acostumbr</t>
  </si>
  <si>
    <t>e el combate antes.de las 6 de la tarde, y á las B el Capitán de navio Saunier, comandante en xefe, mandó dar el abordage; pero los ingleses feyorecidos.por su situack&gt;n, consiguieron evitarlo. Prosignió el combate con eh mayor empeño., y nuestra fragata ten</t>
  </si>
  <si>
    <t>ingenieros, comandante de la tropa y del castillo de Abukir. __ Aprobado por el comandante en xefe. — Firmado: J. Hope, Ayudanté general." Los prisioneros de Abukir son 2 xefes de batallón, 8 oficíales subalternos, y 140 entre sargentos y soldados. La artill</t>
  </si>
  <si>
    <t>comandante en xefe á</t>
  </si>
  <si>
    <t>ardias nobles montadas; admitida su oferta, nombró el Secretario de Estado para comandantes en xefe á.losy Duques Mattey y Braschi, sobrino</t>
  </si>
  <si>
    <t>comandante en xefe chí exercito de observación</t>
  </si>
  <si>
    <t>m: el Rey les pasará revista, y luego seguirán á su destino. £1 General Kleist, comandante en xefe chí exercito de observación, ha dado orden para que entren y circulen como antes los géneros ingleses en Wesrphalia: algunas mercancías que se habían cogido, se restituirán á sus dueños__</t>
  </si>
  <si>
    <t>comandante en xefe de dicha esquadrilla</t>
  </si>
  <si>
    <t>Ja esquadrilla de la Mancha, ha remitido al Contra-Almirante Latouche-Trevilie, comandante en xefe de dicha esquadrilla, una relación que extractada dice así: \ ,, El dia 6 á las 9 de la mañana salí de Saint-Valerí con mi división compuesta de 23 cañoneras, siendo las principale</t>
  </si>
  <si>
    <t>Comandante en xefe de la esquadra española</t>
  </si>
  <si>
    <t>tienen inundada á toda Alemania. Brést $ de Setiembre. E , 1 General Grávina , Comandante en xefe de la esquadra española , llego á ésta ciudad el 3 por la noche : fué recibido con salvas de artillería, y «e le puso al instante una guardia de honor en su alojamiento. ■(¡n;- (’Part</t>
  </si>
  <si>
    <t>comandante en xefe de las fuerzas terrestres en las islas</t>
  </si>
  <si>
    <t>es expedidas por Mr. Dundas el 14 y el 31 de Enero, el Teniente General Trigge, comandante en xefe de las fuerzas terrestres en las islas de barlovento y sotavento, salió el 16 de Marzo del puerto de S. Juan, en la isla de Antigua, que se había señalado por punto de reunión de Ja expedición. Llevaba</t>
  </si>
  <si>
    <t>comandante en xefe de las tropas hannoverianas</t>
  </si>
  <si>
    <t>a tienen para estar prontas al primer aviso. El Príncipe Adolfo de Inglaterra , comandante en xefe de las tropas hannoverianas, saldrá en breve de aquí, habiendo resuelto repentinamente su viage ; irá á Hamburgo , en donde se embarcará para Inglaterra. Asimismo el Lord Carisford se dis</t>
  </si>
  <si>
    <t>comandante en xefe de los respectivos exércitos en</t>
  </si>
  <si>
    <t>ientes al de dicha comunicación. XXL Se ratificará al presénte convenio por los comandantes en xefe de los respectivos exércitos en las 24 horas después dé firmarse.. Firmado quádruplo en el lugar de las conferencias, entre los dos exércitos, el 27 de Junio de 1801; y aprobado y ratificado en e</t>
  </si>
  <si>
    <t>comandante en xefe de marina en las Indias orientales</t>
  </si>
  <si>
    <t>iinos en las Indias occidentales. El Vice-Almirante Lord Radstock está nombrado comandante en xefe de marina en las Indias orientales, y ha tremolado su bandera en el navio Teseo de 74 cañones surto en Portsmouth. No hay pueblo en Inglaterra en que no se haya ce’ebrado públicamente la paz. En</t>
  </si>
  <si>
    <t>comandante en xefe del armamento general del pueblo de Transilvania</t>
  </si>
  <si>
    <t>urquía y de Polonia. El Emperador acaba de nbtnbrar al Barón de Kieñitía^ér por comandante en xefe del armamento general del pueblo dé Transilvania &gt; en cuyo país se hacen otras disposiciones militares. . El Conde dé Kalits'chéw , Vice-Canciller de Rusia, y Embaxador de Paulo I en^iVancia, llegó á esta pla</t>
  </si>
  <si>
    <t>comandante en xefe del cuerpo de observación</t>
  </si>
  <si>
    <t>general de Ginebra: „En conseqiiencia de lo que ha dispuesto el General Murar, comandante en xefe del cuerpo de observación, la vanguardia se dirige á Italia por el monte pequeño de S. Bernardo tn 3 ccíunas, mandadas la i.a por el xefe de brigada Herculaie, la 2.3 por ei Ayudante Fr</t>
  </si>
  <si>
    <t>comandante en xefe del exército</t>
  </si>
  <si>
    <t>de división Belliard, ajustado entre él « Brigadier General Hops por parte del comandante en xefe del exército «británico en Egipto, Osmam-Bey por parte de S, A. el Gran Visir, é «Isaac Bey por la de S. A. el Capitán Baxá; y los ciudadanos Donzelot y « Moran, Generales</t>
  </si>
  <si>
    <t>comandante en xefe del exército de observación</t>
  </si>
  <si>
    <t>guen las embarcaciones prusianas. Milán /p de Enero. Ll Teniente General Murat, comandante en xefe del exército de observación , salió de aquí el dia 15 para Bolonia; y ántes de ayer llegó un correo de Florencia que encontró en Módena la primer coluna de granaderos de dicho cuerpo, y l</t>
  </si>
  <si>
    <t>comandante en xefe del exército ingles quiere servirse de aquellos</t>
  </si>
  <si>
    <t>a baxo las órdenes del Baxá Mahomet. Luego marchará Tahir hacia Catieh: y si el comandante en xefe del exército ingles quiere servirse de aquellos 2® hombres de caballería, irán al instante á juntarse con las fuerzas británicas. Parece también, según dicha carta, que el Baxá Djezzar se ha reconciliado con</t>
  </si>
  <si>
    <t>comandante en xefe desdicho</t>
  </si>
  <si>
    <t>y francés en esta República ,.se supo que- el General Moncey: estaba nombrado; comandante en xefe desdicho , ejército , eon grado de Teniente General, y sentará su quart^ef efi Crpmpna,, Este ,^reltO;Toriutó;.una,.^pea;.-4«iiífCVerPiia • has-, ta la Romana, y una de</t>
  </si>
  <si>
    <t>Comandante en xefe en las islas de Sotavento</t>
  </si>
  <si>
    <t>las 4 de la mañana. El Lord Hugo Seymour, Vice-Almirante de la bandera azul, y Comandante en xefe en las islas de Sotavento, murió á bordo de la fragata Tísífone, que cruzaba en las aguas de Jamayca: su cadáver fué llevado á aquella isla, y de ella lo traen á Inglaterra en uno de lo</t>
  </si>
  <si>
    <t>comandante en xefe Mr</t>
  </si>
  <si>
    <t>una y otra parte. Hémos hecho una pérdida irreparable en la persona de nuestro comandante en xefe Mr. Ralph Abercrombie , que mortalmente herido en ei campo de batalla, murió el 28. Creo que recibió su herida al principio de la acción, y que la ocultó, y sigui</t>
  </si>
  <si>
    <t>Comandante en xefe nombrarán oficiales de las respectivas planas mayores</t>
  </si>
  <si>
    <t>caballero Micherpu* cotí-poderes á este efecto, i a.** Lo's Comandantes en xefe nombrarán oficiales de las respectivas planas mayores, encargados de vigilar, sobre el cumplimiento de estos artículos. Hecho y firmado &amp;C." , En consequencia de este tratado, y así que se publicaron sus artículos</t>
  </si>
  <si>
    <t>comandante firmó juntamen</t>
  </si>
  <si>
    <t>contra la expedición de Égip-; to ; convenio que aquel plenipotenciario; aquel comandante firmó juntamen-, te con el Gran Visir,. La Franci? debe,4 esta conducta Ja mas hermosa de $us posesiones; y el exército, á quien mas‘ultrajaron losJqgleses, les debe; vijna nu</t>
  </si>
  <si>
    <t>comandante francés que está en Sena encargó á</t>
  </si>
  <si>
    <t>m ; i &gt; La universidad de 1 Pavía luzo «uiabertuTaneh 26 deLmismo mes. —L_l lü comandante francés que está en Sena encargó á los. maestros y profesores díe, aquel la ciudhdsiguiesen sa ens^ñanza y estudios coma áates qiwí eiitrásénenella los republicanos;jpera.dmta;ahorano vh^obedécidd^í</t>
  </si>
  <si>
    <t>comandante franceses</t>
  </si>
  <si>
    <t>pino, los tribunales y todas las juntad ád-v&gt; ministrativas; y los Gétíerales y comandantes franceses, concurrirán á su* pronta instalación idéqué'qoánto áritjéstengan las leyes toda su fuerza ’y^ebsérvaúéiáí iLó&amp;tritíutós' ^jibltcos d¿ dichos países serán de d</t>
  </si>
  <si>
    <t>comandante franceses han expedido respectivamente órdenes rigurosas para que</t>
  </si>
  <si>
    <t>comandante general</t>
  </si>
  <si>
    <t>en las islas Filipinas, a D. Miguel **E1 Teniente General Marques de S. Simón, comandante general de la* tropas de Galicia, ha dado parte al Sr. Principe de la Paz, Generalísimo de los exércitos de operación contra Portugal, de la cruel y denigrativa conducta de</t>
  </si>
  <si>
    <t>Comandante general de aquella provincia ha public do el aviso</t>
  </si>
  <si>
    <t>ee que ti -Emperador la despachará favorablemente. De Tcmeswart escriben que el Comandante general de aquella provincia ha public do el aviso de que por orden de Baswan-Oglow se acuñan en W ¡«din dúo. dos y otr s monedas con el sello de Joseph n, las quales no son de ley, ni tienen el valor que represen</t>
  </si>
  <si>
    <t>Comandante general de Artillería en el exército del Rosellon</t>
  </si>
  <si>
    <t>laque conquistada, pasó al sitio de Gibraltar: fué Capitán general de Mallorca: Comandante general de Artillería en el exército del Rosellon, y Capí tan general de Castilla la Vieja; en cuyos empleos y otras comisiones del Real servicio sirvió á S. M. con zelo y exactitud. JSI 14 de Octubre á la una</t>
  </si>
  <si>
    <t>comandante general de la esquadra</t>
  </si>
  <si>
    <t>dvierte mucha actividad en los preparativos de guerra. El dónde de Wachtmester, comandante general de la esquadra, ha venido aquí de Carlscroná por orden expresa de S. M. para asistir á lás deliberaciones relativas á los armamentos marítimos. .El Contra-Almirante Palenquis</t>
  </si>
  <si>
    <t>comandante general de la esquadriila ligera</t>
  </si>
  <si>
    <t>ensa alguna. Las cañoneras mandadas por ei Capitán de fragata español Miralles, comandante general de la esquadriila ligera, á quien envié yo á Calais para que acelerase su salida, empeñaren un cañoneo bastante vivo con algunas de las naves enemigas apostadas delante de Boloña; pero</t>
  </si>
  <si>
    <t>Comandante general de las armas del Cuzco</t>
  </si>
  <si>
    <t>oronel Marques, de Casa hermosa, se lia dignado S. M. conferirle los empleos do Comandante general de las armas del Cuzco, Presidente de aquella Real Audiencia, é Intendente de la misma provincia. Por ei juzgado- del Sr. D; Miguel Munarriz:, del Consejo de S. M.,. su Alcalde de ca</t>
  </si>
  <si>
    <t>Comandante general de las tropas de Galicia</t>
  </si>
  <si>
    <t>eniente de la compañía presidul del N° eT Teniente General Marques de S. Simón, Comandante general de las tropas de Galicia, ha dado parte al Exc. Sr. Príncipe de la Paz de las fuertes venaciones que han padecido los vecinos de Corrubedo y Lage, puertos de aquella costa, por los cor</t>
  </si>
  <si>
    <t>Comandante general del exércitó de jAndalücía se le ha comunicado</t>
  </si>
  <si>
    <t>ara, Ayudante de la Plana mayor de Blancos, agregada á la misma división. 7. Al Comandante general del exércitó de jAndalücía se le ha comunicado la Real orden siguiente: .'i. v.5'. * * ■ . ■ í ^ .v „ Lai entrega' de la isla de la Trinidad de barlóvento que hizo á las fuerzas británicas el Brigadier de: la</t>
  </si>
  <si>
    <t>comandante general en las tres legaciones</t>
  </si>
  <si>
    <t>cho la menor oposición á su entrada. Dícese que el General Watrin está nombrado comandante general en las tres legaciones. H a salido de aquí una embarcación para Egipto con médicos, cirujanos, pintores &amp;c. Se asegura que el Embaxador francés destinado para N?poíes, no saldrá de R</t>
  </si>
  <si>
    <t>comandante ha enviado un correo á Aschaffenburgo pidiendo instrucciones</t>
  </si>
  <si>
    <t>aza. Hasta ahora no consta que se hayan retirado de ella; y solo se sabe que su comandante ha enviado un correo á Aschaffenburgo pidiendo instrucciones. El 29 del mes anterior pasaron por Nancí para París el Senador Scheweitzen, diputado de la ciudad de Francfort, 3 cambistas de Wesplialia, 2 de Prusia, y vari</t>
  </si>
  <si>
    <t>Comandante ingles</t>
  </si>
  <si>
    <t>ía sido un acto de piratería; y me mandó izar las banderas. Me llevó á casa del Comandante ingles , quien me ofreció darme satisfacción; pero se reduxo á no devolverme los papeles que le pedí, á llamarme aparte y decirme: ,, Advier*» ta Vd. á su Capitán gen</t>
  </si>
  <si>
    <t>Comandante ingles me acompaña para seguridad del parlamentario que ha</t>
  </si>
  <si>
    <t>, y tampoco creo podrémos salir hasta es. ta noche con el terral. El pliego del Comandante ingles me acompaña para seguridad del parlamentario que ha de rendir su viage en la Guayra. Suplico á V. S. se digne tener en consideración que ñ6 he tenido recurso alguno que oponer á una violencia tan sostenida de la fu</t>
  </si>
  <si>
    <t>comandante inglés Watkins le hiciéron de que siguiese abierto con</t>
  </si>
  <si>
    <t>nador holandés D. Juan Rodulfo Lauífer, y de la extraña propuesta qúe este y él comandante inglés Watkins le hiciéron de que siguiese abierto con la referida isla el comercio de los1 vasallos del Rey en tierra-firme', ha informado también del inaudito , indecoroso y arbitrario procedimiento de este comandan</t>
  </si>
  <si>
    <t>Comandante ingleses eti el Mediterráneo</t>
  </si>
  <si>
    <t>uran que el gobierno ingles ha notificado á todos Ips Embaxadb* res, Cónsules y Comandantes ingleses eti el Mediterráneo , que la isla dé Malta forma parte integrante del Imperio británico, y que.en conseqiiencik se considere como tal en todos los tratados que en adelante se hici</t>
  </si>
  <si>
    <t>comandante intimó al Conde de Vieregg</t>
  </si>
  <si>
    <t>a saiiéron de Pilsen, y entraron el 29 y 30 de Junio en el Aito-Pal: tinado, bu comandante intimó al Conde de Vieregg, Coronel de las tropas b .varo-palatinas, se retirase con su regimiento, el quai había ocupado Ls fronteras de aquel país por la parte de Bohemia. Contestó est</t>
  </si>
  <si>
    <t>comandante jóvenes</t>
  </si>
  <si>
    <t>comandante le debe ao</t>
  </si>
  <si>
    <t>precio para empañarlos; pero un habitante de esta plaza, pretextando que aquel comandante le debe ao© piastras , ha mandado embargarlos. Algunas personas creen que obra de acuerdo con el Baxá. El comandante de Nissa salió últimamente de aquella ciudad para res</t>
  </si>
  <si>
    <t>comandante le presentó una bandera</t>
  </si>
  <si>
    <t>uerta de su alojamiento encontró 6tródestacamento dé la guardia nacional , cuyo comandante le presentó una bandera. Comió en casa del Prefecto del Baxo-Rhin con los Generales y otros xefes civiles y militares; y por la noche fué a! teatro, en donde le recibieron con mucho a</t>
  </si>
  <si>
    <t>comandante Lodáres con los oficiales de su plana mayor</t>
  </si>
  <si>
    <t>inutilizadas 2, de ellas , y muy maltratada la otra. En estas circunstancias el comandante Lodáres con los oficiales de su plana mayor y la gente t¡»ue pudo recoger de las lanchas, se presentó eñ las baterías de tierra , en donde fueron empleados el. resto de Lt acción. En ella fué muerto el Alfére</t>
  </si>
  <si>
    <t>comandante los xefes de los cuerpos militares</t>
  </si>
  <si>
    <t>comandante los xefes políticos del C tbo de Buena-Esperanza</t>
  </si>
  <si>
    <t>establecimiento se está tratando hace 4 años. En breve se nombrarán también los comandantes militares y los xefes políticos del C tbo de Buena-Esperanza: ya se dice que el Almirante Dewinter irá como Gobernador á aquella posesión. Haya 4 de Noviembre. E ste gobierno ha enviado á Inglaterra los pasaportes destin</t>
  </si>
  <si>
    <t>comandante milit ares</t>
  </si>
  <si>
    <t>eparados de sus compañeros cor qualquier causa que sea , pueden dirigirse á los comandantes milit ares 6 á las justicias, para que les den pasaportes hasta los puertos en que han de embarcarse, que son los de Marsella y Calais. Han publicado los Cónsules el sigu</t>
  </si>
  <si>
    <t>comandante militar</t>
  </si>
  <si>
    <t>lido de aquí el General Wrede para las costas de poniente en calidad de segundó comandante militar : y el Barón de Polinquist está nombrado Contra-Almirante de la esquadra de Cárlscrona, destinada á obrar con las de Rusia y Dinamarca para mantener la neutral</t>
  </si>
  <si>
    <t>Comandante militar de la Plaza de Madrid</t>
  </si>
  <si>
    <t>a General de Ja Provincia de Castilla la Nueva; y ha nombrado S. M. por segundo Comandante militar de la Plaza de Madrid , con Honores y facultades de Goberriadojr de ella , al Mariscal de Campo D. Pedió Bernard, Ayudante general del Real cuerpo de Guardias de Córps. S. M. se ha</t>
  </si>
  <si>
    <t>comandante militar de San-Cloud</t>
  </si>
  <si>
    <t>xó sus órdenes 6 Ayudantes superiores y 6 subalternos. Uno de los primeros será comandante militar de San-Cloud,y otro de la escuela militar. Los 4 Generales de la guardia servirán por décadas, y asi*</t>
  </si>
  <si>
    <t>comandante militares</t>
  </si>
  <si>
    <t>espléndido convite que dio el referido General, y á que asistieron los xefes y comandantes políticos y militares. El referido Almirante colocará el 9 de este mes la primer piedra del pedestal en qué ha de ponerse h estatua de Neptuno , una de las 3 que el gobierno ha rega</t>
  </si>
  <si>
    <t>comandante militares de esta plaza</t>
  </si>
  <si>
    <t>in embargo, los ingleses se obstinaban en apoderarse de ellas. Entre t into los comandantes militares de esta plaza, varios oficiales y parte de la guarnición salieron con artillería, y acudiéron á toda priesa á una playa inmediata á la esquadrilla, con ánimo de formar bater</t>
  </si>
  <si>
    <t>comandante Mr</t>
  </si>
  <si>
    <t>Abukir, se quemó poco después de dar fondo. Se salvó toda la tripulación, y su comandante Mr. Stackpoole ha llegado á Portsmouth. El Duque de York ha examinado las fortificaciones de Rye y las bateTÍas de Dungeness, en Fplkstone: llegó luego i Douvres,</t>
  </si>
  <si>
    <t>comandante muchos marineros están ya en marcha para</t>
  </si>
  <si>
    <t>comandante navios está substanciafmente concebida en estos</t>
  </si>
  <si>
    <t>comandante ocupar á Bondeno</t>
  </si>
  <si>
    <t>usteck hiciese una muestra ofensiva en Ferrara : y en conseqiiencia mandó aquel comandante ocupar á Bondeno, en Ja izquierda del Panaro, y rechazó á los enemigos, que intentaban recobrar dicho pueblo. Al propio tiempo mandó también Mr. Sczusteck que dos compañías del</t>
  </si>
  <si>
    <t>comandante perdió la vida el Obispo griego de Belgrado</t>
  </si>
  <si>
    <t>persecuciones á irritar los ánimos. Casi no se _ duda de que por orden de aquel comandante perdió la vida el Obispo griego de Belgrado; y se dice que después de mandarlo encerrar , le hizo poner , un collar de hierro que le mortificaba cruelmente : quejábase de ello el Obispo,'y el Baxá 1» hal</t>
  </si>
  <si>
    <t>comandante políticos</t>
  </si>
  <si>
    <t>comandante porn algún</t>
  </si>
  <si>
    <t>ontráis esquadras ó; naves de la República S de sus aliados, notifiquéis á sus ¡comandantes porn algún; parlamentario el cange de las ratificaciones de los preliminares:de paz; y no uséis de -la* fuerzas de vuestro mando sino en el caso prevenido de que hagan di</t>
  </si>
  <si>
    <t>comandante prusiano</t>
  </si>
  <si>
    <t>s los reciben en sus buques no obstante las varias representaciones del oficial comandante prusiano. No hay entre las dos potencias convenio alguno para restituirse recíprocamente los desertores: lo qual es cansa de que no cese la deserción, y al* mismo tiemp</t>
  </si>
  <si>
    <t>comandante prusiano sus instancias</t>
  </si>
  <si>
    <t>inglesa, en cuyos buques se hallaban, el qual se negó á entregarlos. Renovó el comandante prusiano sus instancias; pero el Capitán británico amenazó hacer fuego á la lancha y .á los que iban en ella si no se retiraban. Se asegura que no tardará en concluirse la cuádruple a</t>
  </si>
  <si>
    <t>comandante que</t>
  </si>
  <si>
    <t>ó', que el Bey se había negado á esta solicitud. No obstante, esperaban dichos, comandantes que ¡lo conseguirían otras embarcaciones que enviaban con el ptopi.o objeto, i El mismo. Cónsul dio, ppsteriorinente &gt; aviso, desde Malta á Mr. Henriquer CJirke;,</t>
  </si>
  <si>
    <t>comandante que fue de Corfá</t>
  </si>
  <si>
    <t>uerra, y se JiaLja encerrado en un castillo del mar Negro. El General Salcette, comandante que fue de Corfá, há si4o;ahora transferido del castillo de Jas Siete torres al arrabal de Pera, lo que ha conseguido por i atarvención del Ministro de Rusia. .... Ademas de la</t>
  </si>
  <si>
    <t>comandante qué fué de la parte meridional de la isla</t>
  </si>
  <si>
    <t>ía de 45 hombres. Tuvimos ia satisfacción -de hallar á bordo al General Rigaud, comandante qué fué dé la parte meridional de la isla de Sto. Domingo, el mismo que ha hecho tanto mal a sus conciudadanos como á mis compatriotas. Bien se saben en los EstadosUnidos los robos, las vexaciones, pirate</t>
  </si>
  <si>
    <t>comandante que se alejasen del alcance del c</t>
  </si>
  <si>
    <t>prusianos se presentaron para entrar en la fortaleza de Hatneln, les intimó el comandante que se alejasen del alcance del c.iñon , ó de lo contrario les haria fuego ; pero parece que posteriormente convino en abrirles las puertas de la plaza y del castillo de jorge. Las tropas que f</t>
  </si>
  <si>
    <t>comandante quiso baxar á tierra</t>
  </si>
  <si>
    <t>campo. El 12 de Julio se presentó allí una división turca de ó fragatas, cuyo, comandante quiso baxar á tierra. Le respondieron que podría hacerlo coa tal que no llevase mucha gente, y que ninguno fuese con armas. Le ofreciéron víveres; y poco después se alejó aquella d</t>
  </si>
  <si>
    <t>comandante remitiesen al Cayro</t>
  </si>
  <si>
    <t>comandante Salahieh</t>
  </si>
  <si>
    <t>comandante Servia</t>
  </si>
  <si>
    <t>comandante turco</t>
  </si>
  <si>
    <t>Puerta, y los habitantes christianos que hay en ellas estarán gobernados por un comandante turco, como los de Valaqúia y Moldavia. Los mahometanos no podrán adquirir bienes raíces en dichas ciudades; pero los Rajáhs podrán reedificar templos en ellas. Qued</t>
  </si>
  <si>
    <t>comandante y á sus tripulaciones</t>
  </si>
  <si>
    <t>bargo de esto, en las dos Cámaras del Parlamento se han votado gracias á dichos comandantes y á sus tripulaciones; y ayer publico el Lord Maire ó Corregidor un aviso exhortando á los habitantes á que en vez de hacer iluminaciones para celebrar esta victoria del Báltico, en</t>
  </si>
  <si>
    <t>comandante y xefes militares</t>
  </si>
  <si>
    <t>” En vista de esta carta publicó Menou la orden siguiente. „Los Generales , los comandantes y xefes militares, y todos los encargados de la policía, mandarán prender y encarcelar á los hombres que, como lo dice el Divan del Cayro,llamándose santones corren por las call</t>
  </si>
  <si>
    <t>Comat, Juan Antonio</t>
  </si>
  <si>
    <t>Juan Antonio Comat</t>
  </si>
  <si>
    <t>ica, y Don Ramón Garces sobre álgebra : el dia 2.0 D. Alberto Soler sobre la trigonometría plana, y D. Juan Antonio Comat sobre geometría: el día 3.? D. Gaspar Ornos sobre la aplicación del álgebra á la geometría, y D. Rafael Bos Campesino sobre las secciones cónicas : en los segundos exámenes de mat</t>
  </si>
  <si>
    <t>Combel, Pedro</t>
  </si>
  <si>
    <t>Pedro Combel</t>
  </si>
  <si>
    <t>llon....... 17. 13, Pedro Combel......... . Francisco y Juana Fábrcga....... Mirepcix en</t>
  </si>
  <si>
    <t>Compañía Española</t>
  </si>
  <si>
    <t>Fernandez Izquierdo. D. Joseph Becerra y Uribe, Guardia de Corps que fue de la Compañía Española, falleció intestado el ao de Febrero de.este año; y r.o sabiéndose si tenia1 algunas cuentas pendientes, ó si le debían, 6 tenía algún deudor; y á fin de pagar si quedó debiendo, y que le s</t>
  </si>
  <si>
    <t>Company, Joachín</t>
  </si>
  <si>
    <t>Joachín Company</t>
  </si>
  <si>
    <t>ciudad 44 premios ; íos&lt; Xíí costeados por la sociedad, 16 por el Exc. Sr.Arzobispo de ValenCiá Fr. D. Joachín Company , 6 por otro socio, 4 por el socio contador Don Manuel de Velasco, 4 por D. Juan Antonio Martínez de Hermosilla, y t : por el yice-archivero D. Joseph Vicente Ibarra. Otros prémió</t>
  </si>
  <si>
    <t>Conde de Bdlegárde, General</t>
  </si>
  <si>
    <t>General Conde de Bdlegárde</t>
  </si>
  <si>
    <t>2ÚZ El General Conde de Bdlegárde ha escrito desde su quartel de Udína con fecha de 31 de Enero al mismo General Bruñe diciéndole’: „ Tengo el gusto de comunicaros que S. M. el Emperador, en fuerza de las repetida</t>
  </si>
  <si>
    <t>Conde de Colloredo, General</t>
  </si>
  <si>
    <t>General Conde de Colloredo</t>
  </si>
  <si>
    <t>1138 Xj* Viena 5 de Octubre. JLM General Conde de Colloredo reemplaza al Príncipe de Lobkowitz en el empleo de Capitán de la guardia noble;y el Archiduque Fernando reemplaza al Gen. ral Colloredo en el de Inspector de las tropas de las fro</t>
  </si>
  <si>
    <t>Conde de Dannerskiel-LowendahJ, Teniente General</t>
  </si>
  <si>
    <t>Teniente General Conde de Dannerskiel-LowendahJ</t>
  </si>
  <si>
    <t>al fuere , no debe inferirse de ello que hay desavenencia entre los dos gabinetes, y se sabe que el Teniente General Conde de Dannerskiel-LowendahJ está nombrado para ir á Petersburgo en calidad de Embaxador extraordinario con la ratificación del tratado de neutralidad marítima, acompañándole dos secretarios de legación. Dícese</t>
  </si>
  <si>
    <t>Conde de Íscmhiírgo, Teniente General</t>
  </si>
  <si>
    <t>Teniente General Conde de Íscmhiírgo</t>
  </si>
  <si>
    <t>« 3J Palátinado del Rhiñ, se coiripone de 3987 'hombires xon 1382 caballos: lo manda el Teniente General Conde de Íscmhiírgo&gt; que cstá iiornbrado Gobernador general de dicho Palatinado, y residirá en Manheim. Baxo sus órdenes manda eí General Wreede, el quai sentará su quartel en Heydelberga. Así que se</t>
  </si>
  <si>
    <t>Conde de la Granada, Juan</t>
  </si>
  <si>
    <t>Juan Conde de la Granada</t>
  </si>
  <si>
    <t>osepha Ebe- Prada en el Roniba............................. ........... sellon............. 26. 17. D. Juan Conde de la Granada en Hite...,.................... . D. Juan y Dofia Juma de Berty. Francia......... 26. 28* D. Guillermo Bachvier. D. Luis y Doña María Basoba... Verie en id...... a8. 7. Sulie en Pro</t>
  </si>
  <si>
    <t>Conde de Loewenhoelm, Coronel</t>
  </si>
  <si>
    <t>Coronel Conde de Loewenhoelm</t>
  </si>
  <si>
    <t>directamente á Petersburgo. El día 5 despachó este gobierno á dicha capital de Rusia al Chambelán y Coronel Conde de Loewenhoelm en calidad de correo extraordinario con pliegos para nuestro Soberano.----Ha sabido este ministerio que en las tripulaciones de los barcos ingleses embargados se hallaban unos 200 m</t>
  </si>
  <si>
    <t>Conde de Mitrowski, Teniente General</t>
  </si>
  <si>
    <t>Teniente General Conde de Mitrowski</t>
  </si>
  <si>
    <t>tonio Allegri, conocido mas generalmente con el nombre del.Corregió. . . De Venecia avisan cjue' el Teniente General Conde de Mitrowski ha mandado que á costa de los vecinos de aquella ciudad se reparen los quar* teles; para la tropa, y de lo contrario se alojarán ios soldados en las casas de los habitantes. .Segú</t>
  </si>
  <si>
    <t>Conde de Pahlen, General</t>
  </si>
  <si>
    <t>General Conde de Pahlen</t>
  </si>
  <si>
    <t>o Paulowitz está nombrado Inspector de infantería y caballería en varias provincias del Imperio. El General Conde de Pahlen ha salido para Revel y Riga á examinar el estado de ambos puertos; y el Conde de Paain, nuevo Ministro de Negocios extrangeros, ha empezado ya á despachar este ministerio. Copenha</t>
  </si>
  <si>
    <t>Conde de Sfroinfeld, General</t>
  </si>
  <si>
    <t>General Conde de Sfroinfeld</t>
  </si>
  <si>
    <t>lanchas cañoneras. El exército de Finlandia tiene órden de disponerse á marchar, y la división del General Conde de Sfroinfeld ha salido para Scania. Varios buques armados saldrán hoy al mando del Admirante Frese para defender la costa de Gothemburgo. . • Copenhague gi de Marzo* L a esquadra inglesa empez</t>
  </si>
  <si>
    <t>Conde de Wachtmeister, Almirante</t>
  </si>
  <si>
    <t>Almirante Conde de Wachtmeister</t>
  </si>
  <si>
    <t>ncerrados en; el castillo de las Siete-Torres. . Stockolmo 7 de Mayo, H a llegado á!ésta capital el Almirante Conde de Wachtmeister , y asistirá al consejó dé guérrá que va á célébrafsé -para examinar las causas qii¿’: influyeron en el retardo del armamento de la esquadra sueca. ,!i Sin embargó dé las treguas</t>
  </si>
  <si>
    <t>Conde, Capitán</t>
  </si>
  <si>
    <t>Capitán Conde</t>
  </si>
  <si>
    <t>etario oé legación en Dresde, y Comisario djer rdaciqnes mercantiles1‘(idrCoñsul)_ en Dantziék * el Capitán Conde de ¡siguiente de Reladiones extérbriÉí,^ ebsso foéron todos presentados al primer Cónsul, EÍGeneralClarke,quévmo con ellos de Brusélas, y concurrió á dicha préserítacioda &gt; los fué.</t>
  </si>
  <si>
    <t>Conde, Domingo</t>
  </si>
  <si>
    <t>Domingo Conde</t>
  </si>
  <si>
    <t>te al Subteniente eje panaderos D. Manuel de la Fuente; ¿ Subteniente de granaderos al de fusileros D. Domingo Conde; á primer Subteniente al segundo D. Grer gorio Cosgoya, y i segundo Subteniente al Cadete D. Joseph Cortines; habiendo también nombrado S. M. Capellán del de infantería de Granada</t>
  </si>
  <si>
    <t>Conde-de Lerchenteld</t>
  </si>
  <si>
    <t>cito se dirige-i Mqldaviajy Valaquia. __ • , , .;f. Antes de ayerinurió aqüí el Conde-de Lerchenteld, Ministro,.bavaro©alarmo éiila Dieta del Imperio* ;Asimisnw&gt;, el Conde d®* Dietriohstein, • oficial dé óblanos, hit muerto de teéuhras de süs heridas; y ayer le enterraron con los honores m</t>
  </si>
  <si>
    <t>Conejos, Joachín</t>
  </si>
  <si>
    <t>Joachín Conejos</t>
  </si>
  <si>
    <t>goza....... 143. 2. Joachin Conejos... Damian,... Catalina Martin... Formich alto. Teruel..,......... 747. 12. Pífano i.° Baldomcro Hernández. Luis.......... Juana Ruiz......</t>
  </si>
  <si>
    <t>Conesa, Joseph</t>
  </si>
  <si>
    <t>Joseph Conesa</t>
  </si>
  <si>
    <t>ustini.ini y D. Antonio González; a primeros Subtenientes á los]segundos Dv-Joseph Alvarez Campana, D. Joseph Conesa, Don Domingo Acevédo y De Antonio Viilafranca; y a segundos Subtenientes^ los Sargentos primeros D. Joseph García, D. Juan Recio y* - n ono Tlkíalge, este v ei primero*de' granade</t>
  </si>
  <si>
    <t>Conní Ayer, Capitán</t>
  </si>
  <si>
    <t>Capitán Conní Ayer</t>
  </si>
  <si>
    <t>es Somerville, Cotgrave, Jones y Parkey , y por otra división de. barcos'con oFiist s aE íppndo del Capitán Conní Ayer á las 11 y media de la noche- emprendiéron las lanchas su marcha en el mejor orden posible, y una hora antes de amanecer empezó el fuego. La inteligenci: de los ofici les, el zelo</t>
  </si>
  <si>
    <t>Consaivi, Cardenal</t>
  </si>
  <si>
    <t>Cardenal Consaivi</t>
  </si>
  <si>
    <t>del Emperador cerca de la santa Sede. El 29 llegó igualmente Mr. Maníredini, General austríaco. El Cardenal Consaivi, Secretario de Estado, dió el domingo último una espléndida comida al ciuJ. Cacault, Ministro de Francia, á hy qual asistieron varios Cardenales y Prelados, el caballero Vargas, M</t>
  </si>
  <si>
    <t>Consaivi, Conde</t>
  </si>
  <si>
    <t>Conde Consaivi</t>
  </si>
  <si>
    <t>El primer Cónsul tuvo luego una larga conferencia con él. Acompaña á este ,Purpurado so hermano el Conde Consaivi. ¡ trícese que el clu i. Gacault, Ministro de la República francesa en Ronía, se halla actualmente en Florencia. En la audiencia que el primer Cónsul dio el día 21 !e presentó el</t>
  </si>
  <si>
    <t>Consalvi Ha, Cardenal</t>
  </si>
  <si>
    <t>Cardenal Consalvi Ha</t>
  </si>
  <si>
    <t>do á Monseñor Spina. Quedo con el mis distinguido aprecio, verdadero servidor de V. E. Firmado i C. Cardenal Consalvi Ha llegado de Brest á París el Almirante Latoucbe-Treville; y el Almirante Villaret-Joyeuse saldrá quanto antes de aquí para aquel puerto. El cuerpo de tropas francesas que hay en lo</t>
  </si>
  <si>
    <t>Consalvi y Monseñor-Spina, Cardenal</t>
  </si>
  <si>
    <t>Cardenal Consalvi y Monseñor-Spina</t>
  </si>
  <si>
    <t>para asistir á la parada, cóma acóstumbrá htáiéérló tódai^ lká^émanas. Él Si*. Conde de Liorna L el Cardenal Consalvi y Monseñor-Spina presenciáron las evoluciones dé aquellas tropas desde el gabinete-de dos Cónsules. Después dio el primer Cónsul audiencia á los ¡Genéralasy^l* las ^ftfé^con el Cónsul Lebruna él M</t>
  </si>
  <si>
    <t>Consalvi, Cardenal</t>
  </si>
  <si>
    <t>Cardenal Consalvi</t>
  </si>
  <si>
    <t>gloria de nuestro inmortal libertador. Parts j8 de Febrero. C on fecha de 31 de Enero respondió el Cardenal Consalvi al General Murat en estos términos: „ Roma jj de Enero. Excmo. Sr. Como se restituyen á Florencia los dos oficiales franceses que V. E. despachó con su carta al Sto. Padre, faltar</t>
  </si>
  <si>
    <t>ha- señalado eL Lmperador 5 millones de florines. : , ¡7 i ul ; Flor encía 9 de Junio. A 1 pasar el Cardenal Consalvi por esta ciudad para Francia tuvo una conferencia £On;eLQe.neral:Murat. .Dícesp que el Ministro francés Cacault salid de Roma porque los Ministros de S. S. no querían .convenir en</t>
  </si>
  <si>
    <t>chí, sobrino del difunto Pió vi. Créese que en breve marchará á Paris. , •* Durante la ausencia del Cardenal Consalvi sirve interinamente el Cardenal Doria su empleo de Secretario de Estado del Papa. Genova iG de Junio. E n la fiesta pública con que se celebró aquí la paz del continente, colocó e</t>
  </si>
  <si>
    <t>os archivos del referido ministerio. El ciud. Tayllerand antes de ausentarse dio una gran comida al Cardenal Consalvi. Pasado mañana saldrá de París el Conde-de S* Marsan, Ministro del Rey de Gerdeña. No se sabe si va á Ñapóles ó á Callan. Los vecinos de la ciudad de Sables lian remitido al éiud.</t>
  </si>
  <si>
    <t>SoÓ s 'Roma j$ de Junto. e aguardan aquí con impaciencia noticias del Cardenal Consalvi. Entre tanto , como las tropas P^uieésas no se'adelantan hácia'esta capital., se cree que ai fin se ¿justarán* pacíficamente-todos los asuntos pendientes con el gabinete de las, T</t>
  </si>
  <si>
    <t>e comen dinero de Inglaterra; lo reciben sin delinquir, pues obran con autoridad de la policía.” El Cardenal Consalvi ha salido bien en las negociaciones de que estuvo encargado por la santa Sede cerca del gobierno. Antes de ayer concurrió el primer Cónsul al teatro francés; y hoy, después de la</t>
  </si>
  <si>
    <t>a fr&lt; qüentemente con el Emo. Doria, que sirve 1a secretaría de Estado hasta que vuelva de París el Cardenal Consalvi. El General Debelle tiene orden de evacuar el castillo de S. León y la provincia de Monte-Feltro. Monseñor Galeppi, que se halla en Florencia* envió aquí por extraordinario esta n</t>
  </si>
  <si>
    <t>ndo su solicitud ¿\ eiud. Hus, pintor de la mtrina, y conservador de aquella preciosa colección. El Cardenal Consalvi ha salido de París; pero se asegura que no t*r</t>
  </si>
  <si>
    <t>dadanos Joseph Bonaparte y Cretet, Consejeros de Estajo, y el presbítero Bernier; y por otra el Emo.Cardenal Consalvi, .Secretario de Estadó, Móriseñbr Spin’iy'Arzobispo dé Corinto , y el P. Caseüi, PlenipouncLrío de S. S. Las r a rifle a ciónos deben cangearse en el término de 40 di -s cPotador</t>
  </si>
  <si>
    <t>mer Cónsul comunicó al Consejo de Estado* en iu; junta de 6 de este mes el convenio ajustado con el Cardenal Consalvi, como también todos los puntos arreglados de acuerdo con la corte dé- Roma para -poner fin á las discusiones, y cort r de raíz tod s las qu-relias réligidsasy AI publicar el Monit</t>
  </si>
  <si>
    <t>lanchas hubo 5 ó ¿ muertos. . TJ . ^ Parts 3 de Setiembre. r Jül convenio firmado en Faris entre el Cardenal Consalvi, Monseñor Spina y el P. Gaselli, y íps ciudadanos Joseph Bonaparte, Cretet y Bernier, se ratificó en Roma el 15 de Agosto después de muchas conferencias celebradas á presencia del</t>
  </si>
  <si>
    <t>Consalvir, Cardenal</t>
  </si>
  <si>
    <t>Cardenal Consalvir</t>
  </si>
  <si>
    <t>bo en éP páíácfo í4é’4asc Tüllérías^üna g*lart-comida, á-que asistieron el Sr. Conde de Liorna , el Cardenal Consalvir el Conde de Schock, Capitan de Guardias del Rey de PrUsia*, los Generalés recien /llegados de los • El Sr. Conde de Liorna saldrá de aquí para Italia el dia i.° de JuLoj ó haciendo</t>
  </si>
  <si>
    <t>Constant, Capitán</t>
  </si>
  <si>
    <t>Capitán Constant</t>
  </si>
  <si>
    <t>oluna volvió &amp; firmarse, y poniendo á su frente una compañía de granaderos mandada ppr él intrépido Capitán Constant, y sostenida por un destacamento de húsares, atacó a los napolitanos , y les obligó á retirarse. Llegó al mismo tiempo la división francesa ; pero el General Miollis no quiso priv</t>
  </si>
  <si>
    <t>Constantino Mañero</t>
  </si>
  <si>
    <t>n al primer Teniente de granaderos D. Joseph Zayas; á primer Teniente de granaderos al de fusileros D. Constantino Mañero; á primer Teniente al segundo de granaderos D. Manuel Barranco; á esta resulta al segundo Teniente D. Fernando Va— lledor; á segundo Teniente al Subteniente de granaderos D. Chris</t>
  </si>
  <si>
    <t>Constantino, Duque</t>
  </si>
  <si>
    <t>Duque Constantino</t>
  </si>
  <si>
    <t>é,Ruda en los quatro primeros dias de su llegada á aquella capital.. Fue también presentado al Gran Duque Constantino, con quien tuvo la honra de comer.-__El Lord Sairitr-Helens, Envi. do británico én la misma corte, se presentó Igualmente á toda la familia Imperial; y</t>
  </si>
  <si>
    <t>e aquí el día 21 para Custrin, adonde va á recibir á la Gran Duquesa Ana Federowna, esposa dei Gran Duque Constantino, qúe salió de Petersburgo el 13 de Julio para visitar á su madre la Princesa heredera de Saxonia Coburgo, que se halla peligrosamente enferma. La Gran Duquesa Ana viaja con el nom</t>
  </si>
  <si>
    <t>Constantino, Príncipe</t>
  </si>
  <si>
    <t>Príncipe Constantino</t>
  </si>
  <si>
    <t>os de iníahtéría* que «secutaron varias evoluciones al son -de una música marcial muy brillante. El Príncipe Constantino, dixo ^el -disóurso de inauguración. * f. ! n Ha salido deíaquLel Duque dénG-id Ainiiurgo.: Ant js de su partidario reír galo este Soberano una magnífica espada que Catalina 11 ¡h</t>
  </si>
  <si>
    <t>a , había salido también de la misma capital el 29 de Julio,Jynnp -tardará en llegar á París»—--.El Príncipe Constantino, Coronel dé uñ hermoso íegi* miento de coraceros, dispensó al xefe de brigada Duroc la honra especial de hacer maniobrar dicho cuerpo á presencia suya. El aprecio que aquel joven</t>
  </si>
  <si>
    <t>Constanzó, Miguel</t>
  </si>
  <si>
    <t>Miguel Constanzó</t>
  </si>
  <si>
    <t>á Ingenieros directores de sus exércitos, plazas y fronteras á los en xefes D. Francisco Vanwiteli, D. Miguel Constanzó y D. Francisco de Fersen. En las compañías de artilleros Milicianos provinciales de la plaza de Cádiz se ha servido el Rey, nombrar Capitán á D. Baltasar Moorc; primer Teniente á D. J</t>
  </si>
  <si>
    <t>Cónsul á</t>
  </si>
  <si>
    <t>uenas y contentas.:- ,.»**. -.v.- *r : •&lt; _ •Quando ei dia 14 asistió el primer Cónsul á la¡parada, entregó á varios cuerpos sus banderas y estandartes. Los oficiales y sargentos se formaron en círculo, y el primer Cónsul Ies dixo: „Soldados; debéis s</t>
  </si>
  <si>
    <t>Cónsul á la mencionada quinta</t>
  </si>
  <si>
    <t>an varios Oficiales de su estado mayor. La misftia tardé se restituyó el primer Cónsul á la mencionada quinta. El Embáxador ruso Kalitschew, muy inteligente y aficionado á las artes, visita los establecimientos y monumentos públicos de París. Antes de ayer Fué a la cas</t>
  </si>
  <si>
    <t>Cónsul á propuesta de los Ministros de Relaciones exteriores</t>
  </si>
  <si>
    <t>n. Se formará una Comisión especial de trés individuos nombrados por el primer Cónsul á propuesta de los Ministros de Relaciones exteriores y de las Rentas, m. Esta Comisión estará encargada de recibir y examinar Jos títulos de los créditos de los españoles, de verificar la legitimidad de ellos con arre</t>
  </si>
  <si>
    <t>Cónsul acaba de ratificar el convenio que los restablece</t>
  </si>
  <si>
    <t>stían entre la República francesa y dichos Estados-Unidos de América. El primer Cónsul acaba de ratificar el convenio que los restablece, y se ha hecho en París el cange de la ratificación de los dos gobiernos. Antes de esto los comerciantes de uno y otro país habían renovado con toda confianza</t>
  </si>
  <si>
    <t>Cónsul acostumbré aguantadlas</t>
  </si>
  <si>
    <t>ederse en escribir tales impertinencias : y no se puede sospechar que el primer Cónsul acostumbré aguantadlas._Sin embargo, en lo que se exerce sobre todo su malignidad es en lo tocante al cumplimiento del tratado de Luneville,relativamente í los puntos que hay aun que</t>
  </si>
  <si>
    <t>Cónsul al ciud</t>
  </si>
  <si>
    <t>o género de medios á fin de impedir las secularizaciones. Ha nombrado el primer Cónsul al ciud. Bacher para Encargado de Negocios de la República en la Dieta de Ratisbona, empleo que sirvió anteriormente desde el tratado de Campo-Formio hasta la renovaci</t>
  </si>
  <si>
    <t>puerto y cruzan de continuo desde Abukir hasta Marabuk.” Ha nombrado el primer Cónsul al ciud. Leblanc, actual Director del lazareto del exército de Oriente , para residir en Ñapóles en calidad de Comisario general de Relaciones exteriores. Al cabo de 7</t>
  </si>
  <si>
    <t>varios oficiales muertos «v» ht^idosÍ«l ‘ ^ •' i ! * ' i. Ha nombrado el prim r Cónsul al ciud:«EduardO‘ Lefebvré por-prihié? Secretario de la República francesa en la embuxada di; To£4w«k&gt; y al ciud¡ Simeón por segundo, • ü ; • t i- j c , ' ■-'* El prim</t>
  </si>
  <si>
    <t>xtraordm rio de Francia en la corte de Portugal. T;?mbÍMi ha nombrado el primer Cónsul al ciud. Romieu para Comisario general y Encargado de negocios de Francia en la nueva República de las Siete Isl s-Uuidas. Por proclama de io de est^ mes declaran los</t>
  </si>
  <si>
    <t>Cónsul al Consejero de Estado Joseph Bonaparte para Ministro plenipotenciario</t>
  </si>
  <si>
    <t>ndi=EsseydAly-Effendi” . ■ ;; ! ’■■■ " - ; . ; • f - ' ‘; Ha nombrado el primer Cónsul al Consejero de Estado Joseph Bonaparte para Ministro plenipotenciario de da Répúblici francesa en el congreso de AmieOs; al ciud. Aléxándrb¿ LárOchefoucaült para Ministro plenrfbtéhciaric^cerca ^de S: A. Sv ¿I Elector de SjxonKi, y</t>
  </si>
  <si>
    <t>Cónsul al Sto</t>
  </si>
  <si>
    <t>expresamente me líame S.;S.; y esto prueba bastante la consideración del primer Cónsul al Sto. Padre* Creed, Sr. Cardenal, en el aprecio que os profeso.” Carta delGeneral napolitano Damas al Generalfrancés Murat. „ Quafr tel de Viterbo 2 2 de Enero. Las</t>
  </si>
  <si>
    <t>Cónsul al teatro francés</t>
  </si>
  <si>
    <t>cargado por la santa Sede cerca del gobierno. Antes de ayer concurrió el primer Cónsul al teatro francés; y hoy, después de la parada, dará audiencia á los Embaxadores extrangeros. La esquadra del Almirante Polefien.é,l Báltico, se compone de 45 buques de guerra,</t>
  </si>
  <si>
    <t>Cónsul Angio-Amerrcano</t>
  </si>
  <si>
    <t>na fragata francesa que salía de Puerto-Hércules con 6 transportes. ; ’ m -, El Cónsul Angio-Amerrcano, residente aquí', ’ha recibido la siguiente• circular dé Mr. Cátchart, Cónsul de los &lt; Estados-Unidos en; Túnez , con encargo de que la publique y comunique áq</t>
  </si>
  <si>
    <t>Cónsul asistir todavía á esta sesión</t>
  </si>
  <si>
    <t>eí segundo Cónsul Cambacerés, habló este así: ,, Ciudadanos. No puede el primer Cónsul asistir todavía á esta sesión; pero no quiere retardar coiriunícaros las agradables noticias del exército de Egipto que recibió ésta mañana. Las tropas permanecen en un estado de ruerza y d</t>
  </si>
  <si>
    <t>Cónsul audiencia á</t>
  </si>
  <si>
    <t>nes dé aquellas tropas desde el gabinete-de dos Cónsules. Después dio el primer Cónsul audiencia á los ¡Genéralasy^l* las ^ftfé^con el Cónsul Lebruna él Ministra de~ lo; Interior y el Géñe^bL^nnes áí visitar-el hóspjcio *de- Jps -C$é£©s»;Reconoció los varios tal</t>
  </si>
  <si>
    <t>Cónsul austríaco</t>
  </si>
  <si>
    <t>público en Belgrado, ha vuelto el comételo a; cobrar SU anterior-actividad. El Cónsul austríaco, que se refugió aquí desdé eJ p-incipio de lis turbulencias, se hi restituido á aquella plaza., á la qual Hcgó también el dia 2 el Agá ó Turnuckzi-Baxá, enviad</t>
  </si>
  <si>
    <t>Cónsul británico no toma parte</t>
  </si>
  <si>
    <t>molado bandera inglesa para conseguir la protección de la Gran Bretaña; pero el Cónsul británico no toma parte, á lo menos visiblemente, en aquellas disensiones. La nueva República de las Islas unidas ha entablado ya sus relaciones políticas mercantiles, y han nombrado</t>
  </si>
  <si>
    <t>Cónsul Cambacerés</t>
  </si>
  <si>
    <t>ia , luego _ qué se ,juntó el Consejo , de Estado,, presidido pór éi eí segundo Cónsul Cambacerés, habló este así: ,, Ciudadanos. No puede el primer Cónsul asistir todavía á esta sesión; pero no quiere retardar coiriunícaros las agradables noticias del exér</t>
  </si>
  <si>
    <t>o pasó por encima de los tejados, cayo en el patio de la habitación del segundo Cónsul Cambacerés. El primer Cónsul prosiguió su tíamino, y asistió al oratorio, que por primera vez se cantaba aquella noche. Hace dos meses supo el gobierno que unos 30 hombre</t>
  </si>
  <si>
    <t>Cónsul comunicó al Consejo de Estado</t>
  </si>
  <si>
    <t>di; To£4w«k&gt; y al ciud¡ Simeón por segundo, • ü ; • t i- j c , ' ■-'* El primer Cónsul comunicó al Consejo de Estado* en iu; junta de 6 de este mes el convenio ajustado con el Cardenal Consalvi, como también todos los puntos arreglados de acuerdo con la corte dé- Roma para -p</t>
  </si>
  <si>
    <t>Cónsul con los ciudadanos Monge y Berthole</t>
  </si>
  <si>
    <t>22 JEl 10 de este mes á las 6 Parts de la 15 de 'Febrera tarde salió el primer Cónsul con los ciudadanos Monge y Berthole^, inclivíduos del Senado conservador, para Saa Quintín ^cuyo canal fue «a visitar. Baxó á la parte subterránea, é hizo inspección del terreno. Examinó también</t>
  </si>
  <si>
    <t>cónsul de</t>
  </si>
  <si>
    <t>Don Agustín de GUetaraat , cónsul de §* eo Francia, en los departamentos del norte y p»so de Calais, pone en noticia de las personas i quienes pudiere Interesar , que en tas almacenes y aduanas de</t>
  </si>
  <si>
    <t>Cónsul de</t>
  </si>
  <si>
    <t>l mismo tiempo grado Tn atención á los dilatados servicios de D. Joseph de Mas, Cónsul de 5. M. en Amsterdam, se ha servido el Rey concederle honores de Comisario ordenador de sus Reales exércitos. . En el sorteo quinto de la rifa de la Rea! Caxa de</t>
  </si>
  <si>
    <t>merrcano, residente aquí', ’ha recibido la siguiente• circular dé Mr. Cátchart, Cónsul de los &lt; Estados-Unidos en; Túnez , con encargo de que la publique y comunique áquien corresponde. „ Túnez 2$ de Julio. Habiendo el Bjy de Trípoli declarado guerra á</t>
  </si>
  <si>
    <t>Cónsul de Francia</t>
  </si>
  <si>
    <t>ocupáron aquella ciudad 9 meses y medio. Los ciud. Lauriston, Edecán del primer Cónsul de Francia, y Berthier, oficial de artillería de la guardia consular, llegaron á Hamburgo el 12 del corriente, y salieron de allí al dia siguiente para Copenhague. * El B</t>
  </si>
  <si>
    <t>Cónsul de Francia manifiesta en todo las disposiciones mas pacíficas</t>
  </si>
  <si>
    <t>satisfacción de parte del Marques de Cornwallis, quien le avisa que el priníef Cónsul de Francia manifiesta en todo las disposiciones mas pacíficas/ En el último paquebot de Lisboa ha venido aquí el caballero Araujo,1 Ministro de Portugal en esta corte. w'-.i En ambas Cámaras del Parlamento se han repetido</t>
  </si>
  <si>
    <t>Cónsul de Frr</t>
  </si>
  <si>
    <t>conferido otro.** El General de división Watrin ha escrito al ciud. BellevHíe, Cónsul de Frr,neis en Etruría, la siguiente carta: „Quartelgeneral de Longone 75 de Setiembre. La esquadra del Almirante Warren, compuesta de 7 navios de linea, 3 fragatas y</t>
  </si>
  <si>
    <t>Cónsul de Inglaterra</t>
  </si>
  <si>
    <t>es y herir á 4. La primera que cayó en Elseneur dio precisamente en la casa del Cónsul de Inglaterra. Parece cierto que algunos buques padeciéron daño. Sin embargo, este suceso ha servido á probar que el castillo de Cronenburgo no puede absolutamente impedir e</t>
  </si>
  <si>
    <t>Cónsul de Inglaterra en Malta</t>
  </si>
  <si>
    <t>á los 105 años de edad. Se ha publicado el extracto de una carta de Mr. Magra, Cónsul de Inglaterra en Malta, dirigida á Mr. Henrique Cíarck, Encargado de Negocios -de Ja misma nación en Túnez , con fecha de 6 de Enero; la qual en suma dice así: „ En qaanto á la vacci</t>
  </si>
  <si>
    <t>Cónsul de Jos Estados-Unidos</t>
  </si>
  <si>
    <t>de dichos resarcimientos. Ginova 17 de Febrero* Jfcd ciud. Federico Volloston , Cónsul de Jos Estados-Unidos, ha recibido dfel Cónsul de ki misma nación residente en Trípoli el aviso de oficio dé ctie aquella Regencia ha declarado guerra ai Congreso si antes del 22 de</t>
  </si>
  <si>
    <t>Cónsul de ki misma nación residente en Trípoli el aviso</t>
  </si>
  <si>
    <t>Jfcd ciud. Federico Volloston , Cónsul de Jos Estados-Unidos, ha recibido dfel Cónsul de ki misma nación residente en Trípoli el aviso de oficio dé ctie aquella Regencia ha declarado guerra ai Congreso si antes del 22 de Marzo próximo no accede á las peticiones que le ha hecho, algunas de jas qu</t>
  </si>
  <si>
    <t>Cónsul de la misma rucipnencHull</t>
  </si>
  <si>
    <t>l día 21 recibiéron orden, del Ministro de Prusia , residente en Londres, y del Cónsul de la misma rucipnencHull, paraqué saliesen inmedia*-1 tímente al mar. Igual orden -tirviérmp los: Capitanesde embarcaciones p‘ru-r sienas que habia.cn los demas.puertosaoglesés^ • f '</t>
  </si>
  <si>
    <t>Cónsul de la República francesa</t>
  </si>
  <si>
    <t>Igualmente ansiosos S. M. el Emperador Rey de Hungría y de Bohemia, y el primer Cónsul de la República francesa, en nombre del pueblo francés, de poner fin á los males de la guerra, han resuelto proceder al ajuste de un tratado definitivo de paz y amistad. Y deseando con</t>
  </si>
  <si>
    <t>honrarán á un mismo tiempo como gran Capitán, como pacificador , y como primer Cónsul de la República francesa, de la qual se gloriarán ellos; y nosotros de ser parte.” En su respuesta les dixo Bonaparte: „ El gobierno no tenia ya poder &gt;ara transigir sobre los nueve de</t>
  </si>
  <si>
    <t>Cónsul de la República francesa en nombre</t>
  </si>
  <si>
    <t>ancesa y la Sublime Puerta , los guales son dé¿ tenor siguifenté: : „ El primer Cónsul de la República francesa en nombre^del pueblo Fran-r ees, y la Sublime áPuerta^ ótónrkína ^ deseando póner ^fíft^'á ■l¿rgáérrfcí’qéé tiene divididos los dos estados, y restablecer’lóSí *¿ñf%tíós</t>
  </si>
  <si>
    <t>Cónsul de la República francesa en nombre del pueblo francés</t>
  </si>
  <si>
    <t>iguiente tratado de paz ajustado entre Francia y el Rey de Ñápeles: „ El primer Cónsul de la República francesa en nombre del pueblo francés, y S. M. el Rey de las Dos Sicilias, deseando igualmente poner íin á la guerra que hay entre los dos estados , han nombrado por sus Plenipotenciarios :á saber,</t>
  </si>
  <si>
    <t>atado de paz entre la República francesa y el Rey no de Portitg.il. „E1 primer. Cónsul de la República francesa en nombre del pueblo francés, y S. A. R., el Príncipe Regente del Reyno de Portugal y de ios Algarbes , deseando igualmente restablecer las relaciones de.comercio y amistad que subsistían</t>
  </si>
  <si>
    <t>tre la Repiiblica francesa y S. M. el Emperador de todas las Rusias. „E1 primer Cónsul de la República francesa en nombre del pueblo francés, y S. M. el Emperador de todas las Rusias, deseando restablecer los enlaces de buena inteligencia que subsistian entre los dos gobiernos antes de la actual gue</t>
  </si>
  <si>
    <t>Cónsul de la República francesa Napoleón Bonaparte</t>
  </si>
  <si>
    <t>imer piedra; y en este monumento se leerá la inscripción siguiente: ,,EL primer Cónsul de la República francesa Napoleón Bonaparte, por no pisados caminos, vencidos los Alpes y la naturaleza, destrozados ios exércitos imperiales, obligados á ceder las fortalezas de Piaccncia, Urbano, Pizzi</t>
  </si>
  <si>
    <t>Cónsul de la República francesa no les daba ningún consejo</t>
  </si>
  <si>
    <t>Ies dixo que como primer Cónsul de la República francesa no les daba ningún consejo, en atención á que esta República era un estado independiente que podía formar la constitución que juzgase conveniente ; pero que como particular, que toma muc</t>
  </si>
  <si>
    <t>Cónsul de lá Republicá' f</t>
  </si>
  <si>
    <t>n nombrado á.esté éféctS porósüs^lf&amp;ístros plenipotenciarios/á saber; el primer Cónsul dé lá Republicá' f^añcésa éñ ñóinbfe dél pueblo francés al ciud. Cárlos Mauricio-Talléyrarid, Ministró de Relaciones -esté* riores; y la Sublime Puerta á Esseyd-Aly-Effendi, que</t>
  </si>
  <si>
    <t>Cónsul de los Estados-Unidos en esta República</t>
  </si>
  <si>
    <t>á los demás oficiales de dicho cuerpo. Orénova 8 de Junios . M r. de Wellaston, Cónsul de los Estados-Unidos en esta República, ha informado á la JuUta extraordinaria de gobierno, y :.Í comercio de esta ciudad, de que el Cónsul anglo-americano residente en Trípoli tuvo que salir de all</t>
  </si>
  <si>
    <t>Cónsul de los EstadosUnidos en Argel</t>
  </si>
  <si>
    <t>( ‘ N ' Hantburgá 16" de Febrero. S e ha|publicado un informe, que Mr. Obrieit, Cónsul de los EstadosUnidos en Argel, ha dirigido á su gobierno sobre las presas que las Regen-.? cías berberiscas han hecho durante los dos años últimos; y son, 27 embarcaciones napolitanas, sici</t>
  </si>
  <si>
    <t>Cónsul de Prttsia</t>
  </si>
  <si>
    <t>rando al mismo tiempo todos les efectos y bienes pertenecientes á ingleses..—El Cónsul de Prttsia , residente en Hambiirgo, ha comunicado orden á los Capitanes de embarcaciones prusianas surtas en aquel puerro para que no salgan hasta nuevo aviso. Haya 1$ d</t>
  </si>
  <si>
    <t>Cónsul de ratificarlos también</t>
  </si>
  <si>
    <t>que el Rey de Inglaterra ha ratificado los preliminares de paz» acaba el primer Cónsul de ratificarlos también. Según el estado que el Ministro de Guerra comunicó á Jos Cónsules, son en todo 12,148 las personas que vuelven de Egipto á Francia, en esta forma : 39 oficial</t>
  </si>
  <si>
    <t>Cónsul de su quinta de Malmaison</t>
  </si>
  <si>
    <t>ue la corte dé laglaterra ha publicado de. oficio. Antes de ayer vino el primer Cónsul de su quinta de Malmaison, y dio; audiencia á ios Embaxadores. En esta ocasión se le presentó el Almirante</t>
  </si>
  <si>
    <t>Cónsul del contenido de vuestra carta</t>
  </si>
  <si>
    <t>Relaciones exteriores al ciud'. Otto r Partí 16 de Febrero*. Enrerado el primer Cónsul del contenido de vuestra carta de 30 de Enero, y de ios oficios que incluía, me encarga deciros que os retiréis dé Londres, y volváis á Francia. Al retiraros dirigiréis al gobierno* británico u</t>
  </si>
  <si>
    <t>Cónsul del Rey en ia corte de Ñapóles</t>
  </si>
  <si>
    <t>ido conseguir, sin embargo de los repetidos oficios que ha pasado por medio del Cónsul del Rey en ia corte de Ñapóles, y órdenes comunicadas desde aquí, el cobro de los portes de las correspondencias de Ja península para aquel Reyno, adeudados desde Octubre del año pasado de 1</t>
  </si>
  <si>
    <t>Cónsul desea qüé</t>
  </si>
  <si>
    <t>haberle escrito el Ministró de Relaciones exteriores&gt;de Prancii qííé él $rímér Cónsul desea qüé^laájüfttá de consulta suspenda sus tareas hasta que cesen las hostilidades, ya medianté unfarmistkíióv yá con la paá; y qüe en cohseqitértcia todos los actó§ d</t>
  </si>
  <si>
    <t>Cónsul dio</t>
  </si>
  <si>
    <t>onseguirían otras embarcaciones que enviaban con el ptopi.o objeto, i El mismo. Cónsul dio, ppsteriorinente &gt; aviso, desde Malta á Mr. Henriquer CJirke;, Encargado de .Negocios de Inglaterríi en Jónez,.. de que el 21 de .Diciembre habían salido de Ma</t>
  </si>
  <si>
    <t>Cónsul dio á los Embajadores el</t>
  </si>
  <si>
    <t>coa entrada gratis. “¡r? Parts £ de 'Noviembre. JUn la audiencia que el primer Cónsul dio á los Embajadores el 6 de este mes fuéroh presentados muchos sugétos extrangeros por los respectivos Ministros de Suecia, Rusia, Dinamarca, Prusia, y del Elector palatino de Batier</t>
  </si>
  <si>
    <t>Cónsul dio á los Embaxadores el día</t>
  </si>
  <si>
    <t>n á Constantinopla por Viena. Parts 8 de Agosto. E n la audiencia que el primer Cónsul dio á los Embaxadores el día 5 fuéron presentados el Barón de Ehrensward, que entregó sus’credenciales en calidad de Enviado extraordinario y.Ministro plenipotenciario de $.'M. el Rey de S</t>
  </si>
  <si>
    <t>Cónsul dio el día</t>
  </si>
  <si>
    <t>cesa en Ronía, se halla actualmente en Florencia. En la audiencia que el primer Cónsul dio el día 21 !e presentó el Ministro de Relaciones exteriores el Barón de .Amb 'ch, Consejero de .Regencia del Elector de Saxonia , el Barón de ívoi,, Gentilhombre del P</t>
  </si>
  <si>
    <t>Cónsul dos caballos de esquadron en</t>
  </si>
  <si>
    <t>por personas que deseaban pasar á Francia. Se han comprado aquí para el primer Cónsul dos caballos de esquadron en 290 guineas , ó, al pie de 1740 pesos. Con motivo de cedernos los Holandeses los establecimientos de Ceylan, se habla mucho de aquella isla en nuestras gazetas</t>
  </si>
  <si>
    <t>Cónsul éí Barón de borvi</t>
  </si>
  <si>
    <t>rp dePáñté'de nuestros‘puertos.* " * 5 , ,y- fl. ^,} de JlgQft^ sihtó ah primer/Cónsul éí Barón de borvi.Ile , Mayordomo mayor dé la.di- 2 ítínta Reyna de Prusia, y Chambelán dehB-cy; y Mr.de Dorvjlle, su hijo,. Capitán deí régimiento de (jénsdarmés.-Asimismo, el</t>
  </si>
  <si>
    <t>Cónsul eí ministerio de Jo Interior en propiedad al ciud</t>
  </si>
  <si>
    <t>iso para París con las condiciones del armisticio.’* ' I Ha conferido el primer Cónsul eí ministerio de Jo Interior en propiedad al ciud. Chaptal, Consejero dé Estado, que lo servia interinamente. Un oficial ruso llegó á París el 20 de este mes á las 7 de la mañana:* pasó al instante á casa del</t>
  </si>
  <si>
    <t>Cónsul el</t>
  </si>
  <si>
    <t>■ .-V/ ■ ■ ■ El General Vial reciei^rllégádp de ^gjptp.,ha presentado ál primer Cónsul el .tronco de una estatua antigua de b^ltp * d$'Játíb$y.í&gt;r belleza. Representa el;cuerpo; de u/i rnozo de 15. aqo^ qn. qpe sp. observa una anatomía •perfpctgv l?</t>
  </si>
  <si>
    <t>laridad.” Los fabricantes de bordado de la ciudad de León presentaron al primer Cónsul el 9 de este mes, dia de la celebración de la paz, un vestido de terciopelo azul obscuro con bordadora de seda y oro» La belleza del dibuxo , formado de laureles,</t>
  </si>
  <si>
    <t>Cónsul el caballero Kalitchew</t>
  </si>
  <si>
    <t>los ligeros de la Guardia del Rey. En la misma audiencia se despidió del primer Cónsul el caballero Kalitchew, Ministro que ha sido de Rusia en Francia; y concluida la audiencia pública, la tuvo el Conde de Marcow, enviado por Alexandro 1 para suceder á Mr. Kalitchew.</t>
  </si>
  <si>
    <t>Cónsul el Conde de Berenyi</t>
  </si>
  <si>
    <t>Nook, oficial de ingenieros. Asimismo el Conde de Cobentzel presentó al primer Cónsul el Conde de Berenyi, Chambelán de S. M. el Emperador de Alemania, y el Barón de Lang, caballero austríaco. Mr. de KalkcheíF asistió á la audiencia como Ministro- plenipotenciario</t>
  </si>
  <si>
    <t>Cónsul el dia</t>
  </si>
  <si>
    <t>n esta ocasión sin duda habéis querido reir.” En la audiencia que dio el primer Cónsul el dia 7 á los Embaxadores, Ministros y Agentes de potencias extrangeras, fué presentado Mr. Cobentzel en calidad de Ministro plenipotenciario del Emperador para las</t>
  </si>
  <si>
    <t>Cónsul el plan del foro de Bonaparte</t>
  </si>
  <si>
    <t>dadanos Antolini y Cellentani. Uno de ellos va encargado de presentar al primer Cónsul el plan del foro de Bonaparte, que es obra suya; y el otro entregará al General Berthier un sable d[e mucho precio de parte del gobierno cisalpino. Sitas burga i.° de Abril. P arece que los</t>
  </si>
  <si>
    <t>Cónsul el Principe de líohenzollern-Hec</t>
  </si>
  <si>
    <t>, di putados de Nurt rab^rg..., E n 1 a propia audiencia se despidió del primer Cónsul el Principe de líohenzollern-Hec» kingen. , , El General Brrnidotte escribe desde su quartel de, Pontiví al Ministro de Guerra que acaba de llegar de Inglaterra á aquel país mucho di** ñero de</t>
  </si>
  <si>
    <t>Cónsul el Príncipe de Nassau-Siegen</t>
  </si>
  <si>
    <t>a, el Sr. D. Joseph Nicolás de Azara, Embajador de España, presente) al primer Cónsul el Príncipe de Nassau-Siegen, General de los exércitos de S. M. Cat. Igualmente, el Ministro de Relaciones exteriores le presentó á Mr. Pindiney, que va de Ministro de los Estados-Unidos á</t>
  </si>
  <si>
    <t>Cónsul el re</t>
  </si>
  <si>
    <t>es con esta marea.” En la gran parada del dia 12 desfiló á presencia del primer Cónsul el re</t>
  </si>
  <si>
    <t>Cónsul en el palacio del gobierno</t>
  </si>
  <si>
    <t>,7 H de S. S., y la misma tarde, fué presentado,al primer Cónsul en el palacio del gobierno, observándose las ceremonias acostumbradas en tales casos. El primer Cónsul tuvo luego una larga conferencia con él. Acompaña á este ,Purpurado so hermano el C</t>
  </si>
  <si>
    <t>Cónsul en el teatro</t>
  </si>
  <si>
    <t>tes en la acusación de habe$ querido el ro de Octubre último asesinar al primer Cónsul en el teatro. El Barón de Sprengporten despachó el cLia 23 á Pefersbürgo, en calidad de correo, uno de los oficiales rusos quéde acompañaban. Se han publicado las dos sigui</t>
  </si>
  <si>
    <t>Cónsul en el teatro de la ópera</t>
  </si>
  <si>
    <t>4 años, convencidos?de hahqr intentado el iode Octubre quitar la vida al primer Cónsul en el teatro de la ópera. Otros quatro acusados fuéron absueltos, ios sentenciados á pena capital han apelado de'la sentencia''al tribunal de Casación» , i Por prbvideúpiá, debuen gobi</t>
  </si>
  <si>
    <t>Cónsul en este puerto</t>
  </si>
  <si>
    <t>ado ya sus relaciones políticas mercantiles, y han nombrado al Sr. Markati para Cónsul en este puerto, al que no tardará en llegar desde Constantinopla. La Lindera de dicha República tiene por un lado un león con 7 flechas en una de sus garras; y por el otro pr</t>
  </si>
  <si>
    <t>cónsul en id</t>
  </si>
  <si>
    <t>dro Martínez ..Moreno. D. Roberto With , Cádiz. M. BunÜar at Rames BuíF Esq.r , cónsul en id. M. Martau o Matheu y compafil£l aIíi casa sita en la calle del Besengafio * que da vuelta á la de Fuencarral y de la Flor, núrn. i, manz. 344, que tiene de si</t>
  </si>
  <si>
    <t>Cónsul en Paiermo</t>
  </si>
  <si>
    <t>Mayo. H a nombrado el primer Cónsul para Comisario de relaciones mercantiles/ ó Cónsul en Paiermo, ai ciud. Marson, que era Prefecto del departamento del Doubs. Se ha suspendido por ahora la venta de bienes llamados nacionales, excepto los que están en liti</t>
  </si>
  <si>
    <t>Cónsul encargándole pidiese ai Bey licencia para cargar</t>
  </si>
  <si>
    <t>potencias que están bloqueados*_ Los comandantes de. Mahon escribieron á dicho Cónsul encargándole pidiese ai Bey licencia para cargar de.granos una embarcación* que se despachaba al intento; pero respondió', que el Bey se había negado á esta solicitud. No obstante, esperaban dichos, comandantes</t>
  </si>
  <si>
    <t>Cónsul eta España mas inmediato</t>
  </si>
  <si>
    <t>s del banco, el qual poder ha de venir legalizado por el Enibaxadot* Ministro 6 Cónsul eta España mas inmediato. En el acto de exhibirlas accioínes y entregar los poderes y testimonios, se dará á cada vocal una esquela rubricada por. el Secretario, que deberá presentar a</t>
  </si>
  <si>
    <t>Cónsul francés en el Cayro</t>
  </si>
  <si>
    <t>e lee en el Monitor lo que sigue: ,,Acaba de entrar en Toíon el eiud. Magallón, Cónsul francés en el Cayro , que habiendo salido de Egipto fué apresado por los ingleses y conducido á Malta , de donde salió el 7 de este mes. La guarnición inglesa de aquella isla era</t>
  </si>
  <si>
    <t>Cónsul general</t>
  </si>
  <si>
    <t>as de la costa de Guinea. Van en una embarcación heütral. ; / ? \l Mr. Rourne , Cónsul general "de los Estados-Tlhido^ residente en está? ciudad , ha comunicado al comercio deTAmsterdkin y al público, que úna ekqüadrilla arhericariá léfuza déíáñte de Trí</t>
  </si>
  <si>
    <t>Cónsul general de Rusia</t>
  </si>
  <si>
    <t>s austríacos que -mandan en el Bannato y en Transiivania■; 2.a á otra carta del Cónsul general de Rusia, qne le persuade no turbe ía quietud de las provincias de Valaquia y Moldavia; y 3.a á haber hallado medios de entrar en negociación con la Puerta Otomana para</t>
  </si>
  <si>
    <t>Cónsul general del Emperador de Alemania en Rusia Mr</t>
  </si>
  <si>
    <t>1801. Petersburgo 8 de Junio. H a mandado este Soberano que sea reconocido como Cónsul general del Emperador de Alemania en Rusia Mr. Wiazzolli, á quien Paulo 1 había prohibido á principios de Noviembre de 1800 tomase este título. ÍLa carta que S. M. I. dirigió á la sociedad económica de est</t>
  </si>
  <si>
    <t>Cónsul ha conferido como recompensa nacional muchas granadas</t>
  </si>
  <si>
    <t>con la ratificación del gobierno francés al tratado de paz con Rusia. El primer Cónsul ha conferido como recompensa nacional muchas granadas, fusiles y hachas de honor á los milirares y marineros de la esquadra del Almirante Gantheaume, que atacaron y apresaron el navio ingles el §witsfure. Para aum</t>
  </si>
  <si>
    <t>Cónsul ha conferido últimamente</t>
  </si>
  <si>
    <t>y reglamentos de h República. Entre varias recompensas nacionales que el primer Cónsul ha conferido últimamente, ha dado un sable^de honor al ciud. Francisco Antonio Kirmjnne , Capitán del regimiento núm. 20 de cazadores de á caballo, que sirvió en el exército del Rhin ,</t>
  </si>
  <si>
    <t>Cónsul ha nombrado para desempeñar este encargo al ciud</t>
  </si>
  <si>
    <t>os; y «seguir ,1a correspondencia interior relativa á estos puntos___ El primer Cónsul ha nombrado para desempeñar este encargo al ciud. Portdis , Consejero de Estado. En un sdon del Louvre se han expuesto al público lis obras de los discípulos de las escuelas de escultura que han concurrido es</t>
  </si>
  <si>
    <t>Cónsul ha ofrecido concurrir para hacer la primer elección</t>
  </si>
  <si>
    <t>s que han de formar la Consulta extraordinaria cisalpina, con la qual el primer Cónsul ha ofrecido concurrir para hacer la primer elección de los principales empleados de aquella. República, son los 29 Obispos de ella, 33 Párrocos, 46 individuos de los tribunales, 51 comer</t>
  </si>
  <si>
    <t>Cónsul ha recompensado al Contra-Almirante Linois</t>
  </si>
  <si>
    <t>ya suerte se fixó irrevocable-» mente en el tratado de Luneville.’- 1 El primer Cónsul ha recompensado al Contra-Almirante Linois , co-* mandante de los 3 navios franceses que en Algecíras peleáron el 6 de Julio contra 6 ingleses , con un sable de honor: al Capitán de fragata Troudd, coma</t>
  </si>
  <si>
    <t>Cónsul Ies dixo</t>
  </si>
  <si>
    <t>as y estandartes. Los oficiales y sargentos se formaron en círculo, y el primer Cónsul Ies dixo: „Soldados; debéis siempre reuniros á estas banderas. Jurád que jamas caerán, en manos &lt;d© enemigos de lá República; y que si se requiere^ pereceréis todos, en</t>
  </si>
  <si>
    <t>Cónsul ingles</t>
  </si>
  <si>
    <t>siendo ahora la primera vez. que no los exceptúan de este r servicro. ... . El Cónsul ingles, que residía en Aítona, tuvo orden de salir de los estados del Rey de Dinamarca, y se ha transferido á esta ciudad.. Viena 18 de Marzo. S egun cartas de Lember</t>
  </si>
  <si>
    <t>Príncipe de Kuüakirr para Ministro de Estado en* lugar del Conde Restopchin. El Cónsul ingles, que resido eri este puerta, ha mandado á las embútcáciones de su nación surtas en él salgan inmediatamente y vayan á la embocadura del Elba, en donde ha liará</t>
  </si>
  <si>
    <t>Cónsul Ingles</t>
  </si>
  <si>
    <t>ento coa la Duquésa de Dorset hasta que se resuelva si irá ó no á Francia.5 Jhi Cónsul Ingles* residente en Hamburgo intimó á los capitanes de embarcaciones de su nación surtas en aquel puerto se hiciesen inmediatamente á la vela; y en efecto, salieron</t>
  </si>
  <si>
    <t>cio la noticia de) ajuste de los preliminares: de resultas vino á Liorna con el Cónsul ingles, y posteriormente ha vuelto á Porto-Ferrayo. Llegan actualmente al puerto de Ancona barcos de todas naciones con géneros y frutos. Por una orden Real manda S.</t>
  </si>
  <si>
    <t>Cónsul ingles que residió en Rusia</t>
  </si>
  <si>
    <t>lo que se dixo de que el Rey le había perdonado. Mr. Shairpe, que fué el último Cónsul ingles que residió en Rusia, vuelve á Petersburgo con el mismo empleo. Se está alistando en Plirnouth una fragata para llevarlo á su destino. Las sumas que el 5 de Abril debía el gobierno</t>
  </si>
  <si>
    <t>Cónsul irá á León acompañándole el Ministro</t>
  </si>
  <si>
    <t>con Inglaterra. Ha llegado á París el General Bernadotte. Dícese^que el primer Cónsul irá á León acompañándole el Ministro</t>
  </si>
  <si>
    <t>Cónsul la siguiente c</t>
  </si>
  <si>
    <t>componían la guarnición d \bukír luri escrito en nombre de toda ella al primer Cónsul la siguiente c*rta: „Ciud. Cónsul. Unos militares valerosos, que han servido</t>
  </si>
  <si>
    <t>Cónsul la siguiente carta</t>
  </si>
  <si>
    <t>istrador geijeral del departamento del Golo y del Liamone, ha escrito al primer Cónsul la siguiente carta; „Bastía 2 de Mayo. He recibido noticias de la expedición despachada-de aquí para ocupar la isla de Elba. El desembarco se hizo el 30 por la noch§ en Marciana</t>
  </si>
  <si>
    <t>Cónsul las luces que necesite para nombrar</t>
  </si>
  <si>
    <t>dar cumplimiento y poner en práctica la constitución , y proporcionar al primer Cónsul las luces que necesite para nombrar, según el tenor del acto legislativo de 7 de Octubre, los sugetos que han de componer por primera vez los 3 colegios electorales. Mientras duren las sesiones d</t>
  </si>
  <si>
    <t>Cónsul le ha escrito ene irgándole que acelere su partida</t>
  </si>
  <si>
    <t>ens, se está disponiendo un magnífico coche para su viage. Dícese que el primer Cónsul le ha escrito ene irgándole que acelere su partida; pero es dable que aun se detenga aquí algunos dias, mayormente quando nó puede abrirse el congreso ha^ta que 11 guen los Ministros de España y Holanda. Mr. Co</t>
  </si>
  <si>
    <t>Cónsul Lebrun</t>
  </si>
  <si>
    <t>e este delito.. Los Generales Bessieres, Lannes,.y un Ayudante, hijo del tercer Cónsul Lebrun , se hallaban en el coche del primer Cónsul quando jse .vo^ó la máquina infernal. Algunos de los heridos han muerto. Se ha abierto una subscripción para socorr</t>
  </si>
  <si>
    <t>dia 22 visitó la casa de educación llamada Pritaneo francés: le acompañaban el Cónsul Lebrun, el Ministro de lo Interior, y los Genérales Lasries y Ca£fárelly: recorrió todas las aulas, deteniéndose mas en las de matemática* examinó á muchas alumnos so</t>
  </si>
  <si>
    <t>Cónsul Lebruna él Ministra</t>
  </si>
  <si>
    <t>s. Después dio el primer Cónsul audiencia á los ¡Genéralasy^l* las ^ftfé^con el Cónsul Lebruna él Ministra de~ lo; Interior y el Géñe^bL^nnes áí visitar-el hóspjcio *de- Jps -C$é£©s»;Reconoció los varios talleres y fábricas, especialmente la de paños, én la que : están</t>
  </si>
  <si>
    <t>Cónsul no</t>
  </si>
  <si>
    <t>iciones que le ha hecho, algunas de jas qu ilas son tan extravagantes que aquel Cónsul no¡ pudo ménos de destellarlas. ___Por el mismo conducto se sabe que ol Bey de Trípoli ha coa</t>
  </si>
  <si>
    <t>Cónsul padecía un reumatismo que le empezó en el exército</t>
  </si>
  <si>
    <t>provisto de municiones y víveres para muchos años. ; Hacia tiempo que el primer Cónsul padecía un reumatismo que le empezó en el exército. El ciud. Corvisart, su médico, juzgó que esta era Ja estación favorable para ver de curarle. Le echó sucesivamente vexigatorios en el pecho y en el brazo; y e</t>
  </si>
  <si>
    <t>Cónsul para asistir á la parada y revistar las tropas</t>
  </si>
  <si>
    <t>e á los enemigos de la República. El dia. 3 vino de Malmaison á París el primer Cónsul para asistir á la parada y revistar las tropas. El Sr. Conde de Liorna presenció la revista desde Ls ventanas del gabinete particular de los Cónsules , y la Sra. Condesa desde la habitación de Madama Bonapa</t>
  </si>
  <si>
    <t>Cónsul para Comisario de relaciones mercantiles</t>
  </si>
  <si>
    <t>infiere que se reunirá con la Helvecia. París 7 de Mayo. H a nombrado el primer Cónsul para Comisario de relaciones mercantiles/ ó Cónsul en Paiermo, ai ciud. Marson, que era Prefecto del departamento del Doubs. Se ha suspendido por ahora la venta de bienes llamados nacionales, excepto</t>
  </si>
  <si>
    <t>Cónsul para manifestarle su- gozo de que el primer magistrado</t>
  </si>
  <si>
    <t>tituto y otras cuerpos se hán presentado desde el dia 2$ de Diciembre al primer Cónsul para manifestarle su- gozo de que el primer magistrado de ía nación se hubiese librado la. noche del 24 de las asechanzas ty tiros dej algunos malvados ¿ su sentimiento de que se hubiese visto ^expuesto á semejante pe</t>
  </si>
  <si>
    <t>Cónsul por el Conde de Cobéntzel Mr</t>
  </si>
  <si>
    <t>on con entusiasmo.: lo juramos.A las 2 de*la tarde fuéron presentados al primer Cónsul por el Conde de Cobéntzel Mr: de Vincent, el Barón de Aspres, de Grunn, y Conde de Litta, Generales de los exércitos de S. M. I-, y Mr. de Grunn, Coronel de dragones del propio Soberano. A</t>
  </si>
  <si>
    <t>Cónsul por el logro de las negociaciones</t>
  </si>
  <si>
    <t>ropuso que se sombrase una diputación de 24 vocales para cumplimentar al primer Cónsul por el logro de las negociaciones; y así se acordó cmánimemente. ; En-una‘razón inserta en el Monitor sobre las primeras tareas dd Cuerpo legislativo se especifican de este modo. El dia 24 se p</t>
  </si>
  <si>
    <t>Cónsul prosiguió su tíamino</t>
  </si>
  <si>
    <t>dos, cayo en el patio de la habitación del segundo Cónsul Cambacerés. El primer Cónsul prosiguió su tíamino, y asistió al oratorio, que por primera vez se cantaba aquella noche. Hace dos meses supo el gobierno que unos 30 hombres de lo* que se cubrieron de delitos en</t>
  </si>
  <si>
    <t>Cónsul quando jse</t>
  </si>
  <si>
    <t>un Ayudante, hijo del tercer Cónsul Lebrun , se hallaban en el coche del primer Cónsul quando jse .vo^ó la máquina infernal. Algunos de los heridos han muerto. Se ha abierto una subscripción para socorrer á quantos han .padecido en aquel lan* ce i y es ya c</t>
  </si>
  <si>
    <t>Cónsul que ha sido de Francia en Valaquia</t>
  </si>
  <si>
    <t>eas, á fin de no retardar la partida de esta gente. La preside el ciud. Fleuri, Cónsul que ha sido de Francia en Valaquia. Stockolmo 14 de Setiembre. E n Carlscrona y Gothemburgo se arman varias fragatas y cuters destinados á reforzar la división sueca que cruza en el Mediterráneo</t>
  </si>
  <si>
    <t>Cónsul que tenia en Zante</t>
  </si>
  <si>
    <t>sus proposiciones, como inadmisibles en lat circunstancias presentes, retiro al Cónsul que tenia en Zante. De Egipto han salido 3® hombres de tropas inglesas para Corfú, sin otro objeto que el de sosegar los ánimos muy inquietos en la nueva República/’ Florencia 2</t>
  </si>
  <si>
    <t>Cónsul recibió con él mayor fausto y distinción á Mr</t>
  </si>
  <si>
    <t>; que por otra parte, como la nación francesa gusta de aparato, y que el primer Cónsul recibió con él mayor fausto y distinción á Mr. de Cobentzel, había parecido justo hacer aquí lo mismo con el Embaxador de Francia. Mr. de Rasumowski ha enviado esta respuesta á su corte. Wessel 7 de Noviem</t>
  </si>
  <si>
    <t>Cónsul recibió muy bien á los fabricantes</t>
  </si>
  <si>
    <t>, espigas y palmas, y la perfección del trabajo, no dexan que desear. El primer Cónsul recibió muy bien á los fabricantes, ofreció hacer uso dei vestido, y con este motivo les aseguró nuevamente favorecer quanto pueda ¿ la ciudad de León. La mencionada áesta de la paz ha sido una</t>
  </si>
  <si>
    <t>Cónsul respondió así</t>
  </si>
  <si>
    <t>no mirareis como delito el que os comunique directamente sus quejas.” Ei primer Cónsul respondió así: „ Soldados: he leido vuestra carta, yhe tomado informes en orden á vuestra conducta. Os reconozco por dignos soldados de*la iriedia brigada núm. 61. He mandad</t>
  </si>
  <si>
    <t>Cónsul revísta</t>
  </si>
  <si>
    <t>inválidos-de mariiiaí; l - v ' ’ ; ‘ ; ' ¡ . .. c* X JEl dia&gt; 24 pasó el primer Cónsul revísta ¡al tiempo de la parada, y dio sables ; y carabinas de honor á un Capitán del tercer regimiento de húsares, á un Alférezdos mariscales de lógis y tres soldados</t>
  </si>
  <si>
    <t>Cónsul se ha dado áaconaceráAoda EurópaVOs dirijo</t>
  </si>
  <si>
    <t>s brillantes era conformarse con el carácter de mo*deraei&lt;?nredil qué ei.prímer Cónsul se ha dado áaconaceráAoda EurópaVOs dirijo 'aopía deicohvenío ideArmisticio. d&gt;esde du«go Emperador ha tra4 tado d;e paz , sea,f qayl fueseilá determinación de&lt;‘sus.aHádós^yrnue5tra,)íneá apoyándose ¿lu</t>
  </si>
  <si>
    <t>Cónsul se propone visitar y reconocer todos los establecimientos importantes</t>
  </si>
  <si>
    <t>ar tierra adentro los prisioneros que hay en los puertos. -Parece que el primer Cónsul se propone visitar y reconocer todos los establecimientos importantes de esta ciudad y las inmediaciones. El dia 22 visitó la casa de educación llamada Pritaneo francés: le acompañaban el Cónsul Lebrun, el Ministro de lo Interior, y</t>
  </si>
  <si>
    <t>Cónsul su ratificación</t>
  </si>
  <si>
    <t>Inglaterra habla ratificado los preliminares de paz, ha dado también el primer Cónsul su ratificación. El 8 por la noche salió de aquí para Londres el ciud, Lauriston, Edecán del primer Cónsul, que lleva el cange de las ratificaciones de los preliminares de paz</t>
  </si>
  <si>
    <t>Cónsul sug</t>
  </si>
  <si>
    <t>retos y decisiones sobre mar-ria de cultos: proponer al nombramiento del primer Cónsul sug&lt;,tos aptos á desempeñar los empleos de ministros de los diferentes cu'tos : examinar, antes de su publicación en Francia, todos los res.ripios, bulas y breves</t>
  </si>
  <si>
    <t>Cónsul tuvo luego una larga conferencia con él</t>
  </si>
  <si>
    <t>l gobierno, observándose las ceremonias acostumbradas en tales casos. El primer Cónsul tuvo luego una larga conferencia con él. Acompaña á este ,Purpurado so hermano el Conde Consaivi. ¡ trícese que el clu i. Gacault, Ministro de la República francesa en Ronía, se halla actualmente en</t>
  </si>
  <si>
    <t>Cónsul un mapa de Francia en</t>
  </si>
  <si>
    <t>noticia del ajuste de- h paz; preseqtó el Ministro, de Jo- rfiteri©r la} primer Cónsul un mapa de Francia en. mármol Con los nuevos' Imvkessegun se háo señalado en el tratado dé Lunevi-JIe. • Hl xi de Eneró escribid Mr- Dundas* ono de los principales secretario* del R</t>
  </si>
  <si>
    <t>Cónsul unj sable de honor al Capitán CoefFé</t>
  </si>
  <si>
    <t>on durante la guerra: luego.Jos*sentó á su;mesa. También ha conferido el primar Cónsul unj sable de honor al Capitán CoefFé, que en el encuentro que hubo la-noche de 5 á 6 de Mayo del año último en el exército de It.Jia, .hallándose encargado de defender con ifo hombres eh puesto im</t>
  </si>
  <si>
    <t>Cónsul varios mamelucos del Bey Amurá tes</t>
  </si>
  <si>
    <t>efe de brigada trae también dé parte del General Menou para presentar al primer Cónsul varios mamelucos del Bey Amurá tes. Las cartas ae dicho General; alcanzan hasta 14 de Noviembre. En una de eUas dice que despacha Coo s«s;,plíegos aJ mencionado oficial, que eslsqecoi, y- Jxa*.$</t>
  </si>
  <si>
    <t>Cónsul venir á la última parada</t>
  </si>
  <si>
    <t>brazo; y este remedio, cuyos efectos han sido muy favorables, impidió ai primer Cónsul venir á la última parada, y dar el dia 6 la acostumbrada audiencia á los Embaxadores. No ha dexado de trabajar un dia con los Cónsules y con los Ministros; y la mañana del 6 asistió al</t>
  </si>
  <si>
    <t>Cónsul vino el dia</t>
  </si>
  <si>
    <t>! :»ú 6 '-o »-• - :r '■-y'■ Parts i8 de Junio* • L’- - ríH' t-; . ,. E 1 primer Cónsul vino el dia 24 a París para asistir á la parada, cóma acóstumbrá htáiéérló tódai^ lká^émanas. Él Si*. Conde de Liorna L el Cardenal Consalvi y Monseñor-Spina presenciáron</t>
  </si>
  <si>
    <t>Continuó D- Joseph Inocencio de Llano</t>
  </si>
  <si>
    <t>Aparici, y cantó acompañada de la orquestra una poesía en loor dé la sociedad. Continuó D- Joseph Inocencio de Llano, secretario de la juri- ' /gubernativa de comboyes, ley endo una noticia histórica dé su establecí-r miento, progresos y ¿estada; y en nombre de D. Tomas de OteroDoñ ' Joachín de la Croix pub</t>
  </si>
  <si>
    <t>Contreras, Lorenzo</t>
  </si>
  <si>
    <t>Lorenzo Contreras</t>
  </si>
  <si>
    <t>atrava á Capitán al primer Teniente D. Luis Abásalo: en el de Santiago a primer Teniente al segundo D. Lorenzo Contreras, y á segundo Teniente al Alférez D. Antonio Santa; y en el de dragones de Alnunsa á Capitán al Teniente de granaderos, graduado de Capitán, D. Juan Dávadie, y á Ayudante al Tenien</t>
  </si>
  <si>
    <t>Coote, General</t>
  </si>
  <si>
    <t>General Coote</t>
  </si>
  <si>
    <t>etralla. Al cabo de 203 horas, que se emplearon en desembarcar municiones y parte de la brigada del General Coote, se adelantó eí exército 4 millas, y se detuvo Basta el día 12, porque la contrariedad del tiempo retardó eí desembarcó de las demas municiones y víveres. Dicho dia 12 seguimos ad</t>
  </si>
  <si>
    <t>Córdoba, Manuel</t>
  </si>
  <si>
    <t>Manuel Córdoba</t>
  </si>
  <si>
    <t>ai. 6. Manuel Córdoba.. Antonio........ María Escapa...... Candanedo.... León........... ai. 6. Joseph Guerga.... Alvaro,....... . Joseha Charro,..;^ Cimanés.</t>
  </si>
  <si>
    <t>Corn-véallis, Almirante</t>
  </si>
  <si>
    <t>Almirante Corn-véallis</t>
  </si>
  <si>
    <t>v . , j t: - : &gt; • ,* ¡&gt; ’/En éFñayíbdenominado íá Ciudad-ded^jris de lta cañones ha tremolan do él Almirante Corn-véallis -su bándéra dé comandante en xefe.de Ja* esquié dra dé-la Mancha. ’■ Li f-iJ-í:o á -a:. . vCa. e ¿j ’ \¿ ■- Ayer cónéüfrió d lá Cáiháni dé los Comunes*Mr.?Fox y prestó el jurado m</t>
  </si>
  <si>
    <t>Corneiio Fernández</t>
  </si>
  <si>
    <t>.......... 3&lt;5. 17. Corneiio Fernandez............. ...... Valentín. ... María Alonso...... Vi í i alta........ . Burgos............. 471. 2g.</t>
  </si>
  <si>
    <t>Cornel, Antonio</t>
  </si>
  <si>
    <t>Antonio Cornel</t>
  </si>
  <si>
    <t>orden del Rey en la dirección de trabajos hidrográficos, y presentada á S. M. por mano del Exc. Sr. D. Antonio Cornel. Se verdeé 16 rs. en casa de Aguüera, calle de Atocha. Guia del estado eclesiástico seglar y regular de España en particular, y de toda la Iglesia Católica en general para el año</t>
  </si>
  <si>
    <t>Cornellau, Luis</t>
  </si>
  <si>
    <t>Luis Cornellau</t>
  </si>
  <si>
    <t>28. 31» Jayme Vales............... Juan y Teresak Estebe............... Perpifian.......... 22. 10* D. Luis Cornellau....... D. Antonio y Dofia Juana........ S. Pedro de Irivise............... 31. 12. Valentín Saleta......... Valentín y Francisca Calantre... Prada en ei Kosellon............ 2p. 3</t>
  </si>
  <si>
    <t>Cornwaiiis</t>
  </si>
  <si>
    <t>mayormente quando nó puede abrirse el congreso ha^ta que 11 guen los Ministros de España y Holanda. Mr. Cornwaiiis tendrá por secret ríos á Mrs. Merry, Agente británico actualmente en París, y Moore, oficial de la secretaría del Despacho de Estado. También se asegura que son voluminosas las in</t>
  </si>
  <si>
    <t>CornwalÍi, Lord</t>
  </si>
  <si>
    <t>Lord CornwalÍi</t>
  </si>
  <si>
    <t>de la Reyna, desde el qual pasó el Rey al de S. Jámes y tuvo corte. En ella se despidió de S. M. el Lord CornwalÍi&lt;s para ir á París. Después hubo consejo, al que asistieron el Duque de Portland, loe Condes de Westmoreiand y Chatham y el Lord Hawkesbury ; y a las y se restituyó el Rey á Kew co</t>
  </si>
  <si>
    <t>Cornwaliis, Lord</t>
  </si>
  <si>
    <t>Lord Cornwaliis</t>
  </si>
  <si>
    <t>amelucos. En breve saldrán de allí para Tolon, en donde harán quarentcna. Parts 7 de Noviembre. E 1 Lord Cornwaliis, Ministro plenipotenciario de S. M. Británica para las negociaciones de p .z, llegará hoy á París. Tía venido á esta espiral el Coronel ingles Williams, que sirve al Emperador, y</t>
  </si>
  <si>
    <t>Cornwallis</t>
  </si>
  <si>
    <t>ibió del Lord. Nelson. Hoy por ia mañana llegaron otras cartas d;l mismo Almirante, como también de Mr. Cornwallis. En sesiones posteriores del Almirantazgo y del Consejo «e ha aprobado un nuevo plan para la defensa de este Reyno, é inmediatamente se envió á S. M. para que siendo de su agrado</t>
  </si>
  <si>
    <t>kson, que ha ido á París, reemplazará allí á Mr. Merri, que va á Amiens en calidad de secretario de Mr. Cornwallis. Son muchos los ingleses de todas clases que se embarcan en nuestros puertos para Francia. El dia 19 salieron dos parlamentarios de Portsmouth con 1100 prisioneros franceses para</t>
  </si>
  <si>
    <t>Cornwallis, Almirante</t>
  </si>
  <si>
    <t>Almirante Cornwallis</t>
  </si>
  <si>
    <t>e Tforbay zaipó-el *0 de Marzo una esquadra de 12 navios de línea lina fraapata baxo las órdenes dH Almirante Cornwallis. Hizo rumbo á poniente. En la Cámara de los Pares habló el Lord SuíToick el mismo día 30 so</t>
  </si>
  <si>
    <t>estaba prisionero y herido, murió al dia siguiente. Había otros 66 oficiales heridos. Ha escrito el Almirante Cornwallis que ha sido apresada la corbeta francesa nombrada el General Bruñe i1 que venia de la Guadalupe á Burdeos, y en ella se hallaba el General Pelardy, ultimó Gobernador de aquella co</t>
  </si>
  <si>
    <t>an censurado en el público; pero fué desatendida su petición. La esquadra, que baxo las órdenes del Almirante Cornwallis cruza á la altura de Brest, se compone en el dia de 24 navios de línea. En un crecido convoy procedente de las Indias occidentales, del qual ha entrado gran parte en. Portsmouth;</t>
  </si>
  <si>
    <t>rd irá á París en calidad de Embaxador ingles así que se ratifique el tratado definitivo de paz. El Almirante Cornwallis envió á Brest, como parlamentario, el Teniente Nichoíjon, el qual fué recibido con demostraciones de aprecio. Comió aquel dia con el Almirante Víllaret, y al siguiente con el Almira</t>
  </si>
  <si>
    <t>como prenda del restablecimiento de la paz, y luego envió la misma señora varias cestas de fruta al Almirante Cornwallis. Por orden del gobierno salió de Londres el Conde de Artdis para Edimburgo quatro dias antes de firmarse los preliminares. Extracto de una carta de Filadelfia de 18 de Agosto. ,,C</t>
  </si>
  <si>
    <t>ente continuaron su marcha. * Londres 6 de Noviembre. H a vuelto á nuestros puertos la esquadra dei Almirante Cornwallis, y en breve se espera aquí á este General, que hace 6 meses que no ha baxado á tierra. En la sesión de la Cámara de los Comunes del dia 2 declaró el Lord Hawkesbury que por la pal</t>
  </si>
  <si>
    <t>Cornwallis, Lord</t>
  </si>
  <si>
    <t>Lord Cornwallis</t>
  </si>
  <si>
    <t>antes que ellos; pero no habiéndolos encontrado, emprendió nuevamente su crucero para buscarlos. El Lord Cornwallis escribe al Almirantazgo, desde su apostadero en las aguas de Brest, que la esquadra francesa se compone de 27 navios de línea prontos á dar la vela: hacían varios movimientos, aunqu</t>
  </si>
  <si>
    <t>al referido Duque á Presidente del Consejo privado en lugar del Lord Chatham, que ha reemplazado al Lord Cornwallis. La esquadra que el Lord Nelson manda actualmente consta de muchas naves pequeñas armadas, y el domingo ultimo se avistaba desde las alturas de Douvres: estaba surta en las costas</t>
  </si>
  <si>
    <t>Antes de ayer recibió el Almirantazgo cartas del Lord Cornwallis con fecha de 30 de Agosto. La esquadra que manda delante de Brest consta de 27 navios de lírua, ios 12 de tres puentes: la de los enemigos se compppe de 35 también de línea, y que</t>
  </si>
  <si>
    <t>ras española y francesa. El mismo dia 13 se despachó la corbeta nombrada la Corza á la esquadra del Lord Cornwallis para comunicarle el aviso telegráfico. Los marineros ingleses mostráron un jubilo extremado; y los oficiales recibiéron á los nuestros con mucho afecto, y les hiciéron beber ponch</t>
  </si>
  <si>
    <t>ean ingleses 6 franceses, permanezcan en Egipto. Londres 24 de Octubre. P arte de los equipages del Lord Cornwallis llegcd antes de ayer tarde á Calais. Dícese que ántes de abrirse el congreso de ¿Amiens se arreglarán entre las varias potencias los principales puntos del tiatado definitivo de p</t>
  </si>
  <si>
    <t>Cornwalüs, Almirante</t>
  </si>
  <si>
    <t>Almirante Cornwalüs</t>
  </si>
  <si>
    <t>ima. Anadeo que este ministerio por su pote exige la suspensión de hostilidades contra Portugal. El Almirante Cornwalüs, que cruza del inte de Brest, recibió la gaze** ta extraordinaria de Londres con la relación del combate de Copenhague! mandó se leyese á las tripulaciones; y todos los navios se</t>
  </si>
  <si>
    <t>Corona, Estéban</t>
  </si>
  <si>
    <t>Estéban Corona</t>
  </si>
  <si>
    <t>senGascuña, go. ig. Estéban Corona........ &gt;• Estéban y Catalina........ ........... Montel en e) Ro- . sillón.....</t>
  </si>
  <si>
    <t>Coronado, Joseph Francisco</t>
  </si>
  <si>
    <t>Joseph Francisco Coronado</t>
  </si>
  <si>
    <t>la, Subteniente de fusileros: en el de Granada á Capítan de fusileros al Teniente de la misma clase D. Joseph Francisco Coronado ; á Tenientes de fusileros á los Subtenientes de granaderos y cazadores D. Antonio Narvaez y D. Joseph Al faro ; y á Subtenientes de granaderos y cazadores á los de fusileros Dt B</t>
  </si>
  <si>
    <t>Coronas, Joseph</t>
  </si>
  <si>
    <t>Joseph Coronas</t>
  </si>
  <si>
    <t>a Don Manuel Garin, D. Manuel Lozano . y D. Francisco Viñau; yen tercer lugar y clase de medianos á D. Joseph Coronas y D. Pedro Sebastian.;—A todos los aíamnos que quedan nombrados en cada una de las tres cátedras expresadas se les repartieron premios conforme á su respectivo mérito y graduación, lo</t>
  </si>
  <si>
    <t>Corrales, Alonso</t>
  </si>
  <si>
    <t>Alonso Corrales</t>
  </si>
  <si>
    <t>se ha servido S. M. promover á Capitán al Téniente D.'Jp§eph* Pinto: á Ayudante rr.nyor al Teniente D. Alonso Corrales: á Tétiíkiíip\aL Subteniente D. Manuel Balcasar;y á Subtenientes á los Cadetes D.¡ Mari^np Miríy D. Estéban Salavarría. ,i j bJ J ^ Asimismo ha nombrado S.'M. Subteniente de: band</t>
  </si>
  <si>
    <t>Corrales, Bartolomé</t>
  </si>
  <si>
    <t>Bartolomé Corrales</t>
  </si>
  <si>
    <t>esoluciones de S. M. se venden des tierras correspon*» dientes al patronato Real de legos que fundó D. Bartolomé Corrales, sitas en el tejar que se llama del Hueso, inmediatas á la puerta de Fuencarral; componen so fanegas, 7 celemines y 33 estadales, y á 400 rs. cada una importan 874a rs. ía mrs. Qu</t>
  </si>
  <si>
    <t>Córreges, Ventura</t>
  </si>
  <si>
    <t>Ventura Córreges</t>
  </si>
  <si>
    <t>Ayudante del de Lusitania D. Francisco de Borja, y Tenencia en este cuerpo al Alférez de granaderos D. Ventura Córreges. S. M. se ha servido nombrar para el Corregimiento de letras de la ciudad de Borja, en el Reyno de Aragón, á D. Juan Ignacio de la Pardina: , pata el de. la villa de Alcoy, en-el</t>
  </si>
  <si>
    <t>Corregidor, Lord</t>
  </si>
  <si>
    <t>Lord Corregidor</t>
  </si>
  <si>
    <t>'■¿20 guíente carta al Lord Corregidor de esta sagital: „C)s informó con la mayor satisfacción de que según cartas del Lord Carisfórd y de Mr. Crawiord, recibidas hoy mismo, parece que las cortes de Berlín y Copenhague se h</t>
  </si>
  <si>
    <t>maron los preliminares en Downing-Street. El mención ido Lord Hawkesbury escribió inmediatamente al Lord Corregidor l siguiente carta: „Con la mayor satisfacción os comunico que los preliminares de paz entre la Inglaterra y la Francia se han firmado esta tarde, por mí de parte de S. M., y por M</t>
  </si>
  <si>
    <t>Cortes y Obel, Manuel</t>
  </si>
  <si>
    <t>Manuel Cortes y Obel</t>
  </si>
  <si>
    <t>Moreno: á Subtenientes de fusileros al Cadete D. Joseph Ramón Islas, al Sargento segundo voluntario D. Manuel Cortes y Obel, y á los paisanos D. Vicente García Seijo, D. Francisco Timoteo de Ribera, D. Manuel Estéban de Olivares, D. Gregorio Gómez de Ap iricio, D. Joseph de la Barreda, D. Agustín Garcí</t>
  </si>
  <si>
    <t>Cortijo, Pedro</t>
  </si>
  <si>
    <t>Pedro Cortijo</t>
  </si>
  <si>
    <t>a una Capellanía deCoro titulada de S. Valerio, de la catedral: de Sigtenza ,¿vacante por muerte de D. Pedro Cortijo, á Don TqsephCitiaeoyde Hijes: para otra, Vacante por fallecimiento de D. Estépan Mipgo,,i D. Bernardo Sánchez: para otra, vacante por muerte de D. Antonio Morales, á D. Juan Fran</t>
  </si>
  <si>
    <t>Cortines, Francisco Ignacio</t>
  </si>
  <si>
    <t>Francisco Ignacio Cortines</t>
  </si>
  <si>
    <t>cante por promoción de D. Fernando Márquez de la Plata á la de la Audiencia de Santiago de Chile, á D. Francisco Ignacio Cortines, Oidor de Caráeas; y para el empleo de Teniente Asesor del Gobierno é Intendencia de Truxillo, vacante por promoción de D. Juan Bazo y Berri á plaza de Oidor de la Audiencia de Bu</t>
  </si>
  <si>
    <t>e ha dignado nombrar para la plaza de Oidor de la Real Audiencia de Carácas, vacante por ascenso de D. Francisco Ignacio Cortines á la Regencia de ia de Quito, á D. Felipe Martínez de Aragón; y para la plaza ae Fiscal de lo criminal de la Real Audiencia de Sta. Fe, vacante por ascenso á la de lo civil de la</t>
  </si>
  <si>
    <t>Cortines, Joseph</t>
  </si>
  <si>
    <t>Joseph Cortines</t>
  </si>
  <si>
    <t>ngo Conde; á primer Subteniente al segundo D. Grer gorio Cosgoya, y i segundo Subteniente al Cadete D. Joseph Cortines; habiendo también nombrado S. M. Capellán del de infantería de Granada al presbítero D. Evaristo Sanz. La villa de la Mota del Marques, en la provincia de Vallado lid, á consulta</t>
  </si>
  <si>
    <t>Cortsalvi, Cardenal</t>
  </si>
  <si>
    <t>Cardenal Cortsalvi</t>
  </si>
  <si>
    <t>uerto, v . ! . f-J-&gt; ’i :}-sMUem::4 de- Agesto. ^ t&gt;: . .... f * -v . b I ,;J ala 30, llegó aquí el Cardenal Cortsalvi i y-siguió su .camino á Roma. ? Parte de las tropas francesas de esta guarnición ha salido para incorpo*-* Tarse con sus respectivos) .regimiento;. Créese-que.las que hay todavía</t>
  </si>
  <si>
    <t>Cosgalla, Ramón</t>
  </si>
  <si>
    <t>Ramón Cosgalla</t>
  </si>
  <si>
    <t>lón de Milicias ¡disciplinadas-- de 1 infantería de iMérida de Yucatán al Subteniente de granaderos D. Ramón Cosgalla, y al de fusileros D. Lorenzo del Castillo; y á Subteniente de granaderos al de fusileros D. Antonio Castro. En la gazeta anterior de 13 dd corriente se dixo por equivocación habe</t>
  </si>
  <si>
    <t>Cosío, Juan Ángel</t>
  </si>
  <si>
    <t>Juan Ángel Cosío</t>
  </si>
  <si>
    <t>eniente D. Joseph Carvallo; á Teniente al Subteniente D. Diego Adriasola, y á Subteniente al Cadete D. Juan Angel Cosío. Eí Consejo á consulta de la Comisión gubernativa de Consolidación de Vales, y con aprobación de S. M. ha acordado la quinta amortización de 4© Vales de 300 pesos, y 149 de 150 de</t>
  </si>
  <si>
    <t>Cosp y Planas y Francisco Joseph Falcó, Esteban</t>
  </si>
  <si>
    <t>Esteban Cosp y Planas y Francisco Joseph Falcó</t>
  </si>
  <si>
    <t>Tálleda: ae los terceros de los de Sevilla, Ordenes Militares é Hibernia A D. Adeodato San Germán , D. Esteban Cosp y Planas y Don Francisco Joseph Falcó y López: del batallón de Voluntarios de Tarragona á D. Tomas Bartoly; y del segundo de Barcelona á D. Braulio López. En América. El Rey se ha dignado conferir el empleo de Guarda ma</t>
  </si>
  <si>
    <t>Costa, Domingo</t>
  </si>
  <si>
    <t>Domingo Costa</t>
  </si>
  <si>
    <t>y. S. M. se ha servido nombrar para la Ración de la catedral de Cádiz, vacante por fallecimiento de D. Domingo Costa, á D. Joseph Maria de Roó : para el Medio-Préstamo de Rielves, en el arzobispado de Toledo, y los Beneficios de Santa Marina, la Madalena y Santiago de la ciudad de Córdoba, vacan</t>
  </si>
  <si>
    <t>Cottereí</t>
  </si>
  <si>
    <t>ntemente con vasallos de Suecia. Quando se disponía á salir de aqusüa capital, le envió a preguntar Mr. Cottereí, Introductor de Embajadores, á que hora podría entregarle ^ re-; galo de ^despedida, que se acostumbra hacer a los Ministros cxtrangeró*^ Respondióle Mr. Ehrensward que en atenció</t>
  </si>
  <si>
    <t>Couque, Francisco</t>
  </si>
  <si>
    <t>Francisco Couque</t>
  </si>
  <si>
    <t>concilios generales, teólogos , escritores eclesiásticos , martirologios, Benedicto XIV &amp;c.: por el Dr. Don Francisco Couque, Cura párroco que fué de S. Gines de Madrid y sus anexos: un tomo en folio de 407 páginas en buen papel y letra. Se hallará en la librería de Baylo, calle de las Carretas, á 18 rs</t>
  </si>
  <si>
    <t>Cousin</t>
  </si>
  <si>
    <t>ión al estudio de la Astronomía Antonii Eximeni Presbyteri Valéntini física, escrita en francés por Mr. Cousin, "Dialéctica , et rertim quas vulgo Metaphysi- traducida por D. Pedro Ziriza , á 20 rs. en cas vocant libri sex: Dos tomos en 8.° : su , papel, y 30 en pasta. precio 28 rs. en pap</t>
  </si>
  <si>
    <t>Covarrubias y Leyva, Diego</t>
  </si>
  <si>
    <t>Diego Covarrubias y Leyva</t>
  </si>
  <si>
    <t>r. Sebastian Sillero, poe Mtro. Juan de Avila , el P. Fr. Joseph de Carmona , en 10 rs. Sigiicnza , D. Diego Covarrubias y Leyva, Siete estampas de pliego de marca mayor Juan Urbina , y el P. D. Tomas Vicente de los caballos de Velazquez, grabadas por Tosca: Q.° D. Hugo de Moneada, el Car­ Goya al agua fuer</t>
  </si>
  <si>
    <t>Coxe</t>
  </si>
  <si>
    <t>s veces cada dia), ai nombrar á Latour responde ei primer Sargento: Murió en el campo del honor. El Dr. Coxe, de Filadelfia, ha hecho varios experimentos, de los quales resulta que el zumo ó xugo cuajado de la lechuga común [lactuca sativa) es un verdadero opio, y según parece de mejor c</t>
  </si>
  <si>
    <t>Craddock, General</t>
  </si>
  <si>
    <t>General Craddock</t>
  </si>
  <si>
    <t>cción una hora antes de amanecer con un falso ataque contra nuestra izquierda mandada, por el Mayor General Craddock. En breve rechazámos por aquella parte á los enemigos ; pero sus mayores esfuerzos se dirigían contra nuestra derecha intentando rodearla. El ataque contra este punto empezó con e</t>
  </si>
  <si>
    <t>Crasat, Tomás</t>
  </si>
  <si>
    <t>Tomás Crasat</t>
  </si>
  <si>
    <t>........... 71. 10. Tomas Crasat...,.......... Francisco y Mariana Pcrez....... Elna en el Rosellon.............. 4a. atf. Gaspar Rande............... Miguel y Isabel Faus...............</t>
  </si>
  <si>
    <t>Crawfort</t>
  </si>
  <si>
    <t>uanto antes k París. Entre, el Príncipe Cirios de. Hesse, comandante de las tropas dinamarquesas, y Mr. Crawfort, Ministro., inglesase ajustó el dia 7 un nuevo convenio á presencia del Ministro de Prusia. Contiene ios 'artículos siguientes:. i.° se restablece la neutralidad del Elba. Toda em</t>
  </si>
  <si>
    <t>Crawfurt</t>
  </si>
  <si>
    <t>to de esta naturaleza; y que ademas ya estaba concluida la venta quando; llegó el extraordinario de Mr. Crawfurt. 'Vierta .18 de Febrero. , ' E ¿, I dia 12 se despachó de aquí una suma de 6 millones de reales al Austria Anterior para pagar los acopios de sal de que se apoderaron Io$ francese</t>
  </si>
  <si>
    <t>Crawfutt</t>
  </si>
  <si>
    <t>reso un barco ingles nombrado Gommercial Pac-ketylo Íl!évó:alí Weser,_y lo puso de venta en Bremen. Mr. Crawfutt,. Ministro fingles:, residente aquí, remitid inmediatamente al Magistrado de aquella ciudad libre é imperial, un oficio intimándole se opusiese á la venta de la presa, y que de lo</t>
  </si>
  <si>
    <t>Crik Piper, Conde</t>
  </si>
  <si>
    <t>Conde Crik Piper</t>
  </si>
  <si>
    <t>o de Sudermania; al Conde de Piper, Coronel y Capitán de Guardias de Corps de aquel Soberano ; y al Conde Crik Piper, Capitán de caballos ligeros de la Guardia del Rey. En la misma audiencia se despidió del primer Cónsul el caballero Kalitchew, Ministro que ha sido de Rusia en Francia; y conclui</t>
  </si>
  <si>
    <t>Crispía Manseró</t>
  </si>
  <si>
    <t>an.......... 71. n# Crispía Manseró.......... Crispió y Teresa Astruca.......... Id........................ 81. aÓ, Pedro Varell................ Joseph y, Teresa Beltran..... Tuy</t>
  </si>
  <si>
    <t>Croig, General</t>
  </si>
  <si>
    <t>General Croig</t>
  </si>
  <si>
    <t>salido todavkirde Jalfa* Tiene nuestro General .esperanza, de cpnseguir su objeto, sobre todo sleji General Croig le sostiene haciendo al mismo tiempo su ataque por el lado de Suez. " .* Ha llegado á tal extremo la carestía y escasez de granos en algunas provincias , que Mr. Wilberforce asegu</t>
  </si>
  <si>
    <t>Cronstedt</t>
  </si>
  <si>
    <t>amistosa de mi conducta. Ruego á V. E. la comunique á su augusto Soberano; y quedo &amp;c. Nelson.’* i Mr. Cronstedt respondió el mismo dia io en estos términos: „ El Rey mi amo salió ayer de aquí para Stockolmo. Le envió la declaración de V. E., á quien comunicaré la respuesta que S. M. diere,</t>
  </si>
  <si>
    <t>o igual declaración á'favor de los •ingleses, pedia sobre ello una respuesta terminante. Contestóle Mr. Cronstedt que remitiría al Rey dicha carta; pero pocas horas después liego un extraordinario de Stocko.mo con la orden de S. M. del dia 19, relativa á restablecer el comercio entre ingleses</t>
  </si>
  <si>
    <t>Cronstedt, Almirante</t>
  </si>
  <si>
    <t>Almirante Cronstedt</t>
  </si>
  <si>
    <t>de Guardias, y los aos : Ayudantes generales del exército y armada, el Generál Barón de Coll y el : Almirante Cronstedt, dexáron también las insignias y distintivos de sus res- '» pectivos grados. El Sr. Conde de Haga fué recibido eñ ila paite-del? puente * perteneciente á Rusia por el General de i</t>
  </si>
  <si>
    <t>Según la respuesta arreglaré mis ulteriores operaciones. Quedo &amp;c. Firmado; Parker.” * " .• El Vice-Almirante Cronstedt, que manda en este puerto, conformándose con las órdenes que tenia, respondió que como militar no podía satisfacer á una qiiestion que no era de su competencia; pero que S. M. lle</t>
  </si>
  <si>
    <t>de Abril. P ara Vice-Almirante de la bandera azul ha nombrado S. M. á su Ayudante general el Contra-Almirante Cronstedt, que acaba de transferirse de Copenhague á Cariscrona. Asimismo ha promovido el Rey á Contra-Almirante al Barón de Cederstrom. Xa esquadra de Cariscrona, compuesta de 7 navios de</t>
  </si>
  <si>
    <t>11. Carlscrona 10 de Mayo. L uego que la esquadra inglesa se alejó de estas aguas, escribió el Více-Almirante Cronstedt al Almirante Parker con fecha del 26 preguntándole ea nombre de S. M. Sueca si debia considerarse la partida de la esquadra británica como una prueba de que las embarcaciones merc</t>
  </si>
  <si>
    <t>del año último, Carlscrona i.° de Junio. U 11 parlamentario ingles traxo eT2 5 del mes anterior al Almirante Cronstedt otra carta del Lord Nclson, en que le decía que el Almirante Parker Labia declarado libre la navegación dé los suecos en el Báltico y el Cato* gzt; p»ro como la Suecia no habla he</t>
  </si>
  <si>
    <t>la esquadra sueca contra qualquier ataque enemigo. Ha salido de esta ciudad para Stockolmo el Vice-Almirante Cronstedt, que con Real permiso ha dexado el mando en xefc de este departamento. Kasta nueva orden manda en su lugar el Contra-Almirante Puke. Miéntras SS. MM. estuviéron en Christianstadt</t>
  </si>
  <si>
    <t>Cronstet, Almirante</t>
  </si>
  <si>
    <t>Almirante Cronstet</t>
  </si>
  <si>
    <t>es en todo el camino para su mayor comodidad durante el viage. Acompañan al Rey el General Toll, el Almirante Cronstet, Mr. de BaJamb, Caballerizo mayor, Mr. de Giiienstope, Capitán de Guardias, uno de sus Gentilhombres, un Oficial de la ChancilJería, un Médico de Cámara &amp;c___ El despacho de los n</t>
  </si>
  <si>
    <t>Cruz de Uzirbe, Juan</t>
  </si>
  <si>
    <t>Juan Cruz de Uzirbe</t>
  </si>
  <si>
    <t>D. Marcos González y al Cadete D. Joseph dé Céspedes ; en el dé España á Portaestandarte al Cadete D. Juan Cruz de Uzirbe: en el de Aígarbe á Alférez al Portaestandarte D. Narciso Manresa,' y á esta resulta al Cadete Di. Manuel Miranda en el deCalatrava á segundo lenierite; al Alférez D. Luis de Leyv</t>
  </si>
  <si>
    <t>Cuerva y Aguilera</t>
  </si>
  <si>
    <t>Doña Catalina de Aguilera su muger , y poseía en el de 1719 D. Juan de Salinas, Cuerva y Aguilera, vecino del lugar de Valjécas, de esta jurisdicción, para que en el término,de jg días acudan ante el Sr. £). Juan Antonio Santa María., Teniente Corregidor,de, esta villa , y escribanía</t>
  </si>
  <si>
    <t>Cuervo, Joseph María</t>
  </si>
  <si>
    <t>Joseph María Cuervo</t>
  </si>
  <si>
    <t>de cazadores al de fusileros D. Joseph Sierra; á Teniente de fusileros ai Subteniente de cazadores D. Joseph María Cuervo; á Subteniente de cazadores al de fusileros D. Diego Basilio; á Subteniente de fusileros al segundo Ayudante D. Juan de Arguelles, y á segundo Ayudante, con grado de Subteniente ,</t>
  </si>
  <si>
    <t>Cueto, Joseph</t>
  </si>
  <si>
    <t>Joseph Cueto</t>
  </si>
  <si>
    <t>én se ha servido S. M. nombrar en el regimiento de caballería de Santiago Portaestandarte ai Cadete D. Joseph Cueto: en el de Borbon á Portaestandarte al Cadete D. Manuel Gómez de'Barreda; y en el de dragones de Lusitania á Alférez al Sargento primero de granaderos D. Christóbal Ximene?. En con</t>
  </si>
  <si>
    <t>1223 al Portaestandarte D. Joseph Cueto; y ha npmbrado Capellanes de los regimientos de infantería de Gr nada» Murcia y Jaetl á los presbíteros Don Ghristobal Martínez de Mora, D. Félix de Soto y Melgarejo, D. Chiistoba</t>
  </si>
  <si>
    <t>Cunda, Joachín</t>
  </si>
  <si>
    <t>Joachín Cunda</t>
  </si>
  <si>
    <t>án segundo al .primer Teniente graduado de Capitán D. Joseph de Calva; á primer Teniente a. segundo D. Joachín Cunda.ro.; á segundos Tenientes á los primeros Subtenientes D. Antonio M :rí i Boix y D. Manuel González ; á primeros Subtenientes á los segundos D. Tomas Padrinas y D. Francisco Candía</t>
  </si>
  <si>
    <t>Cunningham, Capitán</t>
  </si>
  <si>
    <t>Capitán Cunningham</t>
  </si>
  <si>
    <t>ante cruzan desde ei cabo de Finisterre hasta la isla dé Batz. Desde aquel punto hasta el Havre, el Capitán Cunningham recórre las costas con una dirisiom de fragatas: y el resto de aquellos mares hasta el Texél está á cargo de la esquadra del Lord Nelson, el qual se halla en las Dunas. Las divisi</t>
  </si>
  <si>
    <t>Curry, Capitán</t>
  </si>
  <si>
    <t>Capitán Curry</t>
  </si>
  <si>
    <t>ra llevar á Argel el Eüvi. Jo de aquella Regencia y su comitiva. El Teniente Coronel Montresor y el Capitán Curry, que llegáron po** co hace d¿ Egipto en la chalupa de guerra el Mondovi, salieron la semana última de Portsmouth en el mismo buque con la íespuesta a las cartas que hablan traído.</t>
  </si>
  <si>
    <t>Custodio Gómez</t>
  </si>
  <si>
    <t>.......... 12.8. a. Custodio Gómez.. Andrés.......... Ana Aguilar........ Celadas......... Teruel....... ...... 128. 26. Ambrosio Vázquez. Ventura........ María Estebez..... Sobrato......... Idem.</t>
  </si>
  <si>
    <t>Cutanda, Juan Antonio</t>
  </si>
  <si>
    <t>Juan Antonio Cutanda</t>
  </si>
  <si>
    <t>la Madalena y Santiago de la ciudad de Córdoba, vacantes por muerte de D. Pedro López Rodríguez, i D. Juan Antonio Cutanda; y para el Beneficio de Sta. María de Pontelles, en el arzobispado de Santiago, y el de S. Salvador de Atienza, en la diócesis de Sigiienza, que obtiene el referido D. Juan Antoni</t>
  </si>
  <si>
    <t>gados para dotación de los Guras" de las respectivas parroquias; sé ha servido nombrar al expresado D. Juan Antonio Cutanda para la Prestamera de Pradma, vacante en el mismo obispado de Córdoba pór muerte de D. Ignacio Andrés Carbóneda. Asimismo'se ha servido S. M. nombrar para lá Prestimara de la vill</t>
  </si>
  <si>
    <t>e Mena: para otro de.Viilalvilla, en la diócesis de Toledo, vacante por dimisión que ha hecho de él D. Juan Antonio Cutanda, á D. Gabriel de Prado y Tena, con retención de la demas renta eclesiástica-que goza; y para una Presumirá de la villa de la Fuente de Pedro Narro, que se halla vacante en la dióc</t>
  </si>
  <si>
    <t>Cutxach, Antonio</t>
  </si>
  <si>
    <t>Antonio Cutxach</t>
  </si>
  <si>
    <t>. a8. Pedro Heit.,............... Pedro y Eulalia Fábregas...... Marguisana en id.......... 4°. 13. D, Antonio Cutxach..,. Marcos y Ana Cutxach..,,........ Nibias en Francia................ $8. ap. D. Joseph Guabardu- D. Gabriel y Dofia Juana María mont......................... Luron..............</t>
  </si>
  <si>
    <t>D- Juan Moreno</t>
  </si>
  <si>
    <t>l dia 7 de Agosto falleció en esta corte á los 70 años cumplidos de edad el Sr. D- Juan Moreno, Ministro del Consejo dé Hacienda y en cuyo destino, en los dé Contador dél libre comerció de Indias en Cádiz , Contador y Administrador general de Ja renta de tabaco del Reyno, y otros, si</t>
  </si>
  <si>
    <t>D-unríoneeau, General</t>
  </si>
  <si>
    <t>General D-unríoneeau</t>
  </si>
  <si>
    <t>tanciada' de operaciones* militarespbsteribres ¡ya; sabidas dice en posdata: ,, Acabade avisarme el General D-unríoneeau, oomandante de las tropas que bloquean el castillo de Wurtzburgo, que el dia 27 delmes último hiciéron los enemigos una salida-vigbrosi contra todos ios puestos de los sitiadores.</t>
  </si>
  <si>
    <t>da Budberg, Barón</t>
  </si>
  <si>
    <t>Barón da Budberg</t>
  </si>
  <si>
    <t>. ’ Stockolmo jj) de Mayo. f ^ *1 13 dio el Rey audiencia con grande aparato al Barón da Budberg, Ministro de Rusia, el qual entregó á S. M. las nuevas credenciales-de su Soberano. Un extraordinario de Petersburgo ha traído hoy la noticia de que la es</t>
  </si>
  <si>
    <t>Dagiu, Juan</t>
  </si>
  <si>
    <t>Juan Dagiu</t>
  </si>
  <si>
    <t>Rey Cadete de número al supernumerario D. Cárlos Traáegni; • y por Cadete supernumerario al'Guardia D. Juan Dagiu. .. .. '* S. M. se ha dignado distinguir con los honores de Comisario’ ordenador de sus cxércitos á D. Juan García Martínez , Administrador general de- toadas rentas en Extremadur</t>
  </si>
  <si>
    <t>Dalesme, Pedro</t>
  </si>
  <si>
    <t>Pedro Dalesme</t>
  </si>
  <si>
    <t>y ÓquenHo , D. Tomas Canten , D. Guillermo Líons, D. Andrés.Agnado y Oou-ndo , D. Joseph Alvarez , D. Pedro Dalesme y D. Juan O-Laugbhn, v á segundos Subtenientes al Cadete D. Manuel Quarteraro y O-Donovan y al Siento primero del de infantería de la Corona D. Gerónimo Guia: en el batallón de Volunt</t>
  </si>
  <si>
    <t>Dalgorowky, Príncipe</t>
  </si>
  <si>
    <t>Príncipe Dalgorowky</t>
  </si>
  <si>
    <t>áron á Francia han rsido ascendidos y empleados ventajosamente , la mayor parte en palacio. _i—. El Príncipe Dalgorowky salió de Petersburgo para París el 8 de Agosto con. un encargo par* ticular; y Mr. Markow, Embaxador ruso cerca de la República! francesa , había salido también de la misma capita</t>
  </si>
  <si>
    <t>Damas, General</t>
  </si>
  <si>
    <t>General Damas</t>
  </si>
  <si>
    <t>sidad con que hemos echado en olvido todo lo pasado.” * Dos divisiones napolitanas, mandadas por el General Damas, están en marcha hacia Corneto y Givita-Castellana , según escriben de Roma; sentarán su quartel general en Viterbo.__ De Nápoles avisan que la esquadra del Almirante Keith ha lle</t>
  </si>
  <si>
    <t>en la qual una parte de la div ¡5 ion del General Pino derrotó al cuerpo napolitano mandado por el General Damas, lo persiguió hasta^mas allá de Sena, y entró en la ciudad» Posteriormente se. ha publicado la siguiente relación del ciud. Fontana, xefe de la plana mayor de la mencionada divisi</t>
  </si>
  <si>
    <t>z entre cl Rey de Suecia y los tripoiiuos. . Con fecha del tg escriben de Roma que se halla allí el General Damas 46:y?*^^^oSai'y^Pe4.Í9Íma.^í0scana: las. tropas de su mando han evacuado todo aquel páis&gt; y se cree que tapahien se retirarán del territorio romano. , ' ........... J.............</t>
  </si>
  <si>
    <t>á V. E. los dos oficiales franceses en orden á las conferencias que el ¡os y yo hémos tenido con el General Damas, para persuadirle que habiendo V. E. escrito ai Sto. Padre que se vería obligado 3 atravesar sus estados si el exército Real no los evacuaba enteramente, quedaría comprometido dic</t>
  </si>
  <si>
    <t>o. Llegó aquí con el ciud. francés Lagrange, xete de batallón; y al día siguiente comió en casa del General Damas, que habla Convidado á los individuos de plana mayor de su exércitó, al Cardenal RulFo, al referid# ciud. Lagrauge, y á un Ayudante del General Murat. . Al paso que las tropas nap</t>
  </si>
  <si>
    <t>Dámaso Bernardo Aldao Rodríguez del Monte</t>
  </si>
  <si>
    <t>do Montenegro; á su resulta al Subteniente D. Manuel Vázquez Tabeada, y á Subtenientes de bandera á D. Dámaso Bernardo Aldao Rodríguez del Monte y D. Fernando Manuel Montenegro: en el de Mondoñedo á Teniente de cazadores al de fusileros D. Tomas Freyre; á Teniente de esta clase al Subteniente D. Joseph de Lago y Robles; á Subt</t>
  </si>
  <si>
    <t>Dámaso de Vargas</t>
  </si>
  <si>
    <t>O. Juan Ortiz de Saracho y D. Manuel Reig; á Subtenientes de granaderos á los primeros Subtenientes D. Dámaso de Vargas, D. Lúeas Belmar y D. Juan Becerra; á primeros Subtenientes á los segundos D. Joseph de Mena, D. Juan de Dios Abolaña, D. Diego Ortiz de Saracho, D. Juan Regis Fernandez Costa y D</t>
  </si>
  <si>
    <t>Dámaso Torrecilla, Antonio</t>
  </si>
  <si>
    <t>Antonio Dámaso Torrecilla</t>
  </si>
  <si>
    <t>a ó de huesos, y de miologia ó de músculos , baxo la dirección del catedrático substituto-por S. M. D. Antonio Dámaso Torrecilla, Médico de número de los mismos hospitales, y del maestro demostrador D. Agustín Frutos , Cirujano numerario de ellos , acordó la junta se procediese á las públicas oposiciones i</t>
  </si>
  <si>
    <t>Dameto y Despuig, Juan</t>
  </si>
  <si>
    <t>Juan Dameto y Despuig</t>
  </si>
  <si>
    <t>nongía de la catedral de Mallorca, con retención de la Dignidad que obtiene en la misma catedral, á D. Juan Dameto y Despuig. Si M. se ha servido nombrar al Sr. D. Sebastian de Torres para la plaza vacante en el Real Consejo por fallecimiento del Sr. D. Pedro Joachin de Murcia; y para la de Alcalde de c</t>
  </si>
  <si>
    <t>Danckwardt, Coronel</t>
  </si>
  <si>
    <t>Coronel Danckwardt</t>
  </si>
  <si>
    <t>:» ít- ?• -ü; *:ií'&lt; víj &gt; v r(i/nÁ ; íí rhrr-¡ k1 ¿inri Stockólmo iG de Dicmnhre d* i&amp;oo¿ :¡ ,-1 1 Coronel Danckwardt ha sido promovido á Contra-Almirante. de la bandera azul. -V’- ’ i ' . vi--*;-” •-.» ■*-■,}?&gt; .-;c Llegan diariamente á nuestros puertos cargamentos de granos proceden* tes de Rus</t>
  </si>
  <si>
    <t>Dangen, Juan</t>
  </si>
  <si>
    <t>Juan Dangen</t>
  </si>
  <si>
    <t>eredoma.... ao. 30. Juan Dangen........ . Francisco y Claudina Nicolás.... S. Licier en Francia.....</t>
  </si>
  <si>
    <t>Daniel Richards, Capitán</t>
  </si>
  <si>
    <t>Capitán Daniel Richards</t>
  </si>
  <si>
    <t>á 12 y 18, cargada de pasas de Corinto, mármol, quadros y pinturas, y otros efectos. La manda como Capitán Daniel Richards, tiene 35 marineros de tri-1 pulacion, y 6 oficiales de guerra pasageros, entre ellos dos Tenientes de marina, y el Mayor del regimiento num. 79, que se embarcaron en Malta para L</t>
  </si>
  <si>
    <t>Daprea, Ramón</t>
  </si>
  <si>
    <t>Ramón Daprea</t>
  </si>
  <si>
    <t>. Au-¿ gusto. Dupuy y D. Juan Bautista Chavert f% segundos Tenientes al Subtes niente de granaderos D. Ramón Daprea y al primer Subteniente D. Anaeleto Valinani ; á Subteniente de granaderos al primer Subteniente D. Antonia Designi y á- primeros Subtenientes los; segundos D¿ Juan Joseph de Arríet</t>
  </si>
  <si>
    <t>Darnian Celestino de Vega</t>
  </si>
  <si>
    <t>banía de D. Antonio Montero, y también ante el Sr. Corregidor de esta propia villa, y secretaría de D. Darnian Celestino de Vega, Escribano principal de dicho Real pósito. Por providencia del Sr. D. Luis Melendez y Bruna , del Ccnsejo de S. M,, Alcalde de la Real casa y corte , se ha señalado para el remate</t>
  </si>
  <si>
    <t>Darnley, Lord</t>
  </si>
  <si>
    <t>Lord Darnley</t>
  </si>
  <si>
    <t>alla en cali* dad de Éaviadoy negociador. ._■&gt; ¿ 7 - v ú • ; ¿ EÍ día 8mánifqst&lt;5enlaCámaraalta el, Lord Darnley su extrañeza; de que los Ministros no comunicasen al Parlamento noticia alguna sobre el e$? tado de las negociaciones entabladas con Francia , siendo así que en breve {^concluirán</t>
  </si>
  <si>
    <t>Daude, Francisco</t>
  </si>
  <si>
    <t>Francisco Daude</t>
  </si>
  <si>
    <t>.......... ¿o. ig. Francisco Daude........ Francisco yMariana Masoc....... Id....... ............. go ig, And res Masjota........... Joseph yMarianaRabipo............. Nadul r¿s en el</t>
  </si>
  <si>
    <t>Daunis, Juan</t>
  </si>
  <si>
    <t>Juan Daunis</t>
  </si>
  <si>
    <t>........... 4$. aa. Juan Daunis................ Joseph y Mariana Benacet........ S. Lcienzo de Sarda en el</t>
  </si>
  <si>
    <t>Dávadie, Juan</t>
  </si>
  <si>
    <t>Juan Dávadie</t>
  </si>
  <si>
    <t>nio Santa; y en el de dragones de Alnunsa á Capitán al Teniente de granaderos, graduado de Capitán, D. Juan Dávadie, y á Ayudante al Teniente D. Joseph Yeste, concediéndole al mismo tiempo grado Tn atención á los dilatados servicios de D. Joseph de Mas, Cónsul de 5. M. en Amsterdam, se ha servi</t>
  </si>
  <si>
    <t>David Macbride</t>
  </si>
  <si>
    <t>uz. t. Introducción metódica á la teórica y práctica de la medicina ; obra escrít* en ingles por el Dr. David Macbride; traducida al latín por Juan Federicodosío, y de este al castellano por D. J. D. R. Y. C. Esta obra consta de dos ró^ mos en 8. marquida. El i.° se divide en 7 libros, en los qual</t>
  </si>
  <si>
    <t>Dávila, Juan</t>
  </si>
  <si>
    <t>Juan Dávila</t>
  </si>
  <si>
    <t>de granaderos á ios de fusileros D. Joseph Power y D. Angel Fantony; á Tenientes á los Subtenientes D. Juan Dávila, D. Joachin Goyena y D. Bartolomé Lison, los dos primeros de granaderos; á Subtenientes de granaderos á los de fusil, ros D. Pedro BoDrull y D. Sebastian de Arroyo; á Subtenientes</t>
  </si>
  <si>
    <t>Dawson</t>
  </si>
  <si>
    <t>Milán, ha hecho colocar en un patrage publico y decente de Ferrara los restos y cenizas de Ariosto. Mr. Dawson, Enviado extraordinario de los Estados-Unidos en Par», acaba de recibir aviso de que está nombrado Representante en el Congreso por ti estado de Virginia. Diez son los Representan</t>
  </si>
  <si>
    <t>Daza, Joseph María</t>
  </si>
  <si>
    <t>Joseph María Daza</t>
  </si>
  <si>
    <t>partido de Alcántara, en la provincia de Extrema*dnra, 23 de Noviembre. &lt; D on Joseph María Daza, médico titular de esta villa, deseoso de ensayar la vacunación, y contribuir por sí á la propagación de este descubrimiento admirable del inmortal Jenner, hizo venir cíe Barcelona un pop</t>
  </si>
  <si>
    <t>de Abreu y del Moral, Rafael</t>
  </si>
  <si>
    <t>Rafael de Abreu y del Moral</t>
  </si>
  <si>
    <t>Vara de Alcalde mayor de la villa de Pedro-Muñoz á D. Gaspar Armengol; y para la de Castrótorafe á Don Rafael de Abreu y del Moral, ambas de primera clase d-de entrada, y en el territorio de la órden de Santiago. En América. Ef Rey se ha servido nombrar para la Canengía Pení-Í tenciaria de la Sta. Iglesia de</t>
  </si>
  <si>
    <t>de Acevedo, Joseph María</t>
  </si>
  <si>
    <t>Joseph María de Acevedo</t>
  </si>
  <si>
    <t>ijo : y habiéndose fixado los edictos en dicha ciudad y otras partes , fue declarado pertenecerle á D. Joseph María de Acevedo, Capitán de Fragata de la Real armada ; pero sabiendo posteriormente el po*eedcr que en la ciudad de Sevilla y en la Kioja hay algunos parientes de los fundadores, é ignorando sus</t>
  </si>
  <si>
    <t>de Acuña, Juan</t>
  </si>
  <si>
    <t>Juan de Acuña</t>
  </si>
  <si>
    <t>también nombrado S. M. Portaestandarte del regimiento de caballería de Calatrava al Sargento de él D. Juan de Acuña. S. M. ha promovido á Teniente de Infantería é Ingeniero extraordinario de sos exércitos, plazas y fronteras á D. Pedro Grinda, Ayudante de Ingeniero. En Atñérica. S. M. se ha dig</t>
  </si>
  <si>
    <t>de Aguiiar y Paez, Luis</t>
  </si>
  <si>
    <t>Luis de Aguiiar y Paez</t>
  </si>
  <si>
    <t>S. M. se ha servido nombrar para el Arcedianato de la . catedral de Yucatán, vacante por muerte de D. Luis de Aguiiar y Paez, á</t>
  </si>
  <si>
    <t>de Aguiíar, Antonio</t>
  </si>
  <si>
    <t>Antonio de Aguiíar</t>
  </si>
  <si>
    <t>l Gobierno é Intendencia de S. Salvador , en el distrito de Goatemala, vacante por fallecimiento de D. Antonio de Aguiíar. El Dean y Cabildo de la santa iglesia catedral de Zamora recibirá las cantidades de mrs. en metálico que quieran anticiparle hasta la de un millón y quinientos mil rs., con los r</t>
  </si>
  <si>
    <t>de Aguilac, Barón</t>
  </si>
  <si>
    <t>Barón de Aguilac</t>
  </si>
  <si>
    <t>y Dofia Juana Agui­ Barón de Aguilac... lar........ ............................. . Id.............. ....... go. ig; D. Abdon de Ros, Conde de Ros...»........... D. Juan y Dofia Marí</t>
  </si>
  <si>
    <t>de Aguilar, Juan</t>
  </si>
  <si>
    <t>Juan de Aguilar</t>
  </si>
  <si>
    <t>z; yno habiendo llegado á su destino, la persona en jcuyo poder se hallen los entregará en Cádiz al D, Juan de Aguilar, en Barcelona jf: D.-Erasmo Puig, ó en Madrid á«los Sres. Pófia y Aramburu. , , Q.. A fines de Setiembre último se extraviarondos vales Reales de á 1 ¿o, peso», creación de 1$ de</t>
  </si>
  <si>
    <t>á segundo T eniente al Alférez D. Jaytne Goig; á Alféreces á los Portaestandartes D. Manuel Arjona, D. Juan de Aguilar y D. Vicente López de San Román, y á Portaestandartes al Cadete D. Joseph Linares y</t>
  </si>
  <si>
    <t>de Aguilera, Fernando</t>
  </si>
  <si>
    <t>Fernando de Aguilera</t>
  </si>
  <si>
    <t>de Cadete* dé número al supernu-ímetano D. N icoíás Abama; y por Cadete supe ¿numerario ai Guardia Don Fernando de Aguilera. \ -;ri y ...-in r:J ;i El Rey se ha servido -promover: en el régimiéfttó dé infantería de 'la Reyna á Capitán al Ayudante D; Fráhciscb deHá P^ña ^a Ayudantes á los primeros Tenie</t>
  </si>
  <si>
    <t>de Aguirre, Manuel</t>
  </si>
  <si>
    <t>Manuel de Aguirre</t>
  </si>
  <si>
    <t>Ortiz de Rozas para el Gobierno militar y político de San Lúcar de Barrameda, vacante por muerte de D. Manuel de Aguirre: para la Intendencia y Corregimiento político de la ciudad de Valladolid, vacante por promoción de D. Cayetano de Urbina á la del exército de Valencia, á D. Jos&gt; ph Ventura rerez</t>
  </si>
  <si>
    <t>de Aguirre, Manuel Francisco</t>
  </si>
  <si>
    <t>Manuel Francisco de Aguirre</t>
  </si>
  <si>
    <t>Nicolás de Azara, Embaxador de S. M. cerca de la República francesa. Los Sres, Dutari hermanos , y D. Manuel Francisco de Aguirre é hijos , depcomercio de esta corte, suministrarán instrucciones completas ‘ d$ la forma y condiciones con que deben proceder én sus diligencias los que * tengan justos derechos q</t>
  </si>
  <si>
    <t>de Aífaro y Órtiz, JosepH</t>
  </si>
  <si>
    <t>JosepH de Aífaro y Órtiz</t>
  </si>
  <si>
    <t>6lO , . ; escrito á su Séóretano cipitíilAr D. JosepH dé Aífaro y Órtiz. ' &gt; El dia io de Abríí falleció en esta corte á ,lós 81 años y 4 meses dé edad la Excma. Sra. Doña María Benita de Rozas y Dhimond*-Marquesa1 viuda de S. Leonardo: su ardiente ca</t>
  </si>
  <si>
    <t>de Albear, Juan Francisco</t>
  </si>
  <si>
    <t>Juan Francisco de Albear</t>
  </si>
  <si>
    <t>rooolitana de Zaragoza, vacantes por fallecimiento de D. Francisco Partearroyo y D. Isidro Vidal, á D. Juan Francisco de Albear y D. Manuel Perez Camino, Canónigos dé ia santa iglesia de Burgos-: para otra Cañonería de la colegial de Tremp, diócesis de Urgel, á D. Antonio Farrera: para una Ración de la catedra</t>
  </si>
  <si>
    <t>de Alcega, Miguel</t>
  </si>
  <si>
    <t>Miguel de Alcega</t>
  </si>
  <si>
    <t>s que pudieran aparentar mayor fuerza que la que llevaba. Intimó desde luego por su Sargento ma*yor D. Miguel de Alcega al Gobernador de la plaza, prece didas algunas contestaciones, que con repugnancia le hizo desde la muralla el Mayor de la misma plaza, pero que venció Alcega con prudencia y tino</t>
  </si>
  <si>
    <t>de Alejaga, Joseph</t>
  </si>
  <si>
    <t>Joseph de Alejaga</t>
  </si>
  <si>
    <t>por ei P. Alexmdro Díatallevi, ,de la extinguida compañía de Jesús, y traducidos en castellano por D. Joseph de Alejaga, presbítero: un tomo en 8.° Se hallará en casa de Aíverá, carrera de S. Gerónimo. Defectos de la jurisprudencia : tratado que escribió en italiano Luis Antonio Muratori, bibliotec</t>
  </si>
  <si>
    <t>de Alonso, Francisco Ángel</t>
  </si>
  <si>
    <t>Francisco Ángel de Alonso</t>
  </si>
  <si>
    <t>as; á primer Subteniente al segundo D. Antonio de Soto, y á-segundó Subteniente al Sargento primero D. Francisco Angel de Alonso. ' i También en él* dé -caballería de España ha promovido el Rey á segundo Teniente aiAlférezD. Victoriano Aceves: e» el de Santiago á Alférez</t>
  </si>
  <si>
    <t>de Altue, Domingo</t>
  </si>
  <si>
    <t>Domingo de Altue</t>
  </si>
  <si>
    <t>y sin mas firma que la suya. Quien sepa de ellos avisará al mismo Sr. Conde en Cariet: en Madrid á D. Domingo de Altue, diputado de los gremios, portal de Paños; ó en Valencia á D. Domingo de Larena, de aquel comercio. Por providencia del Sr. D. Juan Antonio Santa María, del Consejo de S. M., jpri</t>
  </si>
  <si>
    <t>de Amestoy, Francisco Xavier</t>
  </si>
  <si>
    <t>Francisco Xavier de Amestoy</t>
  </si>
  <si>
    <t>, de: Oficial duodécimo, que se ha dividido en dos medias por ahora, se ha dignado el Rey nombrar á D. Francisco Xavier de Amestoy y D. Antonio Pascual y Bayot con opción á la primera vacante de plaza entera en atención átsus méritos y circunstancias. ¡ - "■ ' ; El Gobernador Intendente de la provincia dé CHiapa,</t>
  </si>
  <si>
    <t>de Amorovieta, Gaspar</t>
  </si>
  <si>
    <t>Gaspar de Amorovieta</t>
  </si>
  <si>
    <t>). Joseph, Ramón Ru.iz:,para la Media-Ración de la metropolitana de Granada, vacanre por, muerte de D. Gaspar de Amorovieta, á D. Baltasar Melchor Carretero: para el Beneficio de la villa de Almonte , en el arzobispado de Sevilla , vacante, por fallecimiento de. D. Gabriel de Tarraga, á D: Juan Martin</t>
  </si>
  <si>
    <t>de Anaya y Ribas, Andrés</t>
  </si>
  <si>
    <t>Andrés de Anaya y Ribas</t>
  </si>
  <si>
    <t>» á D. Joachín Esearano: para otra de Ja de Guadix, vacante por fallecimiento de D. Pascual Ruiz, á D. Andrés de Anaya y Ribas: para una Ración del colegio de Sancti Spíritus de la ciudad de Santiago» vacante por promoción de D., Joseph. Claudio Salgado i una Canóngta de la catedral de Salamanca, Á D* Fra</t>
  </si>
  <si>
    <t>de Andrade, Manuel</t>
  </si>
  <si>
    <t>Manuel de Andrade</t>
  </si>
  <si>
    <t>98 peño del Brigadier D. Manuel de Andrade, Intendente de S. Ildefonso, y del Coronel D, Simón García Puerta, Gobernador de S. Lorenzo, se ha servido S. M. promover al primero al Gobierno del Real sitio de Arañjuez, y al s</t>
  </si>
  <si>
    <t>de Anduaga, Joseph</t>
  </si>
  <si>
    <t>Joseph de Anduaga</t>
  </si>
  <si>
    <t>6Un tomo en 4.0 á 18 rs. en papel, y 26 en Compendio metódico y claro del Cómputo pasta : su autor D. Joseph de Anduaga. Eclesiástico antiguo y moderno según los Compendio del Arte de escribir por reglas tres celebrados sistemas Juliano, Metóniy sin muestras, para uso de las Reales Es­ co y Gregori</t>
  </si>
  <si>
    <t>de Angulo, Manuel Pablo</t>
  </si>
  <si>
    <t>Manuel Pablo de Angulo</t>
  </si>
  <si>
    <t>pesos, creación de 10 de Abril, núrns. 382,018 y 414,574, con el último endoso por dicho Quintana á D. Manuel Pablo de Angulo j y no habiendo llegado á su poder, quien los tenga los remitirá á dicho Quintana en Cádiz, á D. Domingo de Hoyos en Málaga , ó á los Sres. Luengas, hermanos, en Madrid. En la vil</t>
  </si>
  <si>
    <t>de Aragón, Domingo</t>
  </si>
  <si>
    <t>Domingo de Aragón</t>
  </si>
  <si>
    <t>eros á los de fusil, ros D. Pedro BoDrull y D. Sebastian de Arroyo; á Subtenientes a los d~ bandera D. Domingo de Aragón, D. Diego Pizarro y D. Ramón yaklejuüy,</t>
  </si>
  <si>
    <t>de Aragorrl, Simón</t>
  </si>
  <si>
    <t>Simón de Aragorrl</t>
  </si>
  <si>
    <t>Exc. Sr. D. Simón de Aragorrl, Marques de Iranda&gt; Consejero honorario de Estado, y antes también de Hacienda. Su pérdida ha sido generalmente sentida por el conjunto de raras prendas que distinguían su persona</t>
  </si>
  <si>
    <t>de Aranda Álvarez de Sotomayor, Fernando</t>
  </si>
  <si>
    <t>Fernando de Aranda Álvarez de Sotomayor</t>
  </si>
  <si>
    <t>artínez de Mazas, el Arcediano de Jaén D. Joseph Gómez, el Coronel de exército D. Andrés de Viedma, D. Fernando de Aranda Alvarez de Sotomayor y D. Juan Joseph su hermano, caballeros maestrantes, que han franqueado de sus rentas en este ano social 1S32 socorros y premios á los ancianos, enfermos habituales, y niñas que concu</t>
  </si>
  <si>
    <t>de Arc, Ramón Jóseph</t>
  </si>
  <si>
    <t>Ramón Jóseph de Arc</t>
  </si>
  <si>
    <t>' ¿orté el limó. Sr. D. Joseph Antonia Gárnica, Obispo de .Osma, siendo su consagrante; eí Exc. Sr.-D. Ramón Jóseph de Arc^, . Arzobispo deBárgos,Inquisidor general: asistentes los. limos. Sres. Obispos D. Francisco de la Cuerda y D. Atanasío Puyal, Auxiliar de Madrid; y padrino el Exc. Sr., Marques d</t>
  </si>
  <si>
    <t>de Arce, Francisco Manuel</t>
  </si>
  <si>
    <t>Francisco Manuel de Arce</t>
  </si>
  <si>
    <t>ervido conceder la Contaduría de Exército y Real Hacienda de la isla de Cuba y plaza de la Havana á D. Francisco Manuel de Arce , Contador Oficial Real de Jas Caxas de S. Luis Potosí. ; El limo. Sr. D. Gabriel Alvarez de Fária, del Consejo de S. M., Obispo de Badajoz , y el Cabildo de su santa iglesia cate</t>
  </si>
  <si>
    <t>de Arce, Manuel</t>
  </si>
  <si>
    <t>Manuel de Arce</t>
  </si>
  <si>
    <t>este mes se perdió un vale de 300 pesos , de i.° de Juh'o , número' 7í con último endoso á favor de D. Manuel de Arce. Quien sepa de él avisará en esta corte al expresado Arce , ó á D. Alfonso de Soto , cambista , carrera de S, Gerónimo , núm. 12. En virtud de Real facultad de S. M. y Sres, del C</t>
  </si>
  <si>
    <t>ento de infantería del Rey fixo de Manila se ha servido S.M. promover á Capit^-ms ai Ayudante mayor D. Manuel de Arce y al Teniente D. Juan Antonio Bayotiá Ayudante mayor al Teniente D. Joseph Lomgoria : á Teniente de granaderos al cíe fusileros D. Blas Morillo: á Tenientes á los Subtenientes D. .J</t>
  </si>
  <si>
    <t>de Arce, Pedro</t>
  </si>
  <si>
    <t>Pedro de Arce</t>
  </si>
  <si>
    <t>omandante del tercer batallón D. Félix f riarte: á Comandante del tercer batallón al Sargenta mayor D. Pedro dé Arce: á Sargento mayor al Capitán de granaderos D. Joseph Ignacio de Merlos; y á Capitán de granaderos al de fusileros D. Francisco Caballereólos dos primeros graduados de Coroneles, y</t>
  </si>
  <si>
    <t>de Arce, Ramón Joseph</t>
  </si>
  <si>
    <t>Ramón Joseph de Arce</t>
  </si>
  <si>
    <t>za, vacante por haber pasado el Exc. Sr. D. Fr. Joachís Comp-ny á la Mitra de Valencia, al Exc. Sr. D. Ramón Joseph de Arce, Arzobispo de Burgos, Inquisidor general. S. M. ha promovido á Ingenieros directores de sus exércitos, plazas y fronteras á los en xefes D. Francisco Vanwiteli, D. Miguel Constanz</t>
  </si>
  <si>
    <t>consagrante el limo. Sr. D. Joseph Antonio Garnica, Obispo de Osma, por indisposición deí Exc. Sr. D. Ramón Joseph de Arce, Arzobispo de Burgos y electo de Zaragoza, Inquisidor general* y asistentes los limos. Sres. Don Francisco de la Cuerda, Obispo que fué de Puerto Rico, del Consejo de la suprema y</t>
  </si>
  <si>
    <t>de Arcos, Sebastián</t>
  </si>
  <si>
    <t>Sebastián de Arcos</t>
  </si>
  <si>
    <t>stín Wan-herck, y á segundos Subtenientes á los Cadetes del de infantería de Burgos ^ fixo de Ceuta Don Sebastian de Arcos y D. Antonio Ordoñez; en él de España á primeros Tenientes á los segundos de granaderos D. Joseph Malpica y D. Felipe Gironda; á segundos Tenientes de granaderos á ios de fusileros D.</t>
  </si>
  <si>
    <t>de Ardíano, Ramón Salvadór</t>
  </si>
  <si>
    <t>Ramón Salvadór de Ardíano</t>
  </si>
  <si>
    <t>M.; y para el de Administrador del colegio de Sta. Isabel de la misma villa,-Vacante por muerte de D. Ramón Salvadór dé Ardíano, á D. Blas de Toro, Capellán de Honor de S. M., y segundo Maestro' de‘Ceremonias de la propia Real Capillái \ ' * r /;-? Al Teniente General D. Antonio Córdoba y Heredia, Comandan</t>
  </si>
  <si>
    <t>de Areche, Joseph Antonio</t>
  </si>
  <si>
    <t>Joseph Antonio de Areche</t>
  </si>
  <si>
    <t>r.to y Beneficio rura 1 de ios despoblados de Jemiguel y Jemerendura, vacantes por fallecimiento de D. Joseph Antonio de Areche , todos tres en la referida diócesis de Avila, á D. Sebastian de los Reyes;En el regimiento de infantería de Asturias se ha servido el Rey promover á segundos Subtenientes al Sarg</t>
  </si>
  <si>
    <t>de Arellano, Juan</t>
  </si>
  <si>
    <t>Juan de Arellano</t>
  </si>
  <si>
    <t>rimero de granaderos D. Juan María Lator: en el de Aragón á segundó Subteniente al Sargento primero D. Juan de Arellano; y en si de la Princesa á primer Subteniente al segundo D. Baltasar Araujo, y á segundo Subteniente el Sargento primero de granaderos D. Juan Camero. También en el de caballería d</t>
  </si>
  <si>
    <t>de Arguelles, Juan</t>
  </si>
  <si>
    <t>Juan de Arguelles</t>
  </si>
  <si>
    <t>iente de cazadores al de fusileros D. Diego Basilio; á Subteniente de fusileros al segundo Ayudante D. Juan de Arguelles, y á segundo Ayudante, con grado de Subteniente , al Cadete D. Pedro Junco: en el de Valdivia á Capitán al Teniente D. Joseph Carvallo; á Teniente al Subteniente D. Diego Adriasol</t>
  </si>
  <si>
    <t>de Arias, Juan</t>
  </si>
  <si>
    <t>Juan de Arias</t>
  </si>
  <si>
    <t>... . 30* 8. Juan de Arias..... Manue.l.,....... Lorenza Rodríguez.Sta* Baila..... Villalba.........., 34- a. Salvador Cortiñas. Narciso.......... Juliana Vázquez.. Mundin.......... Chantada.</t>
  </si>
  <si>
    <t>de Ariza y Taboada, Joseph</t>
  </si>
  <si>
    <t>Joseph de Ariza y Taboada</t>
  </si>
  <si>
    <t>. el de Sigüenza Compañía de fusileros al Teniente de granaderos Don Felipe Velazquez; su resulta á D. Joseph de Ariza y Taboada, Subteniente de. granaderos , y este empleo á D. Marcelo Dávila, Subteniente de fusileros: en el de Monterey .compañía de fusileros al. Teniente de cazadore» D. Manuel González Oj</t>
  </si>
  <si>
    <t>de Arizcun, Joseph</t>
  </si>
  <si>
    <t>Joseph de Arizcun</t>
  </si>
  <si>
    <t>ea*Vfk#ííptoino^ér? el Rey á segundos Tenientes á los Alféreces de cazadores: D*; M%uel-Ja~,[ Ion y D. Joseph de Arizcun. En el de infantería* del Príncipe:¿á^ Capitaaj al agregado en esta clase al do Saboya D. Manuel de Peña : en el de. España á Capitán al Ayudante D.:Juan o® Francia;' á esta res;ú</t>
  </si>
  <si>
    <t>de Arjona, Joseph</t>
  </si>
  <si>
    <t>Joseph de Arjona</t>
  </si>
  <si>
    <t>Ración de la propia, vacante or ascenso de D. Juan de Urisa y Almonacid á otra de la de Arequipa, r D. Joseph de Arjona: para la Media Ración , que este dexa, á D. Nicolás de Hore; y para la segunda Ración de la catedral de Mérida de Yucatán , vacante por promoción del Dr. D. Santiago Martínez de P</t>
  </si>
  <si>
    <t>de Arjona, Luis Joseph</t>
  </si>
  <si>
    <t>Luis Joseph de Arjona</t>
  </si>
  <si>
    <t>ph de Artajona: para la Ración al Medio-Racionero-D.'Mariano Pe* rez Uriondo; y para esta resulta á D. Luis Joseph de Arjona. El Rey se ha servido conceder la Contaduría de Exército y Real Hacienda de la isla de Cuba y plaza de la Havana á D. Francisco Manuel de Arce , Contador Oficial Real de Jas Caxas</t>
  </si>
  <si>
    <t>de Armcnta y Godoy, Francisco</t>
  </si>
  <si>
    <t>Francisco de Armcnta y Godoy</t>
  </si>
  <si>
    <t>Olmo: para una Ración de la de Córdoba, vacante por fallecimiento de D. Ignacio Ximenez Arrutave, á D. Francisco de Armcnta y Godoy, Racionero electo de la metropolitana de Sevilla; y para un Beneficio de la parroquial de Santa María de la ciudad de Almansa, en la diócesis de Cartagena, que obtiene D. Manuel G</t>
  </si>
  <si>
    <t>de Arqudiada, Ventura</t>
  </si>
  <si>
    <t>Ventura de Arqudiada</t>
  </si>
  <si>
    <t>a de las cárceles de Fiíadelfia , escrita en francés por La RochefoucaulLiancourt , y traducida por D. Ventura de Arqudiada. Se hallará en el despacho de la imprenta Real, y en la liberta de Castillo á $ rs. á la rústica. El producto de su venta es á beneficio de los presos de las cárceles de esta cort</t>
  </si>
  <si>
    <t>de Arriaga, Antonio</t>
  </si>
  <si>
    <t>Antonio de Arriaga</t>
  </si>
  <si>
    <t>iing, traducidas del sueco por D. Ignacio de Asso. Se hallará en el despacho de la imprenta Real. 1 D. Antonio de Arriaga remitió ei 30 de Enero desde la villa de Puerto Real á D. Ignacio de Mendieta, vecino de la ciudad de Ordufía , $ vales Reales de £ i¿o pesos de 1$ de Setiembre, números 163,374,</t>
  </si>
  <si>
    <t>de Arriaz, Francisco</t>
  </si>
  <si>
    <t>Francisco de Arriaz</t>
  </si>
  <si>
    <t>ima y pro­ Modo fácil para asistir í la santa Mis ai ducciones del estrecho. Un tomo en 4. mar- por D. Francisco de Arriaz.;». Un tomo en 8.u, quilla , en pasta á 64 rs. en pasta 5 rs. , y en rústica 3. Memoria sobre las observaciones de la­ Historia de la vida de S. Juan Nepomutitud y longitud en el</t>
  </si>
  <si>
    <t>de Arroyo, Gregorio</t>
  </si>
  <si>
    <t>Gregorio de Arroyo</t>
  </si>
  <si>
    <t>Subteniente de granaderos al de fusileros D. Gaspar Fernandez, y á Subtenientes al Sargento primero D. Gregorio de Arroyo y al Cadete D. Manuel de León y Romero; habiendo nombrado también §. M. Capellanes de los regimientos de infantería de Aragón y Cazadores Voluntarios de la Corona á los presbíteros</t>
  </si>
  <si>
    <t>de Árteaga, Francisco Xavier</t>
  </si>
  <si>
    <t>Francisco Xavier de Árteaga</t>
  </si>
  <si>
    <t>ión de vales Reales. Se hallará á real de vn. en el despacho de la imprenta Real. Los acreedores de D. Francisco Xavier de Árteaga , Capitán que fué del regimiento de caballería de la Costa de Granada , que falleció en Moíina de MurT cia, podrán enviar razón de sus créditos á 3&gt;. Joachin María de Errszquin, q</t>
  </si>
  <si>
    <t>de Artieda, Felipe Antonio</t>
  </si>
  <si>
    <t>Felipe Antonio de Artieda</t>
  </si>
  <si>
    <t>á D. Bernardo de liria y Lknes: para el Arcedianato, que este dexa en la misma iglesia, al Chantre D. Felipe Antonio de Artieda: para la Chantría al Canónigo D. Nicolás Muñoz y Borjas: para ,la Canongía al Racionero D. Xuis Joseph de Artajona: para la Ración al Medio-Racionero-D.'Mariano Pe* rez Uriondo; y</t>
  </si>
  <si>
    <t>de Artola, Estéban</t>
  </si>
  <si>
    <t>Estéban de Artola</t>
  </si>
  <si>
    <t>riano Sau.ca y D. Marcos Romero. En consideración á la actividad y buen desempeño que ha acreditado D. Estéban de Artola, Capitán del regimiento provincial de Castellón de la Plana, en su comisión de Comandante de las partidas destinadas á la persecución de contrabandistas y malhechores en el Reyno</t>
  </si>
  <si>
    <t>de Ascasso, Lorenzo</t>
  </si>
  <si>
    <t>Lorenzo de Ascasso</t>
  </si>
  <si>
    <t>a clase del de Córdoba D. Joseph Navarro: en el de Jaén á Ayudante al primer Teniente de granaderos D. Lorenzo de Ascasso; á primer Teniente de granaderos al de fusileros D. Lorenzo Cenon Calvo; á primer Teniente al segundo D. Ramón Reynalte; á segundo Teniente al Subteniente de granaderos D. Manuel</t>
  </si>
  <si>
    <t>de Asso, Ignacio</t>
  </si>
  <si>
    <t>Ignacio de Asso</t>
  </si>
  <si>
    <t>aciones de historia natural hechas en España y América por Pedro Loefiing, traducidas del sueco por D. Ignacio de Asso. Se hallará en el despacho de la imprenta Real. 1 D. Antonio de Arriaga remitió ei 30 de Enero desde la villa de Puerto Real á D. Ignacio de Mendieta, vecino de la ciudad de Orduf</t>
  </si>
  <si>
    <t>de Ausaldo, Agustín</t>
  </si>
  <si>
    <t>Agustín de Ausaldo</t>
  </si>
  <si>
    <t>sa Marcuello, en la diócesis de Huesca; para el Arcedianato de la de Solsona, vacante por muerte de D. Agustín de Ausaldo, á D. Francisco de Macia: para una Canongía de la metropolitana de Tarragona, vacante por fallecimiento de D. Joseph Ibañez Falomir, á D. Pedro Ramón de Juárez, Cura de la parroqu</t>
  </si>
  <si>
    <t>de Auscjo, Tomás</t>
  </si>
  <si>
    <t>Tomás de Auscjo</t>
  </si>
  <si>
    <t>mpleo de Coronel del regimiento de Milicias urbanas de caballería de lea al Comandante de esquadron D. Tomas de Auscjo, y el de Teniente Coronel del mismo cuerpo al Sargento mayor Marques de Cam:poameno: Compañía en el de Milicias urbanas de dragones de M.-gés al Teniente D. Pedro López de Velazco</t>
  </si>
  <si>
    <t>de Austria, Antonio (archiduque)</t>
  </si>
  <si>
    <t>Archiduque Antonio de Austria</t>
  </si>
  <si>
    <t>cher, Lestocq y Emest, Frafrcfyvt $ de Noviembre. S e ha divulgado como seguirá b noticia de que el Archiduque Antonio de Austria ha escrito al Cabildo de Munstcr, declarándole que las circunstancias políticas del dia no le permiten por ahora resolver en orden á su elección de Príncipe Obispe; pero encarga a</t>
  </si>
  <si>
    <t>de Ayala, Joachín</t>
  </si>
  <si>
    <t>Joachín de Ayala</t>
  </si>
  <si>
    <t>el Murilio; á Teniente de fusileros al Subteniente de granaderos D. Alonso Santos, y á su resulta á D. Joachín de Ayala, Subteniente de fusileros: en el de Granada á Capítan de fusileros al Teniente de la misma clase D. Joseph Francisco Coronado ; á Tenientes de fusileros á los Subtenientes de gran</t>
  </si>
  <si>
    <t>de Azara, Félix</t>
  </si>
  <si>
    <t>Félix de Azara</t>
  </si>
  <si>
    <t>storia natural de los quadrúpedos del Paraguay, escritos desde el año de 1783 hasta* el de 1796 por D. Félix de Azara: con un apéndice sobre algunos reptiles. Forma esta obra uña continuación á las obras del (Sonde de iBuffon ; y está traducida del manuscrito inédito del autor por el ciud. Moreau</t>
  </si>
  <si>
    <t>de Azara, Joseph Nicolás</t>
  </si>
  <si>
    <t>Joseph Nicolás de Azara</t>
  </si>
  <si>
    <t>salva &gt; y también la hicieron les buques franceses. :^ París ay de\Marzo* • ... n*** E 1 caballero D. Joseph Nicolás de Azara, Embaxador dé España recieñ llegado aquí, fué presentado el dia 23 por el Ministro de Relaciones exteriores al primer Cónsul», á quien entregó sus credenciales. Su antecesor el Sr</t>
  </si>
  <si>
    <t>de Barrenechea, encargados en paris de esta negociación baxo la intervención y oficios del Exc. Sr. D. Joseph Nicolás de Azara, Embaxador de S. M. cerca de la República francesa. Los Sres, Dutari hermanos , y D. Manuel Francisco de Aguirre é hijos , depcomercio de esta corte, suministrarán instrucciones c</t>
  </si>
  <si>
    <t>empezado la publicación al amanecer. En la audiencia de Embaxadores que hubo el mismo di a, el Sr. D. Joseph Nicolás de Azara, Embajador de España, presente) al primer Cónsul el Príncipe de Nassau-Siegen, General de los exércitos de S. M. Cat. Igualmente, el Ministro de Relaciones exteriores le presentó</t>
  </si>
  <si>
    <t>de Azofra, Juan</t>
  </si>
  <si>
    <t>Juan de Azofra</t>
  </si>
  <si>
    <t>on que se proponen los remedios mas á propósito para aliviarlas ó curarías. Véndese en la tienda de D. Juan de Azofra, plaza mayor portal de sedas, y en las librerías de Castillo, frente á S. Felipe, y de Escribano, calle de las Carretas, á 3» rs. en rústica y 38 en pasta. Catecismo del.P. Ripald</t>
  </si>
  <si>
    <t>de Bardales, Gaspar</t>
  </si>
  <si>
    <t>Gaspar de Bardales</t>
  </si>
  <si>
    <t>les exércitos , vecino de Madrid, y la Sra. Doña María Faustina Ladrón de Guevara, su muger; el Sr. D. Gaspar de Bardales, del Consejo de S. M. en el de Hacienda , como poseedor del mayorazgo que fundó D. Pedro Valle de la Cerda; Don. Francisco Rico, vecino de Madrid, y en su representación D. Eusebi</t>
  </si>
  <si>
    <t>de Barnaajan, Juan</t>
  </si>
  <si>
    <t>Juan de Barnaajan</t>
  </si>
  <si>
    <t>Juan Marabel......... Juan y Juana Gaubert.............. Cabors en Francia................. 40. ap. D. Juan de Barnaajan.. D. Cárlos y Doña Francisca Bonfontona.............................. Lila Jorden...... ao. 30. D. Luis Dupen de San­ S. Amantony en tander..................... D. Juan y Doña Bla</t>
  </si>
  <si>
    <t>de Barroeta Aldamar, Joachín</t>
  </si>
  <si>
    <t>Joachín de Barroeta Aldamar</t>
  </si>
  <si>
    <t>ones, dirigiéndose al Sr. D. Joseph Martínez de Hervás, del Consejo de S. M. en el de Hacienda» á , D. Joachin de Barroeta Aldamar y D. Domingo de Barrenechea, encargados en paris de esta negociación baxo la intervención y oficios del Exc. Sr. D. Joseph Nicolás de Azara, Embaxador de S. M. cerca de la República f</t>
  </si>
  <si>
    <t>de Béckendoríf, Barón</t>
  </si>
  <si>
    <t>Barón de Béckendoríf</t>
  </si>
  <si>
    <t>quí el Barón dé Norman, Ministro plenipotenciario del Duque de Wurtemberg, y él Barón de Béckendoríf, secretario de legación. El 9 comíérpn *en casa dsd Conde de Cobentz.el, y él io en la del ciud. Joseph Bo ñapar te.Lanoche de esté último día sigüiétón : su viáge* á Sbn ahora' mas fréqüente</t>
  </si>
  <si>
    <t>de Ben, Tomás</t>
  </si>
  <si>
    <t>Tomás de Ben</t>
  </si>
  <si>
    <t>Manuel Barranco y D. Gerónimo de la Escosura; á segundos Tenientes á los Subtenientes de granaderos D. Tomas de Ben, D. Francisco Xavier González y D. Tomas Perez, y á los primeros Subtenientes D. Luis de Rueda, D. Felipe Andrade y D. Cayetano Arjnesto j á Subtenientes de granaderos á los prime</t>
  </si>
  <si>
    <t>de Beráza, Joseph</t>
  </si>
  <si>
    <t>Joseph de Beráza</t>
  </si>
  <si>
    <t>pues de no hacerlo los aplicará i los fines que le dexó comunicado. „ , Se avi$a á los herederos de D. Joseph de Beráza, Mayordomo que fue del f&amp;xc, Sr, C(onde de Motezpma*. se dep ¿ conocer á D. Joseph Lleonart, Ayudante mayor del regimiento de infantería de Hibernia, residente actualmente en el,</t>
  </si>
  <si>
    <t>de Berfistoríf, Conde</t>
  </si>
  <si>
    <t>Conde de Berfistoríf</t>
  </si>
  <si>
    <t>buruo que el gabinete de S. Támes en las nea;ociacio• nes que ha seguido con el Conde de Berfistoríf, Ministro de Dinamarca. se 1 ha reservado el derecho de tener guarnición en hs colonias din unarquisas. • Entre el antiguo gobierno francés y el Margrave de Badén se había - convenido en qu</t>
  </si>
  <si>
    <t>de Bergacza y Aguirre, Santiago</t>
  </si>
  <si>
    <t>Santiago de Bergacza y Aguirre</t>
  </si>
  <si>
    <t>o Mendieta, quien los hubiese hallado los remitirá en Ordufia' al mismo D. Ignacio: en esta corte i D. Santiago de Bergacza y Aguirre, calle Mayor, portal de S. Isidro, ó en Cádiz al mencionado D. Antonio de Arriaga. Para el remate de una casa sita en esta corte en las calles de Santa Lucía y la del Tesoro viejo</t>
  </si>
  <si>
    <t>de Blende, Juan Fernando</t>
  </si>
  <si>
    <t>Juan Fernando de Blende</t>
  </si>
  <si>
    <t>Ramón María de Chaves. En el de Reales Guardias Walonas á primer Ayudante miyor al segundo Ayudante D. Juan Fernando de Blende: en ei de infantería de Saboya á Capitán de granaderos al de fusileros D. Joseph María Lambí ; á Capitán al Ayudante D. Diego de Vega; á esta resulta al primer Teniente D. Bartolo</t>
  </si>
  <si>
    <t>de Borbon, Luis</t>
  </si>
  <si>
    <t>Luis de Borbon</t>
  </si>
  <si>
    <t>ques de Paredes. Después celebró de pontifical el mismo Emo. Sr. Cardenal de Santa Alaría de Escala D. Luis de Borbon, en calidad de Prelado de la orden,</t>
  </si>
  <si>
    <t>de Borbon, Luis María</t>
  </si>
  <si>
    <t>Luis María de Borbon</t>
  </si>
  <si>
    <t>ía mayor de Cuentas. El i.° de este mes en la Real iglesia de S. Isidro consagró el Emo. y Exc. Sr. D. Luis María de Borbon, Cardenal de la Santa Iglesia Romana, Arzobispo de Toledo y Sevilla, al limo. Sr. D. Antonio Palafox y Croy, Obispo de ..Cuenca: siendo padrino el cabildo de su santa iglesia ,y e</t>
  </si>
  <si>
    <t>Benito ? !y actualmente Abad, del monasterio de Santo Domingo de Silos: dedicado al Emo. y Éxc. Sr. D. Luis María de Borbon. Lleva á su frente el retrato de S. S, grabado por el que vino de Roma. La singular unción, eloqiisncia y energía de este discurso demuestran la’ providencia portentosa del Sefíor</t>
  </si>
  <si>
    <t>de Borja Fernández, Francisco</t>
  </si>
  <si>
    <t>Francisco de Borja Fernández</t>
  </si>
  <si>
    <t>spejo y á satisfacción de los concurrentes. El mismo Prior, D. Luis Folgueras, D. Meiiton Zorrilla, D. Francisco de Borja Fernandez, Magistral, el Dr. D. Ramón Bonifaz y Quintano y otras personas ofrecie'ron recompensas, que se distribuyeron entre los mas sobresalientes discípulos , y lo fueron en la clase de</t>
  </si>
  <si>
    <t>de Borja, Francisco</t>
  </si>
  <si>
    <t>Francisco de Borja</t>
  </si>
  <si>
    <t>dragonesdeSagunto D. Pedro; del Castilla; la Compañía, que este dexa, al Ayudante del de Lusitania D. Francisco de Borja, y Tenencia en este cuerpo al Alférez de granaderos D. Ventura Córreges. S. M. se ha servido nombrar para el Corregimiento de letras de la ciudad de Borja, en el Reyno de Aragón,</t>
  </si>
  <si>
    <t>de Bterna, Nicolás</t>
  </si>
  <si>
    <t>Nicolás de Bterna</t>
  </si>
  <si>
    <t>dé Gdips- ha: nombrado el Rey Brigadier al SubrigadierD. Joseph BáretÓI para esta resulta al Cadete D. Nicolás de Bterna: para el empleo de Cadete* dé número al supernu-ímetano D. N icoíás Abama; y por Cadete supe ¿numerario ai Guardia Don Fernando de Aguilera. \ -;ri y ...-in r:J ;i El Rey se ha se</t>
  </si>
  <si>
    <t>de Búas, Antonio</t>
  </si>
  <si>
    <t>Antonio de Búas</t>
  </si>
  <si>
    <t>y Dofia Agustina de Ros........................................... Id...................... 50. Ig. D. Antonio de Búas ja. D. Francisco y Dofia Josepha O 1 Mayro...................................... Rosas................ O • D. •* Rehene de la Fa- Mortini en Fran?a.............:.............. D.</t>
  </si>
  <si>
    <t>de Buenaventura, Joseph María</t>
  </si>
  <si>
    <t>Joseph María de Buenaventura</t>
  </si>
  <si>
    <t>D. Francisco Pardo : para el de Administrador particular dé Rentas estancadas de la Vega de Süpiá á D. Joseph María de Buenaventura: para el de Administrador subalterno de las Rentas de tabacos y pólvora de Neyba á D. Pablo Indiano: para la plaza de Oficial mayor de la Contaduría de la Administración de tabaco</t>
  </si>
  <si>
    <t>de Bunan, Conde</t>
  </si>
  <si>
    <t>Conde de Bunan</t>
  </si>
  <si>
    <t>qual la cultivará. . Berlín 14 de Agosto. S e ha despedido de éste Soberano el Conde de Bunan, Ministro del Elector de Saxóniá; y se asegura que" irá á residir á París con el mismo carácter. Hasta que llegue aquí otro Ministró de la corte de Drésde despachará Mr. de Helbig los asunt</t>
  </si>
  <si>
    <t>de Bunau, Conde</t>
  </si>
  <si>
    <t>Conde de Bunau</t>
  </si>
  <si>
    <t>o y Ministro plenipotenciario de S. A. S. el Elector Palatino de Baviera , y el Conde de Bunau, Ministro plenipotenciario de S. A. S. el Elector de Saxonia, fuéron presentados ayer por el Ministro de Relaciones exteriores al primer Cónsul, á quien entregaron sus credenciales. En segu</t>
  </si>
  <si>
    <t>de Burgoa, Carlos Francisco</t>
  </si>
  <si>
    <t>Carlos Francisco de Burgoa</t>
  </si>
  <si>
    <t>dere que es acreedora, se la aumentará á 8 rs. diarios. Las pretendienías enviarán sus memoriales á D. Cárlos Francisco de Burgoa, Cura y Beneficiado de dicha villa. -» Se abré subscripción á la obra Joannis Devoti episcopi Ananiensis institutioJmm canonicBrüm libri quatuor. Esta obra, querha merecido la apr</t>
  </si>
  <si>
    <t>de Búroos, Santiago Gregorio</t>
  </si>
  <si>
    <t>Santiago Gregorio de Búroos</t>
  </si>
  <si>
    <t>las dos vacantes en la metropolitana de Sta. Fe por muerte de X&gt;. Antonio Nicolás Martínez Caso, á D. Santiago Gregorio de Búroos, Med io-Racionero de ella; y para la Media-Ración, que este dexa, á Don Manuel de Valénzuela, Cura en dicho arzobispado. Igualmente se ha servido S. M. nombrar para la segunda Rac</t>
  </si>
  <si>
    <t>de Butron, Alexandro Luís</t>
  </si>
  <si>
    <t>Alexandro Luís de Butron</t>
  </si>
  <si>
    <t>ce!# D. Francisco-¡Gastón de RoziereS, Ü, Román Lasaleta y Tomati, Don Alexandro Luís de Butron y D. Federico Joseph de Meer. En el de granaderos Voluntarios de Estado á primer Teniente al segundo D. Joseph Basoa y Ondona, y á esta resulta al Subteniente D. Antonio Venancio Xare</t>
  </si>
  <si>
    <t>de Calzada, Bernardo María</t>
  </si>
  <si>
    <t>Bernardo María de Calzada</t>
  </si>
  <si>
    <t>de provechoso para el trato de la vida humané: tras* ladada al castellano por el Teniente Coronel’ D. Bernardo María de Calzada: tres tqmios en 8.° marquilla, á 48 rs. en: pasta y 4» en pergamino. Se hallarán en la librería de D»..Gabriel Gómez , librero del Rey Ntto. Sr., calle de las Carretas, y en el al</t>
  </si>
  <si>
    <t>de Carballar, Juan</t>
  </si>
  <si>
    <t>Juan de Carballar</t>
  </si>
  <si>
    <t>rroquial de Chinchilla, en la diócesis de Cartagena, vacante por muerte de D. Juan Perez del Rio, á D. Juan de Carballar, con la calidad de personal residencia que tiene anexa. En la compañía Flamenca del Real cuerpo de Guardias de Corps ha nombrado el Rey Exento supernumerario al Brigadier de la mi</t>
  </si>
  <si>
    <t>de Cárdenas y Cano, Gabriel</t>
  </si>
  <si>
    <t>Gabriel de Cárdenas y Cano</t>
  </si>
  <si>
    <t>desde el ano de t$tá, qúe descabfió 4a Florida Juan Poncé, de León, hasta el de «74* ; escrito por Don Gabriel de Cárdenas y Cano..=La Florida del Inca, historia dél Adelantado 'Heraandó de Sb¡to,, Gobernador y Capitán general deF Kéyno de la Florida; y de otres heróyeos españoles é indios rescrita por él re</t>
  </si>
  <si>
    <t>de Cárdenas, Pedro</t>
  </si>
  <si>
    <t>Pedro de Cárdenas</t>
  </si>
  <si>
    <t>.............. ........ 182,283. r D. Luis Seoane Ibero..;............ ................... *82,313. D. Pedro de Cárdenas.................................. 403,921. i /1 villa de Fitero...*............... . 2D^,ó,^o. ; D. Diego de ^^urgos...*..;...............*.'.*'.........^.-- •i i 2 Todos estos in</t>
  </si>
  <si>
    <t>de Carnea Steffaneo, Francisco María (barón)</t>
  </si>
  <si>
    <t>Barón Francisco María de Carnea Steffaneo</t>
  </si>
  <si>
    <t>la de oro¿ ricamente bordada de plata y perlas. Llamado por el Emperador ha venido á esta ciudad el Barón Francisco María de Carnea Steffaneo^ bien conocido; por los viages que hizo dos años há.en todas las provincias de Dalmacia, desde las fronteras de Croacia hasta las del Epiro. Las principales observaciones de este</t>
  </si>
  <si>
    <t>de Carta Luzuriaga, Matías</t>
  </si>
  <si>
    <t>Matías de Carta Luzuriaga</t>
  </si>
  <si>
    <t>funtos de México un suplicatorio en que consta haberse seguido en su juzgado autos da inventario de D. Matías de Carta Luzuriaga, vecino que fue de la villa deT?'giíar¡tepeque , donde falh-ció baxo de disposición testamentaria que otorgó á 13 de Febrero de 17$*, nombrando por sus legítimos herederos á D. Ju</t>
  </si>
  <si>
    <t>de Carta Luzuriaga, Miguel</t>
  </si>
  <si>
    <t>Miguel de Carta Luzuriaga</t>
  </si>
  <si>
    <t>do por sus legítimos herederos á D. Juan , Doña Victoria, D. Julián, Doña Manuela, Dofía Bernarda y D. Miguel de Carta Luzuriaga; y no habiendo parecido el D. Julián á recoger la parte que le correspondía ce 61$ pesos, .3 tomines y $ granos, se hace notorio á fin de qué llegue á noticia de los interesados p</t>
  </si>
  <si>
    <t>de Casanaut, Juan</t>
  </si>
  <si>
    <t>Juan de Casanaut</t>
  </si>
  <si>
    <t>ablo Maina............... Joseph y Francisca Palau.......... Finestre en el Rosellon....... ap. ao. D. Juan de Casanaut... D. Adriano y Dofia María Pinen...................... 47. a8. Joseph Navona.......... Joseph y Teresa Te 11 es............. Techia en id..... xa. ap. D. Juan Dubiena........ D.</t>
  </si>
  <si>
    <t>de Castañeda y Quijano, Juan</t>
  </si>
  <si>
    <t>Juan de Castañeda y Quijano</t>
  </si>
  <si>
    <t>de Málaga, vacante por promoción de D. Joseph Lachambre á una. Canongía &lt;Bé la: mismra.catedral, á D. Juan de Castañeda y Quijano: para; la Capellanía.del Real Patronato, titulada de i a Herran, sita en da colegial de SaritíUanapén el obispado de Santander, vacante por fallecimiénto de D. Juan^Antonio de la</t>
  </si>
  <si>
    <t>de Castilla, Sebastián</t>
  </si>
  <si>
    <t>Sebastián de Castilla</t>
  </si>
  <si>
    <t>mpo Francisco Carvajal y otros : causas de nuevos alborotos : levantamiento de Francisco Girón y de D. Sebastian de Castilla j y noticia de otros muchos sucesos dignos de memoria. Se hallará con los anteriores y á los mismos precios en la librería de Villarea! , calle de las Carretas. Galería de mugtres</t>
  </si>
  <si>
    <t>de Castre y Barbeyto, Benito</t>
  </si>
  <si>
    <t>Benito de Castre y Barbeyto</t>
  </si>
  <si>
    <t>diola y Rueda, y modo de hacer la novena de Ntra. Sra. dado 4 lúa por el Dr. D. Benito de Castre y Barbeyto, presbítero : un tomo en'8.° Se hallarán en la librería de Campo, ca— 'líe de Alcalá, frente al Buéd Suceso. Semana Sácerdotal ó consideraciones para los dita de la semana, en las qualés se m</t>
  </si>
  <si>
    <t>de Castro y Seixas, Juan Antonio</t>
  </si>
  <si>
    <t>Juan Antonio de Castro y Seixas</t>
  </si>
  <si>
    <t>de la parroquia de Montejo de la Vega, en la misma diócesis de Avila, vacante por fallecimiento de D. Juan Antonio de Castro y Seixas, á Don Antonio Barraba Fuentes, con la carga que tiene anexa; y para el Beneficio Préstamo de'la..parroquial de Lanzaita, vacante por muerte de D. Manuel Lizaso, y cj'Céur.to y Be</t>
  </si>
  <si>
    <t>de Castro, Andrés</t>
  </si>
  <si>
    <t>Andrés de Castro</t>
  </si>
  <si>
    <t>spañola, del Real cuerpo de Guardias de Corps ha nombrad© el Rey Cadete de numero al supernumerario D. Andrés de Castro: en lá compañía Italiana primer Teniente al segundo Teniente D. Cárlos Morí-; para esta resulta al Alférez D. Antonio de Gregorio; para la de Alférez al Exento D. Joseph Marazzani</t>
  </si>
  <si>
    <t>de Castro, Domingo</t>
  </si>
  <si>
    <t>Domingo de Castro</t>
  </si>
  <si>
    <t>ne], D. Bruno Barrera); y ha nombrado Capellán del tercer batallón del de Guadalaxara al presbítero D. Domingo de Castro. También en el regimiento de caballería del Príncipe se ha servido S. M, promover á Sargento mayor al Capitán del de caballería de España D. Félix Zurbano: en el de Oalatrava á Al</t>
  </si>
  <si>
    <t>de Castro, Joseph</t>
  </si>
  <si>
    <t>Joseph de Castro</t>
  </si>
  <si>
    <t>en el citado de Borfeon á Alférez al Portaestandarte D. Andrés Ramos, y á esta resulta al Sargento Don Joseph de Castro : e» el de Farnesio á Ayudante al primer Teniente Don Gerónimo Riglós: ért el de España á Alférez al Portaestandarte D. Andrés Nieto, y á PórtaeMndarté ^ Cadete deí de Farnesici D</t>
  </si>
  <si>
    <t>M. á Judo Teniente ai Alférez D. Antonio Vaienzu-.h : en el de boreon a Afférez al Portaestandarte D. Joseph de Castro; y a esta resulta a. Sargen^ carabineros D. Pedro Menor: en el de España a CaP*t'Jn í* P''™er Teniente de carabineros D.'Miguel San Juan ; y en el de caballería de VoInnHos de Esp</t>
  </si>
  <si>
    <t>de Castro, Juan</t>
  </si>
  <si>
    <t>Juan de Castro</t>
  </si>
  <si>
    <t>os,,..,..... 38* 4* Juan de Castro,... Manuel.,,.,..., Raltasara Antoiin. VillaUmbrales Palencia......... 95- *4- Joseph Cabo........ Juan............ . Andrea Janero..... Mátelo.,.,...... Santiago</t>
  </si>
  <si>
    <t>de Castro, Julián</t>
  </si>
  <si>
    <t>Julián de Castro</t>
  </si>
  <si>
    <t>cisco Sagui: en el de Numancia á Teniente Coronel al Comandante de esquadren , graduado de Coronel, D. Julián de Castro; y en el de Lusitania á Ayudante al Teniente de granaderos, graduado ae Capitán, D. Isidoro Morcillo: habiéndose servido también nombrar S. M. Capellán del tercer batallop del de</t>
  </si>
  <si>
    <t>de Caumont, Carlos</t>
  </si>
  <si>
    <t>Carlos de Caumont</t>
  </si>
  <si>
    <t>e; á primer Teniente al segundo cíe granaderos D. Joseph Várela; á esta resulta al segundo Teniente D. Carlos de Caumont; á segundo Teniente al primer Subteniente'D. Agustín Ponzerot; á Subtenientes de granaderos á los primeros Subtenientes D. Bernardo Alvarez, D. Blas Alvarez y D. Joseph Aguado y O</t>
  </si>
  <si>
    <t>de Cea y Junguito, Antonio</t>
  </si>
  <si>
    <t>Antonio de Cea y Junguito</t>
  </si>
  <si>
    <t>clase y cuerpo D. Ramón Maroto: en el de Truxillo la Tenencia de cazadores al Teniente de fusileros D. Antonio de Cea y Junguito; su resulta al Subteniente de granaderos D. Diego Antonio Figueroa; la de este al Subteniente D. Joseph Martínez Henao, y una Subtenencia de bandera á D. Juan Chrisóstomo Ruiz Ama</t>
  </si>
  <si>
    <t>de Ceiaya, Juan Joseph</t>
  </si>
  <si>
    <t>Juan Joseph de Ceiaya</t>
  </si>
  <si>
    <t>Nicaragua, va-** cante por traslación de D. Pedro Albino Mexiá á la Chantría de la do Coimyagua., á D. Juan Joseph de Ceiaya , Cura Vicario del partido de San Juan de Ojojona, en dicha diócesis ; y para una Ración do la metropolitana de Manila, yacante por promoción de D. Manuel Francisco Tubil á la Can</t>
  </si>
  <si>
    <t>de Celaya y Ordules, Joseph</t>
  </si>
  <si>
    <t>Joseph de Celaya y Ordules</t>
  </si>
  <si>
    <t>granaderos; esta resultad! Subteniente de fusileros Dé Antonio Naryaez,y Sttbtetienciade batidera i D. Joseph de Celaya y Ordules : en el de Badajoz Tenencia de fusileros i P. Joseph Hernández de Tejada, Teniente agregado ál propio;cuerpo: en el de Santiago Tenencia de fusileros á D. Severo Cardesid » Subten</t>
  </si>
  <si>
    <t>de Cepeda, Francisco</t>
  </si>
  <si>
    <t>Francisco de Cepeda</t>
  </si>
  <si>
    <t>seph de Lila F antoni y Don Juan de Escovedo y Torres, y á primer Teniente al segundo de granaderos D. Francisco de Cepeda. En el de Reales Guardias Walonas á segundos Tenientes de granaderos á los de fusileros D. Alberto de Rocheneuve* D. Domingo Dublaisel y D. Felipe de Miquel y Bloadel; y a segundo</t>
  </si>
  <si>
    <t>de Céspedes, Francisco</t>
  </si>
  <si>
    <t>Francisco de Céspedes</t>
  </si>
  <si>
    <t>a servido promover el Rey* en el regimiento de caballería del Príncipe á Alférez al Portaestandarte D. Francisco de Céspedes; y á Portaestandartes al Sargento D. Agustín Sastre , y al Cadete del de caballería de la Costa de Granada D. Antonio 4-lvarez: en el de Borbon á Alférez al Portaestandarte D. Fra</t>
  </si>
  <si>
    <t>de Céspedes, Joseph</t>
  </si>
  <si>
    <t>Joseph de Céspedes</t>
  </si>
  <si>
    <t>ortaestandarte D* Antonio Avelían, y á Portaestandartes al Sargento. D. Marcos González y al Cadete D. Joseph dé Céspedes ; en el dé España á Portaestandarte al Cadete D. Juan Cruz de Uzirbe: en el de Aígarbe á Alférez al Portaestandarte D. Narciso Manresa,' y á esta resulta al Cadete Di. Manuel Mira</t>
  </si>
  <si>
    <t>de Champañac, Pedro</t>
  </si>
  <si>
    <t>Pedro de Champañac</t>
  </si>
  <si>
    <t>; á primeros Subtenientes á los segundos D. Luis Ancelin de San Quintín, í)oa Luis de la Masiliere, D. Pedro de Champañac y D. Luis de Gazan, y i segundos Subtenientes al Sargento primero D. Joseph Cedilio, y á los Cadetec D. Jorge Baregcs, D. Juan Gautier y D. Carlos de Thesan; y ht</t>
  </si>
  <si>
    <t>de Chaubron, Henrique</t>
  </si>
  <si>
    <t>Henrique de Chaubron</t>
  </si>
  <si>
    <t>ros al de fusileros D. Carlos Renaldo de San Christóbal; á primer Teniente al segundo de granaderos D. Henrique de Chaubron; á segundo Teniente de granaderos al de fusileros D. Joseph de Pierrefeu; á segundos Tenientes al Subteniente de granaderos D. Juan Pedro Payre, y á los primeros Subtenientes D. L</t>
  </si>
  <si>
    <t>de Chauveron, Henrique</t>
  </si>
  <si>
    <t>Henrique de Chauveron</t>
  </si>
  <si>
    <t>e al segundo de granaderos D. Agustín Castelmaure; á segundo Teniente de granaderos al de fusileros D. Henrique de Chauveron; á primeros Subtenientes á los segundos D. Joseph Campunot y D. Luis de Solan, y á segundos Subtenientes i los Cadetes D. Carlos y D. Francisco de Massia. S. M. se ha servido nomb</t>
  </si>
  <si>
    <t>de Cifuentes, Manuel</t>
  </si>
  <si>
    <t>Manuel de Cifuentes</t>
  </si>
  <si>
    <t>para otra Ración de la de Zamora, vacante por ascenso de D. Rafael Ore a una Canon, ía de Burgos, á D. Manuel de Cifuentes, Cun párroco de C astañeda, diócesis de Salamanca: para el Beneficio que obtenía D. Jos&lt;.ph de Roxas en S. Lúcar di Barrameda,.diócesis de Sevilla , á D. Vicente Paino y Barriga:</t>
  </si>
  <si>
    <t>de Cobentze, Felipe (conde)</t>
  </si>
  <si>
    <t>Conde Felipe de Cobentze</t>
  </si>
  <si>
    <t>se hallaban los individuos del cuerpo diplomático, incluso el Ernbaxador de Rusia. j\J o tardará el Conde Felipe de Cobentze! en ir á servir la etnbaxada dé París. Conserva la pensión que gozaba de i80 florines: lleva 72© de sueldo, 10® para gastos de vi*ge, y 5°$ para poner casa.^ El día 291 s'é hizo e</t>
  </si>
  <si>
    <t>de Cobentzed, Felipe (conde)</t>
  </si>
  <si>
    <t>Conde Felipe de Cobentzed</t>
  </si>
  <si>
    <t>o. En la última audiencia que el primer Cónsul dio á los Embaxadores ex-trangeros fué presentado el Conde Felipe de Cobentzed como Embaxador de S. M. I. R. A., y entregó sus credenciales. Asimismo ¿el Erhbaxador de España presentó al caballero Normaride, Enviado que ha sido de S. M. Católica en Dinamarca</t>
  </si>
  <si>
    <t>de Cobentzel, Felipe (conde)</t>
  </si>
  <si>
    <t>Conde Felipe de Cobentzel</t>
  </si>
  <si>
    <t>e Te Daim en acción de gracias por la paz, al qual asi*tirá toda la. corte. Ha nombrado S. M. I. al Conde Felipe de Cobentzel, primo del Conde del mismo título que está en París, para su Ministro cerca de la República francesa. Ratisbona ij de Julio. N ingun vocal de la Dieta ha recibido hasta ahora inst</t>
  </si>
  <si>
    <t>de Cobentzel, Luis (conde)</t>
  </si>
  <si>
    <t>Conde Luis de Cobentzel</t>
  </si>
  <si>
    <t>mbres mandados por uno de sus A gas. . Viena 23 de Setiembre. H a vuelto d Francia i esta capital A Conde Luis de Cobentzel, y al día siguiente de su llegada tuvo audiencia del Emperador. No tardará en exerccr lis funciones de sus empleos de V ice- Canciller, y de Director del despacho de negocios extr</t>
  </si>
  <si>
    <t>de Coca, Felipe Antonio</t>
  </si>
  <si>
    <t>Felipe Antonio de Coca</t>
  </si>
  <si>
    <t>añar» •que vale i ooo taros: de vino al año. Quien* quisiere pretenderla, d jrigirásui memoriales í D. Felipe Antonio de Coca, Escribano de ay untamiemode dkhi •viila; dentro del términmda30 diaisJ ^ ^ - •,« ns&gt; vi’ -ti: y t . Los. subscriptores al Compendiorde los i libros históricos deyla santaBiblia,</t>
  </si>
  <si>
    <t>de Contreras, Pedro Joseph</t>
  </si>
  <si>
    <t>Pedro Joseph de Contreras</t>
  </si>
  <si>
    <t>lla de Coria» en la diócesis do Sevilla, vacante por fallecimiento de D. Diego Moreno de Aguilar, á D. Pedro Joseph de Contreras. En la Real brigada de Carabineros ha nombrado el Rey Alférez al Sargento de la misma D. Pedro Serrano. En el regimiento de infantería de Jaén se ha servido promover el Rey á segu</t>
  </si>
  <si>
    <t>de Córdoba y Verde, Juan</t>
  </si>
  <si>
    <t>Juan de Córdoba y Verde</t>
  </si>
  <si>
    <t>este año, sus memoriales, con expresión de sus calidades y circunstancias, vecindad ó naturaleza, á D. Juan de Córdoba y Verde, uno de dichos Regidores y patronos : previniendo que pasado dicho término se procederá á la elección entre las pretendientas. Almanak mercantil, ó Guia de comerciantes para el af</t>
  </si>
  <si>
    <t>de Córdoba, Joseph</t>
  </si>
  <si>
    <t>Joseph de Córdoba</t>
  </si>
  <si>
    <t>te' ai segundo dé gíánáderos DrMigUelViriles ; á'ífcs^ gundo Teniente de granaderos al de fusileros D. Joseph de Córdoba; á segundo Teniente al Subteniente de granaderos D. Francisco Péréz ; á Subteniente de grabad¿rorni primer' SúbtétiieíítéTL'Marinó Martínez; á pri-" iffef Subteniente' al ségühdó'</t>
  </si>
  <si>
    <t>de Corral, Ignacio</t>
  </si>
  <si>
    <t>Ignacio de Corral</t>
  </si>
  <si>
    <t>lo ó palacio do» esta ciudad al de Reschiktasch, en ef qual pasará parte del verano. *„ Efcaballero D. Ignacio de Corral,?Ministro de España, llegó aquí el 17 de este mes: hizo.su viage por Varna, atravesando el mar Negro en Bujukdere. Trae presentes de gran precio para S. A. Se propone pasar el ver</t>
  </si>
  <si>
    <t>andes preparativos de defensa para oponerse á un desembarco de los franceses en Morea. El caballero D. Ignacio de Corral tuvo el dia 9.SU audiencia del Kaymacan, y poco después habrá sido presentado al Gran Señor, . i El Teniente Coronel de ingenieros Mancini, que dirigió lá construcción del castill</t>
  </si>
  <si>
    <t>de Corral, Ignacio María</t>
  </si>
  <si>
    <t>Ignacio María de Corral</t>
  </si>
  <si>
    <t>mismo el armamento de Hungría, y disolverle# El dia 6 salió de aquí para Constantinopla el Exc. Sr. D. Ignacio María de Corral , Ministro plenipotenciario de S. M. Católica cerca de la Puerta Otomana. El Lord Minto, Ministro de Inglaterra en esta corte, ha obtenido su retiró, y no tardará en restituirse á</t>
  </si>
  <si>
    <t>de Cosío y Tcran, Diego</t>
  </si>
  <si>
    <t>Diego de Cosío y Tcran</t>
  </si>
  <si>
    <t>iería de VáiladoHd, vacante por haber pisado D. Diego Joseph de Salazar á la de lo civil de ella, á D. Diego de Cosío y Tcran. La Religión de la Merced celebró capítulo general en la dudad de •Toledo el dia 17 del corriente, y salió electo General de toda la Orden el Rmo. P. Mtro. Fr. Demingo Fabr gat, n</t>
  </si>
  <si>
    <t>de Courten, Alonso</t>
  </si>
  <si>
    <t>Alonso de Courten</t>
  </si>
  <si>
    <t>&lt;Jc Capitán al Ayudante mas antiguo del de Suizos de Coarten D. Alonso de Courten; habiendo-nombrado también S. M. Capellán del citado regíaliento de-la Princesa al presbítero D. Antonio Bemadal. .En América, En el batallón de infantería fixo de Veracruz se ha</t>
  </si>
  <si>
    <t>de Cova, Ramón</t>
  </si>
  <si>
    <t>Ramón de Cova</t>
  </si>
  <si>
    <t>te graduado de Capitán D. Pedro Muñoz: en el de Numanciaá Capitán al Ayudante, graduado de Capitán ,D. Ramón de Cova: y asimismo ha conferido S. M. en el de Pavía el empleo de Alférez á D. Joseph Montero, Sargento de la Real brigada de Carabineros. En América, S. ha concedido en el Reyno de Nuev</t>
  </si>
  <si>
    <t>de Cqbehtzel, Luis (conde)</t>
  </si>
  <si>
    <t>Conde Luis de Cqbehtzel</t>
  </si>
  <si>
    <t>a, va a Constantinopla, en donde residirá como Ministro interino de U8U’Ena'breve se espera aquí al Conde Luis de Cqbehtzel, que vuelve de - París. V ai ciud. Champagni, Ministro de Fraílela. El comandante de Semlin avisa que Baswan-Oglow no ha tenido parte en la insurrección de los genízaros de Betoad</t>
  </si>
  <si>
    <t>de Cruz, Antonio</t>
  </si>
  <si>
    <t>Antonio de Cruz</t>
  </si>
  <si>
    <t>a.......... a&lt;5. 6. Antonio de Cruz., Antonio......... María de Lago.... Perillo..... .... Miraflores....... 38. 4. Juan de la Torre. Manuel.......... Francisca Mendez.S. Salvador de . ..</t>
  </si>
  <si>
    <t>de Cuéllar, Joachín</t>
  </si>
  <si>
    <t>Joachín de Cuéllar</t>
  </si>
  <si>
    <t>ompañía Flamenca de Reales Guardias de Corps lia nombrado el Rey Exento de número al supernumerario D. Joachín de Cuéllar; y por Exento supernumerario al Brigadier de ella D. Julián Brethous: para el empleo de Brigadier al Subrigadier O. Pedro Ferrer : para esta resulta al Cadete D. Maximiliano Vande</t>
  </si>
  <si>
    <t>de Dominicis, Joseph</t>
  </si>
  <si>
    <t>Joseph de Dominicis</t>
  </si>
  <si>
    <t>ente á la marina Real de España, armado con ocho cañones de á 4, y mandado por el Teniente de navio D. Joseph de Dominicis: conducía apresada una corbeta inglesa nombrada el Paquebot de Ñapóles, de porte de doce cañones de á 6 y dos obuses. con. 9 5 hombres. La mandaba el Capitán Guillermo Ball: encon</t>
  </si>
  <si>
    <t>de Dueñas, Antonio</t>
  </si>
  <si>
    <t>Antonio de Dueñas</t>
  </si>
  <si>
    <t>nacio Hernández ;dq.Padilla, vepinp de Alicante, remitió por el correo jel ai de Diciembre último í D. Antonio de Dueñas, contador principal de Jas rentas dei Exc. Sr. Duque de Medinaccli , residente en Valencia, un pliego que cor.tenia varias diligencias judiciales ; y .mediante haberse extraviado</t>
  </si>
  <si>
    <t>de Echepare, Fernando</t>
  </si>
  <si>
    <t>Fernando de Echepare</t>
  </si>
  <si>
    <t>á los comisionados siguientes: En Alicante.......... D. Juan Casou y compañía. En Avila........... D. Fernando de Echepare. En Badajoz.......... D. Manuel de Ja Peña. En Barcelona....... D. Ramón de Llordella é hijo. En Burgos............. D. Andrés Frayle. En Cádiz..............D. Benito de la Piedra</t>
  </si>
  <si>
    <t>de Echepáre, Fernando</t>
  </si>
  <si>
    <t>Fernando de Echepáre</t>
  </si>
  <si>
    <t>7^9 En Avila........... . D. Fernando de Echepáre. En Badajoz.......... D. Manuel de la Peña. En Barcelona....... D. Ramón de L tordella é hijo. En Búrgos............ D. Andrés Frayle. En Cádiz.............. D. Benito de la Piedr</t>
  </si>
  <si>
    <t>os comisionados siguientes. En Alicante......... . D. Juan Casou y compañía. En Avilan............. D. Fernando de Echepare. En Badajoz........... D. Manuel de la Peña. : En Barcelona____D. Ramón de Llordella é hijo. En Burgos........... I). Andrés Frayle. En Cádiz............... D. Benito de la Piedra</t>
  </si>
  <si>
    <t>comisionados siguientes. En Alicante........... D. Juan Casou y compañía. En Avila................ D. Fernando de Echepare. En Badajoz........... D. Manuel de la Peña. En Barcelona....... D. Ramón de Llordella é hijo. En Burgos.......... D. Andrés Fray le. En Cádiz...............D. Benito de la Piedra</t>
  </si>
  <si>
    <t>de Echevarría y Maortua, Francisco</t>
  </si>
  <si>
    <t>Francisco de Echevarría y Maortua</t>
  </si>
  <si>
    <t>á la calle del Puerto , mím. é(5, y preguntarán por D. Joseph Nicolás Ramírez, ó los a Iba ceas de D. Francisco de Echevarría y Maortua,que tienen que comunicarles asuntos que importan mucho á la misma Doña Teresa ó sus herederos. Casimiri Gomezii Ortegae , ¿Botan". professoris., Pharmacop. «t B/hdici Regíi •Hóndr</t>
  </si>
  <si>
    <t>de Edelheim, Barón</t>
  </si>
  <si>
    <t>Barón de Edelheim</t>
  </si>
  <si>
    <t>en Carlsruhe entre el ciud. M--ssias, Encargado' 'de ^Negocios de Francia, y el Barón de Edelheim, Ministro de Estado dfel Margrave. ."Francfort &lt;) de Setiembre. - ; S e está disponiendo aquí la casa de la orden Teutónica, en que ha de alo- jarse el Archiduque Carlos qu- ndo llegue á es</t>
  </si>
  <si>
    <t>de Egma y Valiese, Francisco</t>
  </si>
  <si>
    <t>Francisco de Egma y Valiese</t>
  </si>
  <si>
    <t>de bandera al Sargento primero D. Agustín López y al Gdi t dtl regimiento de infantería de Navarra D. Francisco de Egma y Valiese,, I.mbien ha concedido S. M. Subtenencia en el regmuenio de granaderos voluntarios de Estado á D. Antonio Rico V.llademorps, Subteniente ae. provincial de Avila; y la Capellanía d</t>
  </si>
  <si>
    <t>de Ehrensverd, Barón</t>
  </si>
  <si>
    <t>Barón de Ehrensverd</t>
  </si>
  <si>
    <t>ecibido la noticia de haberse entreg ido M ita á los ingleses. Antes de ayer el Barón de Ehrensverd , Ministro extraordinario de Suecia, llegó aquí encargado por su corte de hacer representaciones á S. M. sobre la tropelía que algunas naves de la marina Real británica cometieron con un buq</t>
  </si>
  <si>
    <t>de Eliza, Joseph</t>
  </si>
  <si>
    <t>Joseph de Eliza</t>
  </si>
  <si>
    <t>y promover á segundos Subtenientes £ los Cadetes D. Juan y Dí Agustín López, D. Joseph Juan Valdes, D. Joseph de Eliza, D. Ramón Aymerich y Don Ramón Santinelly, y á los Sargentos primeros D. Joseph Madera y D. Joseph Nin: en el d© Granada á segundo Teniente al primer Subteniente D. F rancisco Lob</t>
  </si>
  <si>
    <t>de Elizalde, Joseph</t>
  </si>
  <si>
    <t>Joseph de Elizalde</t>
  </si>
  <si>
    <t>y D. Luis Manuel Zamora, Subtenientes del de Navarra, á D. Antonio Venancio Xarreño del de León, á D. Joseph de Elizalde y D. Francisco Sánchez de la Peña del de Granada, á D.Policarpo de Frias del de España, á D. Jacinto Ruis del fixo de Ceuta, y á D. Vicente Ferreri del de Ñapóles. En el regimiento pr</t>
  </si>
  <si>
    <t>de Elzaurdi, Manuel Antonio</t>
  </si>
  <si>
    <t>Manuel Antonio de Elzaurdi</t>
  </si>
  <si>
    <t>Real... D. Ramón AntonioTico. En Córdoba........... Sres. Barcia padre é hijo. En la Coruña........ D. Manuel Antonio de Elzaurdi. En Cuenca............. D. Manuel Escolar y Noriega. En Granada......... D. Francisco de Unzaga. jEn Guadalaxara.. D. Isidoro García Plaza. En Jaén.................D. Pedro Espone</t>
  </si>
  <si>
    <t>al... D. Ramón Antonio Pico. En Córdoba............Sres. Barcia padre é hijo. En la Cor uña........ D. Manuel Antonio de Elzaurdi. En Cuenca... ......... D. Manuel Escolar y Noriega. En Granada......... D. Francisco de Uñzaga. En Guadalaxara.. D. Isidoro García Plaza. E11 Jaén.................D. Pedro Espone</t>
  </si>
  <si>
    <t>eal... D. Ramón Antonio Pico. En Córdoba........... Sres. Barcia padre é hijo. En la Coruña........ D. Manuel Antonio de Elzaurdi. En Cuenca............ . D. Manuel Escolar y Noriéga. En Granada........ D. Francisco de Unzaga. En Guadalaxara.. D. Isidoro García Plaza. En Jaén.................. t&gt;. Pedro Espo</t>
  </si>
  <si>
    <t>de Errea, Antonio</t>
  </si>
  <si>
    <t>Antonio de Errea</t>
  </si>
  <si>
    <t>illa de San Felices de los Gallegos, en la diócesis de Ciudad-Rodrigo, vacante por fallecimiento de D. Antonio de Errea, á D. Antonio Sánchez Notario. f). Alexandro de Coupigní y D. Agustín de Zurita y Adorno, este graduado de Teniente Coronel; y á segundos Tenientes á los Alféreces Don Manuel Marí</t>
  </si>
  <si>
    <t>de Escartin, Francisco Antonio</t>
  </si>
  <si>
    <t>Francisco Antonio de Escartin</t>
  </si>
  <si>
    <t>”: traducidas en español y dedicadas al Iimo^ Sr. D. Antonio Palafox y Croy , Obispo de Cuenca, por D. Francisco Antonio de Escartin : tomos i.° y a.°; de los Ensayos. Se hallarán en el despachóle la imprenta Real, y en la librería de Escantilla, frente á las gradas de S* Felipe, á xa rs. cada tomo en rústica y</t>
  </si>
  <si>
    <t>de Escoiquiz, Juan</t>
  </si>
  <si>
    <t>Juan de Escoiquiz</t>
  </si>
  <si>
    <t>apapel, y 10 en pasta. Su autor D. Joseph Iberti. Discurso sobre las ventajas que puede ducidos por D. Juan de Escoiquiz. conseguir la industria de Aragón con la Noticia instructiva del uso y operaciones nueva ampliación de puertos. Un tomo en 4.* de la lana para muchos y diversos texidos. marquilla</t>
  </si>
  <si>
    <t>selectas de Eduardo Youiig , tra­ 4 tomos en 8.0 á 58 rs. en pasta, 48 en rúsducidas del ingles por D. Juan de Escoiquiz: tica , y 44 en papel. dosítomos en 8.° regular , á 26 rs. en pasta. Colección de Saynetes de D. Ramón de la Tratado de Matemáticas para instruc­ Cruz: tomos §.° hasta el 10 inclu</t>
  </si>
  <si>
    <t>de Escovedo y Torres, Juan</t>
  </si>
  <si>
    <t>Juan de Escovedo y Torres</t>
  </si>
  <si>
    <t>aoiz; a Comandantes de granaderos y cazadores á los primeros Tenientes D. Joseph de Lila F antoni y Don Juan de Escovedo y Torres, y á primer Teniente al segundo de granaderos D. Francisco de Cepeda. En el de Reales Guardias Walonas á segundos Tenientes de granaderos á los de fusileros D. Alberto de Rocheneu</t>
  </si>
  <si>
    <t>de España, Juan</t>
  </si>
  <si>
    <t>Juan de España</t>
  </si>
  <si>
    <t>e al Subteniente de granaderos D. Joseph Lagarda; á Subteniente de granaderos al primer Subteniente D. Juan de España; á primer Subteniente al segundo D. Pedro Arcicolla ; y á segundo Subteniente al Cadete D. Joseph Salinas y Gutiérrez: en el de León á segundo Teniente al Subteniente de granadero</t>
  </si>
  <si>
    <t>de Espina, Joseph</t>
  </si>
  <si>
    <t>Joseph de Espina</t>
  </si>
  <si>
    <t>e» Coroneles. El Rey se ha servido'conferir Compañía en e! regimiento de dragone* de Buenos Ayrés á D. Joseph de Espina, Teniente de Fragata de la Real Armada. El Consejo, á consulta de la Com’síon gubernativa de consolidación de Vales, y con aprobación de S. M. , ha resuelto ia trigésima amortizac</t>
  </si>
  <si>
    <t>de Espinosa, Antonio</t>
  </si>
  <si>
    <t>Antonio de Espinosa</t>
  </si>
  <si>
    <t>En atención á los méritos y aptitud de D. Antonio de Espinosa, Contador de la provincia de Avila, se ha servido el Rey promoverle á Contador de Propios y rentas de la de Extremadura, con los honores de Contador de "Exército. El dia 7 de Juni</t>
  </si>
  <si>
    <t>de Este, Santiago</t>
  </si>
  <si>
    <t>Santiago de Este</t>
  </si>
  <si>
    <t>21 7 prehenden 36,669 pies de sitio, tasadas en a.$09,639 rs. , acuda i la escribanía del cargo de D. Santiago de Este par. En el Juzgado del Alcalde del lagar de la Puebla Nueva se está procediendo £ la enagenacion de la parte que en la dehesa de S. Márcos de Sangrera, sita en aquel término, pert</t>
  </si>
  <si>
    <t>de Estremera, Jóachín</t>
  </si>
  <si>
    <t>Jóachín de Estremera</t>
  </si>
  <si>
    <t>. Joseph María Passano; y á Alféreces de granaderos á los do fusileros D. Liberato María de Víctor, Don Jóachín de Estremera y D. Nicolás Dusmet. En el de infantería de la Reyna á segundo Teniente al Subteniente de granaderos D. Joseph Urrea; y á esta resulta al primer Subteniente D. Juan Sayol: en el de Se</t>
  </si>
  <si>
    <t>de Ferscn, Conde</t>
  </si>
  <si>
    <t>Conde de Ferscn</t>
  </si>
  <si>
    <t>e han transferido ya para recibirles el primer Chambelán Barón de Roelamb, y el Conde de Ferscn , Ministro de Jo Interior. H. sta ahora no se sabe adonde se dirigen los Soberanos: unos aseguran que á Strifsund, otros creen que á Petersburgo. Una fragata inglesa nombrada Eoló encalló ce</t>
  </si>
  <si>
    <t>de Figueroa, Bartolomé</t>
  </si>
  <si>
    <t>Bartolomé de Figueroa</t>
  </si>
  <si>
    <t>nte de esquadron en el de Milicias urbanas de dragones de Quispicanchi al Teniente Coronel agregado D. Bartolomé de Figueroa: igual ascenso en el dé Arica al Sargento mayor D. Joseph Lino Portocarrero; sus resultas al Capitán D. Felipe Portocarrero; empleo de Alférez de granaderos al de fusileros D. Nic</t>
  </si>
  <si>
    <t>de Flores, Francisco Fernando</t>
  </si>
  <si>
    <t>Francisco Fernando de Flores</t>
  </si>
  <si>
    <t>ficios, y á las educandas de dichas qiiatro escuelas; y en seguida leyó el elogio del Rey Ntro. Sr. D. Francisco Fernando de Flores, Capellán de honor y Predicador de S. M., y el de la Rey na Ntra. Sra. la Excma. Sra. Condesa de Castroterreño, habiendo merecido ambos el aprecio de la junta. Asistió á ella el I</t>
  </si>
  <si>
    <t>de Fóndevila y Guerra, Xavier</t>
  </si>
  <si>
    <t>Xavier de Fóndevila y Guerra</t>
  </si>
  <si>
    <t>cación' de sus créditos* El 5 de Enero último falleció en esta corte á los 7 r años de edad éf “Se. D. Xavier de Fóndevila y Guerra, caballero pensionado de la Real -distinguida órdeu de Carlos im, habiendo servido á S* M. 47 años; los 13</t>
  </si>
  <si>
    <t>de Francia, Francisco</t>
  </si>
  <si>
    <t>Francisco de Francia</t>
  </si>
  <si>
    <t>mpo de • encallarse el navio ingles , visto del campo de S. Roque : dibuxada con toda exactitud por D. Francisco de Francia , y grabada en Málaga por Doña Isabel Ramírez. Véndese en la librería de Escribano , calle de las Carretas, y en la de .Perez y compañía, calle ¡de los Preciados , frente á las •t</t>
  </si>
  <si>
    <t>de Francia, Juan</t>
  </si>
  <si>
    <t>Juan de Francia</t>
  </si>
  <si>
    <t>aña á Capitán al primer 1 emente de granaderos D. Juan de Valen zada; á Ayudante al primer. remente D. Juan de Francia*; a primer Teniente de granaderos al de^ fusileros D. Juan Tuuty, a primeros Tenientes á ios segundos de granaderos D. Cayetano a a y</t>
  </si>
  <si>
    <t>de Frías, Diego</t>
  </si>
  <si>
    <t>Diego de Frías</t>
  </si>
  <si>
    <t>encia de Sta. Fe, vacante por ascenso á la de lo civil de la misma de D. Manuel Mariano de Blaya, á D. Diego de Frías. S. M. á consulta del Real y supremo Consejo de Castilla se ha servido conceder á la villa de Chucena, provincia de Sevilla, la facultad de que pueda celebrar feria en los dias 14</t>
  </si>
  <si>
    <t>de Fuentes, Miguel</t>
  </si>
  <si>
    <t>Miguel de Fuentes</t>
  </si>
  <si>
    <t>á Subteniente de granaderos al primer Subteniente D. Estéban Mexía; á primer Subteniente al segundo D. Miguel de Fuentes, y á segundos Subtenientes al Cadete D. Francisco Martin Patino, y al Sargento primero de granaderos D. Francisco Fernandez: en el de Borbon á primer Subteniente al segundo D. Ped</t>
  </si>
  <si>
    <t>de Funes y Ulloa, Ignacio María</t>
  </si>
  <si>
    <t>Ignacio María de Funes y Ulloa</t>
  </si>
  <si>
    <t>s Antonio Romero y Varldés; y pa/a la de Totana y Aíedo, en él Rey no de Murcia, de tercera dase, á D. Ignacio María de Funes y Ulloa, ámbas en el territorio de ;la orden de Santiago, Igualmente se ha servido el Rey conceder á D. J^sepli Espigues y Martí , vecino de la villa de Aguílente, Reyno de Valencia, títu</t>
  </si>
  <si>
    <t>de Galli, Joseph</t>
  </si>
  <si>
    <t>Joseph de Galli</t>
  </si>
  <si>
    <t>de Galli: para el Beneficio que este obtiene,"y resultará vacante en dicha iglesia metropolitana, á D, Joseph de Galli;"y para otro Beneficio de la parroquial de Zufre, en el arzobispado de Sevilla, vacante por la promoción de D. Christobal Pascasio Ortuño á la Dignidad .de Maestrescuela de la cat</t>
  </si>
  <si>
    <t>de Galli, Rafael</t>
  </si>
  <si>
    <t>Rafael de Galli</t>
  </si>
  <si>
    <t>para una Ración de la metropolitana de Tarragona, vacante pon fallecimiento de D. Joseph Bertrán, á D. Rafael de Galli: para el Beneficio que este obtiene,"y resultará vacante en dicha iglesia metropolitana, á D, Joseph de Galli;"y para otro Beneficio de la parroquial de Zufre, en el arzobispado d</t>
  </si>
  <si>
    <t>de Gamez, Manuel</t>
  </si>
  <si>
    <t>Manuel de Gamez</t>
  </si>
  <si>
    <t>ía del número de la catedral de Guadix, vacante por fallecimiento de D. Francisco Perez Barradas, i D. Manuel de Gamez , Vicario perpetuo en la parroquia de Pedro Martínez, de aquel obispado ; y para el Beneficio de la villa de Cañete la. Real, en la diócesis de Sevilla, vacante por muerte de D. J</t>
  </si>
  <si>
    <t>de Gamiz, Antonio</t>
  </si>
  <si>
    <t>Antonio de Gamiz</t>
  </si>
  <si>
    <t>es de bandera á D» Joseph Domínguez Gil y D. Pedro Ico-doro Eringes. El Rey se ha servido nombrar á D. Antonio de Gamiz, Oiicial mayor primero de la Secretaría de Estado y del despacho de Marina, para Ja plaza;</t>
  </si>
  <si>
    <t>de Gamposjy, Salvador</t>
  </si>
  <si>
    <t>Salvador de Gamposjy</t>
  </si>
  <si>
    <t>pitán D. Joseph María de Crespo, Sargento íxuyor de la plaza de Jaca : para esta resulta al Capítan D. Salvador de Gamposjy para la del fuerte de la Concepción, que este dexa, al Capitán D. Christóbai Martinez, primer Teniente del regimiento de infantería dei Rey. En América. En el Tribunal de cuentas</t>
  </si>
  <si>
    <t>de Garro, Joseph</t>
  </si>
  <si>
    <t>Joseph de Garro</t>
  </si>
  <si>
    <t>domo pérteneciente á la memoria que para dotar huérfanas parientas pobres mandó fundar el Exc. Sr. D. Joseph de Garro, una casa sita en la correféra de S. Pabló de esta corte, núm. »z, manz. 449 , qua coro prehendí; de si ti¡9 548Ó píds j y «stS tasada en 101^073! m Quien quisiere hacer postura á</t>
  </si>
  <si>
    <t>22 , manz. 449, perteneciente á la memoria que para dotar parientas pobres mandó fundar el Exc. Sr. D. Joseph de Garro, que tiene «485 pies de sitio, y está tasada en 101,073} rs- &gt; s* ha sefialado el dia 8 de este mes á las x 1 de su mañana en la audiencia del Sr. D. Manuel Perez de Rozas, del Co</t>
  </si>
  <si>
    <t>rte , perteneciente á la memoria que para dotar huérfanas parientas pobres mandó fundar el Exc. Sr. D. Joseph de Garro , por no haber concurrido persona que hiciese postura á ella ; por auto que en el mismo dia proveyó el Sr. D. Manuel Perez de Rozas , del Consejo de S. M. , y Alcalde en su Real c</t>
  </si>
  <si>
    <t>de Gavancho, Ignacio Gerónimo</t>
  </si>
  <si>
    <t>Ignacio Gerónimo de Gavancho</t>
  </si>
  <si>
    <t>s pretendientes i esta plaza deberán poseer la lengua vascongada , y acudir por medió de memorial Í Don Ignacio Gerónimo de Gavancho, síndico procurador general de Bermeo , antes del dit 30 de Abril. * Se hace saber ú los suizos residentes en los dominios de España, y á los demas que tengan asuntos en Suiza , c</t>
  </si>
  <si>
    <t>de Gimbernat, Agustin</t>
  </si>
  <si>
    <t>Agustin de Gimbernat</t>
  </si>
  <si>
    <t>entro de un mes, que empezará 4 contarse desde el día de esta publicación, no han instruido á dicho D. Agustin de Gimbernat de la providencia que hubieren torneo para satisfacer inmediatarmente lo que cada uno de por sí adeudare, se procederá sin ninguna dilación á la expresada venta , para hacer derecho i l</t>
  </si>
  <si>
    <t>de Gimbernat, Carlos</t>
  </si>
  <si>
    <t>Carlos de Gimbernat</t>
  </si>
  <si>
    <t>la Union , para cortar el progresó de una calentura maligna y contagiosa j traducida del ingles por D. Cárlos de Gimbernat. Precede una introducción del traductor con útilísimas advertencias chimico-médicas para proceder con acierto en las fumigaciones que se proponen para extinguir los ipiasrnas pútr</t>
  </si>
  <si>
    <t>de Gimbgrnat, Antonio</t>
  </si>
  <si>
    <t>Antonio de Gimbgrnat</t>
  </si>
  <si>
    <t>quarto principal, y cura ú los pobres de limosna. Nuevo método de operar en la hernia crural , por D. Antonio de Gimbgrnat, Cirujano de Cámara de S. M., Director y fundador del Real colegio de cirugía médica de S. Carlos ; obra que contiene los descubrimientos de la mayor utilidad, y que han excitado</t>
  </si>
  <si>
    <t>de Godoy, Diego</t>
  </si>
  <si>
    <t>Diego de Godoy</t>
  </si>
  <si>
    <t>yo con la vanguardia y primera y quarta divisiones al mando de sus xefes el Marques de la Solana , Don Diego de Godoy y D. Francisco Xavier de Negrete, me dirigí á reconocer á Yelves y tomar posición cerca de él para sujetar su guarnición , encerrarla, y conocer su fuerza y resolución , dando tiempo</t>
  </si>
  <si>
    <t>de Goertz, Conde</t>
  </si>
  <si>
    <t>Conde de Goertz</t>
  </si>
  <si>
    <t>ia, qué hubo el dia 4 en casa del Ministro directorial de Maguncia, comunicó el Conde de Goertz, Ministro de S. M. Prusiana, las instrucciones que había recibido de su-Soberano, las quales dicen-suba</t>
  </si>
  <si>
    <t>cciones sobre el. particular; v entre tanto celebran muchas conferencias con el Conde de Goertz, Ministro de Prusia.</t>
  </si>
  <si>
    <t>de Gón- Veinte, Luis</t>
  </si>
  <si>
    <t>Luis de Gón- Veinte</t>
  </si>
  <si>
    <t>cueta , Pedro Chacón , D. Ber- quadernos de á 10 y ir cada uno , en 80 rs. nardino de Rebolledo , y D. Luis de Gón- Veinte y quatro estampas grabadas por las ora: 6.° D. Alonso Tostado, Luis Vives, pinturas qne Lucas Jordán hizo al. fresco en f K Diego Hurtado de Mendoza, D. Gerónimo de Zurita, D. Diego</t>
  </si>
  <si>
    <t>de Gorra, Ignacio</t>
  </si>
  <si>
    <t>Ignacio de Gorra</t>
  </si>
  <si>
    <t>RNES 23 DE OCTUBRE DE 1801. Constant inopia 26 de Agosto. E n la primera audiencia que el caballero D. Ignacio de Gorra.l, Ministro plenipotenciario de España, tuvo del Gran Señor, le acompañaban 14 personas de su comitiva. No se han recibido noticias de oficio sobre la continuación de las empresas</t>
  </si>
  <si>
    <t>de Gortázar y Varela, Ramón</t>
  </si>
  <si>
    <t>Ramón de Gortázar y Varela</t>
  </si>
  <si>
    <t>uerto de Béjar, en la diócesis de Piasencia, vacante por muerte de D. Gabriel Patricio Bertodano, á D. Ramón de Gortázar y Varela. En el regimiento de Reales Guardias Walonas se ha servido promover el Rey á segundo Teniente al Alférez D. Joseph María Passano; y á Alféreces de granaderos á los do fusileros D.</t>
  </si>
  <si>
    <t>de Goyeneche, Joachín</t>
  </si>
  <si>
    <t>Joachín de Goyeneche</t>
  </si>
  <si>
    <t>ete:,D. Joseph Escola :■ en el de las Ordenes Militares a .Sargento.seayor al Capitán de granaderos D. Joachin de Goyeneche ,, y á primer Teniente afGapítan de milicias de Sevilla D. Manuel de Vulnes : en el de granaderos Voluntarios de Estado al empleo de Coronel al Tenieiue GoroneLdel; de infantería</t>
  </si>
  <si>
    <t>de Gregorio, Antonio</t>
  </si>
  <si>
    <t>Antonio de Gregorio</t>
  </si>
  <si>
    <t>compañía Italiana primer Teniente al segundo Teniente D. Cárlos Morí-; para esta resulta al Alférez D. Antonio de Gregorio; para la de Alférez al Exento D. Joseph Marazzani; para el Bastón de numero, que esta de xa, al Exento su pernumeraTÍó^D. Francisco Roca; para Exento supernumerario al Brigadier d</t>
  </si>
  <si>
    <t>de GUetaraat, Agustín</t>
  </si>
  <si>
    <t>Agustín de GUetaraat</t>
  </si>
  <si>
    <t>Don Agustín de GUetaraat , cónsul de §* eo Francia, en los departamentos del norte y p»so de Calais, pone en noticia de las personas i quienes pudiere Interesar , que en tas almacenes y aduanas de Calais</t>
  </si>
  <si>
    <t>de Guevara Vasconcelos, Manuel</t>
  </si>
  <si>
    <t>Manuel de Guevara Vasconcelos</t>
  </si>
  <si>
    <t>a, Alférez de fragata de la Real armada. En atención á los méritos y distinguidas circunstancias de D. Manuel de Guevara Vasconcelos, Capitán general de la provincia de Venezuela, y Presidente de la Audiencia de Caracas, se ha servido S. M« concederle llave de Gentilhombre de Cámara con entrada. Eí Consejo á co</t>
  </si>
  <si>
    <t>de Guevara, Felipe</t>
  </si>
  <si>
    <t>Felipe de Guevara</t>
  </si>
  <si>
    <t>na en el despacho principal del diario á 31 rs. en rústica. Comentarios de la~pintura, que escribió D. Felipe de Guevara, Gentilhombre de boca que fué del Sr. Emperador Cárlos v, Rey de Espafia: publicados primera vez con un discurso preliminar y notas , por D. Antonio Ponz. Bsta preciosa obra, la p</t>
  </si>
  <si>
    <t>de GuyJlenborg, Conde</t>
  </si>
  <si>
    <t>Conde de GuyJlenborg</t>
  </si>
  <si>
    <t>ausentado de la c^pitrir Se asegura que poco ántes de su partida m.mdó S. M. al Conde de GuyJlenborg, Ministro de Justicia, sacase su testamento del tribunal de corte, en donde se había depositado recientemente. Ei día 2 se publico de oficio un tratado de amistad, comercio y navegación con</t>
  </si>
  <si>
    <t>de Guzm, Matías</t>
  </si>
  <si>
    <t>Matías de Guzm</t>
  </si>
  <si>
    <t>iente dé granaderos al de fusileros D. Joseph Fernandez; á primer Teniente ai segundo de granaderos D. Matías de Guzm *n; á esta resulta al segundo^ Teniente D. Joachin Armendáriz; á segundo Teniente al SubtfínieatedecgcaytderósD. Rafael Pizarro; k Subteniente de granaderos alíde; fusilerosifijiA</t>
  </si>
  <si>
    <t>de Guzman y Lecaroz, Ignacio</t>
  </si>
  <si>
    <t>Ignacio de Guzman y Lecaroz</t>
  </si>
  <si>
    <t>a plaza de Oidor, que este obtenía en dicha Chancillería de Granada, al Alcalde mas antiguo de ella D. Ignacio de Guzman y Lecaroz; y esta resulta á D. Ildefonso Crespo Manjon. - Ultimamente se ha servido S.M. nombrar para el Corregimiento deLetras déla ciudeíd de Toro á Joseph Joachín Fernandez de Ocampo: pa</t>
  </si>
  <si>
    <t>de Guzman, Ángel María</t>
  </si>
  <si>
    <t>Ángel María de Guzman</t>
  </si>
  <si>
    <t>ia: para el Medio Préstamo de ía villa de Rota, en la diócesis de Sevilla, vacante por promoción de Don Angel María de Guzman á una Ración de la metropolitana de la misma, á D. Juan Rodríguez: para una Capellanía deCoro titulada de S. Valerio, de la catedral: de Sigtenza ,¿vacante por muerte de D. Pedro</t>
  </si>
  <si>
    <t>de Haugwitz, Conde</t>
  </si>
  <si>
    <t>Conde de Haugwitz</t>
  </si>
  <si>
    <t>Ritzebutel , ha presentado - el Embaxádor británico en Berlín varios oficios al Conde de Haugwitz, Ministro de gabinete de Prusia. Este, en una de sus^ respuestas, incluye la mas formal seguridad de la amistad del Rey su amo á 5. M.-Británica:y añade, que como protector de la línea de d</t>
  </si>
  <si>
    <t>de allí se restituirán á Schwerin. ' h * ; i: "* ^ El 12 de éste mes entregó el Conde de Haugwitz, Ministro de gabiné-^ te de S. M. Prusiana, una nota a! LoVd CarisFord, Ministro británico, sobre el embargo puesto en Inglaterra én las embarcaciones dinamarquesas y'sue-f. cas. En ella di</t>
  </si>
  <si>
    <t>gundo secretario de embaxada. Antes de ayer tarde tuvo su primera audiencia del Conde de Haugwitz, Ministro de gabin te; y en breve será presentado á S. M. El ciud. Bordeaux, que residía aquí haciertdo veces de Encargado de Negocios de Holanda,está nombrado primer secretario de la nueva</t>
  </si>
  <si>
    <t>-» Berlín 9 de Junio* I intre Mr. de Rosencrantz, Enviado de S. M. Danesa, y el Conde de Haugwitz, Ministro de S. M. Prusiana, se cangráron el 31 de Mayo los actos y documentos relativos á la adhesión de ambas cortes al convenio de neutralidad firmido en Petersburgo el 16 de Diciembre.</t>
  </si>
  <si>
    <t>de Henestrosa, Juan</t>
  </si>
  <si>
    <t>Juan de Henestrosa</t>
  </si>
  <si>
    <t>eniente Coronel de este regimiento al Comandante de esqoadron del del Infante, graduado de Coronel, D. Juan de Henestrosa: en el mismo del Infante á Alférez al Portaestandarte D. Joseph Clairacy Tirado» y á.Por*</t>
  </si>
  <si>
    <t>de Hercilla, Alonso</t>
  </si>
  <si>
    <t>Alonso de Hercilla</t>
  </si>
  <si>
    <t>Terreras : 3." Hernan-Cortésy Garcilaso de Retrato -de Carlos V, grabado por Selma» la Vega , D. Alonso de Hercilla , D. Pedro en, .10 rs. Calderón de la Barca, Miguel de Cervantes Retrato de D. Rafael -Mengs, en 2 rs. Saavedra , y D. Joseph Patino : 4.0 D. Anto­ _ Veinte y ocho estampas de ret</t>
  </si>
  <si>
    <t>de Heredia y Vergara, Francisco</t>
  </si>
  <si>
    <t>Francisco de Heredia y Vergara</t>
  </si>
  <si>
    <t>rimera división de'Pardos Tiradores de Méridá en Yucatán , con el grado de Capitán de infantería, á D. Francisco de Heredia y Vergara, Ayudante de la Plana mayor de Blancos, agregada á la misma división. 7. Al Comandante general del exércitó de jAndalücía se le ha comunicado la Real orden siguiente: .'i. v.5'. *</t>
  </si>
  <si>
    <t>de Herrera, Joseph</t>
  </si>
  <si>
    <t>Joseph de Herrera</t>
  </si>
  <si>
    <t>Joseph de Jesús Paderes: últimamente á Subtenientes de bandera á los plísanos D. Lázaro de Herrera, D. Joseph de Herrera, D. Jo— seph Antonio Verastegui y D. Francisco González. El Rey ha nombrado para la plaza de Oficial segundo mayor de la Contaduría general de tabacos de Sta. Fe á D. Pantaleon de</t>
  </si>
  <si>
    <t>de Hesse, Carlos (príncipe)</t>
  </si>
  <si>
    <t>Príncipe Carlos de Hesse</t>
  </si>
  <si>
    <t>ánimemente'se acordó ceder á la fuerza por evitar mayores males. En vista de esto, y despües que el Príncipe Carlos de Hesse hizo al dia siguiente su intimación, reiterando solemnemente sus promesas á Ja diputación que salió á su encuentro, un cuerpo de sus tropas ocupó la puerta de'Miilern y parte de l</t>
  </si>
  <si>
    <t>ue ha adoptado de que la bandera neutral dexa libre ei cargamento, op* ■ - ú a Hamburgo j de Abril. Príncipe Carlos de Hesse ha renovado la solicitud de que el Senado mande:íeqüestrar todos los efectos pertenecientes á ingleses. Sin duda se verificará esta providencia, como se ha verificado la del embar</t>
  </si>
  <si>
    <t>m, Hamburgo i.° de Maya, H abiéndose concluido el término del convenio ajusfado,con.vel .Príncipe Carlos de Hesse para la manutención de tas tropas dinamarquesas que ocupan esta dudad, propuso dicho Príncipe al Senado que lo renovasej pero no ha sido atendida su solicitud. El Senado de Bremen</t>
  </si>
  <si>
    <t>a preciosa caxa de oro. Se envían también 6 caballos del Rey á Bonaparte. Hantburgo 10 de Mayo, E 1 Príncipe Cárlos de Hesse ha recibido un aviso de la corte de Berlín para que las tropas de su mando evacúen las ciudades y distritos de Hamqur^o y Lubeck. El Príncipe expidió inmediatamente un correo á Co</t>
  </si>
  <si>
    <t>lo executáron desde luego; pero se ignora adonde se dirigen. Aliona 1 $ de Junio. E I cuerpo que el Príncipe Carlos de Hesse tiene á su mando se ha reforzado con 3 regimientos: estos y las demas tropas dinamarquesas están repartidas en varios acantonamientos inmediatos unos á otros, en los quales se exe</t>
  </si>
  <si>
    <t>olante apostado en las cercanías de Schulau hizo el dia 17 su exercicio y evoluciones: las mandó el Príncipe Carlos de Hesse; y asistieron á ellas el Teniente General ruso Barón de Meyendoríf y algunos individuos del cuerpo diplomático de Hamburgo. Concluidas las evoluciones pasó el Príncipe á visitar l</t>
  </si>
  <si>
    <t>de Hevia y Lorieri, Ramón</t>
  </si>
  <si>
    <t>Ramón de Hevia y Lorieri</t>
  </si>
  <si>
    <t>Sigíienza, vacante por la promoción de D. Félix Ximenez á Ja Dignidad de Chantre de la dé Cuenca, á D. Ramón de Hevia y Lorieri: para otra Canongía de la catedral: de Albárr^cia, ívacante' por fallecimiento de D. Miguel Molina,i D. Miguel Valero Sana, Rector ó Cura párroco del lugar de Pozondon, en dicha d</t>
  </si>
  <si>
    <t>de Hiedo, Gaspar</t>
  </si>
  <si>
    <t>Gaspar de Hiedo</t>
  </si>
  <si>
    <t>y se ha servido nombrar para el Arciprest »zgo de Huete, diócesis de Cuenca, vacante por ascenso de D. Gaspar de Hiedo al Arcedi nato de S- Felipe, y haber fallecido sin sacar los despachos D. DHgo Viilagarcia y Briones , á D. Mauricio Dionis: pira una Ración de la catedral de Orense, vacante por</t>
  </si>
  <si>
    <t>de Hore, Agustín</t>
  </si>
  <si>
    <t>Agustín de Hore</t>
  </si>
  <si>
    <t>^ . . 9-'3 á primcí Teniente al segundo D. Agustín de Hore; y en el de Húsares irispañoles á segundo Teniente al Alférez D. Francisco de Paula Guampo. : El dia 7 de Agosto falleció en esta corte á los 70 años cumplidos de edad el Sr. D- J</t>
  </si>
  <si>
    <t>de Hore, Blas</t>
  </si>
  <si>
    <t>Blas de Hore</t>
  </si>
  <si>
    <t>te al segundo de granaderos D. Juan Antonio Abal ; á segundo Teniente de granaderos al de fusileros D. Blas de Hore; asegundo Teniente al Subteniente de granaderos D. Matías Retamir; á Subteniente de granaderos al primero de fusileros D. Mariario Ribas ; á primer Subteniente al segundo D. Franc</t>
  </si>
  <si>
    <t>de Hore, Nicolás</t>
  </si>
  <si>
    <t>Nicolás de Hore</t>
  </si>
  <si>
    <t>Almonacid á otra de la de Arequipa, r D. Joseph de Arjona: para la Media Ración , que este dexa, á D. Nicolás de Hore; y para la segunda Ración de la catedral de Mérida de Yucatán , vacante por promoción del Dr. D. Santiago Martínez de Peralta á la Canongía Penitenciaria de ella, á D* Pedro Sánch</t>
  </si>
  <si>
    <t>de Hoya y Miranda, Pedro Ramón</t>
  </si>
  <si>
    <t>Pedro Ramón de Hoya y Miranda</t>
  </si>
  <si>
    <t>á D. Pedro Marín y Navarro, Subteniente de fusileros;y en el de Mondoñedo Subtenencia de bandera á D. Pedro Ramón de Hoya y Miranda. El Consejo á consulta de la Comisión gubernativa, y con aprobacion.de S. M. ha acordado la decimaséptima amortización de 289 Vales de 300 pesos de i.° de Julio, 115 de 600 del ca</t>
  </si>
  <si>
    <t>de Hoyos, Domingo</t>
  </si>
  <si>
    <t>Domingo de Hoyos</t>
  </si>
  <si>
    <t>ngulo j y no habiendo llegado á su poder, quien los tenga los remitirá á dicho Quintana en Cádiz, á D. Domingo de Hoyos en Málaga , ó á los Sres. Luengas, hermanos, en Madrid. En la villa de Daganzo de Arriba está vacante la plaza de médico titular: vale anualmente rs. cobrados por la Justicia, y lo</t>
  </si>
  <si>
    <t>inguna persona admita dicho vale, y quién lo tuviere ó supiere de él, lo remita ó avise al referido Don Domingo de Hoyos, ó al mencionado D. Hipotito de Quanda, su apoderado en Madrid, calle de la Ahnudena, núm. 3, quarto baxo. Por el Sr. D. Juan Antonio Santa María, caballero de la Real distinguida</t>
  </si>
  <si>
    <t>de Hoyos, Joachín</t>
  </si>
  <si>
    <t>Joachín de Hoyos</t>
  </si>
  <si>
    <t>. Joseph Mariano Reátegui: á Tenientes del de MiiicíaS urbanas de dragones^de Chota á los Alféreces D. Joachín de Hoyos y D, Juan Quintos.: a Capitán de granaderos del de Milicias disciplinadas de infantería de Arequipa al dé fusileros, graduado de Teniente Coronel, D. Felipe de Olazaval, y á Capitanes</t>
  </si>
  <si>
    <t>de Iichrenstein, Príncipe</t>
  </si>
  <si>
    <t>Príncipe de Iichrenstein</t>
  </si>
  <si>
    <t>ue perdiéron la vida. El Coronel de los húsares quedó herido y prisionero; y el Príncipe de Iichrenstein, Coronel de los uhianos, tuvo t- snbien que entregarse con los mejores oficiales di su cuerpo, quedando igualmente prisionero el General Mezarcy, que había reemplazado al General Lopes en</t>
  </si>
  <si>
    <t>de Ilevia y Noriega, Gabriel</t>
  </si>
  <si>
    <t>Gabriel de Ilevia y Noriega</t>
  </si>
  <si>
    <t>e el referido limo. Sr. D". Joseph Eustaquio Moreno, D. Francisco Acedo y Torres, del Consejo Real, D. Gabriel de Ilevia y Noriega, del Consejo de Ja suprema y general Inquisición,y D. Miguel Ochoa, Auditor de Rota de la Nunciatura; y al limo. Sr. D. Antonio Gaona, Obispo Prior dcUcles en la orden de Santiago</t>
  </si>
  <si>
    <t>de Inglaterra, General</t>
  </si>
  <si>
    <t>General de Inglaterra</t>
  </si>
  <si>
    <t>Londres. Una señorita , llamada N. Homspech , hija natural de Mr. de Homspech , General de Inglaterra, Coronel de Prusia, y caballero dé la orden del Mérito, habia hecho un viage á Hamburgo con su padre. Volvió á Londres sa patria: desde entonces estuvo siempre muy triste; y al fin la hall</t>
  </si>
  <si>
    <t>de Iribarren y Morales, Antonio Joseph</t>
  </si>
  <si>
    <t>Antonio Joseph de Iribarren y Morales</t>
  </si>
  <si>
    <t>rio de Olaso, á D. Antonio Joseph de Iribarren y Morales t para la Chati-; tría, que este dexa en la misma catedral , á D. Antonio Godoy y ViIches: para la Tesorería, que resulta vacante por la promoción de este, al Maestrescuela D. Jos</t>
  </si>
  <si>
    <t>de Irigoyen, Juan Martín</t>
  </si>
  <si>
    <t>Juan Martín de Irigoyen</t>
  </si>
  <si>
    <t>ts, como poseedora del vínculo que fundó el referido D. Matías de Valparda ; D; Juan Martin de Irigoyen , vecino del lugar de Ciga, en el valle de Bastan ; Doña Catalina de Heras, viuda de D. Manuel de la Sierra, vecina de esta villa; D. Tomas Antonio de la Teja, como marido de Doña María An</t>
  </si>
  <si>
    <t>de Isaura, Isidoro</t>
  </si>
  <si>
    <t>Isidoro de Isaura</t>
  </si>
  <si>
    <t>s del esqueleto de un adulto. Por D. Igunos con láminas, otros sin ellas. Todos lle­ nacio Lacaba y D. Isidoro de Isaura. Este privarán á lo menos el retrato del Rey , y el mer quaderno contiene nueve estampas, cuyas de César y Pompeyo : dos tomos én 4.0 figuras representan la primera las substancia</t>
  </si>
  <si>
    <t>de Ittirrigaray, Manuel</t>
  </si>
  <si>
    <t>Manuel de Ittirrigaray</t>
  </si>
  <si>
    <t>isco Xavier Romano, Cadete Garzón de la compañía Italiana del Real cuerpo dé Guardias de Corps, y á D. Manuel de Ittirrigaray, Teniente de la Real brigada de Carabineros, ha conferido «1 Rey Compañías al primero en él regimiento de dragones del Rey, y al segiíñdo -en el de carabineros de María Luisa. v:-</t>
  </si>
  <si>
    <t>de Iturriaga, Joseph Xavier</t>
  </si>
  <si>
    <t>Joseph Xavier de Iturriaga</t>
  </si>
  <si>
    <t>l Beneficio Préstamo del lugar de Barbolla, en el obispado de Segovía, vacante por fallecimiento de D. Joseph Xavier de Iturriaga, á D. Tomas López: para el Beneficio de la parroquia de la villa de Almodóvar, en la diócesis de Córdoba, vacante por muerte de D. Laureano Gutierres de RubalcaVa , á D. Manuel Di</t>
  </si>
  <si>
    <t>de Ja Costa, Vicente</t>
  </si>
  <si>
    <t>Vicente de Ja Costa</t>
  </si>
  <si>
    <t>hacer postura á qualquiera. de las dos acuda á la escribanía del número de esta villa del cargo de D. Vicente de Ja Costa. = Igualmente se ha señalado por el propio Sr. Juez el mismo dia 18 para el remate de una de las escribanías de número de esta villa, tasada en 166,666 rs¿ 22 mrs. Quien quisiere</t>
  </si>
  <si>
    <t>de Ja Peña, Manuel</t>
  </si>
  <si>
    <t>Manuel de Ja Peña</t>
  </si>
  <si>
    <t>....... D. Juan Casou y compañía. En Avila........... D. Fernando de Echepare. En Badajoz.......... D. Manuel de Ja Peña. En Barcelona....... D. Ramón de Llordella é hijo. En Burgos............. D. Andrés Frayle. En Cádiz..............D. Benito de la Piedra. En Cartagena...... . D. Manuel de Ozores.</t>
  </si>
  <si>
    <t>de Ja Vega, Joseph Ramón</t>
  </si>
  <si>
    <t>Joseph Ramón de Ja Vega</t>
  </si>
  <si>
    <t>e esta clase al Subteniente D. Joseph de Lago y Robles; á Subteniente de granaderos al de fusileros D. Joseph Ramón de Ja Vega, y á Subteniente de bandera á D. Antonio Vicente Piñeyro y Fariña: en el de Bujalance i Teniente de fusileros al Subteniente de cazadores D. Joseph Vaídelomar, y á Subteniente de</t>
  </si>
  <si>
    <t>de JMoradillo, Pedro</t>
  </si>
  <si>
    <t>Pedro de JMoradillo</t>
  </si>
  <si>
    <t>sobre Campomayor 6 de Junio de 180 i .—Francisco Xavier de Négrete. . ¿ 1 Inventario formado por mi D. Pedro de JMoradillo, Ccmi, sario de Querrá honorario destinado en la quarta división del exército de que es Generalísimo el Excmo. Sr. Príncipe de la Paz, de los efectos y armas encentradas en la for</t>
  </si>
  <si>
    <t>de Juárez, Pedro Ramón</t>
  </si>
  <si>
    <t>Pedro Ramón de Juárez</t>
  </si>
  <si>
    <t>Canongía de la metropolitana de Tarragona, vacante por fallecimiento de D. Joseph Ibañez Falomir, á D. Pedro Ramón de Juárez, Cura de la parroquial de Santiago de la ciudad de Darocar para una Canongía de la catedral de Tudela, vacante por muerte de Don Benito Eslava, á D. Juan Joseph del Olmo: para una</t>
  </si>
  <si>
    <t>de Kallimacht, Príncipe</t>
  </si>
  <si>
    <t>Príncipe de Kallimacht</t>
  </si>
  <si>
    <t>zzo, sobrino dél Príncipe de este nombre. Para primer Dragomán está nombrado ¿1 Príncipe de Kallimacht, hijo del Hospedar de Valaquta antecesor de Ipsiianti. Aun no se ha ajustado con Francia^ el cange de prisioneros; pero los de aquella nación experimentan ahora aquí mejor suerte que án</t>
  </si>
  <si>
    <t>de Krudner, Barón</t>
  </si>
  <si>
    <t>Barón de Krudner</t>
  </si>
  <si>
    <t>tad. Al propio tiempo ha condecorado S. M. con las insignias del Aguila roxa ai Barón de Krudner, Ministro ruso residente aquí. Finalmente, hoy han salido para Petersburgo un oficial superior de plana mayor y uavSecretarío de embaxada ; van encargados de una negociación de estado, qiie</t>
  </si>
  <si>
    <t>de la Azuela, Agustín</t>
  </si>
  <si>
    <t>Agustín de la Azuela</t>
  </si>
  <si>
    <t>mayor de a vi,, a iNnbna á D. Francisco Xavier Montero y Losada : para la del Qmmanar de ía Orden á D. Agustín de la Azuela: para ¡a de Segura de León á D. Toachín Gonzalo Rodríguez ; y para la de Villafranca a Don Ventura Martínez de Carballar, todas de primera clase o de entrada, y en ei territorio d</t>
  </si>
  <si>
    <t>de la Azuela, Antonio</t>
  </si>
  <si>
    <t>Antonio de la Azuela</t>
  </si>
  <si>
    <t>bteniente de granaderos al primero de fusileros D. Manuel Guillen ; á primer Subteniente al segundo D. Antonio de la Azuela, y á segundo Subteniente al Cadete del de infantería de Mallorca D.Jayrne Sureda y Veri: en el de Soria á segundo Teniente al Subteniente de granaderos D. Joseph Roca; á Subtenien</t>
  </si>
  <si>
    <t>de la Barcena y Barragan, Joseph Vicente</t>
  </si>
  <si>
    <t>Joseph Vicente de la Barcena y Barragan</t>
  </si>
  <si>
    <t>la dignidad de Dean de la catedral de Cartagena, vacante por muerte de D. Juan Joseph Hcnriquez, á D. Joseph Vicente de la Barcena y Barragan: para el ArcedianatoV que este dexa^enda misma iglesia;, al Chantre D. Lázaro JosephBianeos para la Chántría al Tesorero D* «Benito Jcsegh Lambí ; y paraJa*Tesorería al Canónigo M</t>
  </si>
  <si>
    <t>de la Barreda, Joseph</t>
  </si>
  <si>
    <t>Joseph de la Barreda</t>
  </si>
  <si>
    <t>ijo, D. Francisco Timoteo de Ribera, D. Manuel Estéban de Olivares, D. Gregorio Gómez de Ap iricio, D. Joseph de la Barreda, D. Agustín García de Arce, D. Mirtin Mármol, D. Andrés Vázquez, D. Andrés Ximenez, Don Fernando Antonio del Mármol, D. Joseph María del Toro, D. Antonio Bravo y D. Joseph de Jesú</t>
  </si>
  <si>
    <t>de la Barrera, Luis</t>
  </si>
  <si>
    <t>Luis de la Barrera</t>
  </si>
  <si>
    <t>ta, como pertenecientes a ia me mor ía que en la iglesia parroquial de S. Gines de esta corte fundó D. Luis de la Barrera, las tierras sitas en ia jurisdicción del Jugar de Balacas siguientes; una tierra frente de la Malpartida y á la entrada del monte viejo9 que linda í norte y oriente con otras de</t>
  </si>
  <si>
    <t>a el remate de otras -tierras, sitas en el lugar de Ballenas, pertenecientes á la memoria que fundó D. Luis de la Barrera, que componen i* fanegas, tasadas en 7740 rs. ag mrs., el dia 12 de este mes en la audiencia de dicho Sr. Juez á la hora de medio dia. Correo literario de Córdoba, que se publica</t>
  </si>
  <si>
    <t>de la Ca, Gabriel</t>
  </si>
  <si>
    <t>Gabriel de la Ca</t>
  </si>
  <si>
    <t>.......... D. Pedro y Doña Belírana Esgovera.......................... . Lila en id......... a$ 18. D. Gabriel de la Ca­ D. Pedro y Dofia Gabriela Du pela.......................... ran....................................... . Ruerque en id.. 2(5. Juan Joseph Peraló.... Francisco y Juana Mana de Mau</t>
  </si>
  <si>
    <t>de la Calle, Santiago</t>
  </si>
  <si>
    <t>Santiago de la Calle</t>
  </si>
  <si>
    <t>an Antonio Prado y.D: Tomas Valenzuela; á Capitanes de fusileros á los Tenientes Don Joseph Santos, D. Santiago de la Calle y D. Felipe Acosta, y á los paisanos D. Mauricio Villafuerte, D. Vicente Ladrón de Guevara, D. Isidro Delso y D.* Mariano Calatayud; al empleo de Ayudante á D. Nicolás Loayza; al de T</t>
  </si>
  <si>
    <t>de la Carrera, Martín</t>
  </si>
  <si>
    <t>Martín de la Carrera</t>
  </si>
  <si>
    <t>e inmediatamente haga pasar á manos de V. E. el pliego adjunto, y lo lleva el Capitán de caballería D. Martin de la Carrera, Ayudante de Campo del General xefe de la vanguardia Marques de la Solana. — Como por razón de la distancia calculo que V.E. no podrá dar sus órdenes para la suspensión de hostili</t>
  </si>
  <si>
    <t>de la Chambre y Pérez, Joseph</t>
  </si>
  <si>
    <t>Joseph de la Chambre y Pérez</t>
  </si>
  <si>
    <t>nombrar para la Canongía de lá catedral de Málaga, vacante por muerte de D. Diego López Gacela , á D. Joseph de la Chambre y Perez : para la Canongía de la colegial dé Soria ,* obispado d&lt;?‘ Osma,vacante por .fallecimiento de D., Joseph Sánchez, á D. Vicente Gómez Falcon:.para otra Cánongíá de la colegiata de</t>
  </si>
  <si>
    <t>de la Costa, Vicente</t>
  </si>
  <si>
    <t>Vicente de la Costa</t>
  </si>
  <si>
    <t>á ellas acuda en el término de 30 dias ante el Sr. D. Juan Antonio Santa María por la escribanía de D. Vicente de la Costa. Diccionario histórico de los mas ilustres profesores de las bellas artes en España , compuesto por D. Juan Agustín Cean Bermudez, y publicado por la Real academia de S. Fernando:</t>
  </si>
  <si>
    <t>María, del Consejo de S. M., primer Tedíente Corregidor de esta villa , y escribanía del número de D. Vicente de la Costa , se han mandado publicar por término de 30 dias , como perteneciente# á la capellanía fundada en la iglesia del lugar de Eailecas por Catalina de Sepúlveda las tierras siguientes</t>
  </si>
  <si>
    <t>ro de D. J uan López Fando. Por providencia del referido Sr. D. Juan Antonio Santa María, dada ante Don Vicente de la Costa,Escriba no del número de esta vi.Ja, se ha mandado sacar á pública subasta las tierras sitas en el término del lugar de Ballecas, pertenecientes al vínculo que fundó Catalina de S</t>
  </si>
  <si>
    <t>D.JJuan Antonio Santa María, det Consejo de S M primer Teniente Corregidor de esta villa,dada ante D. Vicente de la Costa cribano del número de ella, se han mandado publicar por término de *0 dias como pertenecientes i la memoria que en el convento de Ñera. Sra. de Valverde fundó Agustín Rodríguez, l</t>
  </si>
  <si>
    <t>nsejo de S. M., primer Teniente Corregidor de esta villa, por la escribanía del número del cargo de D. Vicente de la Costa, en el término de 30 días. A conseqüencia de tas Reales órdenes y en virtud de providencia del Sr. Don Juan Antonio Santa María se están subastando por término de 30 dias las finc</t>
  </si>
  <si>
    <t>1146 del propio Sr. D. Juan Antonio Santa María , ante D. Vicente de la Costa, Escribano dei número de esta villa. Asimismo se ha señalado el propio día , an:e el mismo Sr. Juez y Escribano, el remate de otra casa sita en la calle de Jesús y Mana , barrios</t>
  </si>
  <si>
    <t>i presente mes en lá audiencia del Sr. D.Juan Antonio Santa María, de doce á una de su mañana^ ante D. Vicente de la Costa, Escribano del número de )a misma.mtí^or e! Sr. Intendente de esta provincia se ha aprobado el remate de otr¿s ticr-as pertenecientes á la misma capellanía , tasadas en $400 rs.,</t>
  </si>
  <si>
    <t>el Consejo de S. M. , prioaer Teniente. Corregidor de esta viila t por }y escriba ía del nú ñero de D. Vicente de la Costa en ei término de 30 dias. El Sr. D, Francisco García déla Cruz, que fué del Co-sejo Real de Casri:ta, dexó destinados algunos miles-de rs. páéa el pág^o'de-lOs acróedORe^, qtte- atr</t>
  </si>
  <si>
    <t>de la Croá, Alexo</t>
  </si>
  <si>
    <t>Alexo de la Croá</t>
  </si>
  <si>
    <t>aen la de Alejandró. * v_ y ' - f * * Tres trios nuevos para guitarra, vloíin y baxo, del caballero D. Alexo de la Croá (los da al público un apasionado del autor): otros 3 padTJos mismos instrumentos &gt; de Ximeñez: 4 dúos armónicos para dos guitarras, de Abreu eí portugués: de este mismo un fandang</t>
  </si>
  <si>
    <t>de la Cruz, Antonio</t>
  </si>
  <si>
    <t>Antonio de la Cruz</t>
  </si>
  <si>
    <t>contra los acres y corrosivos : un tomo en 8.°, á 3 rs. en rústica. Obras traducidas con notas por D. Antonio de la Cruz, primer ayudante de farmacia de los Reales exércitos, con destino al Real laboratorio castrense de medicinas, y Boticario mayor de ¡os Reales hospitales general y pasión de esta c</t>
  </si>
  <si>
    <t>de la Cruz, Juan</t>
  </si>
  <si>
    <t>Juan de la Cruz</t>
  </si>
  <si>
    <t>a que media entre esta ciudad y la de S. Agustín de la Florida, en América. Estas obras, hechas por D. Juan de la Cruz, se hallarán juntas ó separadas, con otras del mismo autor, en casa de D. Tomas López, calle de Atocha, frente á la casa de los gremios, núm. 3 , quarto principal. Estampa qne rep</t>
  </si>
  <si>
    <t>isla de Wichr.crrMapa de Irlanda, con arreglo á observaciones astronómicas. Estas obras, hechas por D. Juan de la Cruz, se hallarán juntas ó separadas, con otras del mismo autor, en casa de D. Tomas López, calle de Atocha frente á la diputación de los gremios, nú ai. 3 , quarto principal. En la ti</t>
  </si>
  <si>
    <t>últimos sirven para la inteligencia de los Comentarlos de Julio César , y los tres están hechos por D. Juan de la Cruz, Se hallarán con otras obras del autor en casa de Don Tomas López, calle de Ato ha , frente á ia Diputación, núm. 3, quarto principal. Estampa nueva de la imagen de Ntra. Sra. del</t>
  </si>
  <si>
    <t>de la Cruz, Juan María</t>
  </si>
  <si>
    <t>Juan María de la Cruz</t>
  </si>
  <si>
    <t>leo á Don Francisco Mendizabal y D. Pablo Ordovas, Ingenieros extraordinarios; y á este al Ayudante D. Juan María de la Cruz. A coríseqiiencia de haberse dignado $. M. mandar en Real cédula de 3 del corriente que se supriman los 11© Vales de 6oq pesos, creados con la denominación de la Acequia Imperial</t>
  </si>
  <si>
    <t>de la Cuerda, Francisco</t>
  </si>
  <si>
    <t>Francisco de la Cuerda</t>
  </si>
  <si>
    <t>Ramón Jóseph de Arc^, . Arzobispo deBárgos,Inquisidor general: asistentes los. limos. Sres. Obispos D. Francisco de la Cuerda y D. Atanasío Puyal, Auxiliar de Madrid; y padrino el Exc. Sr., Marques de Astorga, Conde de Altamira, y en su nombre el Exc. Sr. Conde de. Trastamara. c En la extracción de la Real l</t>
  </si>
  <si>
    <t>e Arce, Arzobispo de Burgos y electo de Zaragoza, Inquisidor general* y asistentes los limos. Sres. Don Francisco de la Cuerda, Obispo que fué de Puerto Rico, del Consejo de la suprema y general Inquisición, y D. Átanasio Puyal y Poveda, Obispo de Caristo y Auxiliar de Madrid. A qualquier sugeto que quisi</t>
  </si>
  <si>
    <t>de la Escosura, Gerónimo</t>
  </si>
  <si>
    <t>Gerónimo de la Escosura</t>
  </si>
  <si>
    <t>Casal, D. Juan de Torres y D. Ramón de Santiago; á primeros Tenientes a los segundos de granaderos D. Gerónimo de la Escosura y D. Fernando Valledor, y á los de fusileros el Capitán D. Francisco de Toro y D. García Vailedor; á segundos Tenientes de granaderos á los de fusileros D. Francisco Pardo, D. Antonio</t>
  </si>
  <si>
    <t>de la Farmacia, Cayetano</t>
  </si>
  <si>
    <t>Cayetano de la Farmacia</t>
  </si>
  <si>
    <t>la Chi- mino, y 22 en papel. ntica moderna á las principales operaciones Curso de humanidades , por D. Cayetano de la Farmacia : su autor D. Manuel Her­ Sixto: tomo x.° á 10 rs. en papel. nández de Gregorio : dos tomos en 4.0 á 24 . Adiciones al Diccionario geográfico de rs. en rústica, y 22 en papel. Ech</t>
  </si>
  <si>
    <t>de la Fuente, Joachín</t>
  </si>
  <si>
    <t>Joachín de la Fuente</t>
  </si>
  <si>
    <t>. Juan Morales; á primer Subteniente al segundo I). Cárlos Jaso , y á segundo Subteniente al Cadete D. Joachín de la Fuente: en el de Valencia á primer Teniente al segundo de granaderos del citado de Soria D. Manuel de San Martin: en el de Córdoba á segundo Subteniente al Cadete del de Sevilla D. Juan</t>
  </si>
  <si>
    <t>de la Fuente, Juan</t>
  </si>
  <si>
    <t>Juan de la Fuente</t>
  </si>
  <si>
    <t>7'8é cuerpo: en el de Sevilla ha conferido compañías de fusileros á D. Juan Jo£uíph de Neyra y D. Juan de la Fuente,Tenientes del propio regimiento, el primero de granaderos; la resulta de este á D. Carlos Diez de Bulnes, Teniente de fusileros; Tenencias de esta dase á D. Clemente de Vargas y D</t>
  </si>
  <si>
    <t>de la Fuente, Lucas</t>
  </si>
  <si>
    <t>Lucas de la Fuente</t>
  </si>
  <si>
    <t>se les señalaron de las Selectas) y O. Manuel de la Fuente, y en la de sintaxis D. Vicente Cantón, D. Lucas de la Fuente y D, Francisco Munguia. En la prosodia sobresalió D. Her^ menegiído Toraya* Pmgcerdd i&lt;&gt; de X&gt;iciembre. E 1 Dr. D. Francisco Piguillem, socio de varios cuerpos literarios y Médico de</t>
  </si>
  <si>
    <t>de la Fuente, Manuel</t>
  </si>
  <si>
    <t>Manuel de la Fuente</t>
  </si>
  <si>
    <t>te de granaderos, al. de fusileros D. híanuel Zaro; á segundo Teniente al Subteniente eje panaderos D. Manuel de la Fuente; ¿ Subteniente de granaderos al de fusileros D. Domingo Conde; á primer Subteniente al segundo D. Grer gorio Cosgoya, y i segundo Subteniente al Cadete D. Joseph Cortines; habiend</t>
  </si>
  <si>
    <t>de la Huerta, Joseph</t>
  </si>
  <si>
    <t>Joseph de la Huerta</t>
  </si>
  <si>
    <t>e del Imperio tome las pro- videncias que juzgue mas convenientes sobre el particular. El caballero D. Joseph de la Huerta, Ministro de España en la corte de Suecia, ha salido de Berlín para Dresde. ; Munster 2 de Setiembre. E 1 Cabildo de esta ciudad no h=bia esperado á que falleciese el Elector de C</t>
  </si>
  <si>
    <t>de la Llama, Joseph</t>
  </si>
  <si>
    <t>Joseph de la Llama</t>
  </si>
  <si>
    <t>do D. Francisco Ximenez; á Alférez al Portaestandarte D. Domingo Saura , y á esta resulta al Cadete Don Joseph de la Llama; en el de Montesa á Sargento mayor al Capitán D. Joseph Dhz ; y en el de la costa de Granada á primer Teniente al segundo graduado de Capitán L&gt;. Francisco Martinez de Vivar. Para</t>
  </si>
  <si>
    <t>de la Llave Valdés, Vicente</t>
  </si>
  <si>
    <t>Vicente de la Llave Valdés</t>
  </si>
  <si>
    <t>celemines y xa estadales, tasadas $n 176,006 rs., cuya parte se halla rematada é pagar en vales en D. Vicente de la Llave Valdés, de aque.lla vecindad^ y habiéndose aprobado el remete por el Intendente de Toledo, se ha mandado sacar nuevamente por término de 69 4$?» que princjpiáron á correr el 15 del corri</t>
  </si>
  <si>
    <t>de la Madrid, Miguel</t>
  </si>
  <si>
    <t>Miguel de la Madrid</t>
  </si>
  <si>
    <t>cantidad de in,a8g rs., acuda ante el Sr. Alcalde D. Miguel Munarriz, y escribanía de provincia de D. Miguel de la Madrid en el término de 30 dias contados desde el 19 de este mes. La Real dirección de abastos de Madrid avisa al público que admitirá las proposiciones que se hagan para surtir de vaca y</t>
  </si>
  <si>
    <t>de la Madrid, Tomás</t>
  </si>
  <si>
    <t>Tomás de la Madrid</t>
  </si>
  <si>
    <t>rancisco Durango é hijo mayor. En Zamora............D. Vicente Perez de Tejada. En Zaragoza........ D. Tomas de la Madrid. EnZeuta..............D. Pedro Huguet , comisionado subalterno del de Cádiz. El Consejo á consulta de la. Comisión gubernativa, y con aprobación de</t>
  </si>
  <si>
    <t>ancisco Durango é hijo mayor. ; En Zamora...........D. Vicente Perez de Tejada. En Zaragoza........ D. Tomas de la Madrid. En Zeuta... ......... D. Pedro Huguet , comisionadosubalterno del de Cádiz.' ; El Cabildo de la iglesia colegial de la ciudad de Manresa, deseoso de subvenir en quanto le sea pos</t>
  </si>
  <si>
    <t>ncisco Durango é hijo mayor. En Zamora............ D. Vicente Perez de Tejada. En Zaragoza......... D. Tomas de la Madrid. En Zeuta............... D. Pedro Huguet, comisionado subalterno . del deCádiz. El Consejo á consulta de la Comisión gubernativa, y con aprobación de S. M., ha acordado la amortiz</t>
  </si>
  <si>
    <t>cisco Durango é hijo mayor. En Zamora............. D. Vicente Perez de Tejada. En Zaragoza......... D. Tomas de la Madrid. * EnZeuta.......... . D. Pedro Huguet, comisionadosubalterno del de Cádiz. El Consejo á consulta de la Comisión gubernativa, y con aprobación de S. M., ha acordado la amortizació</t>
  </si>
  <si>
    <t>rancisco Durango é hijo mayor. En Zamora............D. Vicente Perez de Tejada. En Zaragoza........ D. Tomas de la Madrid. En Z¿uta................D. Pedro Hugtíet, comisionado subalterno del dé Cádiz. El Consejo á consulta de la Comisión gubernativa, y con aprobación dé S. M., ha acordado la amortiz</t>
  </si>
  <si>
    <t>de la Palma, Ramón Francisco</t>
  </si>
  <si>
    <t>Ramón Francisco de la Palma</t>
  </si>
  <si>
    <t>co, vecino de Madrid, y en su representación D. Eusebio María Ferrer, vecino también de esta villa; D. Ramón Francisco de la Palma, vecino de Toledo, como poseedor de los mayorazgos que fundáron D. Francisco Abarca Maldonado y Doña Agustina Suarez, su muger; el í?r. D. Joseph Andonaegui, Teniente General de l</t>
  </si>
  <si>
    <t>de la Pardina, Juan Ignacio</t>
  </si>
  <si>
    <t>Juan Ignacio de la Pardina</t>
  </si>
  <si>
    <t>ha servido nombrar para el Corregimiento de letras de la ciudad de Borja, en el Reyno de Aragón, á D. Juan Ignacio de la Pardina: , pata el de. la villa de Alcoy, en-el Rey nó-de Valencia, á D. Bernardo Cebasco y Rosas; y para la Escribanía de Registro de.ía Real Audiencia r dé Aragón á T&gt;. Antonio Lerga. .</t>
  </si>
  <si>
    <t>de la Peña y Marques de Mora, Manuel</t>
  </si>
  <si>
    <t>Manuel de la Peña y Marques de Mora</t>
  </si>
  <si>
    <t>de Castilla la Vieja por el Coronel D. Juan Crisóstomo Ruiz : mandados por los Mariscales de Campo D. Manuel de la Peña y Marques de Mora.. Las guerrillas se habían apoderado desde luego de la puerta de la villa, en cuya acción D. Joachin Solano , comandante de una de ellas, combatiendo con intrepidez y mucho valor,</t>
  </si>
  <si>
    <t>de la Peña y Montenegro, Manuel</t>
  </si>
  <si>
    <t>Manuel de la Peña y Montenegro</t>
  </si>
  <si>
    <t>tedral de -Arequipa, á D. Juan de Urizar y Almonacid, Racionero de la de la Paz: tpara la segunda á D. Manuel de la Peña y Montenegro, Cura en el obispado, del Cuzco; y para la Media-Ración de la metropolitana de México, Vacante por ascenso de D. Jcseph María del Barrio, á D. Joseph Mariano Ramírez de la Torre,</t>
  </si>
  <si>
    <t>de la Peña, Manuel</t>
  </si>
  <si>
    <t>Manuel de la Peña</t>
  </si>
  <si>
    <t>7^9 En Avila........... . D. Fernando de Echepáre. En Badajoz.......... D. Manuel de la Peña. En Barcelona....... D. Ramón de L tordella é hijo. En Búrgos............ D. Andrés Frayle. En Cádiz.............. D. Benito de la Piedra. En Cartagena.......D. Manuel de Ozores.</t>
  </si>
  <si>
    <t>D. Juan Casou y compañía. En Avila................ D. Fern ando de Eche pare. En Badajoz........... D. Manuel de la Peña. En Barcelona»...... D. Ramón de Llordella é hijo. En Burgos............. D. Andrés Fray le. En Cádiz............... D. Benito de la Piedra. En Cartagena........D. Manuel de Ozore</t>
  </si>
  <si>
    <t>. . D. Juan Casou y compañía. En Avilan............. D. Fernando de Echepare. En Badajoz........... D. Manuel de la Peña. : En Barcelona____D. Ramón de Llordella é hijo. En Burgos........... I). Andrés Frayle. En Cádiz............... D. Benito de la Piedra. En Cartagena........D. Manuel de Ozores. E</t>
  </si>
  <si>
    <t>. D. Juan Casou y compañía. En Avila................ D. Fernando de Echepare. En Badajoz........... D. Manuel de la Peña. En Barcelona....... D. Ramón de Llordella é hijo. En Burgos.......... D. Andrés Fray le. En Cádiz...............D. Benito de la Piedra. En Cartagena........ D. Manuel de Ozores.</t>
  </si>
  <si>
    <t>de la Piedra, Benito</t>
  </si>
  <si>
    <t>Benito de la Piedra</t>
  </si>
  <si>
    <t>...... D. Ramón de Llordella é hijo. En Burgos............. D. Andrés Frayle. En Cádiz..............D. Benito de la Piedra. En Cartagena...... . D. Manuel de Ozores. En Ciudad-Real.. D. Ramón Antonio Pico. En Córdoba...........Sres. Barcia padre é hijo. En la Cortina....... D. Manuel Antonio Elzaurdí.</t>
  </si>
  <si>
    <t>arcelona....... ©.Ramón de Llordella é hijo* En Burgos..... . ©. Andrés Frayle. , En Cádiz....... . D. Benito de la Piedra. . En Cartagena....... O. Manuel de Ozores. En Ciudad-Real.. D. Ramón'Antonio Pico* En Córdoba..........Sres. Barcia padre é hijo. En la Coruña....... I}. Manuel Antonio Elzaurdi.</t>
  </si>
  <si>
    <t>..... D. Ramón de L tordella é hijo. En Búrgos............ D. Andrés Frayle. En Cádiz.............. D. Benito de la Piedra. En Cartagena.......D. Manuel de Ozores. En Ciudad-Real,* D. Ramón Antonio Pico. En Córdoba.......... Sres. Barcia padre é hijo. En la Coruña....... D. Manuel Antonio Elzaurdí. En</t>
  </si>
  <si>
    <t>... D. Ramón de Llordella é hijo. En Burgos............. D. Andrés Fray le. En Cádiz............... D. Benito de la Piedra. En Cartagena........D. Manuel de Ozores. En Ciudad-Real... D. Ramón AntonioTico. En Córdoba........... Sres. Barcia padre é hijo. En la Coruña........ D. Manuel Antonio de Elzaur</t>
  </si>
  <si>
    <t>na____D. Ramón de Llordella é hijo. En Burgos........... I). Andrés Frayle. En Cádiz............... D. Benito de la Piedra. En Cartagena........D. Manuel de Ozores. En Ciudad-Real... D. Ramón Antonio Pico. En Córdoba............Sres. Barcia padre é hijo. En la Cor uña........ D. Manuel Antonio de Elza</t>
  </si>
  <si>
    <t>....... D. Ramón de Llordella é hijo. En Burgos.......... D. Andrés Fray le. En Cádiz...............D. Benito de la Piedra. En Cartagena........ D. Manuel de Ozores. En Ciudad-Real... D. Ramón Antonio Pico. En Córdoba........... Sres. Barcia padre é hijo. En la Coruña........ D. Manuel Antonio de Elza</t>
  </si>
  <si>
    <t>de la Plaza, Antonio</t>
  </si>
  <si>
    <t>Antonio de la Plaza</t>
  </si>
  <si>
    <t>rriente. ' : : 1 t . . Ra la villa de Puerto Real falleció á 11 dé «Octubre de 1800 el* limo. ¡ Sr. D. Antonio de la Plaza, en edad de 64años. Fue Fiscal general y de obras pias del arzobispado de Granada, Beneficiado de la parroquial de San</t>
  </si>
  <si>
    <t>de la Puebla, Joseph</t>
  </si>
  <si>
    <t>Joseph de la Puebla</t>
  </si>
  <si>
    <t>l Cadete del de Sevilla D. Juan María Miguel; y en el de Jaén á segundos Subtenientes á los Cadetes D. Joseph de la Puebla y D. Joseph Muñoz de la Torre: y á Capellán de este cuerpo al presbítero D. Francisco Farré y Quares. También en el regimiento de caballería del Príncipe se ha servido el Rey promover</t>
  </si>
  <si>
    <t>de la Puente, Rafael</t>
  </si>
  <si>
    <t>Rafael de la Puente</t>
  </si>
  <si>
    <t>án al primer Teniente de granaderos D. Mateo Monge; á primer Teniente de granaderos al de fusileros D. Rafael de la Puente; á primer Teniente al segundo de granaderos D. Joseph Marin Ordoñez; á esta resulta al segundo Teniente D. Joseph Yarza; á segundo Teniente ai Subteniente de granaderos D. Francis</t>
  </si>
  <si>
    <t>de la Quintana, Juan Francisco</t>
  </si>
  <si>
    <t>Juan Francisco de la Quintana</t>
  </si>
  <si>
    <t>4x6 Don Juan Francisco de la Quintana, vecino y del comercio de Cádiz, remitió á D. Juan Martínez Salinas, vecino de Málaga, dos vales Reales de á 600 pesos, creación de 10 de Abril, núrns. 382,018 y 414,574, con el ú</t>
  </si>
  <si>
    <t>de la Reguera Vaidelomar, Juan</t>
  </si>
  <si>
    <t>Juan de la Reguera Vaidelomar</t>
  </si>
  <si>
    <t>t, y de las posteriores visitas hechas en los de 1619, *9 y di, formado y reducido á dos tablas por D. Juan de la Reguera Vaidelomar: la primera correspondiente á los ministros superiores, y la seguida á los oficiales subalternos de aquel tribunal. Se manifiestan, resumidas por co unas, con la debida distinción</t>
  </si>
  <si>
    <t>de la Reguera Valdelomar, Juan</t>
  </si>
  <si>
    <t>Juan de la Reguera Valdelomar</t>
  </si>
  <si>
    <t>primera parte de la obra pendiente del extracto del Derecho Español antiguo y nuevo . publicada por Don Juan de la Reguera Valdelomar , y se han vendido sueltos en la tienda de hrug¡da » calle de Barrionuevo, se venden por juegos enquauernatíes en pasta en la librería de Arribas, calle de las Carretas. El fuero</t>
  </si>
  <si>
    <t>ológica del derecho y leyes de Espafía, formado en dos tablas ó planes de papel de marca mayor, por D. Juan de la Reguera Valdelomar. Se distribuye en columnas correspondientes á las distintas épocas desde la población de Espafía hasta el tiempo presente, y al origen, progresos y actual estado de los diversos c</t>
  </si>
  <si>
    <t>de la Rey, Manuel</t>
  </si>
  <si>
    <t>Manuel de la Rey</t>
  </si>
  <si>
    <t>ascual Cárdenas; Tenencia de granaderos al Subteniente D. Melchor Alarcon; Tenencias de fusileros á D. Manuel de la Rey naga, D. Domingo Canigniani, D. Silverio de Beingolea y D. Damián Alarcon; Subtenencia de granaderos á D. Andrés Canales; Subtenencias de fusileros al Sargento primero D. Nicolás</t>
  </si>
  <si>
    <t>de la Riba, Juan Antonio</t>
  </si>
  <si>
    <t>Juan Antonio de la Riba</t>
  </si>
  <si>
    <t>Francisco Ximenez y D. Pedro CHiari. Asimismo atendiendo S. M. á las causas que le ha representado D. Juan Antonio de la Riba, eleeto Oidor de la Audiencia de Buenos-Ayres, se ha dignado coñférirlé la plaza que resultó vacante en la de Guadalaxara por l'a^bilacion de D. Martin Santos Domínguez; y ha nomb</t>
  </si>
  <si>
    <t>ez de la Plata; y para una plaza de Oidor de'la Audiencia de Buenos-Ayres, vacante por promoción de Don Juan Antonio de la Riba á otra igual en la de Guadalaxara, á D. Juan Bazo y Berri. Por jubilación de D. Tomas Muñoz » Fiel de la Real casa de moneda de Goatemala, se ha servido el Rey nombrar para este e</t>
  </si>
  <si>
    <t>de la Ripia, Juan</t>
  </si>
  <si>
    <t>Juan de la Ripia</t>
  </si>
  <si>
    <t>dministración y cobranza de las rentas Reales y visita de Jos Ministros que se ocupan en ellas: por D. Juan de la Ripia. . EN LA IMPRENTA REAL.</t>
  </si>
  <si>
    <t>de la Riva, Juan Antonio</t>
  </si>
  <si>
    <t>Juan Antonio de la Riva</t>
  </si>
  <si>
    <t>no, calle de las Carretas, á 3» rs. en rústica y 38 en pasta. Catecismo del.P. Ripalda, añadido por D. Juan Antonio de la Riva , Canónigo Doctoral de Cartagena. A este compendio de la doctrina christiana se le han añadido como 130 preguntas imitadas en lo posible á las del autor, y algunas notas de conoci</t>
  </si>
  <si>
    <t>de la Rocha, Joseph María</t>
  </si>
  <si>
    <t>Joseph María de la Rocha</t>
  </si>
  <si>
    <t>les pi-itnero, segundo y tercero de la Administracioa y Tesorería de la Renta del Tabaco de Honda á D. Joseph María de la Rocha, D. Gaspar Ibañez y D. Tomas Goinez de Cos; y para la plaza de Portero de ia Administración de la aduana de Guayaquil á I). Francisco de Cora. A conseqiiencia de haberse dignado S</t>
  </si>
  <si>
    <t>de la Rocha, Manuel</t>
  </si>
  <si>
    <t>Manuel de la Rocha</t>
  </si>
  <si>
    <t>rchena, en el arzobispado de Sevillar vacante por fallecimiento de D. Rodrigo de Sierra y Llanes, á D. Manuel de la Rocha: para el Beneficio Sacristía de la parroquia de la villa de «Aldeadávila, en la diócesis de Salamanca, vacante por fallecimiento de D. Manuel Casanova, á D. Francisco Mato, con la</t>
  </si>
  <si>
    <t>de la Romana y Juan Váleles, Juan</t>
  </si>
  <si>
    <t>Juan de la Romana y Juan Váleles</t>
  </si>
  <si>
    <t>e D. Melchor de Somarriba; y para las dos Tenencias, vacantes en dicho batallón, á los Subtenientes D. Juan de la Romana y Don Juan Váleles. También ha conferido $. M. Compañía en el cuerpo veterano de infantería de Maracaybo al Teniente D. Luis Gutiérrez de Celis; y ha nombrado para esta resulta al Subteniente del pr</t>
  </si>
  <si>
    <t>de La Roque, Felipe</t>
  </si>
  <si>
    <t>Felipe de La Roque</t>
  </si>
  <si>
    <t>a, Maillorca y León D. Pablo Alemán, D. Francisco Obregon, D. Joseph Landazeri, D. Joseph Navarro , D, Felipe de La Roque y D. Manuel Rotaeta: en el dVValencia á segundo Teniente al Subteniente de granaderos, gradeado de Teniente, D.-Antonio Dolball; a Subteniente de granaderos S primer Subteniente D. Vi</t>
  </si>
  <si>
    <t>de la Serna, Fernando</t>
  </si>
  <si>
    <t>Fernando de la Serna</t>
  </si>
  <si>
    <t>Historia de España, 9 tomos en folio; á D. Francisco Ortiz las obras de Quevedo, 11 tomos en 4.0; á D. Fernando de la Serna , Ayudante de Ingenieros, los Viages de Wanton , última edición; á D. tugenio Tourdinier la Araucana de Ercilla; á D. Joseph de Nieva las Aventuras de Gil Blas; á D. Joseph de Riv</t>
  </si>
  <si>
    <t>de la Sierra, Manuel</t>
  </si>
  <si>
    <t>Manuel de la Sierra</t>
  </si>
  <si>
    <t>in de Irigoyen , vecino del lugar de Ciga, en el valle de Bastan ; Doña Catalina de Heras, viuda de D. Manuel de la Sierra, vecina de esta villa; D. Tomas Antonio de la Teja, como marido de Doña María Ana de la Sierra, vecinos del lugar de Septiem, de la junta de Cudeyo, merindad de Trasmiera, y el Ca</t>
  </si>
  <si>
    <t>de la Sierra, María Ana</t>
  </si>
  <si>
    <t>María Ana de la Sierra</t>
  </si>
  <si>
    <t>viuda de D. Manuel de la Sierra, vecina de esta villa; D. Tomas Antonio de la Teja, como marido de Doña María Ana de la Sierra, vecinos del lugar de Septiem, de la junta de Cudeyo, merindad de Trasmiera, y el Capellán de la capellanía que mandó fundar dicho D. Manuel de la Sierra en la iglesia parroquial</t>
  </si>
  <si>
    <t>de la Sota Crespo, Santiago</t>
  </si>
  <si>
    <t>Santiago de la Sota Crespo</t>
  </si>
  <si>
    <t>s pliegos ó proposiciones se presentarán en la secretaría de la Real dirección, que está á cargo de D. Santiago de la Sota Crespo, en el término de treinta dias contados desde el ai de este mes. La junta de gobierno y dirección de la compañía de la Buena Fe , después de haber liquidado todos sus créditos , t</t>
  </si>
  <si>
    <t>de la Sota'Crespo, Santiago</t>
  </si>
  <si>
    <t>Santiago de la Sota'Crespo</t>
  </si>
  <si>
    <t>s pliegos ó proposiciones se presentarán en la secretaría de la Real dirección, que está á cargo de D. Santiago de la Sota'Crespo, en el término de ao dias contados desde 10 de este mes. A conseqiiencia de Reales órdenes y por providencia del Sr. D. Manuel Perez de Rozas Caballero de la orden de Cárlos 111,</t>
  </si>
  <si>
    <t>de la Teja, Tomás Antonio</t>
  </si>
  <si>
    <t>Tomás Antonio de la Teja</t>
  </si>
  <si>
    <t>el valle de Bastan ; Doña Catalina de Heras, viuda de D. Manuel de la Sierra, vecina de esta villa; D. Tomas Antonio de la Teja, como marido de Doña María Ana de la Sierra, vecinos del lugar de Septiem, de la junta de Cudeyo, merindad de Trasmiera, y el Capellán de la capellanía que mandó fundar dicho D. M</t>
  </si>
  <si>
    <t>de la Torre Aponte y Sardina, Fernando</t>
  </si>
  <si>
    <t>Fernando de la Torre Aponte y Sardina</t>
  </si>
  <si>
    <t>ez de los Ríos: para la de la de Antequera á Don Juan Moreno de Vargas: para la de la de Purchena'á D. Fernando de la Torre Aponte y Sardina: para la de la villa de Aimansa á D„ Domingo Francisco Fernandez : para la de la de Medellin á D. Pedro Sotero Casado de Aíviz ; y para la de la de Motil la del Palancar á D. Jose</t>
  </si>
  <si>
    <t>de la Torre y Unirme, Rafael</t>
  </si>
  <si>
    <t>Rafael de la Torre y Unirme</t>
  </si>
  <si>
    <t>ncisco Sebastian Chamorro; y para ia Alcaldía mayor de A titán y Tepenatitan, en el mismo Reyno , á D. Rafael de la Torre y Unirme. Habiéndose verificado' eí sorteo segundo de la tifa de quinientos millones de reales de la Real Ca&gt;:a de Descuentos, según se anunció al público por medio de la gazeta y diarios</t>
  </si>
  <si>
    <t>de la Torre, Agustín</t>
  </si>
  <si>
    <t>Agustín de la Torre</t>
  </si>
  <si>
    <t>ale Real de x«*o pesos, creación de 1$ de Setiembre, niím. 121,918, con el último endoso á favor de Don Agustín de la Torre,, presbítero y Beneficiado de aquella ciudad. Quien lo hubiere hallado, ó supiese de él, lo remitirá ó avisará al expresado D. Agustín de lá Torre en Ordeña, ó en Madrid á D. Marc</t>
  </si>
  <si>
    <t>de la Torre, Domingo</t>
  </si>
  <si>
    <t>Domingo de la Torre</t>
  </si>
  <si>
    <t>particular para con, otras potencias í escrita e* francés por el Barón de Bielfeld, y traducida por D. Domingo de la Torre v Moliinedo: tomo (S^ Ee ballarí en el despacho de la ¡mpreéta Real y enlá Hbreria de Tieso, calle de las Carretas, i 18 rs. en rústica,y 14 en pasta. Conversaciones christianas,</t>
  </si>
  <si>
    <t>de la Torre, Francisco</t>
  </si>
  <si>
    <t>Francisco de la Torre</t>
  </si>
  <si>
    <t>bteniente al Sargento primero del de cazadores'Voluntarios-de lu-Corotna., graduado de Subteniente, D. Francisco de la Torre: en elide Sevilla á «segundo Teniente al Subteniente de granaderos D. Joseph Benitez Cainípon:; á Subteniente de granad -ros al primer Subteniente I&gt;. Manuel Vico; á primer Subten</t>
  </si>
  <si>
    <t>de la Torre, Joseph</t>
  </si>
  <si>
    <t>Joseph de la Torre</t>
  </si>
  <si>
    <t>Rio; á Subteniente de granaderos al ele fusileros D. Valentín Moralejo: á Subteniente al de bandera D. Joseph de la Torre, y á esta resulta al Cadete D. Domingo de Lamaddz. 7" Por Real orden de 22 de este mes se ha dignado el Rey declarar que la gracia concedida por S. M. para extraer del Reyno un mi</t>
  </si>
  <si>
    <t>de la Torre, Manuel</t>
  </si>
  <si>
    <t>Manuel de la Torre</t>
  </si>
  <si>
    <t>Teniente al segundo de granaderos D. Luis Serrano; á segundo Teniente de granaderos al de fusileros D. Manuel de la Torre; á esta resulta al Subteniente de granaderos, graduado de Teniente, D. Joseph Sánchez; á Subteniente de granaderos al de fusileros D. Salvador Salazar; á primer Subteniente al seg</t>
  </si>
  <si>
    <t>de la Tratado de Matemáticas, Ramón</t>
  </si>
  <si>
    <t>Ramón de la Tratado de Matemáticas</t>
  </si>
  <si>
    <t>iquiz: tica , y 44 en papel. dosítomos en 8.° regular , á 26 rs. en pasta. Colección de Saynetes de D. Ramón de la Tratado de Matemáticas para instruc­ Cruz: tomos §.° hasta el 10 inclusive á 11 rs. ción de los Militares. Tomo x.‘° , en 8.° cada uno en papel. á'2o rs. en rústica. • . . ' Colección de fachadas: quade</t>
  </si>
  <si>
    <t>de la Vaca y Bartolomé del Peso, Diego</t>
  </si>
  <si>
    <t>Diego de la Vaca y Bartolomé del Peso</t>
  </si>
  <si>
    <t>regorio Alagon, D. Luis Vargas y D. Diego Orellana, y á Subtenientes de.bandera á D. Pedro Estrada, D. Diego de la Vaca y Don Bartolomé del Peso, también Sargentos primeros del mismo cuerpo: á Sargento mayor del dei Milicias urbanas de dragones de Quispicanchi al Capitán D. Hermenegildo Delgado, y á Capitán al Ayudante D.</t>
  </si>
  <si>
    <t>de la Valle, Joseph Antonio</t>
  </si>
  <si>
    <t>Joseph Antonio de la Valle</t>
  </si>
  <si>
    <t>sacramentos de Penitencia y Comunión , y ext reicios dé mañana y noche: traducidas del francés por D. Joseph Antonio de la Valle: aumentado en esta edición con oraciones para visitar las iglesiasren semana santa , quarenta horas y los actos de fe, esperanza y caridad. Se hallarán- á 4 rs. en pasta con una l</t>
  </si>
  <si>
    <t>de la Vara, Rafael</t>
  </si>
  <si>
    <t>Rafael de la Vara</t>
  </si>
  <si>
    <t>rica. El Rey se ha dignado nombrar para uná Ración de la catedral de la Paz, vacante por ascenso de D. Rafael de la Vara á Obispo, Auxiliar de Santa Cruz de la Sierra, á D. Joseph Ceraso, Medio-Racionero de la misma catedral: para una Media-Ración de la catedral de Quito, vacante por muerte de D. Ig</t>
  </si>
  <si>
    <t>de la Vega y Rébolledá, Sebastián</t>
  </si>
  <si>
    <t>Sebastián de la Vega y Rébolledá</t>
  </si>
  <si>
    <t>ella: para una Canongia de la de Segovia, vacante por fallecimiento de D. Antonio Joachtn Marín, á D. Sebastian de la Vega y Rébolledá, Cura Párroco del lugar de Torrescarcela, en la misma diócesis: para otra Canongia de la catedral de Barbastro, vacante por muerte de D. Fernando Rodríguez, á D. Matías Guiu y Gar</t>
  </si>
  <si>
    <t>de la Vega, Joseph Ramón</t>
  </si>
  <si>
    <t>Joseph Ramón de la Vega</t>
  </si>
  <si>
    <t>os; y otra de esta clase á D. Joseph Padrman, Subteniente de granaderos, y Subtenencia de bandera á D. Joseph Ramón de la Vega: en el de Xerez la Tenencia de granaderos á D. Francisco de Urcullu, Teniente de fusileros; Tenencia de esta clase á D. Joseph Arquellada, Subteniente de granaderos, y esta result</t>
  </si>
  <si>
    <t>de Lago y Robles, Joseph</t>
  </si>
  <si>
    <t>Joseph de Lago y Robles</t>
  </si>
  <si>
    <t>do á Teniente de cazadores al de fusileros D. Tomas Freyre; á Teniente de esta clase al Subteniente D. Joseph de Lago y Robles; á Subteniente de granaderos al de fusileros D. Joseph Ramón de Ja Vega, y á Subteniente de bandera á D. Antonio Vicente Piñeyro y Fariña: en el de Bujalance i Teniente de fusiler</t>
  </si>
  <si>
    <t>de Lago y RoblesKD, Joseph</t>
  </si>
  <si>
    <t>Joseph de Lago y RoblesKD</t>
  </si>
  <si>
    <t>ncias'de bandera en los regimientos de Monterey, Mondoñedo, Ronda y Burgos á D. Joseph María Román, D. Joseph de Lago y RoblesKD. Joseph Guardado Miguens y Diúz, y D. Cirilo Joseph María deí Canto. . El Rey se ha servido conferir la Capellán! &gt; del sexto batallón del Real cuerpo de Artillería al presbítero</t>
  </si>
  <si>
    <t>de Laiglesia, Francisco</t>
  </si>
  <si>
    <t>Francisco de Laiglesia</t>
  </si>
  <si>
    <t>diccionario de equitación , y algunas notas necesarias para la mejor y verdadera inteligencia, por D. Francisco de Laiglesia : un tomo en n.° Esta obra , que puede mirarse como una recolección la mas selecta de quantos principios se han publicado hasta hoy , la dedica el traductor á la juventud española</t>
  </si>
  <si>
    <t>de Lamaddz, Domingo</t>
  </si>
  <si>
    <t>Domingo de Lamaddz</t>
  </si>
  <si>
    <t>D. Valentín Moralejo: á Subteniente al de bandera D. Joseph de la Torre, y á esta resulta al Cadete D. Domingo de Lamaddz. 7" Por Real orden de 22 de este mes se ha dignado el Rey declarar que la gracia concedida por S. M. para extraer del Reyno un millón y medio de antobas de aceyte , y un millón de</t>
  </si>
  <si>
    <t>de Lángara, Juan</t>
  </si>
  <si>
    <t>Juan de Lángara</t>
  </si>
  <si>
    <t>is d§ Borbon, y ios Excmos. Sres. Duque de Ribas, Duque de S. Cárlos, Arzobispo Inquisidor general, D. Juan de Lángara, D. Joseph Alvarez de Faria, y Marques de Paredes. Después celebró de pontifical el mismo Emo. Sr. Cardenal de Santa Alaría de Escala D. Luis de Borbon, en calidad de Prelado de l</t>
  </si>
  <si>
    <t>de Lar, Joseph</t>
  </si>
  <si>
    <t>Joseph de Lar</t>
  </si>
  <si>
    <t>ales Guardias Españolas tseabá servido promover el Rey á segundo Ayudante mayor al segundo Teniente D. Joseph de Lar* diz:¿brt!, ' . - ■ En América, El Rey ha nombrado Tenientes del batallón veterano de infantería fiico de Caracas 4 los Subtenientes- del propio cuerpo* D, Joseph Ufano y D. Jósep</t>
  </si>
  <si>
    <t>de Lara, Joseph</t>
  </si>
  <si>
    <t>Joseph de Lara</t>
  </si>
  <si>
    <t>la Subtenencia de granaderos á D. Luis de Sousa, Subteniente de fusileros, y empleo de esta clase á D Joseph de Lara, Cadete del. mismo cuerpo: en el de Tuy la Tenencia de cazadores al Teniente de fusileros D. Manuel Araujo; Tenencia de fusileros á D. Juan Gil de la Barrera , Subteniente de caza</t>
  </si>
  <si>
    <t>de Lara, Ramón</t>
  </si>
  <si>
    <t>Ramón de Lara</t>
  </si>
  <si>
    <t>Subteniente de granaderos D. Juan Antonio Monet; á Subteniente de granaderos al primer Subteniente D. Ramón de Lara; á primeros Subtenientes á los segundos D. Juan Vázquez y D; Nicolás Gamarra,. y á segundos Subtenientes a D. Joseph y D. Joachín Moreno Cagigal, Sargento distinguido del regimien</t>
  </si>
  <si>
    <t>de Lardizabal y Amezqueta, Miguel Joachín</t>
  </si>
  <si>
    <t>Miguel Joachín de Lardizabal y Amezqueta</t>
  </si>
  <si>
    <t>de Jesús. María , Carmelita descalzó, y Presidente de conferencias del convento de Marquina; pfcro D. Miguel Joachín de Lardizabal y Amezqueta, Juez ordinario dei pueblor como heredero; de</t>
  </si>
  <si>
    <t>de Larena, Domingo</t>
  </si>
  <si>
    <t>Domingo de Larena</t>
  </si>
  <si>
    <t>Cariet: en Madrid á D. Domingo de Altue, diputado de los gremios, portal de Paños; ó en Valencia á D. Domingo de Larena, de aquel comercio. Por providencia del Sr. D. Juan Antonio Santa María, del Consejo de S. M., jprimtr Teniente Corregidor de esta villa, dada ante D. Vicente de ia Cesta, Esciib3</t>
  </si>
  <si>
    <t>de Larrea de los Llanos y Val, Agustin</t>
  </si>
  <si>
    <t>Agustin de Larrea de los Llanos y Val</t>
  </si>
  <si>
    <t>ndó D. Matías de Val parda en ei convento de religiosos Capuchinos de la Paciencia de esta villa, y D. Agustin de Larrea de los Llanos y Val parda, primer Capellán de ella; Deña Agreda Fa raudo, vecina de esta corts, como poseedora del vínculo que fundó el referido D. Matías de Valparda ; D; Juan Martin de Irigoyen , v</t>
  </si>
  <si>
    <t>de Larreátegui, Manuel María</t>
  </si>
  <si>
    <t>Manuel María de Larreátegui</t>
  </si>
  <si>
    <t>uan Manuel Ruiz, y al Subteniente que fue de los extinguidos batallones de Voluntarios de Guipúzcoa D. Manuel María de Larreátegui: en el de la Princesa á segundo Teniente al Subteniente de granaderos D. Francisco Carrillo; á Subteniente de granaderos al primer Subteniente D. Joseph Medel de Prada; á primer S</t>
  </si>
  <si>
    <t>de LarrJpa, Francisco Xavier</t>
  </si>
  <si>
    <t>Francisco Xavier de LarrJpa</t>
  </si>
  <si>
    <t>a servido nombrar para una plaza de Oidor de la Real Audiencia de Aragón , vacante por promoción de D. Francisco Xavier de LarrJpa á la Regencia de la Cnancillería de Granada, á D. Joseph Regides y Cregenzan, Alcalde dtl Crimen mas antiguo de la misma Audiencia; y para esta resulta á D. Joseph Gonzalo Ruiz de</t>
  </si>
  <si>
    <t>de las Cuentas Zayas, Agustin</t>
  </si>
  <si>
    <t>Agustin de las Cuentas Zayas</t>
  </si>
  <si>
    <t>ritos y circunstancias. ¡ - "■ ' ; El Gobernador Intendente de la provincia dé CHiapa, en América , Don Agustin de las Cuentas Zayas, promovió e rf stf gobierno la inoculación de viruelas, asistiendo personalmente en varics pueblos del partido de Confitan, su Teniente D. Antonio Serrano ¡Polo en Ciudad-Real, y</t>
  </si>
  <si>
    <t>de Latassa y Ortin, Félix</t>
  </si>
  <si>
    <t>Félix de Latassa y Ortin</t>
  </si>
  <si>
    <t>ragoneses qúe florecieron desde el afio de 1689 hasta el de 1753: por el Dr. D. Félix de Latassa y Ortin , Racionero de Mensa, con. honores de Canónigo de la metropolitana de Zaragoza, socie de mérito de la Real sociedad aragonesa : tomo 4.0 Se hallará con los anteriores y los dos de la Bibliote</t>
  </si>
  <si>
    <t>de Le, Jóseph Ignacio</t>
  </si>
  <si>
    <t>Jóseph Ignacio de Le</t>
  </si>
  <si>
    <t>rvido nómbrar J&gt;ara éí eriíplea dé Contador de íá Reáf aduana de Lima , vacante por faMecimientb dé D. Jóseph Ignacio de Le-: ^trmda, á D. Franbíséo'María PizárrÓ y Ce^allos.' ’ Igualmente se Ha servido el Rey1 nombrar para el empleo de Oficial prímero de la Contaduría de las Reates Caxás de Campeche.,</t>
  </si>
  <si>
    <t>de León y Cuba, Joseph</t>
  </si>
  <si>
    <t>Joseph de León y Cuba</t>
  </si>
  <si>
    <t>ar del Corral y D. Ambrosio González : en el de Montesa á primer Teniente al segundo de carabineros D. Joseph de León y Cuba; á segundo Teniente al Alférez de carabineros D. Antonio Leguey, y á Alférez al Portaestandarte D. Juan Cañete; y en el de dragones de Aimansa á Alféreces al Sargento primero de g</t>
  </si>
  <si>
    <t>de León y Romero, Manuel</t>
  </si>
  <si>
    <t>Manuel de León y Romero</t>
  </si>
  <si>
    <t>sileros D. Gaspar Fernandez, y á Subtenientes al Sargento primero D. Gregorio de Arroyo y al Cadete D. Manuel de León y Romero; habiendo nombrado también §. M. Capellanes de los regimientos de infantería de Aragón y Cazadores Voluntarios de la Corona á los presbíteros D., Juan Bueno y Cevallos y D. Valero</t>
  </si>
  <si>
    <t>de León, Andrés</t>
  </si>
  <si>
    <t>Andrés de León</t>
  </si>
  <si>
    <t>a Canongía de la metropolitana de Toledo , vacantp por fallecimiento de D. Manuel Martinez Nubla, á D. Andrés de León, Racionero de ella: para otra Canongía de la de Santiago,' vacante por muerte de D. Joachtn Miguel de Almansa, á D. Rafael Francisco de Unquera y Cobian, Racionero de la misma met</t>
  </si>
  <si>
    <t>dia de la ciudad de Cádiz: para otra Ración de la metropolitana de Toledo, vacante por promoción de D. Andrés de León á una Canongía de la misma iglesia, á D. Tomas Almansa y Yillaseñor; y para el Beneficio de la parroquial de S. Lúcar de Barrameda, en la diócesis de Sevilla, va</t>
  </si>
  <si>
    <t>de Leyva, Luis</t>
  </si>
  <si>
    <t>Luis de Leyva</t>
  </si>
  <si>
    <t>a,' y á esta resulta al Cadete Di. Manuel Miranda en el deCalatrava á segundo lenierite; al Alférez D. Luis de Leyva ;á; Alférez ai Portaestandarte Doj* Francisco Vigarra , y á Portaestandarte al Sargento D. Lúeas Mexías: en</t>
  </si>
  <si>
    <t>de Leyva, Miguel</t>
  </si>
  <si>
    <t>Miguel de Leyva</t>
  </si>
  <si>
    <t>9 Cepeda y D. Joseph Torrellebreta, y al de fusileros D. Miguel de Leyva;* á segundos Tenientes de granaderos á los de fusileros D. Jo seph Malpica y D. Felipe Gironda; á segundos Tenientes á los Subtenientes de granaderos D. Juan Calderón, Joachín Ben</t>
  </si>
  <si>
    <t>de Lezairía Martínez, Manuel</t>
  </si>
  <si>
    <t>Manuel de Lezairía Martínez</t>
  </si>
  <si>
    <t>ópez Caamaño: para una Ración de la catedral de Sigüenza, vacante por muerte de D. Pascual Nieto, á D. Manuel de Lezairía Martínez, Cura de la villa de Slsamon y su anexo Cabo la Fuente, en aquel obispado: para otra Ración de la eolegial de Xerez de la Frontera, diócesis de Sevilla, vacante por fallecimiento</t>
  </si>
  <si>
    <t>de Lezama, Manuel</t>
  </si>
  <si>
    <t>Manuel de Lezama</t>
  </si>
  <si>
    <t>,á D. Antonio Cerut-lo Sanz -. para la Ración de la de Sigüenza, que ha vacado por fallecimiento de D. Manuel de Lezama (á quien S. M. había nombrado para ella) antes de habérsele expedido la Real presentación, á D. Francisco Sánchez Nieto, Medio-Racionero de la misma; y para el Beneficio de la par</t>
  </si>
  <si>
    <t>de Lezo y Ü Jfalomeque, Agustín</t>
  </si>
  <si>
    <t>Agustín de Lezo y Ü Jfalomeque</t>
  </si>
  <si>
    <t>dores, consignando 400ÍZI rs. de las rentas del espolio y vacante del difunto Arzobispo el Exc. Sr. D. Agustín de Lezo y Ü Jfalomeque, con el objeto de socorrerlos con caballerías de labor quando se íes mueren ó desgracian, siguiendo un turno riguroso entre los pueblos de la diócesis, y haciéndoles en ciertos ca</t>
  </si>
  <si>
    <t>de Llano, Ambrosio</t>
  </si>
  <si>
    <t>Ambrosio de Llano</t>
  </si>
  <si>
    <t>r para el Obispado de la catedral de Chiapa, vacante por fallecimiento de D. Fermín Joseph Fuero, á D. Ambrosio de Llano, Dignidad de Tesorero de la de Guatemala; y. para el de Sta. Marta, vacante por renuncia hecha de él por D. Juan Francisco Avendaño, al R. P. Fr. Eugenio de Sesé, religioso Agusti</t>
  </si>
  <si>
    <t>do nombrar para: la Dignidad de Tesore. ro de L mctroooütana de Guatemala, vacante por promoción de D. Ambrosio de Llano,-á D. Antonio García Redondo, Canónigo Magistral de'la inistn? iglési’. " - ,■ . . El Rey se ha dignado nombrar Teniente de fusileros déf batallón de ' milicias disciplinad bS^ie</t>
  </si>
  <si>
    <t>de Llihuri, Joseph</t>
  </si>
  <si>
    <t>Joseph de Llihuri</t>
  </si>
  <si>
    <t>aduado de Alférez D. Pedro Rodríguez: en el de dragones del Rey á Teniente al Alférez de granaderos D. Joseph de Llihuri; y en el de dragones de la Rey na á Alférez al Cadete D. Francisco Augirot. S. M. ha promovido en el regimiento provincial de Ronda á Capitán al Teniente D. Salvador Linares y Tub</t>
  </si>
  <si>
    <t>de Llordella, Ramón</t>
  </si>
  <si>
    <t>Ramón de Llordella</t>
  </si>
  <si>
    <t>........... D. Fernando de Echepare. En Badajoz.......... D. Manuel de Ja Peña. En Barcelona....... D. Ramón de Llordella é hijo. En Burgos............. D. Andrés Frayle. En Cádiz..............D. Benito de la Piedra. En Cartagena...... . D. Manuel de Ozores. En Ciudad-Real.. D. Ramón Antonio Pico. En</t>
  </si>
  <si>
    <t>........ D. Fern ando de Eche pare. En Badajoz........... D. Manuel de la Peña. En Barcelona»...... D. Ramón de Llordella é hijo. En Burgos............. D. Andrés Fray le. En Cádiz............... D. Benito de la Piedra. En Cartagena........D. Manuel de Ozores. En Ciudad-Real... D. Ramón AntonioTico.</t>
  </si>
  <si>
    <t>.......... D. Fernando de Echepare. En Badajoz........... D. Manuel de la Peña. En Barcelona....... D. Ramón de Llordella é hijo. En Burgos.......... D. Andrés Fray le. En Cádiz...............D. Benito de la Piedra. En Cartagena........ D. Manuel de Ozores. En Ciudad-Real... D. Ramón Antonio Pico. En</t>
  </si>
  <si>
    <t>de Lodron, Conde</t>
  </si>
  <si>
    <t>Conde de Lodron</t>
  </si>
  <si>
    <t>ron SS. MM. á esta capital con el Príncipe y la Princesa de Badén, á quienes el Conde de Lodron, Ministro de Austria, ha obsequiado con una fiesta muy lucida.—El ciud. Bourgoing, Ministro de Francia, dará en breve otra gran fiesta para celebrar el ajuste de los preliminares de la paz</t>
  </si>
  <si>
    <t>de Lora y Cáceres, Ignacio</t>
  </si>
  <si>
    <t>Ignacio de Lora y Cáceres</t>
  </si>
  <si>
    <t>no Barran das;á primer Subteniente al segundo D. Pedro Escudero ; y á segundo Subteniente al Cadete D. Ignacio de Lora y Cáceres: en el de voluntarios de Castilla á Capitán al primer Teniente D. Antonio Barona;á primer Teniente al segundo ee granaderos D. Salvador Berrio; á segundo Teniente de granaderos, a</t>
  </si>
  <si>
    <t>de los Reyes, Sebastián</t>
  </si>
  <si>
    <t>Sebastián de los Reyes</t>
  </si>
  <si>
    <t>s por fallecimiento de D. Joseph Antonio de Areche , todos tres en la referida diócesis de Avila, á D. Sebastian de los Reyes;En el regimiento de infantería de Asturias se ha servido el Rey promover á segundos Subtenientes al Sargento primero D. Francisco García, y á 3ós Cadetes de los de Africa y Saboya</t>
  </si>
  <si>
    <t>de los Ríos, Carlos</t>
  </si>
  <si>
    <t>Carlos de los Ríos</t>
  </si>
  <si>
    <t>antería del Rey i Comandante del* tercer batallón al Sargento mayor , graduado de Teniente Coronel, D. Carlos de los Ríos: en el de la Princesa á primer Snbtemente al segundo D. Felipe Gómez Humaran, y i segundo Subteniente al Cadete Dr Jp achín, Signes: en el de Hibernia á primeros rSubtenientes á l</t>
  </si>
  <si>
    <t>de los Ríos, Vicente</t>
  </si>
  <si>
    <t>Vicente de los Ríos</t>
  </si>
  <si>
    <t>e han florecido en España desde los Reyes Católicos hasta el presente : por X). Vicente de los Ríos, Teniente que era de la compañía de caballeros Cadetes del Real cuerpo de Artillería ; un tomo en 8.° marquilla. Véndese á 4 rs. en la librería de Perez y compañía, calle de los Preciados,</t>
  </si>
  <si>
    <t>de Losada, Jacinto Antonio</t>
  </si>
  <si>
    <t>Jacinto Antonio de Losada</t>
  </si>
  <si>
    <t>posesión D. Manuel Pérez Camino, én mes ordinario, de una Canongía de la metropolitana de Burgos, á D. Jacinto Antonio de Losada, Canónigo de la misma catedral :'para el Priorato de las Ermitas, Dig.nidad de la metropolitana de Sevilla , vacante por fallecimiento de D. An-*4’Onio Moreno, á D. Antonio Joseph</t>
  </si>
  <si>
    <t>de Luna, Joseph</t>
  </si>
  <si>
    <t>Joseph de Luna</t>
  </si>
  <si>
    <t>ta; á esta resulta al Subteniente D. Luis Rengifo; y ha concedido Subtenencias en el mismo cuerpo á D. Joseph de Luna y D. Luis Manuel Zamora, Subtenientes del de Navarra, á D. Antonio Venancio Xarreño del de León, á D. Joseph de Elizalde y D. Francisco Sánchez de la Peña del de Granada, á D.Policarp</t>
  </si>
  <si>
    <t>de Macanaz, Melchor</t>
  </si>
  <si>
    <t>Melchor de Macanaz</t>
  </si>
  <si>
    <t>, por D. Ramón Bayeu» rez , y D. Joseph Pellicer : ro.“ D. Pedro Gon­ en 12 rs. zález de Mendoza , D. Melchor de Macanaz, Ocho estampas de diferentes pinturas de Fr. Francisco Ximenez de Cisneros, Vasco Palacio, grabadas por Goya y Castillo , en Nuñez de Valboa, D. Joseph Carrillo de Al­ 24 rs.. bor</t>
  </si>
  <si>
    <t>de Macia, Francisco</t>
  </si>
  <si>
    <t>Francisco de Macia</t>
  </si>
  <si>
    <t>sis de Huesca; para el Arcedianato de la de Solsona, vacante por muerte de D. Agustín de Ausaldo, á D. Francisco de Macia: para una Canongía de la metropolitana de Tarragona, vacante por fallecimiento de D. Joseph Ibañez Falomir, á D. Pedro Ramón de Juárez, Cura de la parroquial de Santiago de la ciu</t>
  </si>
  <si>
    <t>de Manuel Rodríguez, Miguel</t>
  </si>
  <si>
    <t>Miguel de Manuel Rodríguez</t>
  </si>
  <si>
    <t>morias para la vida del santo Rey D. Fernando / dadas £ luz con apéndices y otras ilustraciones por D. Miguel de Manuel Rodríguez, Bibliotecario pri— 'mero de los Reales estudios de M =drid, dedicadas á la Reyna Ntra. Sra. El nombre del P. Márcos Burriel, autor de estas memorias, y las doctas adiciones con q</t>
  </si>
  <si>
    <t>de Manuel y Rodríguez, Miguel</t>
  </si>
  <si>
    <t>Miguel de Manuel y Rodríguez</t>
  </si>
  <si>
    <t>os por el P.. Terreros, comprebenden la versión castellana á dichos idiomas; y el 4.0 dispuesto por D. Miguel de Manuel y Rodríguez, Bibliotecario, que fúé-dé* los Reales estudios .de esta corte , contiene los tres alfabetos fratces , latino é italiano, con las voces que le corresponden en castellano.. Se hall</t>
  </si>
  <si>
    <t>de March y de Saugmis, Buenaventura</t>
  </si>
  <si>
    <t>Buenaventura de March y de Saugmis</t>
  </si>
  <si>
    <t>et. En consideración á li antigüedad y lustre de la nobleza por ámbas líneas de la casa y Emilia de D. Buenaventura de March y de Saugmis. caballero y nople del Principado de Cataluña, se ha servido S. M. concederle título de Barón para sí, sus hijos y sucesores, con la denominación de U . Torre. ... . ' . . En Amér</t>
  </si>
  <si>
    <t>de Martín y Pérez, Antonio</t>
  </si>
  <si>
    <t>Antonio de Martín y Pérez</t>
  </si>
  <si>
    <t>j ¡Cálete D. Juan Manuel de Urquiaga : en el de Zaragoza á primer Teniente al segundo de granaderos D. Antonio de Martin y Perez ; á segundo Teniente de granaderos al de fusileros D. Domingo Martínez; á segundo Teniente al Subteniente de granaderos JD. Mariano de Jas Peñas; á esta resulta al primer Subtenie</t>
  </si>
  <si>
    <t>de Mas, Joseph</t>
  </si>
  <si>
    <t>Joseph de Mas</t>
  </si>
  <si>
    <t>iente D. Joseph Yeste, concediéndole al mismo tiempo grado Tn atención á los dilatados servicios de D. Joseph de Mas, Cónsul de 5. M. en Amsterdam, se ha servido el Rey concederle honores de Comisario ordenador de sus Reales exércitos. . En el sorteo quinto de la rifa de la Rea! Caxa de Descuent</t>
  </si>
  <si>
    <t>de Masdeu, Juan Francisco</t>
  </si>
  <si>
    <t>Juan Francisco de Masdeu</t>
  </si>
  <si>
    <t>sona de mediano talento de qualquler sexó y edad : obra dedicada á ia Reyna Ntra. Sra. por el Abate D. Juan Francisco de Masdeu,académico de Komi, Bolonia , Barcelona, Servilla 8cc. Los justos elegios y el aprecio que han merecido de los sabios las producciones literarias de este autor son sin duda el mas</t>
  </si>
  <si>
    <t>de Massia, Carlos</t>
  </si>
  <si>
    <t>Carlos de Massia</t>
  </si>
  <si>
    <t>r; á primer Subteniente al segundo D. Joseph Puecli, y á segundo Subteniente al Soldado distinguido D. Carlos de Massia; y en el Suizo de Betschart á segundos Tenientes á los Subtenientes D. Antonio Kamer y D. Juan Hediger. El Consejo á consulta de la Comisión gubernativa, y con aprobación de S. M.</t>
  </si>
  <si>
    <t>de Mata Ximenez, Juan</t>
  </si>
  <si>
    <t>Juan de Mata Ximenez</t>
  </si>
  <si>
    <t>do de Capitán: en el de la Reyna á Teniente al Alférez Don Fernando Hevia , y á Alféreces al Cadete D. Juan de Mata Ximenez y al Sargento primero de granaderos D. Alexandro Menor: en el de Alpiansa á Capitán al Ayudante graduado de Capitán D. Pedro Muñoz: en el de Numanciaá Capitán al Ayudante, graduado</t>
  </si>
  <si>
    <t>de Maurueza, Manuel</t>
  </si>
  <si>
    <t>Manuel de Maurueza</t>
  </si>
  <si>
    <t>. Un tonto en 8. * marquilla á' 6 rs. I Tratado de funerales y sepulturas, por en rustica. Su autor D. Manuel de Maurueza. I Fr. Miguel de Azero. En 4.0 á 11 rs. en pasta. "Resumen de los arneses antiguos, armas | El Antimefítico. En 8.0 á 2 rs. en rústica. blancas y de fuego de la Real Armería, por</t>
  </si>
  <si>
    <t>de Mecacoechea, Juan</t>
  </si>
  <si>
    <t>Juan de Mecacoechea</t>
  </si>
  <si>
    <t>razón de poyo y visitas. Los facultativos que quieran hacer pretensión se dirigirán por memorial á D. Juan de Mecacoechea y D. Nicolás de Madariaga, Fieles Regidores Síndicos de dicho valle , que los admitirán hasta el dia ig de Agosto de este año. En la Villa del Viso, provincia de Toledo , junto i Ille</t>
  </si>
  <si>
    <t>de Medina y Torres, Fernando</t>
  </si>
  <si>
    <t>Fernando de Medina y Torres</t>
  </si>
  <si>
    <t>e Jaén , vacante por promoción de 1). Joseph de Torres Aybar á la Tesorería de la misma colegial, á D. Fernando de Medina y Torres: para una Canongía de la colegial de Uxíjar, arzobispado de Granada, vacante por fallecimiento de D. Antonio Manuel y M4 id o,nado, á D. Francisco Delgado y Alonso, Beneficiado de</t>
  </si>
  <si>
    <t>de Medina, Francisco</t>
  </si>
  <si>
    <t>Francisco de Medina</t>
  </si>
  <si>
    <t>o ver, Corregidor que ha sido de la provincia dé Tunja en el mismo Reyno; y se ha servido nombrar á D. Francisco de Medina para eí empleo de Contador general de la Renta de Tabacos del Reyno de Goatemala, vacante por muerte de D. Francisco Rodríguez Frce; y para el de Interventor de la Factoría de Que</t>
  </si>
  <si>
    <t>de Mena, Francisco</t>
  </si>
  <si>
    <t>Francisco de Mena</t>
  </si>
  <si>
    <t>la Costa de Granada á primer Teniente al segundo D. Antonio Baeza, y á segundo Teniente al Alférez D. Francisco de Mena; y en el de dragones de Almansa á Teniente al Alférez D. Juan García. S. M. se ha servido nombrar para una plaza de Oidor de la Real Audiencia de Aragón , vacante por promoción de</t>
  </si>
  <si>
    <t>de Mena, Joseph</t>
  </si>
  <si>
    <t>Joseph de Mena</t>
  </si>
  <si>
    <t>ntes D. Dámaso de Vargas, D. Lúeas Belmar y D. Juan Becerra; á primeros Subtenientes á los segundos D. Joseph de Mena, D. Juan de Dios Abolaña, D. Diego Ortiz de Saracho, D. Juan Regis Fernandez Costa y D. Lúeas Ortega, y á segundos Subtenientes á los Cadetes D. Joachín Palacios, D. Juan Manuel C</t>
  </si>
  <si>
    <t>de Mendieta, Ignacio</t>
  </si>
  <si>
    <t>Ignacio de Mendieta</t>
  </si>
  <si>
    <t>de la imprenta Real. 1 D. Antonio de Arriaga remitió ei 30 de Enero desde la villa de Puerto Real á D. Ignacio de Mendieta, vecino de la ciudad de Ordufía , $ vales Reales de £ i¿o pesos de 1$ de Setiembre, números 163,374, 176,403, 190,119, 197,009 y 011,048, renovados á favor de Doña María de Respai</t>
  </si>
  <si>
    <t>de Mendoza Dios, Joseph</t>
  </si>
  <si>
    <t>Joseph de Mendoza Dios</t>
  </si>
  <si>
    <t>cción de Tablas para varios usos de 26 en pasta ordinaria , y 28 en pasta fina. la navegación , por D. Joseph de Mendoza Dios inmortal padeciendo en carne mory Ríos: á 50 rs. en rústica. tal, ¿ ¡a pas¿on de Christo, por el R. P. Tratado de Navegación , por D. Joseph Guillelmq Stanihursto , traducida por</t>
  </si>
  <si>
    <t>de Mendoza, Joachín</t>
  </si>
  <si>
    <t>Joachín de Mendoza</t>
  </si>
  <si>
    <t>s Personas Reales. El Rey ha nombrado para el Gobierno militar de la plaza de Olívenza al Brigadier D. Joachín de Mendoza, Coronel del Real cuerpo de Artillería. S. M. se ha servido nombrar por segundo Cabo ó Comandante militar de la provincia de Extremadura al Mariscal de Campo D. Juan Carrafa, pira</t>
  </si>
  <si>
    <t>de Mendoza, Manuel</t>
  </si>
  <si>
    <t>Manuel de Mendoza</t>
  </si>
  <si>
    <t>tería del Rey fixo de Manila se ha servido S. M. promover á Teniente de. granaderos al de fusiieros Don Manuel de Mendoza; á Teniente al Subteniente D. Ramón Mir; í Subteniente de compañía al de bandera D, Plácido Duro* y a Subteniente de bandera al Cadete D. Fernando Otal. c .. , En cumplimiento de</t>
  </si>
  <si>
    <t>de Mera y Peivyra, Joachín</t>
  </si>
  <si>
    <t>Joachín de Mera y Peivyra</t>
  </si>
  <si>
    <t>l de Borbon á Alférez al Portaestandarte Don Isidro de Rueda y Amaya, y á Portaestandarte al Cadete D. Joachin de Mera y Peivyra: en el de Santiago á segundo Teniente al Alférez D. Jo:tcMn Solis; á Alférez al Portaestandarte D. Antonio Melgarejo, y á esta resulta al Sargento graduado de Alférez D. Pedro Rod</t>
  </si>
  <si>
    <t>de Merlos, Joseph Ignacio</t>
  </si>
  <si>
    <t>Joseph Ignacio de Merlos</t>
  </si>
  <si>
    <t>e del tercer batallón al Sargenta mayor D. Pedro dé Arce: á Sargento mayor al Capitán de granaderos D. Joseph Ignacio de Merlos; y á Capitán de granaderos al de fusileros D. Francisco Caballereólos dos primeros graduados de Coroneles, y los otros dos de Teniente» Coroneles. El Rey se ha servido'conferir Co</t>
  </si>
  <si>
    <t>de Miera los Diálogos, Joachín</t>
  </si>
  <si>
    <t>Joachín de Miera los Diálogos</t>
  </si>
  <si>
    <t>va el Arte de D. Torqu'to Torio; a Don Andrés ViHamartin otro exemplar de los Viages de Wanton, y á D. Joachín de Miera los Diálogos del mismo D. Torquato: los dos primeros y h Araucana los franqueó S. E. El dia 3 de este mes falleció en esta corte de edad de 75 años cumplidos el Exc. Sr. D. Pedro Joachín de Murcia</t>
  </si>
  <si>
    <t>de Milla, Fernando</t>
  </si>
  <si>
    <t>Fernando de Milla</t>
  </si>
  <si>
    <t>te; y en ei de Santiago á Alférez al Portaestandarte D. Pedro Rodríguez, y á esta resulta al Cadete D. Fernando de Milla; habiendo conferido igualmente la Tenencia de la compañía suelta de fusileros del Reyno de valencia al primer Teniente del regimiento de infantería de Mallorca D. Antonio Serrano.</t>
  </si>
  <si>
    <t>de Mír, Fernando</t>
  </si>
  <si>
    <t>Fernando de Mír</t>
  </si>
  <si>
    <t>Aguirre. ^ En el esquadron de dragones de Luzon se ha servido S. M. promover á Teniente al Alférez D. Fernando de Mír; á Alférez al Cadete D. Felipe Memije, y á Portaguión al Sargento D. Joseph Jordán. . El Rey se ha dignado coriferir el Gobierno rñilitar y político de la provincia de Texas, en l</t>
  </si>
  <si>
    <t>de Miranda, Domingo Antonio</t>
  </si>
  <si>
    <t>Domingo Antonio de Miranda</t>
  </si>
  <si>
    <t>stura á ella acuda ante dicho Sr. Alcalde y citada escribaría* Por mandado del Sr. Alcalde de corte D. Domingo Antonio de Miranda . y escribanía de provincia de D. Joseph Fernandez de Gceda, se saca á pública subasta por término de ao dias, una escribanía de Cámara del Crimen de la sala de Sres. Alcaldes de</t>
  </si>
  <si>
    <t>Alcaldes de esta corte , tasada en uc§ rs. , que en virtud de providencia del Sr. Alcalde de corte D. Domingo Antonio de Miranda, se ha mandado sacar á pública subasta por término de 10 dias perentorios , acuda á la escribanía de provincia de D. Joseph Fernandez de Uceda ; previniéndose que su rematq está s</t>
  </si>
  <si>
    <t>forma qua sé acordó, en la junta celebrada el 26 de Julio último , que ha sido aprobada por el {5* D. Domingo Antonio de Miranda, del Consejo de S. M., su Alcalde de casa y corte ,.y juez de dicha testamentaría; conteniendo entre otras cosas la ci¡cunsr táncia dje qúe se haya de llamar por carteles, gazetas</t>
  </si>
  <si>
    <t>de Misa, Joseph</t>
  </si>
  <si>
    <t>Joseph de Misa</t>
  </si>
  <si>
    <t>el regimiento de infantería de Zaragoza se ha servido promover el Rey á Capitán aí primer Teniente D. Joseph de Misa; á primer Teniente al segundo de granaderos D. Domingo Henáres; á segundo Teniente de granaderos al de fusileros D. Juan Santiago Prast; á segundo Teniente al Agregado en esta Cla</t>
  </si>
  <si>
    <t>de Molina y Muñoz, Pedro Joseph</t>
  </si>
  <si>
    <t>Pedro Joseph de Molina y Muñoz</t>
  </si>
  <si>
    <t>mé de Rada y Santander, por retiro de D. León de Puga: la Regencia de la Audiencia de Extremadura á D. Pedro Joseph de Molina y Muñoz: la plaza de Oidor, que este obtenía en dicha Chancillería de Granada, al Alcalde mas antiguo de ella D. Ignacio de Guzman y Lecaroz; y esta resulta á D. Ildefonso Crespo Manjon.</t>
  </si>
  <si>
    <t>de Molina, Salvador</t>
  </si>
  <si>
    <t>Salvador de Molina</t>
  </si>
  <si>
    <t>do nombrar para la Ración de la metropolitana de Granada, que se halla vacante por fallecimiento de D. Salvador de Molina, á D. Baltasar Melchor Carretero , Medio Racionero de la misma: para una Ración de la parroquial de la villa de Berbegal, diócesis de Lérida, á Don Nicolás de Urquiza; para otra d</t>
  </si>
  <si>
    <t>de Mon, Juan</t>
  </si>
  <si>
    <t>Juan de Mon</t>
  </si>
  <si>
    <t>Reales Guardias Españolas se ha servido promover el Rey á primer Teniente al segundo Ayudante mayor D. Juan de Mon■salbe. En el de infanteYía de Soria á segundo Subteniente al;Cadete Don PabloRamis; en el .de^Guadalaxara á segundo Teniente al Subteniente de granaderos D. Matías ¡Cardona; á Sub</t>
  </si>
  <si>
    <t>de Monea, Juan</t>
  </si>
  <si>
    <t>Juan de Monea</t>
  </si>
  <si>
    <t>* ^ayme SanGerman a.°. Manuel y Gracia N.............. . Py en el Rosedlon................ &lt;37. 22, D. Juan de Monea!ni, Barón de Moncalm y Dofia An­ Castillo di- San Marques de Gauson. gela Dupuig........................... Víctor en Francia........... . 4£. 10.</t>
  </si>
  <si>
    <t>de Montes, Juan Bautista</t>
  </si>
  <si>
    <t>Juan Bautista de Montes</t>
  </si>
  <si>
    <t>de Maestrescuela de la catedral de Jaén, vacante por fallecimiento de D. Joscoh Morales Postigo, á D. Juan Bautista de Montes, Maestro principal del Real seminario de Versara : para la Canongn de la de León, vacante por muerte de Don Francisco Valbuena, y no haber sacado D. Lorenzo Mackeon ( t quien a-ri</t>
  </si>
  <si>
    <t>de Mora, Rafael</t>
  </si>
  <si>
    <t>Rafael de Mora</t>
  </si>
  <si>
    <t>Subteniente de granad -ros al primer Subteniente I&gt;. Manuel Vico; á primer Subteniente al.-segundo D. Rafael de Mora, y á -segundo Subteniente al Sargento primero distinguido del de ’Saboya D. Tomas Esteban: en el de Aragón á Capitán al Ayudante D. Juan Hungo de Velasco; á esita ¿resulta al prim</t>
  </si>
  <si>
    <t>de Moráles Guzman y Tovar, Juan</t>
  </si>
  <si>
    <t>Juan de Moráles Guzman y Tovar</t>
  </si>
  <si>
    <t>e el julvés ¿6 del corriente á las 12 de su mañana en la citada escríbanla. Por providencia del Sr. D. Juan de Moráles Guzman y Tovar, del Consejo de S. M. é Intendente de esta provincia, por su auto de ai de Febrero último , se ha señalado el término perentorio de 30 dias para la mejora del quarto á todas las f</t>
  </si>
  <si>
    <t>de Morales Guztnan y Tovar, Juan</t>
  </si>
  <si>
    <t>Juan de Morales Guztnan y Tovar</t>
  </si>
  <si>
    <t>sonalmente ó por escrito á su Secretaría capitular. Por el juzgado del Sr, Corregidor de esta villa D. Juan de Morales Guztnan y Tovar, del Consejo de S. AL en el de Castilla, Juez privativo de su Real pósito, se subastan en la ciudad de Zamora y su inmediación los bienes siguientes. Una casa en Ja plazuela de la</t>
  </si>
  <si>
    <t>de Moratin, Nicolás</t>
  </si>
  <si>
    <t>Nicolás de Moratin</t>
  </si>
  <si>
    <t>alle de Alcalá. Carta histórica sobre el origen y progresos de las fiestas de toros en España: |&gt;or D. Nicolás de Moratin : se da noticia de los sugetos que han executado en ellas su destreza y habilidad , y de los parages en que han sido las corridas. Se hallará á a rs. en la librería de Quiroga, en</t>
  </si>
  <si>
    <t>de Moría, Tomás</t>
  </si>
  <si>
    <t>Tomás de Moría</t>
  </si>
  <si>
    <t>stampas á las librerías de Kayío y Escribano, calle de las Carretas. Arte’de fabricar pólvora', por D. Tomas de Moría : 3 tornos en S.° mayor. Se hallará á 30 rs. en rústica en la librería de Alonso, frente i Ir s gradas de S. Felipe,</t>
  </si>
  <si>
    <t>de Mota Tello de Fonseca, Antonio</t>
  </si>
  <si>
    <t>Antonio de Mota Tello de Fonseca</t>
  </si>
  <si>
    <t>onel Don Mariano Fernandez de Folgueras , segundo Ayudante general del Estado mayor del exército, y D, Antonio de Mota Tello de Fonseca, Teniente Coronel del regimiento de Milicias de Crato f ambos nombrados por sus xefes para este objeto. Artícuío i.° Se conceden á la guarnición portuguesa los honores militares.</t>
  </si>
  <si>
    <t>de Mótales Salazar, Francisco</t>
  </si>
  <si>
    <t>Francisco de Mótales Salazar</t>
  </si>
  <si>
    <t>escendientes en primer lugar DofiaJuliana de Morales y los suyos en segur do, hijos á albos del Sr. D. Francisco de Mótales Salazar ; que fué del Consejo de Hacienda: á Doña Luisa Gonzalez.de Torres y sus deí candientes en-, tercero; á Doña Ana María Gonza tz de Torres y los suyos en quarto: á DffiaLmsa Gonzál</t>
  </si>
  <si>
    <t>de Moya, Joseph</t>
  </si>
  <si>
    <t>Joseph de Moya</t>
  </si>
  <si>
    <t>e cuidaban de este asunto. El facultativo observó que daba señales de vida el feto , y por medio de D. Joseph de Moya, Cirujano titu-* lar, se hizo la.pperaciQn cesárea, extrayéndose vivo un niño, que fué bautizado.} y. • Jj* f . :; . . ; .. ,y v 'Madrid 6de Marzo.', I Rey se ha 'sérvidó^ nombrar</t>
  </si>
  <si>
    <t>de Murcia y Córdoba, Pedro Joachín</t>
  </si>
  <si>
    <t>Pedro Joachín de Murcia y Córdoba</t>
  </si>
  <si>
    <t>franqueó S. E. El dia 3 de este mes falleció en esta corte de edad de 75 años cumplidos el Exc. Sr. D. Pedro Joachín de Murcia y Córdoba, Consejero de S. M. en el supremo dé Castilla, y honorario de Estado, Arcediano de San Felipe, dignidad de la iglesia metropolitana de Valencia, y Colector ge-*jieral de Espolios</t>
  </si>
  <si>
    <t>de Murcia, Pedro Joachín</t>
  </si>
  <si>
    <t>Pedro Joachín de Murcia</t>
  </si>
  <si>
    <t>la consolidación, incluyéndose en ellos 153 de todas clases, destinados por el zelo del Exc. Señor D. Pedro Joachín de Murcia, Colector general de espolios y vacantes, los quales fueron recibidos por créditos á favor de estos ramos, cuyos capitales .unidos componen el total de 4.043,294 rs. 4 mrs. vn. ,</t>
  </si>
  <si>
    <t>la consolidación, incluyéndose en ellos 153 de todas clases, destinados por el zelo del iixe. Señor D. Pedro Joachin de Murcia, Colector general de espolios y vacantes, los quales fueron recibidos por créditos á favor de estos ramos, cuyos capitales unidos componen el total de 4.043,294 rs. 4 mrs. vn. , y</t>
  </si>
  <si>
    <t>ar al Sr. D. Sebastian de Torres para la plaza vacante en el Real Consejo por fallecimiento del Sr. D. Pedro Joachin de Murcia; y para la de Alcalde de casa y corte, que resulta vacante por ascenso dei dicho Sr. D. Sebastian de Torres, á D. Joseph Marquina Galindo. Han sido del agrado del Rey el valor y b</t>
  </si>
  <si>
    <t>de expósitos y hospitales que tienen todos los testados, y particularmente España : por el Exc. Sr. D. Pedro Joachin de Murcia. Se hallará en la librería de Herrera, postigo de S. Martin. Elog'o del Exc. Sr. D.,Antonio Barceló con motivo de la expedición contra Argel. El autor después de cantar las proeza</t>
  </si>
  <si>
    <t>de Mutua, Joseph Sebastián</t>
  </si>
  <si>
    <t>Joseph Sebastián de Mutua</t>
  </si>
  <si>
    <t>y D. Juan Ib iñez, Alféreces; y empleos de Alféreces a D. Ignacio Carrillo, Sargento Pr i mero*, y D. Joseph Sebastian de Mutua., Soldado distinguido del mismo cuerpo: el empleo de Coronel del regimiento de Milicias urbanas de caballería de lea al Comandante de esquadron D. Tomas de Auscjo, y el de Tenient</t>
  </si>
  <si>
    <t>de Muzquiz y Aidunate, Rafael</t>
  </si>
  <si>
    <t>Rafael de Muzquiz y Aidunate</t>
  </si>
  <si>
    <t>1 Rey se ha servido nombrar para et Obispado de Avila, que se halla vacante por traslación del Sr, D. Rafael de Muzquiz y Aidunate al Arzobispado- de Santiago, al Sr» D. Manuel Gómez de Salazar, del Consejo de S. M. en el de la Suprema;, y para el de Vallad ©lid, vacante por fallecimiento del Sr. D. Manuel Jo</t>
  </si>
  <si>
    <t>de Na-vas López, Antonio</t>
  </si>
  <si>
    <t>Antonio de Na-vas López</t>
  </si>
  <si>
    <t>Sevilla , vacante ^por promoción de D. JoSeph María de Roo á una Ración dé Ja catedral de Cádiz, á D. Antonio de Na-vas López , con la obligación de personal residencia qué tiene anéxa ; y .para una Capellanía de boro de la catedral de Cuenca, que vacó ppr faíleicimienro de JD.iJuan Mc.rtinezvMuñoz, áD.</t>
  </si>
  <si>
    <t>de Nava y Campománes, Joachín</t>
  </si>
  <si>
    <t>Joachín de Nava y Campománes</t>
  </si>
  <si>
    <t>ao; á primer Teniente al segundo D. Ventura Pujo lar, y á esta resulta al segundo Teniente agregado D. Joachin de Nava y Campománes : y en el regimiento de Ñapóles á Capitán al Ayudante D. Manuel Xerez. &gt; En atención á las circunstancias y servieios de D. Joseph García Cedrian, Contador de reglamentos en S. Se</t>
  </si>
  <si>
    <t>de Negrete, Francisco Xavier</t>
  </si>
  <si>
    <t>Francisco Xavier de Negrete</t>
  </si>
  <si>
    <t>14 de junio de 1801</t>
  </si>
  <si>
    <t>53 (extraord.)</t>
  </si>
  <si>
    <t>ue se le hizo, determine tomarla á fuerza ; con este fin mandé que la quarta -división, al cargo de D. Francisco Xavier de Negrete t tomase posición sobre ella el dia 21 , y resolví dar otro destino á la segunda. mas nnmrtíoc» olla. Se reconoció en el mismo dia; el parage mas oportuno para establecer una bate</t>
  </si>
  <si>
    <t>de Nieva las Aventuras de Gil Blas, Joseph</t>
  </si>
  <si>
    <t>Joseph de Nieva las Aventuras de Gil Blas</t>
  </si>
  <si>
    <t>ngenieros, los Viages de Wanton , última edición; á D. tugenio Tourdinier la Araucana de Ercilla; á D. Joseph de Nieva las Aventuras de Gil Blas; á D. Joseph de Rivacova el Arte de D. Torqu'to Torio; a Don Andrés ViHamartin otro exemplar de los Viages de Wanton, y á D. Joachín de Miera los Diálogos del mismo D. Torquato: l</t>
  </si>
  <si>
    <t>de Norman, Barón</t>
  </si>
  <si>
    <t>Barón de Norman</t>
  </si>
  <si>
    <t>lver á su patria. ? {; -' v Lunéville ii.de Enero, • E I dia 8 ílegáron aquí el Barón dé Norman, Ministro plenipotenciario del Duque de Wurtemberg, y él Barón de Béckendoríf, secretario de legación. El 9 comíérpn *en casa dsd Conde de Cobentz.el, y él io en la del ciud. Joseph Bo ñapa</t>
  </si>
  <si>
    <t>de Ócbéa, Manuel</t>
  </si>
  <si>
    <t>Manuel de Ócbéa</t>
  </si>
  <si>
    <t>ay DortJ Pedro Mari ti y D. Pedro Pi riz , y;* pr ¡meros Subtenientes á losVsegundos D. Juan Sayol, D. Manuel de Ócbéa^Di Juan-Villegas, y á D. Joáchín1 Becerra , Soldado distinguido que fué del de Extremadura. En atención á los dilatados particulares méritos de D. Bartolmé de la Dehesa , Contador</t>
  </si>
  <si>
    <t>de Olazaval, Felipe</t>
  </si>
  <si>
    <t>Felipe de Olazaval</t>
  </si>
  <si>
    <t>de Milicias disciplinadas de infantería de Arequipa al dé fusileros, graduado de Teniente Coronel, D. Felipe de Olazaval, y á Capitanes al agregado en la propia clase D. Buenaventura Zañartu del- Fiehro1, y' á los Tenientes de granaderos D. Pedro Abril y D. Ignacio Bustamante: á Capitanes de los esq</t>
  </si>
  <si>
    <t>de Olivares, Manuel Estéban</t>
  </si>
  <si>
    <t>Manuel Estéban de Olivares</t>
  </si>
  <si>
    <t>D. Manuel Cortes y Obel, y á los paisanos D. Vicente García Seijo, D. Francisco Timoteo de Ribera, D. Manuel Estéban de Olivares, D. Gregorio Gómez de Ap iricio, D. Joseph de la Barreda, D. Agustín García de Arce, D. Mirtin Mármol, D. Andrés Vázquez, D. Andrés Ximenez, Don Fernando Antonio del Mármol, D. Jo</t>
  </si>
  <si>
    <t>de Oloriz y Ganuza, Pedro Mateo</t>
  </si>
  <si>
    <t>Pedro Mateo de Oloriz y Ganuza</t>
  </si>
  <si>
    <t>res á IX Antonio Tomaseo, Subteniente de fusileros r en el de Lo— .groño Subtenencia de fusileros á D. Pedro Mateo de Oloriz y Ganuza; y en el de Bujalance Subtenencia de bandera á D. Ghristóbal Villalobos. ; En América* Se ha servido S. M..conferir, él émpleo de Teniente Coronel del regimiento de Milicias urban</t>
  </si>
  <si>
    <t>de Orbaneja, Diego</t>
  </si>
  <si>
    <t>Diego de Orbaneja</t>
  </si>
  <si>
    <t>malhechores en Andalucía, baxo las órdenes del Teniente Coronel del regimiento provincial de Xerez D. Diego de Orbaneja, prendió, en la mañana .del dia 5 del cor-r</t>
  </si>
  <si>
    <t>de Orellana, Juan</t>
  </si>
  <si>
    <t>Juan de Orellana</t>
  </si>
  <si>
    <t>descuentos de Madrid - de otro, núm. 451,774, i D. Joaquín Gil; de dos, míms. 451,775 y 466,798, i D. Juan de Orellana; de otrcs des, núms. 466,796 y 466,799, á D. Vicente Martínez ; de otro, núm, 466,797, á D. Francisco Gutiérrez, y de otro, núm. 466,801 , á D. VicenteTor-!res ; ha pedido que par</t>
  </si>
  <si>
    <t>de Oriol, Francisco</t>
  </si>
  <si>
    <t>Francisco de Oriol</t>
  </si>
  <si>
    <t>dro y Doña María José- Guiíiana en el pha de Mas. ........................ . Rosellon...... 34. ap. D. Francisco de Oriol. D. Pedro y Doña Teresa de Ribas............. ......................... Tuy en id........ 34. ap. D. Juan Barissult Dura. D. Antonio y Dofia Mariana Dalsat............... ........</t>
  </si>
  <si>
    <t>de Oriol, Juan</t>
  </si>
  <si>
    <t>Juan de Oriol</t>
  </si>
  <si>
    <t>idem. 33. 4. Pascual Miteno........... Agustín-y Mana Pirret............ Montalban........ 32. 24. D. Juan de Oriol........ D. Pedro y Doña María José- Guiíiana en el pha de Mas. ........................ . Rosellon...... 34. ap. D. Francisco de Oriol. D. Pedro y Doña Teresa de Ribas............</t>
  </si>
  <si>
    <t>de Osorio, María</t>
  </si>
  <si>
    <t>María de Osorio</t>
  </si>
  <si>
    <t>mesón , sita en la plaza pública ce 3a villa de Leganés, perteneciente 6 1 ’S memorias fundadas por Doña María de Osorio, comprehensiva de 10,691 pies de sitio, tasada en 30,541 rs., se remató el «3 de Julio en 32,541 rs. á psgar en vales : se ha hecho la mejor* del quarto, y está señalado para su r</t>
  </si>
  <si>
    <t>de OteroDoñ, Tomás</t>
  </si>
  <si>
    <t>Tomás de OteroDoñ</t>
  </si>
  <si>
    <t>boyes, ley endo una noticia histórica dé su establecí-r miento, progresos y ¿estada; y en nombre de D. Tomas de OteroDoñ ' Joachín de la Croix publicó el secretario él informe ó memoria sobre lasf observaciones hechas de orden de la sociedad en el cultivo del cacahuate.^; Don Pedro Pichó recitó unos</t>
  </si>
  <si>
    <t>de Oviedo, Felipe</t>
  </si>
  <si>
    <t>Felipe de Oviedo</t>
  </si>
  <si>
    <t>nencia de bandera á D-. Juan de Dios Angulo y Astorga; y en el de Tol do Subtenencia de fusileros á D. Felipe de Oviedo ,1 Cadete del mismo cueifpo. r 'í En América. S. M. *há norribrádo-ps'ra la Canongía de la catedral dé* Sita; Fe de Bogotá, que ha resultado vacáhté por muerte de D. Lorenzo Várga</t>
  </si>
  <si>
    <t>de Oviedo, Pedro</t>
  </si>
  <si>
    <t>Pedro de Oviedo</t>
  </si>
  <si>
    <t>ue se distribuyeron entre los mas sobresalientes discípulos , y lo fueron en la clase de etimología D. Pedro de Oviedo y D. Gil Rufrancos; en etimología y versión D. Félix Valderrama, D. Manuel Argomaniz (los que con solos cinco meses de estudio tráduxéron con propiedad los pasages que se les señalaro</t>
  </si>
  <si>
    <t>de Oxensticrn, Barón</t>
  </si>
  <si>
    <t>Barón de Oxensticrn</t>
  </si>
  <si>
    <t>s s£ obliguen á no llevarlos á Inglaterra. ;&gt; í- Copenhague 7 de Marta. * " E 1 Barón de Oxensticrn, Ministro de S. M. Sueca en esta corte, y el ciud. Bourgoing, Enviado de Francia, han salido de aquí para Elseneur á esperar al Príncipe Real de Dinamarca, que .sé ha transferido á aquella</t>
  </si>
  <si>
    <t>de Ozores, Manuel</t>
  </si>
  <si>
    <t>Manuel de Ozores</t>
  </si>
  <si>
    <t>s............. D. Andrés Frayle. En Cádiz..............D. Benito de la Piedra. En Cartagena...... . D. Manuel de Ozores. En Ciudad-Real.. D. Ramón Antonio Pico. En Córdoba...........Sres. Barcia padre é hijo. En la Cortina....... D. Manuel Antonio Elzaurdí. En Cuenca............. D. Manuel Escolar</t>
  </si>
  <si>
    <t>gos............ D. Andrés Frayle. En Cádiz.............. D. Benito de la Piedra. En Cartagena.......D. Manuel de Ozores. En Ciudad-Real,* D. Ramón Antonio Pico. En Córdoba.......... Sres. Barcia padre é hijo. En la Coruña....... D. Manuel Antonio Elzaurdí. En Cuenca......... D. Manuel Escolar y Nor</t>
  </si>
  <si>
    <t>............ D. Andrés Fray le. En Cádiz............... D. Benito de la Piedra. En Cartagena........D. Manuel de Ozores. En Ciudad-Real... D. Ramón AntonioTico. En Córdoba........... Sres. Barcia padre é hijo. En la Coruña........ D. Manuel Antonio de Elzaurdi. En Cuenca............. D. Manuel Esco</t>
  </si>
  <si>
    <t>s........... I). Andrés Frayle. En Cádiz............... D. Benito de la Piedra. En Cartagena........D. Manuel de Ozores. En Ciudad-Real... D. Ramón Antonio Pico. En Córdoba............Sres. Barcia padre é hijo. En la Cor uña........ D. Manuel Antonio de Elzaurdi. En Cuenca... ......... D. Manuel Es</t>
  </si>
  <si>
    <t>os.......... D. Andrés Fray le. En Cádiz...............D. Benito de la Piedra. En Cartagena........ D. Manuel de Ozores. En Ciudad-Real... D. Ramón Antonio Pico. En Córdoba........... Sres. Barcia padre é hijo. En la Coruña........ D. Manuel Antonio de Elzaurdi. En Cuenca............ . D. Manuel Es</t>
  </si>
  <si>
    <t>de Padilla, Francisco Joseph</t>
  </si>
  <si>
    <t>Francisco Joseph de Padilla</t>
  </si>
  <si>
    <t>de Escacena , en el arzobispado,de Sevilla, vacante por muerte de D. Francisco-Antonlo Menendez, á D. Francisco Joseph de Padilla, con obligación de precisa personal residencia. . En consideración á loslservlcios y mérito de D&gt; Eugenio Izquierdo le ha concedido el Rey honores de Ministro del supremo Consejo</t>
  </si>
  <si>
    <t>de Pala- Seis, Juan</t>
  </si>
  <si>
    <t>Juan de Pala- Seis</t>
  </si>
  <si>
    <t>rdo de Argensola , D. Francisco Va­ „batallas de Granada: todas en 80 rs. lles, D. Juan de Ribera , D. Juan de Pala- Seis estampas del Poema de la Música, en fox y Mendoza , y el Mtro. Fr. Luis Ponce ■ 18 rs. de León : 8.° D. Diego Mesía y Guzman, el Retrato del V. Fr. Sebastian Sillero, poe Mtro. Juan</t>
  </si>
  <si>
    <t>de Paula Antonio, Francisco</t>
  </si>
  <si>
    <t>Francisco de Paula Antonio</t>
  </si>
  <si>
    <t>se vistió la corte de gala en el Real sitio de Aran juez con motivo del cumpleaños del Sr. Infante D. Francisco de Paula Antonio hijo 3.0 del Rey. S. M. se ha servido nombrar para la Ración de la catedral de Cádiz, vacante por fallecimiento de D. Domingo Costa, á D. Joseph Maria de Roó : para el Medio-Prést</t>
  </si>
  <si>
    <t>f de tedtró y poesía, 125 novelas'&amp;é. Madrid j de Abril. G ■ on motivo de los días del Sr. Infante D. Francisco de Paula Antonio* t hijo tercero Üd Rey, se vistió'ayer la cofic dé gala en el Reál sitio Aranjuez. 'u r "V--'!."7rí..\ . c£ En el sorteo dé íá rifa dé la Real Caxa de De^cu^ntos , exeétltadb éiif</t>
  </si>
  <si>
    <t>de Paula Barrantes, Francisco</t>
  </si>
  <si>
    <t>Francisco de Paula Barrantes</t>
  </si>
  <si>
    <t>ncia de cazadores á D. Pascual Gamero y Santos, y Subtenencias de fusileros á D. Antonio Villaamil, D. Francisco de Paula Barrantes, D. Pedro Lobo Cabrilla y D. Francisco Bcrja Sandoval : en el de Badajoz la Tenencia de cazadores á D. Vicente Berriz, Teniente de fusileros; Tenencia de esta clase á D. Pedro Boo</t>
  </si>
  <si>
    <t>de Paula Benavides, Francisco</t>
  </si>
  <si>
    <t>Francisco de Paula Benavides</t>
  </si>
  <si>
    <t>compañíafixade Almeríá i Subtenientes al Sargento primero y Soldado distinguida D; Luis Fernandezy D. Francisco de Paula Benavides. ■ ¿iMpry-ut ■ ■ ur.nv tu. í; ? í En América. S. M. se ha servido nombrar para el Obispado die Mérida de Mar acaybo» vacantfcpor fallecimiento de D. Fr.'Antonio Espinosa , al Sr.</t>
  </si>
  <si>
    <t>de Paula Bernui, Francisco</t>
  </si>
  <si>
    <t>Francisco de Paula Bernui</t>
  </si>
  <si>
    <t>. Celedonio Eguizaval. Ha nombrado asimismo S. M. Cadete de número de la Española al supernumerario D. Francisco de Paula Bernui; y por Cadete supernumerario al Guardia D. JoacLín Muñoz. El Rey ha conferido el Gobierno militar y político de la plaza de Peñíscola al Brigadier de la Armada D. Josepn Salazar y</t>
  </si>
  <si>
    <t>de Paula Guampo, Francisco</t>
  </si>
  <si>
    <t>Francisco de Paula Guampo</t>
  </si>
  <si>
    <t>eniente al segundo D. Agustín de Hore; y en el de Húsares irispañoles á segundo Teniente al Alférez D. Francisco de Paula Guampo. : El dia 7 de Agosto falleció en esta corte á los 70 años cumplidos de edad el Sr. D- Juan Moreno, Ministro del Consejo dé Hacienda y en cuyo destino, en los dé Contador dél libr</t>
  </si>
  <si>
    <t>de Paula Márquez, Francisco</t>
  </si>
  <si>
    <t>Francisco de Paula Márquez</t>
  </si>
  <si>
    <t>caballería de la Costa de Granada D. Antonio 4-lvarez: en el de Borbon á Alférez al Portaestandarte D. Francisco de Paula Márquez: en el de Santiago á segundo Teniente al Alférez de carabineros D. Francisco Munárriz: en el de Carabineros de la Reyna María Luisa á Portaestandarte al Cadete D. Joseph Cavazeliz</t>
  </si>
  <si>
    <t>de Paula Miranda, Francisco</t>
  </si>
  <si>
    <t>Francisco de Paula Miranda</t>
  </si>
  <si>
    <t>laba; á esta resulta al primer Subteniente D.'Joachín-Ramón Cabero; á primer Subteniente al segundo D. Francisco de Paula Miranda, y á segundo Subteniente al Sargento primero D. Francisco Claramunt: en el de Asturias á Capitán de granaderos al de fusileros D. Pedro del Busto; á Capitán al primer Teniente de</t>
  </si>
  <si>
    <t>de Paula Naranjo, Francisco</t>
  </si>
  <si>
    <t>Francisco de Paula Naranjo</t>
  </si>
  <si>
    <t>ingles sin nombre de autor : traducida ai francés por Madama Riccobcní; y de este en castellano por D. Francisco de Paula Naranjo: representada en el coliseo de la calle ce la Cruz. Adolfo y Clara, ó los dos Presos. Comedia en un acto en prosa, con t-nterraedios.de música: traducida del francas por áX E. T.</t>
  </si>
  <si>
    <t>de Paula Quesada, Francisco</t>
  </si>
  <si>
    <t>Francisco de Paula Quesada</t>
  </si>
  <si>
    <t>oción de: í) Pedro Antonio* de Eguia á Canongía de la colegial del Sacromonte d« la misma ciudad, á D. Francisco de Paula Quesada: para dos Canongías de la metrooolitana de Zaragoza, vacantes por fallecimiento de D. Francisco Partearroyo y D. Isidro Vidal, á D. Juan Francisco de Albear y D. Manuel Perez Cami</t>
  </si>
  <si>
    <t>de Paula Rey, Francisco</t>
  </si>
  <si>
    <t>Francisco de Paula Rey</t>
  </si>
  <si>
    <t>En los regimientos provinciales ha conferido S. M. en el de Salamanca la Compañía de cazadores a D. Francisco de Paula Rey, Capitán de fusileros ; su resulta á D. Pedro López Ontiveros, Teniente de cazadores; esta vacante á D. Joseph García de Texada, Teniente de fusileros; Tenencias de esta clase á l</t>
  </si>
  <si>
    <t>de Paula Rodríguez, Francisco</t>
  </si>
  <si>
    <t>Francisco de Paula Rodríguez</t>
  </si>
  <si>
    <t>-J terral del Nuevo Reyno de, Lfeon., vacante por renuncia de D. Joseph Pedjp Bustülo y Cevailos, á D. Francisco de Paula Rodríguez; y para unaj 2¡£ecUa~Raqion de la catedral de Manila, en las islas Filipinas, vacante por promoción de D. Bernardo Fernandez Abascal á una Ración de la misma, á D. Sebastian Rodrí</t>
  </si>
  <si>
    <t>ixo por equivocación haber nombrado ti Rey para una Ración de la catedral del nuevo Reyno dé León á D. Francisco de Paula Rodríguez, y debe decirse á D.Frangísco de Paula García y Medina.</t>
  </si>
  <si>
    <t>de Paula Uztariz, Francisco</t>
  </si>
  <si>
    <t>Francisco de Paula Uztariz</t>
  </si>
  <si>
    <t>an; á primer Teniente al Teniente de cazadores D. Rafael Sedaño; á esta resulta al segundo Teniente D. Francisco de Paula Uztariz; á segundo Teniente de fusileros al Alférez de cazadores D. Henrique Zuluaga; á Ahférez de cazadores al de fusileros D. Rafael de Roxas, y á esta resulta al Cadete D. Genaro Martí</t>
  </si>
  <si>
    <t>de Paula Vázquez, Francisco</t>
  </si>
  <si>
    <t>Francisco de Paula Vázquez</t>
  </si>
  <si>
    <t>ndo Subteniente al Cadete D. Joseph Ordoñez: en el de Granada á segundos Subtenientes á los Cadetes D. Francisco de Paula Vázquez y D. Juan Pablo Sebastian: en el de España á Capitán de granaderos al de fusileros D. Guillermo Chichery; á Capitán al Ayudante D. Joseph Muñoz; á Ayudante al primer Teniente de grana</t>
  </si>
  <si>
    <t>de Paula Víctor, Francisco</t>
  </si>
  <si>
    <t>Francisco de Paula Víctor</t>
  </si>
  <si>
    <t>Alféreces de granaderos D. Francisco de Recciulli y_D. Joachín Barón de Garro, y á los de fusileros D. Francisco de Paula Víctor y D. Simón de Viüainayor. En el de infantería de Africa a primer Teniente al segundo de granaderos, graduado de Capitán, D. Benito Requena, a segundo Teniente de granaderos al de fusi</t>
  </si>
  <si>
    <t>de Pedrosa, Joseph</t>
  </si>
  <si>
    <t>Joseph de Pedrosa</t>
  </si>
  <si>
    <t>eniente al Subteniente de granaderos JD. Mariano de Jas Peñas; á esta resulta al primer Subteniente D. Joseph de Pedrosa , y á primer Subteniente ,al segundo D. Juan Joseph Navas: en el de Lean tá primer ¡Subteniente al segundo D. Francisco Mijares, y á;segundo Subteniente ai Cadete del de Africa D.</t>
  </si>
  <si>
    <t>de Peña, Manuel</t>
  </si>
  <si>
    <t>Manuel de Peña</t>
  </si>
  <si>
    <t>h de Arizcun. En el de infantería* del Príncipe:¿á^ Capitaaj al agregado en esta clase al do Saboya D. Manuel de Peña : en el de. España á Capitán al Ayudante D.:Juan o® Francia;' á esta res;úfta;.aí príineij T§r: niente de granaderos D. Pedro Rodríguez; á primer Teniente de ;giaiiiideros al dé f</t>
  </si>
  <si>
    <t>de Pierrefeu, Joseph</t>
  </si>
  <si>
    <t>Joseph de Pierrefeu</t>
  </si>
  <si>
    <t>al segundo de granaderos D. Henrique de Chaubron; á segundo Teniente de granaderos al de fusileros D. Joseph de Pierrefeu; á segundos Tenientes al Subteniente de granaderos D. Juan Pedro Payre, y á los primeros Subtenientes D. Luis Dubouzet y D. Leonardo de Pontons; á Subteniente de granaderos al pri</t>
  </si>
  <si>
    <t>de Piguillem, Francisco</t>
  </si>
  <si>
    <t>Francisco de Piguillem</t>
  </si>
  <si>
    <t>siempre de las viruelas: escritos en francés por el Dr. Colon, médico de París ; y traducido por el Dr. Francisco de Piguillem, socio íntimo de la Real academia de medicina práctica de Barcelona y del Real colegio de medicina de Madrid. Se hallará en la librería de Fernandez, frente á las gradas de S. Fel</t>
  </si>
  <si>
    <t>de Pineda, Pedro Manuel</t>
  </si>
  <si>
    <t>Pedro Manuel de Pineda</t>
  </si>
  <si>
    <t>Plaza; á Teniente al Subteniente D. Francisco Palacios; á Subteniente de granaderos al de fusileros D. Pedro Manuel de Pineda, y á Subteniente de bandera al Cadete D. Joseph Mariano Bolívar. El Consejo, á consulta de la Comisión gubernativa de consolidación de Vales, y con aprobación de S. M:., ha resuel</t>
  </si>
  <si>
    <t>de Piper, Conde</t>
  </si>
  <si>
    <t>Conde de Piper</t>
  </si>
  <si>
    <t>corte de Londres; al Conde de Wrangel, oficial del regimiento de Sudermania; al Conde de Piper, Coronel y Capitán de Guardias de Corps de aquel Soberano ; y al Conde Crik Piper, Capitán de caballos ligeros de la Guardia del Rey. En la misma audiencia se despidió del primer Cónsul el</t>
  </si>
  <si>
    <t>de Ponte, Benito</t>
  </si>
  <si>
    <t>Benito de Ponte</t>
  </si>
  <si>
    <t>edro González; Tenencia de fusileros á D. Joseph Colme lo, Subteniente de cazadores; esta resulta á D. Benito de Ponte, Subteniente</t>
  </si>
  <si>
    <t>de Portolá y de Vilailonga, Antonio</t>
  </si>
  <si>
    <t>Antonio de Portolá y de Vilailonga</t>
  </si>
  <si>
    <t>presidencia de ¿que11a Real Audiencia. En atención á la distinguida nobleza, méritos y servicios de D. Antonio de Portolá y de Vilailonga, vecino da la ciudad de Bdagur ea el principado de Cataluña, se ha dignado el Rey concederle títuio de Barón, con la denominación de Castellaou de Monstch, para sí, sus hijos y su</t>
  </si>
  <si>
    <t>de Portugal, Sebastián</t>
  </si>
  <si>
    <t>Sebastián de Portugal</t>
  </si>
  <si>
    <t>gamino y 14 en pasta. Historia de Gabriel de Espinosa, pastelero de Madrigal, que fingió ser el Rey D. Sebastian de Portugal; y asimismo la de Fr. Miguel de los Santos, en el año de igpg. Se hallará á 4 rs. en la librería de Castillo, en la de la viuda de Cerro, y en su puesto, calle de Alcalá. El Cómic</t>
  </si>
  <si>
    <t>de Prado y Tena, Gabriel</t>
  </si>
  <si>
    <t>Gabriel de Prado y Tena</t>
  </si>
  <si>
    <t>villa, en la diócesis de Toledo, vacante por dimisión que ha hecho de él D. Juan Antonio Cutanda, á D. Gabriel de Prado y Tena, con retención de la demas renta eclesiástica-que goza; y para una Presumirá de la villa de la Fuente de Pedro Narro, que se halla vacante en la diócesis de Cuenca, á D, Francisco</t>
  </si>
  <si>
    <t>de Prusia, Henrique (príncipe)</t>
  </si>
  <si>
    <t>Príncipe Henrique de Prusia</t>
  </si>
  <si>
    <t>u esposó el .Duque Antonio Clemente de Saxonia, hermano ddl Elector. Espérate en la misma ciudad al Príncipe Henrique de Prusia. : 11 ' El Príncipe Cárlos visitó el día 5 ^1 Príncipe de CGndé, y conversó con él mas de dos horas; y el día 12 el Duque Alberto de SaxoniaTeschen le dió .un convite, al qual asi</t>
  </si>
  <si>
    <t>de Prusia, Luis (príncipe)</t>
  </si>
  <si>
    <t>Príncipe Luis de Prusia</t>
  </si>
  <si>
    <t>ión ha mandado adelantar las, tropas, cuya vanguardia habrá pasado ya las-fronteras de Hánndver. El Príncipe Luis de Prusia sirve en aquekexército prusiano; y ellPríncipe Augñ-;to su hermano servirá probablemente en el cuerpo auxiliar, que esta corte-tiene que dar á la Dinamarca en caso que aquel Sober</t>
  </si>
  <si>
    <t>ocupar á F rey burgo y la isla de Kraut? sand. EL General Kleist sentará su quartel en Stade, y el Príncipe Luis de Prusia, que está baxo sus órdenes, mandará el ala izquierda en el ElbaInferior. Varios regimientos han pasado ya por Ottersberg. Bremen 13 de Abril, A yer á las 7 de la mañana un destaca</t>
  </si>
  <si>
    <t>de Puig, Juan</t>
  </si>
  <si>
    <t>Juan de Puig</t>
  </si>
  <si>
    <t>apela...................... sar............. ............................. Mondar id....... 2(5. £. D. Juan de Puig...... . D. Joseph y-Dofia Francisca de Ollert...................................... Movenir en id.. 23. 10. D. Bruno de Sarmejan. D. Pedro y Dofia Juana de Donasas................</t>
  </si>
  <si>
    <t>de Quevedo Villegas, Francisco</t>
  </si>
  <si>
    <t>Francisco de Quevedo Villegas</t>
  </si>
  <si>
    <t>real mas por tomo en VaUadolid en la &lt;ie CermeSo, y en Burgos en la de Alvarez. Obras escogidas de D. Francisco de Quevedo Villegas : 4 tomos er.quadernados en dos. tn;Colección de poesías del mismo , para servir de continuación á las obras escogidas. Se hallará á 30 rs. en pasta toda la obra con el tomo de ld</t>
  </si>
  <si>
    <t>de Quevedo y Aíonteagudo, Martín</t>
  </si>
  <si>
    <t>Martín de Quevedo y Aíonteagudo</t>
  </si>
  <si>
    <t>de bandera á D, Alvaro Cataño: en el de León Subtenencias de fusileros á D. Vicente Fernandez Luna, D. Martin de Quevedo y Aíonteagudo y D. Antonio Perez; y en el de Toledo las Subtenencias de bandera á D. Joseph de Salanova y D. Antonio Fernandez Htañez. En América. S. M. se ha servido nombrar para una Ración de la</t>
  </si>
  <si>
    <t>de Quevelo y Villegas, Francisco</t>
  </si>
  <si>
    <t>Francisco de Quevelo y Villegas</t>
  </si>
  <si>
    <t>dios de qualquiera fortuna $ libro de Lucio Aneo Séneca , filósofo estoyco, á Gaiion: traducido por D. Francisco de Quevelo y Villegas. Se hallará i «J rs. en las librerías de Castillo y de la viuda de Cerro, y en su puesto, calle de Alcalá. Carta histórica sobre el origen y progresos de las fiestas de toros en E</t>
  </si>
  <si>
    <t>de Quiñones, Luis</t>
  </si>
  <si>
    <t>Luis de Quiñones</t>
  </si>
  <si>
    <t>para el Arcedianato de Carballeda, Dig-r «udad de la catedral de Astorga, vacante por promoción de D. Luis de Quiñones al Deanato de la de León, á D. Manuel Zoylo de Medina Allende: para la Dignidad de Tesorero de la catedral de Guadix á D. Gabriel Lo-, pez y Lorca, Canónigo de ella: para una Cano</t>
  </si>
  <si>
    <t>de Rada y Santander, Bartolomé</t>
  </si>
  <si>
    <t>Bartolomé de Rada y Santander</t>
  </si>
  <si>
    <t>Puga y Feixoo1: para la de la Audiencia de Extremadura!, que este obtiene» y resultará vacante , á D. Bartolomé de Rada y Santander: para la plaza de'Oidor de este, en dicha Chancillería, á D. Joseph Garchíy; y para la de Alcalde del Crimen, que resultará vacante, al supernumerario D. Antonio Guajardo y Faxard</t>
  </si>
  <si>
    <t>roMirector de los Reales exércitos, plazas y fronteras: la Regencia de la Chancillería de Granada á D. Bartolomé de Rada y Santander, por retiro de D. León de Puga: la Regencia de la Audiencia de Extremadura á D. Pedro Joseph de Molina y Muñoz: la plaza de Oidor, que este obtenía en dicha Chancillería de Granad</t>
  </si>
  <si>
    <t>de Rama, Felipe</t>
  </si>
  <si>
    <t>Felipe de Rama</t>
  </si>
  <si>
    <t>........... 34° a6. Felipe de Rama,.. Joseph,....... ,. Antonia Varela..., Montrove...... Miraflores....... 46. ao. Joseph Fernandez. Joachin......... Bárbara Melendez. Luarca...... . Oviedo.......</t>
  </si>
  <si>
    <t>de Raunitz-Rittberg, Conde</t>
  </si>
  <si>
    <t>Conde de Raunitz-Rittberg</t>
  </si>
  <si>
    <t>10*4 , También ha llegado el Conde de Raunitz-Rittberg, Ministro del Emperador de Alemania. Se han hecho á ia vela para el mar del Norte un navio de línea nuevo y una fragata, al mando del Chambelán Conde de Bille. tí El General Macdonald , Emb</t>
  </si>
  <si>
    <t>de Rbxas, Francisco</t>
  </si>
  <si>
    <t>Francisco de Rbxas</t>
  </si>
  <si>
    <t>eniente al Subteniente de granaderos D. Miguel Merioyo; á Subteniente de granaderos al de fusileros D. Francisco dé Rbxas; á primer Subteniente al segundo D. Antonio de Soto, y á-segundó Subteniente al Sargento primero D. Francisco Angel de Alonso. ' i También en él* dé -caballería de España ha promo</t>
  </si>
  <si>
    <t>de Re, Juan</t>
  </si>
  <si>
    <t>Juan de Re</t>
  </si>
  <si>
    <t>y 13a marras., en 3,7401 Quien quisiere hacer postura acuda £ 1* escribanía dél número^ que: exerce D. Juan de Re pidedonde se. admitiré siendo? arreglada* ? . Verdadero? método paca: estudiar las. lenguas; española: y&lt; francesa, anunciado»</t>
  </si>
  <si>
    <t>de Recciulli, Francisco</t>
  </si>
  <si>
    <t>Francisco de Recciulli</t>
  </si>
  <si>
    <t>ngo Dublaisel y D. Felipe de Miquel y Bloadel; y a segundos Tenientes á los Alféreces de granaderos D. Francisco de Recciulli y_D. Joachín Barón de Garro, y á los de fusileros D. Francisco de Paula Víctor y D. Simón de Viüainayor. En el de infantería de Africa a primer Teniente al segundo de granaderos, gr</t>
  </si>
  <si>
    <t>de Répide, Juan</t>
  </si>
  <si>
    <t>Juan de Répide</t>
  </si>
  <si>
    <t>asárhaü. ' ' . ÍPor el juzgado d«! Sr. D. Juan Antonio Santa María , y escribanía del mime- " ró de D. Juan de Répide , se están subastando tres tierras en término de los lugares de Ambroz y Coscada : una en Valdevivar, con n fanegas y 6 ceiemines¿q tasada en gaoo rs. .* otra abarroyo de los Ttat</t>
  </si>
  <si>
    <t>de Requesens, Luis</t>
  </si>
  <si>
    <t>Luis de Requesens</t>
  </si>
  <si>
    <t>ércules: 4 reprexardo , y. Don Alvaro Navia Oson o : sentan Europa, Asia, Africa y América: dos 7." D. Luis de Requesens , D. Bartolomé las Virtudes Cardinales , y las otras dos las Leonardo de Argensola , D. Francisco Va­ „batallas de Granada: todas en 80 rs. lles, D. Juan de Ribera , D. Juan de Pa</t>
  </si>
  <si>
    <t>de Respaidiza, María</t>
  </si>
  <si>
    <t>María de Respaidiza</t>
  </si>
  <si>
    <t>esos de 1$ de Setiembre, números 163,374, 176,403, 190,119, 197,009 y 011,048, renovados á favor de Doña María de Respaidiza, y endosados en Cádiz él 01 del mismo mes á D. Juan Francisco de Respaldiza; y no habiendo llegado á poder del referido Mendieta, quien los hubiese hallado los remitirá en Ordufia</t>
  </si>
  <si>
    <t>de Respaldiza, Juan Francisco</t>
  </si>
  <si>
    <t>Juan Francisco de Respaldiza</t>
  </si>
  <si>
    <t>011,048, renovados á favor de Doña María de Respaidiza, y endosados en Cádiz él 01 del mismo mes á D. Juan Francisco de Respaldiza; y no habiendo llegado á poder del referido Mendieta, quien los hubiese hallado los remitirá en Ordufia' al mismo D. Ignacio: en esta corte i D. Santiago de Bergacza y Aguirre, ca</t>
  </si>
  <si>
    <t>de Rezabal y Ugarte, Joseph</t>
  </si>
  <si>
    <t>Joseph de Rezabal y Ugarte</t>
  </si>
  <si>
    <t>nombrar para la plaza de Regente de la Audiencia de Santiago de Chile, vacante por fallecimiento de D. Joseph de Rezabal y Ugarte, á D. Fernando Márquez de la Plata; y para una plaza de Oidor de'la Audiencia de Buenos-Ayres, vacante por promoción de Don Juan Antonio de la Riba á otra igual en la de Guadalaxa</t>
  </si>
  <si>
    <t>de Ribera y Céspedes, Juan</t>
  </si>
  <si>
    <t>Juan de Ribera y Céspedes</t>
  </si>
  <si>
    <t>eglas para la inteligencia de la sagrada escritura : obra de Mr; Duguet , traducida del francés por D. Juan de Ribera y Céspedes, oficial de la Secretaría de Cruzada: dos tomos en 12.0 que comprehenden documentos para penetrar el verdadero sentido de los libros sagrados del antiguo y nuevoTestámemo, con una</t>
  </si>
  <si>
    <t>de Ribera, Juan</t>
  </si>
  <si>
    <t>Juan de Ribera</t>
  </si>
  <si>
    <t>otras dos las Leonardo de Argensola , D. Francisco Va­ „batallas de Granada: todas en 80 rs. lles, D. Juan de Ribera , D. Juan de Pala- Seis estampas del Poema de la Música, en fox y Mendoza , y el Mtro. Fr. Luis Ponce ■ 18 rs. de León : 8.° D. Diego Mesía y Guzman, el Retrato del V. Fr. Sebasti</t>
  </si>
  <si>
    <t>de Ribera, Luis</t>
  </si>
  <si>
    <t>Luis de Ribera</t>
  </si>
  <si>
    <t>primeros Subtenientes D. Francisco Caballero, D. Jóseph Girón, D. Juan Vital, D. Joseph Arevaliilo, D. Luis de Ribera, Don Francisco Orellana, D. Laureano de Salas y D. Tomas dé Cear rote ;• á tenientes de granaderos á los segundos Subtenientes D. Joseph Urreay DortJ Pedro Mari ti y D. Pedro Pi r</t>
  </si>
  <si>
    <t>de Rio, Juan Francisco</t>
  </si>
  <si>
    <t>Juan Francisco de Rio</t>
  </si>
  <si>
    <t>D. Ignacio y Doña María Teresa Estras................................. Perpifian........... 20. 30. D. Juan Francisco de Rio...................... D. Juan y Doña Mariana Prats. Layre............... 47. 17. Pablo Maina............... Joseph y Francisca Palau.......... Finestre en el Rosellon....... ap. a</t>
  </si>
  <si>
    <t>de Rivacova, Joseph</t>
  </si>
  <si>
    <t>Joseph de Rivacova</t>
  </si>
  <si>
    <t>; á D. tugenio Tourdinier la Araucana de Ercilla; á D. Joseph de Nieva las Aventuras de Gil Blas; á D. Joseph de Rivacova el Arte de D. Torqu'to Torio; a Don Andrés ViHamartin otro exemplar de los Viages de Wanton, y á D. Joachín de Miera los Diálogos del mismo D. Torquato: los dos primeros y h Araucan</t>
  </si>
  <si>
    <t>de Rocheneuve, Alberto</t>
  </si>
  <si>
    <t>Alberto de Rocheneuve</t>
  </si>
  <si>
    <t>o de Cepeda. En el de Reales Guardias Walonas á segundos Tenientes de granaderos á los de fusileros D. Alberto de Rocheneuve* D. Domingo Dublaisel y D. Felipe de Miquel y Bloadel; y a segundos Tenientes á los Alféreces de granaderos D. Francisco de Recciulli y_D. Joachín Barón de Garro, y á los de fusil</t>
  </si>
  <si>
    <t>de Roda, Ignacio Ramón</t>
  </si>
  <si>
    <t>Ignacio Ramón de Roda</t>
  </si>
  <si>
    <t>la ciudad de Guadix: par^t tura Ración que en la metropolitana de Santiago vacó por la promoción de D. Ignacio Ramón de Roda á la Penitenciaría de la misma, á IVJoseph Benito Blanco de Salcedo: para otra que se halla vacante en la referida iglesia por promoción de D. Rafael Francisco Junquera á una Cano</t>
  </si>
  <si>
    <t>de Roó, Joseph Maria</t>
  </si>
  <si>
    <t>Joseph Maria de Roó</t>
  </si>
  <si>
    <t>do nombrar para la Ración de la catedral de Cádiz, vacante por fallecimiento de D. Domingo Costa, á D. Joseph Maria de Roó : para el Medio-Préstamo de Rielves, en el arzobispado de Toledo, y los Beneficios de Santa Marina, la Madalena y Santiago de la ciudad de Córdoba, vacantes por muerte de D. Pedro</t>
  </si>
  <si>
    <t>de Roo, JoSeph María</t>
  </si>
  <si>
    <t>JoSeph María de Roo</t>
  </si>
  <si>
    <t>roquial de Sta. María de la ciudad de Ecija , en la diócesis de Sevilla , vacante ^por promoción de D. JoSeph María de Roo á una Ración dé Ja catedral de Cádiz, á D. Antonio de Na-vas López , con la obligación de personal residencia qué tiene anéxa ; y .para una Capellanía de boro de la catedral de Cu</t>
  </si>
  <si>
    <t>de Roxas y Argan, Pedro Antonio</t>
  </si>
  <si>
    <t>Pedro Antonio de Roxas y Argan</t>
  </si>
  <si>
    <t>scuela de la catedral de Santiago de Chile , vacante por muerte de D. Antonio Rodríguez Venégas,; á D. Pedro Antonio de Roxas y Argan</t>
  </si>
  <si>
    <t>de Roxas, Gerónimo</t>
  </si>
  <si>
    <t>Gerónimo de Roxas</t>
  </si>
  <si>
    <t>al Exento D. Eusebio Herrera : para el Bastón de Exento de numero, que este dexa, al supernumerario D. Gerónimo de Roxas; y ha concedido S. M. graduación y antigüedad de Alférez, con sueldo de tal y mando sobre el propietario, al Ajudante de la mism3 Compañía D. Celedonio Eguizaval. Ha nombrado asim</t>
  </si>
  <si>
    <t>de Roxas, Joseph</t>
  </si>
  <si>
    <t>Joseph de Roxas</t>
  </si>
  <si>
    <t>aS. metropohIldefonso, tóba de Toledo, á D. Alonso Gómez Delgado; y para el Beneficio-qüe ■ obtenia Don Joseph de Roxas en la iglesia de las Penas de S. Pedro, obispado de Cartagena, á D. Lorenzo de Roxas. _ .i , „ . Kn el reoimientó de Reales Guardias Espiólas se ha servido el Rey promover á Alférez</t>
  </si>
  <si>
    <t>de Roxas, Lorenzo</t>
  </si>
  <si>
    <t>Lorenzo de Roxas</t>
  </si>
  <si>
    <t>-qüe ■ obtenia Don Joseph de Roxas en la iglesia de las Penas de S. Pedro, obispado de Cartagena, á D. Lorenzo de Roxas. _ .i , „ . Kn el reoimientó de Reales Guardias Espiólas se ha servido el Rey promover á Alférez de gr nadaros al de fusileros D. Joseph Serafirt Rodríguez dé AlburquerqBe. En el</t>
  </si>
  <si>
    <t>de Roxas, Rafael</t>
  </si>
  <si>
    <t>Rafael de Roxas</t>
  </si>
  <si>
    <t>te de fusileros al Alférez de cazadores D. Henrique Zuluaga; á Ahférez de cazadores al de fusileros D. Rafael de Roxas, y á esta resulta al Cadete D. Genaro Martínez de Baños, El Consejo á consulta de la Comisión gubernativa, y con aprobación dé S. M. ha acordado la decimaséptíma amortización de 2</t>
  </si>
  <si>
    <t>de Rueda, Luis</t>
  </si>
  <si>
    <t>Luis de Rueda</t>
  </si>
  <si>
    <t>deros D. Tomas de Ben, D. Francisco Xavier González y D. Tomas Perez, y á los primeros Subtenientes D. Luis de Rueda, D. Felipe Andrade y D. Cayetano Arjnesto j á Subtenientes de granaderos á los primeros de fusileros D. Matías Retamar, D. Christóbal Vilanováy D. Antonio Jaquez; á primeros Subte</t>
  </si>
  <si>
    <t>de Rute y Pefiuela, Joseph</t>
  </si>
  <si>
    <t>Joseph de Rute y Pefiuela</t>
  </si>
  <si>
    <t>misma ciudad, y de la devoción y fervor de sus vecinos, dixo en su iglesia de S. Felipe Neri el P. D. Joseph de Rute y Pefiuela, Prepósito de su congregación del Oratorio, examinador sinodal &amp;c.=Sermon que en la función celebrada en la parroquial de Ntra. Sra. de la Palma, de Algecíras, en acción de gracia</t>
  </si>
  <si>
    <t>de Saavedra Fael, Diego</t>
  </si>
  <si>
    <t>Diego de Saavedra Fael</t>
  </si>
  <si>
    <t>, pinturas qne Lucas Jordán hizo al. fresco en f K Diego Hurtado de Mendoza, D. Gerónimo de Zurita, D. Diego de Saavedra Fael casan del Buen Retiro : las 16 expresan las fábulas ó trabajos de .Hércules: 4 reprexardo , y. Don Alvaro Navia Oson o : sentan Europa, Asia, Africa y América: dos 7." D. Luis de</t>
  </si>
  <si>
    <t>de Sada, Juan</t>
  </si>
  <si>
    <t>Juan de Sada</t>
  </si>
  <si>
    <t>itaciones para implorar la protección de Dios en las enfermedades pestilentes; escrito por el Mtro. D. Juan de Sada , Monge cisterciense det Réaí Monasterio de Sta, Mnría Ta Real de Piedra, y dedicado á la Serénísima Sra. Dóñ?. María Josepba de Borbon, Infanta de España. Se hallará en la librer</t>
  </si>
  <si>
    <t>de Saga, Pablo Manuel</t>
  </si>
  <si>
    <t>Pablo Manuel de Saga</t>
  </si>
  <si>
    <t>no,■ del de Ñápeles y de grana-. 4Urps 1&gt;. Juan Antonio Vi liase-ñor, y a! segundo del de Asturias- D. Pablo Manuel de Saga, como también á los Soldados distinguido» de los de infantería Je Toledo y Jaén 0. Ramón Brandis y D. Joseph Pardo de Celar en el de Suizos de Reding a Capitán primero al de grana</t>
  </si>
  <si>
    <t>de Salanova, Joseph</t>
  </si>
  <si>
    <t>Joseph de Salanova</t>
  </si>
  <si>
    <t>Martin de Quevedo y Aíonteagudo y D. Antonio Perez; y en el de Toledo las Subtenencias de bandera á D. Joseph de Salanova y D. Antonio Fernandez Htañez. En América. S. M. se ha servido nombrar para una Ración de la catedral del Nuevo Reyno de León, vacante por fallecimiento de D. Andrés Ramón Lozano, á D</t>
  </si>
  <si>
    <t>de Salas, Andrés</t>
  </si>
  <si>
    <t>Andrés de Salas</t>
  </si>
  <si>
    <t>Gerveto; á segundos Tenientes dé granaderos a los de ftfáileros D; Joseph Mirez, B¿ Gínes Sánchez y D. Andrés de Salas ; á; segtnddsí^réáiéhtps á los Subtenientes de granaderos D. Joseph González y 'Dy Agustín Martínez, y á los primeros Subtenientes D. Francisco Caballero, D. Jóseph Girón, D. Juan</t>
  </si>
  <si>
    <t>de Salazar y Véíasco, Nicolás</t>
  </si>
  <si>
    <t>Nicolás de Salazar y Véíasco</t>
  </si>
  <si>
    <t>de infantería de Jaén se ha servido promover el Rey á segundo Teniente al Subteniente de granaderos D. Nicolás de Salazar y Véíasco; á esta resulta al primer Subteniente D. Gabriel Serrano Barran das;á primer Subteniente al segundo D. Pedro Escudero ; y á segundo Subteniente al Cadete D. Ignacio de Lora y Cáce</t>
  </si>
  <si>
    <t>de Salazar, Diego Joseph</t>
  </si>
  <si>
    <t>Diego Joseph de Salazar</t>
  </si>
  <si>
    <t>rvido nombrar para la Fiscalía del crimen de la Chanciliería de VáiladoHd, vacante por haber pisado D. Diego Joseph de Salazar á la de lo civil de ella, á D. Diego de Cosío y Tcran. La Religión de la Merced celebró capítulo general en la dudad de •Toledo el dia 17 del corriente, y salió electo General de</t>
  </si>
  <si>
    <t>de Salazar, Manuel</t>
  </si>
  <si>
    <t>Manuel de Salazar</t>
  </si>
  <si>
    <t>en la misma iglesia al Maestrescuela D. Joseph Joachirt Chacón : para la Maestfescolia? al Canónigo D. Manuel de Salazar: para la Canongía al Racionero Di Ber-' nardo Baamonde y Puga; y para la Ración al Cura del Sagrario D. Manuel Joseph González Aguirre. ^ En el esquadron de dragones de Luzon se h</t>
  </si>
  <si>
    <t>de Salcedo y Azcona, Luis</t>
  </si>
  <si>
    <t>Luis de Salcedo y Azcona</t>
  </si>
  <si>
    <t>o nos sorprehenda iá muéfte es-vivir prevenido contra suí asechanzas; su autor el Exc. y Ritió. Sr. D, Luis de Salcedo y Azcona , Arzobispo que fue de Sevilla : a tomos en 8.° Se hallarán én la librería de Hurtado, calle de las Carretas- - ■;‘ • - - El sabio en la soledad, filosofía de los adorables august</t>
  </si>
  <si>
    <t>de Salinas, Juan</t>
  </si>
  <si>
    <t>Juan de Salinas</t>
  </si>
  <si>
    <t>n el secretario Christóbal de Vitoria y Doña Catalina de Aguilera su muger , y poseía en el de 1719 D. Juan de Salinas, Cuerva y Aguilera, vecino del lugar de Valjécas, de esta jurisdicción, para que en el término,de jg días acudan ante el Sr. £). Juan Antonio Santa María., Teniente Corregidor,de,</t>
  </si>
  <si>
    <t>de San Gines, Alexo</t>
  </si>
  <si>
    <t>Alexo de San Gines</t>
  </si>
  <si>
    <t>Canónigo Penitenciario D. Juan Manuel de Verdeja: para el Deanato de la Paz, vacante por muerte de D. Alexo de San Gines, á D. Bernardo de liria y Lknes: para el Arcedianato, que este dexa en la misma iglesia, al Chantre D. Felipe Antonio de Artieda: para la Chantría al Canónigo D. Nicolás Muñoz y B</t>
  </si>
  <si>
    <t>de San Martín, Joseph</t>
  </si>
  <si>
    <t>Joseph de San Martín</t>
  </si>
  <si>
    <t>res al Alférez graduado-de dragones Don Elias Bayala. Habiendo quedado vacante por fallecimiento-de D. Joseph de San Martin la plaza de Oficial nono de,;la Secretaría del Consejp; y Cámara de Indias de la negociación de Nuoya-España,. se, ha* servido &gt;&amp;. M. conceder los ascensos regulares i D. Deogracias</t>
  </si>
  <si>
    <t>de San Martín, Manuel</t>
  </si>
  <si>
    <t>Manuel de San Martín</t>
  </si>
  <si>
    <t>chín de la Fuente: en el de Valencia á primer Teniente al segundo de granaderos del citado de Soria D. Manuel de San Martin: en el de Córdoba á segundo Subteniente al Cadete del de Sevilla D. Juan María Miguel; y en el de Jaén á segundos Subtenientes á los Cadetes D. Joseph de la Puebla y D. Joseph Muñ</t>
  </si>
  <si>
    <t>de San Pedfo', Benito</t>
  </si>
  <si>
    <t>Benito de San Pedfo'</t>
  </si>
  <si>
    <t>ia de bandera a D. Antonio’María Miranda: en el de Toledo Tenencias de fusileros á los Subtenientes D. Benito de San Pedfo' y D, Pedro de la Cámara1; etr el de- Oviedo Tenencias de fusileros ár los Subtenientes D. Toribio Moran y D. Juan Nepomuceno Vaidés: en eL de Ctd'did-Rodrigo’ Tenencia de fusileros á</t>
  </si>
  <si>
    <t>de San Pedro, Manuel</t>
  </si>
  <si>
    <t>Manuel de San Pedro</t>
  </si>
  <si>
    <t>iénto de infaiiterfá'dei Róy sé na síervido S. M: prÓnfovlár á Capitán de granaderos aLde fusileros D. Manuel de San Pedro; á Capitán de fusileros al primer Teniente de granaderos D. Salvador Garcés; á prim r Teniente de granaderos al de fusileros D.Rafael Menchaca; a esta resulta al segundo.Teménté'</t>
  </si>
  <si>
    <t>de Sancha y Prado, Tomás</t>
  </si>
  <si>
    <t>Tomás de Sancha y Prado</t>
  </si>
  <si>
    <t>2 de su ¿ñafiara en la audiencia,del Sr. B. Pedro González Calderón , ante el Escribano del qiímero D. Tomas de Sancha y Prado. . _ , D. Auto ¡'«ío’ de Mollioedo, Xeuieqte de Alcayde del Real sitio del Pardo, advierte 4 prof«aotjBS ¡de .medicina y .cirugía.,que en cqqse^uencja del aviso queje dió en /gace</t>
  </si>
  <si>
    <t>compatrono de dichas memorias. Quien quisiere hacer me-' jora acuda á la escribanía del número, de D. Tomas de Sancha y Prado. ; El remate celebrado en 19 de Enero de una casa en la calle del Desengaño, núm. 3 , manz. 361, tasada en 166,239 rs. 19 mrs;, por el mismo precio en papel moneda, se ha aprobado</t>
  </si>
  <si>
    <t>zález Calderón, del Consejo de S. M., Teniente Corregidor de esta villa, y escribanía del número de D. Tomas de Sancha y Prado, se subasta la planta baxa de una casa sita en la plazuela del Angel, contigua á la calle de Atocha, en la casa núm. 19, manz. 231, perteneciente á la memoria que fundaron Pedro D</t>
  </si>
  <si>
    <t>del corriente á las 12 de su mañana en la audiencia del mismo Sr. D. Juan Antonio Santa María, ante D. Tomas de Sancha y Prado. Quien quisiere interesarse en su compra acuda á la hora señalada. Por la audiencia del mismo Sr. D. Juan Antonio Santa María , y escribaníá cié! número de D. Gervasio Fernandez I</t>
  </si>
  <si>
    <t>de Sancha, Tomás</t>
  </si>
  <si>
    <t>Tomás de Sancha</t>
  </si>
  <si>
    <t>na de su mañana en la audiencia de dicho Sr. D. Pedro González Calderón, y escribanía del número de D. Tomas de Sancha. Quien quisiere .comprarlas acuda i -la hora y -parage señalado. ; flor providencia del -'mismo Sr. -D. ‘Pedro González Calderón,y por el ofíníp -_4e •T). Casimiro Antonio Gqmdz,</t>
  </si>
  <si>
    <t>ro el S . ante el Sr. Teniente Corregidor D. Juan Andias. Quien ^:lísiere^a¿erribanía del número de D. Tomas de Sancha , dentro de tonio Santa Mana, y • - dcl mes próximo de Mayo, dicho término que «impura en 9 *Ci *</t>
  </si>
  <si>
    <t>, tasada en 761.640 rs., acuda aotfe elSr. D. Juan Antonio Santa M.iría, y escribanía del número de D. Tomas de Sancha en el término de 30 dits. ■■■•*. - Noticia histórica- de los misterios y Santos-de la religión chrjstinna , según el orden con que.se celebran en España, adornada dé estérnpa s- cor</t>
  </si>
  <si>
    <t>. D. Juan Antonio Santa María , Teniente Corregidor de esta villa , por la escribanía del número de Don Tomas de Sancha , en el término de 30 dias. Por la audiencia del mismo Sr. D. Juan Antonio Santa María, y escribanía del niímeru de D. Gervasio Fernandez Izquierdo, se está subastando una casa si</t>
  </si>
  <si>
    <t>de Santiago Palomáres, Francisco Xavier</t>
  </si>
  <si>
    <t>Francisco Xavier de Santiago Palomáres</t>
  </si>
  <si>
    <t>á S. Felipe el Real. Arte de escribir por DrEstéban X i menea , siguiendo el método y buen gusto de D. Francisco Xavier de Santiago Palomáres: en esta obra, que en la substancia comprehende el método de Pedro DiazMorante, y carácter nacional bastardo de Palomáres, se dan reglas sencillas y naturales para aprender con fu</t>
  </si>
  <si>
    <t>de Santiago, Miguel</t>
  </si>
  <si>
    <t>Miguel de Santiago</t>
  </si>
  <si>
    <t>nsalida, D. Pedro Carrion y D.‘Vicente Conty; á segundos Tenientes á los Subtenientes de granaderos D. Miguel de Santiago y D. Francisco Martínez, y á los primeros Subtenientes O. Juan Ortiz de Saracho y D. Manuel Reig; á Subtenientes de granaderos á los primeros Subtenientes D. Dámaso de Vargas, D. Lúea</t>
  </si>
  <si>
    <t>de Sarasa, Joseph Miguel</t>
  </si>
  <si>
    <t>Joseph Miguel de Sarasa</t>
  </si>
  <si>
    <t>e al convento, tienda núm. a. r Vidas de Santos para todos los dias del año y fiestas movibles, por D. Joseph Miguel de Sarasa i esta obra es un cómpendió de los años christianos y de los santoral es$masse*áctoeydÍMiiK&lt;i en benoi-eio de los que no pueden costear &lt;otras obsas; voluminosas* Si lpíhriaals li</t>
  </si>
  <si>
    <t>de Sartine, Antonio</t>
  </si>
  <si>
    <t>Antonio de Sartine</t>
  </si>
  <si>
    <t>ños muy robustos. Tarragona xS de Setiembre. Jtil 7 de este mes falleció en esta ciudad el Exc .Sr. D. Antonio de Sartine, Conde de Albi, que había nacido en Barcelona el año 1729. Fué Abogado en París, Ministro del Crimen en el tribunal llamado Chátelet, Teniente general de policía, del Consejad» Es</t>
  </si>
  <si>
    <t>de Saurau, Conde</t>
  </si>
  <si>
    <t>Conde de Saurau</t>
  </si>
  <si>
    <t>Petersburgo á cumplimentar en su nombra al nuevo Soberano de Rusia. Asimismo el Conde de Saurau, Ministro y Presid nte de la Cámara áulica de Rentas, está nombrado Embaxador extraordinario en la* corte de Rusia con 60® florines de sueldo. S. M. le ha conferido al propio tiempo la gran</t>
  </si>
  <si>
    <t>de SaxoniaTeschen, Alberto (duque)</t>
  </si>
  <si>
    <t>Duque Alberto de SaxoniaTeschen</t>
  </si>
  <si>
    <t>na de Ñapóles, y le pusieron los nombres de María Carolina. El Emperador, el Archiduque Carlos y el Duque Alberto de SaxoniaTeschen saliéron de aquí el 7 para Buiweis , adonde el día anterior se habían transferido los Archiduques Juan y Antonio. Va S. M. I. á revistar la legión y los cuerpos de voluntarios de</t>
  </si>
  <si>
    <t>ipe Cárlos visitó el día 5 ^1 Príncipe de CGndé, y conversó con él mas de dos horas; y el día 12 el Duque Alberto de SaxoniaTeschen le dió .un convite, al qual asistiéron el Emperador5, el Archiduque Garlos y la Reynade Nápoíes. Parece que dicho Príncipe se transferirá quanto antes á' Inglaterra.—El Conde de L</t>
  </si>
  <si>
    <t>de Schoenfeldt, Conde</t>
  </si>
  <si>
    <t>Conde de Schoenfeldt</t>
  </si>
  <si>
    <t>ores y Príncipes del Imperio celebráron el 17 de este mes una junta en casa del Conde de Schoenfeldt, Ministro de la corte de Saxonia: parece tratáron de asuntos relativos á las secularizaciones y resarcimientos que han de hacerse en fuerza de la paz de Luneviile. Mr. Wickam, Comisario ing</t>
  </si>
  <si>
    <t>de Schwarzemberg, Joseph (príncipe)</t>
  </si>
  <si>
    <t>Príncipe Joseph de Schwarzemberg</t>
  </si>
  <si>
    <t>ablecer la libre navegación del Weser y del Elba. &gt; Viena 22 de Abril. H a nombrado el Emperador al Príncipe Joseph de Schwarzemberg para que vaya á Petersburgo á cumplimentar en su nombra al nuevo Soberano de Rusia. Asimismo el Conde de Saurau, Ministro y Presid nte de la Cámara áulica de Rentas, está nombrado</t>
  </si>
  <si>
    <t>de Sentmanat, Pedro Pablo</t>
  </si>
  <si>
    <t>Pedro Pablo de Sentmanat</t>
  </si>
  <si>
    <t>40 ca, á D. Pedro Pablo de Sentmanat: para el Beneficio de Marchena, en el arzobispado de Sevillar vacante por fallecimiento de D. Rodrigo de Sierra y Llanes, á D. Manuel de la Rocha: para el Beneficio Sacristía de l</t>
  </si>
  <si>
    <t>de Septien, Manuel Luis</t>
  </si>
  <si>
    <t>Manuel Luis de Septien</t>
  </si>
  <si>
    <t>arces de Marcilla, D. Vicente Royo, alumnos de quarto año; D. Fausto Juara y Sánz, de tercer año, y D. Manuel Luis de Septien, D. Andrés Soulié, D. Ramón Mateo, D. Antonio y D. Isidoro Capilla, de primer año; y en la clase de buenos D. Rafael Bos Campesino, de tercer año, D. Francisco Oteiza, D, Benito S</t>
  </si>
  <si>
    <t>de Sequera, Julián</t>
  </si>
  <si>
    <t>Julián de Sequera</t>
  </si>
  <si>
    <t>iento de infantería de Saboya se ha servido promover el Rey á Capitán de granaderos al de fusileros D. Julián de Sequera; á Capitán al primer Teniente de granaderos D. Manuel Moreno; á primer Teniente de granaderos al de fusileros* 0. Juan Miquélerena ; á primer Teniente al segundo de granaderos D.</t>
  </si>
  <si>
    <t>varra á Comandante del tercer batallón al Sargento mayor del de León, graduado de Teniente Coronel, D. Julián de Sequera: en el de la Princesa á primer Subteniente al segundo D. Joachín Granzberg, y á segundo Subteniente al Cadete D, Antonio Cano. También se ha servido S. M. nombrar en el regimiento</t>
  </si>
  <si>
    <t>de Servidor, Domingo María</t>
  </si>
  <si>
    <t>Domingo María de Servidor</t>
  </si>
  <si>
    <t>desReflexiones sobre el Arte de escribirpor cargar los barcos. N.“ 4.“ Varias carretillas, el Abate D. Domingo María de Servidor!. To­ carro para tierras, máquina para hacer-trenmo i.° en dos volúmenes de -marca mayor, cilla : á 4 rs.. los números i.° y 2." y con con 111 estampas , A 130 rs. en papel , y en</t>
  </si>
  <si>
    <t>de Silara y Ayani, Alejandro</t>
  </si>
  <si>
    <t>Alejandro de Silara y Ayani</t>
  </si>
  <si>
    <t>ntado por Mr. Colbert á Luis xiv, y traducido por el Couatsaiio-de Or'uerra de los Reales «xércitos D. Alejandro de Silara y Ayani. Esta -obra* que &lt;es una de las preciosas colecciones de mialmas económico-políticas que se puedes .adoptar «n España * se hallará en la libréela de Dávihry callé de Jes Carretas;</t>
  </si>
  <si>
    <t>de Silva, Joseph</t>
  </si>
  <si>
    <t>Joseph de Silva</t>
  </si>
  <si>
    <t>nte del Consejo Real de las Ordenes, y á sur nombre sus dos hijos el Exc. Sr. Duque de Aliaga y Sr. D. Joseph de Silva. Por el aviso que se dio el 22 de Noviembre de 1799» anunciando al público lo mandado por S. M. en la Real cédula de 10 del mismo mes, en que se señala la quota con que se debe se</t>
  </si>
  <si>
    <t>de Sindovalpara la Chaotría, Manuel Antonio</t>
  </si>
  <si>
    <t>Manuel Antonio de Sindovalpara la Chaotría</t>
  </si>
  <si>
    <t>ín García Narro, al Arcediano de la propia D. Juan Francisco Campos: para, el Are dim.to al Chantre D. Manuel Antonio de Sindovalpara la Chaotría al Maestrescuela D. Joseph Ruiz de Conejares: para la Maestrescoíía al T.sorcro D. Juan de' Mier y Villar;, y‘para la Tesorería al Canónigo Let toral D. ]u¡n Antonio Bruno. Asimis</t>
  </si>
  <si>
    <t>de Sóbrevilla, Miguel</t>
  </si>
  <si>
    <t>Miguel de Sóbrevilla</t>
  </si>
  <si>
    <t>de España á Alférez al Portaestandarte D. Andrés Nieto, y á PórtaeMndarté ^ Cadete deí de Farnesici D. Miguel de Sóbrevilla: en el de la Costa de Cránadá a Capitán ál primer Teniente D. Francisco Villavicencío; en el de dragones de la Reyna á Teniente al Alférez D. Nicolás Narni Mancinelli; j en el reg</t>
  </si>
  <si>
    <t>de Soinnn, Joseph</t>
  </si>
  <si>
    <t>Joseph de Soinnn</t>
  </si>
  <si>
    <t>o. Asimismo ha promovido S. M. en el de cab.iHt-rí.t de Voluntarios de España á Capitán al Teniente D. Joseph de Soinnn: en el de drauones de la Reyna á Teniente Coron, i al agregado t.-n esta clase D. Juan O-Donoju y O-Rian; y á Capitán en ti de Numancia á su caballero Page D. Eugenio Muría Ycbra.</t>
  </si>
  <si>
    <t>de Somarriba, Melchor</t>
  </si>
  <si>
    <t>Melchor de Somarriba</t>
  </si>
  <si>
    <t>ería fixo de Caracas al Ayudante mayor D. Pedro Manrique: ha nombrado para esta resulta al Teniente D. Melchor de Somarriba; y para las dos Tenencias, vacantes en dicho batallón, á los Subtenientes D. Juan de la Romana y Don Juan Váleles. También ha conferido $. M. Compañía en el cuerpo veterano de inf</t>
  </si>
  <si>
    <t>de Soto y Guarnan y Dtfia Antonia Muñoz, Francisco</t>
  </si>
  <si>
    <t>Francisco de Soto y Guarnan y Dtfia Antonia Muñoz</t>
  </si>
  <si>
    <t>estacarte pertenecen á las memorias. que cti la iglesia colegial de la viilá de Eriviesca fundáron D. Francisco de Soto y Guarnan y Dtfia Antonia Muñoz, su muger-, que son una en la calle de Jesús María, Barrios de ía Merced , núm. ro, mana, 49, que tiene gjgaf pies de sitio, tajeada efi rs.: y otra en dicha calle ., núm. ig , ma</t>
  </si>
  <si>
    <t>de Soto y Melgarejo, Félix</t>
  </si>
  <si>
    <t>Félix de Soto y Melgarejo</t>
  </si>
  <si>
    <t>mientos de infantería de Gr nada» Murcia y Jaetl á los presbíteros Don Ghristobal Martínez de Mora, D. Félix de Soto y Melgarejo, D. Chiistoba 1 Antonio de Coptrerus y D. Manuel Flores. En America. El Rsy se ha servido nombrar para la Dignidad de Dean de la metropolitana de México, vacante por fallecimiento</t>
  </si>
  <si>
    <t>de Soto, Antonio</t>
  </si>
  <si>
    <t>Antonio de Soto</t>
  </si>
  <si>
    <t>á Subteniente de granaderos al de fusileros D. Francisco dé Rbxas; á primer Subteniente al segundo D. Antonio de Soto, y á-segundó Subteniente al Sargento primero D. Francisco Angel de Alonso. ' i También en él* dé -caballería de España ha promovido el Rey á segundo Teniente aiAlférezD. Victorian</t>
  </si>
  <si>
    <t>de Soto, Joseph</t>
  </si>
  <si>
    <t>Joseph de Soto</t>
  </si>
  <si>
    <t>concedido en el Reyno de Nueva España la Administración de tabacos, pólvora y naypes de Gafisamey á D. Joseph de Soto : la ptea de Interventor de la administración de rentas unidas deb Real de los Alamos á D. Juan Martínez de Villagra'; y la de Escribiente" de la aduana de Durango á D. Antonio Ro</t>
  </si>
  <si>
    <t>de Sousa, Luis</t>
  </si>
  <si>
    <t>Luis de Sousa</t>
  </si>
  <si>
    <t>ranaderos, y. D. Juan Montemayor-y*Priego, Subteniente de fusileros; la Subtenencia de granaderos á D. Luis de Sousa, Subteniente de fusileros, y empleo de esta clase á D Joseph de Lara, Cadete del. mismo cuerpo: en el de Tuy la Tenencia de cazadores al Teniente de fusileros D. Manuel Araujo; Te</t>
  </si>
  <si>
    <t>resulta á D. Antonio Tancredi, Subteniente de fusileros: en el de Málaga á Teniente de fusileros á D. Luis de Sousa, Subteniente de granaderos-; á este empleo á D. Francisco López Bueno, Subteniente de fusileros, y á su resulta á D. Juan Laso de la Vega VeLizquez de Haro : ea el de Lugo á Subte</t>
  </si>
  <si>
    <t>de St, Pedro</t>
  </si>
  <si>
    <t>Pedro de St</t>
  </si>
  <si>
    <t>amora D. Ignacio Mallen: y en el de infantería ee Borboo á primer Teniente al segundo de granaderos D. Pedro de St, Cricq de Classun, y á segundo Teniente de granaderos al de fusileros Don Pedro Jouin. Asimismo se ha servido S. M. nombrar para una plaza de Oidor de la Real Audiencia del Reyno</t>
  </si>
  <si>
    <t>de Stadion, Conde</t>
  </si>
  <si>
    <t>Conde de Stadion</t>
  </si>
  <si>
    <t>por consiguiente no tiene que dar territorios para indemnizarle. Añaden qüe el Conde de Stadion, Ministro de Austria, ha entregado á la corte de Berlín una memoria en que se establecen estos principios; pero que el Rey de Prusia insiste en que se le indemnice en Alemania, y que en ell</t>
  </si>
  <si>
    <t>de Suero González de Andrade, Joseph</t>
  </si>
  <si>
    <t>Joseph de Suero González de Andrade</t>
  </si>
  <si>
    <t>Godoy y ViIches: para la Tesorería, que resulta vacante por la promoción de este, al Maestrescuela D. Joseph de Suero González de Andrade; y para la Maestrescolía al Canónigo Penitenciario D. Juan Manuel de Verdeja: para el Deanato de la Paz, vacante por muerte de D. Alexo de San Gines, á D. Bernardo de liria y Lkne</t>
  </si>
  <si>
    <t>de Tarraga, Gabriel</t>
  </si>
  <si>
    <t>Gabriel de Tarraga</t>
  </si>
  <si>
    <t>el Beneficio de la villa de Almonte , en el arzobispado de Sevilla , vacante, por fallecimiento de. D. Gabriel de Tarraga, á D: Juan Martin Molino , con la obligación de, residencia que tiene anexa; y para la Capellanía Real de Granada, vacante por muerte, de D. Antonio Joseph Vailejo., i D. Laureano</t>
  </si>
  <si>
    <t>de Ternilla, Vicente María</t>
  </si>
  <si>
    <t>Vicente María de Ternilla</t>
  </si>
  <si>
    <t>el Serenísimo. Sr. Duque de Módéna; traducido con notas según el derecho Real de España por ei Lie. D. Vicente María de Ternilla, Abobad© de los Reales Consejas, delúlustre colegio de esta corto &amp;c.: un tomo en 4.0, que se vende en las librerías de, Castillo, frente á las gradas de S. Felipe, y de Mafeo , c</t>
  </si>
  <si>
    <t>de Titos, Pedro Julián</t>
  </si>
  <si>
    <t>Pedro Julián de Titos</t>
  </si>
  <si>
    <t>del interes individual de los cazadores á su persecución , acordó á propuesta de su actual Alcalde D. Pedro Julián de Titos que ademas del premio que disponen los reglamentos de propios¿ se remunerase con 400 rs. á Jos que presentasen viva ó muerta una loba, con 300 si fuese lobo,y con 60 por cada cach</t>
  </si>
  <si>
    <t>de Toro y Suárez, Manuel María</t>
  </si>
  <si>
    <t>Manuel María de Toro y Suárez</t>
  </si>
  <si>
    <t>Toribio; y Subtenencias de bandera en los de Badajoz, Santiago, Betánzos y Castellón de la Plana á D. Manuel María de Toro y Suarez, D. Francisco García Aldao y Andeyro, D. Jacobo Cagiad» D. Antonio Díaz de Ponte, D. Juan Antonio Piñana y IX Ramón María Climent. En América. S. M. se ha servido nombrar para el</t>
  </si>
  <si>
    <t>de Toro y Tinajas, Juan</t>
  </si>
  <si>
    <t>Juan de Toro y Tinajas</t>
  </si>
  <si>
    <t>is, dé Gerona, á D¿ Francisco Condon; para la Ración de la catedral de Avila, vacante por muerte de D. Juan de Toro y Tinajas, Á Don Raymundo Martin ; y para el Préstamo del Jugar de Pancórbo , en el arzobispado de Burgos, vacante por fallecimiento de D. Francisco Argües», el de Priornal, y el de la vill</t>
  </si>
  <si>
    <t>de Toro, Blas</t>
  </si>
  <si>
    <t>Blas de Toro</t>
  </si>
  <si>
    <t>del colegio de Sta. Isabel de la misma villa,-Vacante por muerte de D. Ramón Salvadór dé Ardíano, á D. Blas de Toro, Capellán de Honor de S. M., y segundo Maestro' de‘Ceremonias de la propia Real Capillái \ ' * r /;-? Al Teniente General D. Antonio Córdoba y Heredia, Comandante en? xefe de la R</t>
  </si>
  <si>
    <t>de Torosegundó Teniente, Ángel</t>
  </si>
  <si>
    <t>Ángel de Torosegundó Teniente</t>
  </si>
  <si>
    <t>. . al segundo de'.granaderos D. Bernabé Ch-uri; á segundo Teniente de gra• naderes a! de fusileros D. Ángel de Torosegundó Teniente ai Snbteai-nte de granaderos D. Ramón Sánchez de la Giícirra; á estl result.ral primer Subteniente fe: Toseph Albeldará primer Subteniente al segsndp.Dbn Toseuh Armendarizy á segu</t>
  </si>
  <si>
    <t>de Torrejon, Gaspar</t>
  </si>
  <si>
    <t>Gaspar de Torrejon</t>
  </si>
  <si>
    <t>o y Cuevas, Subtenientes de granaderos y cazadores, y* sus resultas á los Subtenientes de fusileros D. Gaspar de Torrejon y D. Joseph María Martinez: en el de Malaga compañía de fusileros á D. Tu’.n de la T ovilla, Teniente de la misma ciase y cuerpo; Tenencia de fusileros á D. Joseph Ponce de León, Subt</t>
  </si>
  <si>
    <t>de Torres, Diego</t>
  </si>
  <si>
    <t>Diego de Torres</t>
  </si>
  <si>
    <t>Tañado Pastor ; y 4 esta resulta al Comandante de escuadrón del de ViUavfdosa, graduado'de Coronel, D. Diego de Torres. _ El Rey ella servido nombrar para una plaza del Conse,o Real al Sr. D Pedro González Calderón, Teniente de Villa, en atención a sus meritos y servicios, y señaladamente al que a</t>
  </si>
  <si>
    <t>Se dio principio al acto enterando al concurso de las actas de ia academia, que layó su secretario D. Diego de Torres; y concluida -esta, lectura, el Exc. Sr. Capitán general distribuyó los premios siguientes: 25 pesos á D. Pablo Dordal, ó igual cantidad á I). Máteos Juste, opositores en ja prime</t>
  </si>
  <si>
    <t>de Torres, Francisco</t>
  </si>
  <si>
    <t>Francisco de Torres</t>
  </si>
  <si>
    <t>Teniente de granadero» a) de fusileros D. Mateo GtialUr; á primer. Teniente aisegundo de granaderos D. Francisco de Torres; á segundo:Teniente de, granaderos -al de fusileros D. Pedro Irigoyenc^á segurtdoTeniénto ál Subtenientefde granaderos D.; «Lorenzo WiiUez# 4 estárésultaxU ípanmerSubteniente D.Jo</t>
  </si>
  <si>
    <t>de Torres, Joseph</t>
  </si>
  <si>
    <t>Joseph de Torres</t>
  </si>
  <si>
    <t>nto con acómpáfiamiento de v-jolin y violen, ad lifciruni, llamadas del Solitario , compuestas1 por D. Joseph de Torres, discipuló del dicho P. Asiain. p.pel pautado con máquina, dispuesto y arreglado por D. Pedro Guixá y Planas á los cinco tamaños de la colección de muestras y arte de escribir de</t>
  </si>
  <si>
    <t>de Torres, Juan</t>
  </si>
  <si>
    <t>Juan de Torres</t>
  </si>
  <si>
    <t>ubteniente de granaderos D. Vicente Ruiz Cubero ; á Subteniente de granaderos al primer Subteniente D. Juan de Torres; á primer Subteniente al segundo D. Alfonso Herrero y Diaz, y á segundo Subteniente al Cadete del de Mallorca D. Joseph María Herrero: en el de Navarra á Teniente Coronel al Coman</t>
  </si>
  <si>
    <t>anaderos D. Santiago Miguel; á primeros Tenientes de granaderos á los de fusileros D. Jacobo Casal, D. Juan de Torres y D. Ramón de Santiago; á primeros Tenientes a los segundos de granaderos D. Gerónimo de la Escosura y D. Fernando Valledor, y á los de fusileros el Capitán D. Francisco de Toro y D.</t>
  </si>
  <si>
    <t>de Torres, Nicolás</t>
  </si>
  <si>
    <t>Nicolás de Torres</t>
  </si>
  <si>
    <t>or de esta villa , se ha mandado publicar la venta de un olivar perteneciente á la testamentaría de D. Nicolás de Torres, sito en término de la ciudad de Carmona, al sitio nombrado la Cañada honda,ó Pedro Domingo, que comprehende 34 aranzadas y 10 pies, tasada judicialmente en «Jgco rs. cada aranzad</t>
  </si>
  <si>
    <t>de Torres, Sebastián</t>
  </si>
  <si>
    <t>Sebastián de Torres</t>
  </si>
  <si>
    <t>|i villa.del'Puerto del Príncipe, en el obispado de Cuba, se previno dicho abintes,rato. por el Sr. D. Sebastian de Torres, del Consejo de S. M. y Alcalde en ;su .Real casa y corte, ante el escribano de provincia D. Juan Bazategui: en cuya qonseqüencia, mediante lo pedido por el defensor de. él, y de</t>
  </si>
  <si>
    <t>5 rcnrso de gramática castfcHána qTre regenta D. Guillelmo Xaramillo, ba'xoTa dirección del Sr¿ D. Sebastian de Torres, del Consejo de S. M. , Alcalde de su Real casa y corte: por su ausencia presidió el Exc. Sr. Duque de Híjar, á quien se dedicó el certamen. Los jóvenes que se presentaron respond</t>
  </si>
  <si>
    <t>ad que obtiene en la misma catedral, á D. Juan Dameto y Despuig. Si M. se ha servido nombrar al Sr. D. Sebastian de Torres para la plaza vacante en el Real Consejo por fallecimiento del Sr. D. Pedro Joachin de Murcia; y para la de Alcalde de casa y corte, que resulta vacante por ascenso dei dicho Sr.</t>
  </si>
  <si>
    <t>en deCárlos ni, del Consejo de S. M. y Alcalde en su Real casa y corte, conseqiiente á otro del Sr. D. Sebastian de Torres, Ministro del supremo Consejo de Castilla, de *5 de Abril del a fio próximo pasado , ante el Escribano de provincia D.-Juan Bazatégui , se hace saber á Don Diego i D. .Manuel , Do</t>
  </si>
  <si>
    <t>egimiento de caballería del Infante se rhá servido el Rey pro- ; mover á Alférez al Portaestandarte D. Sebastian de Torres , y á Porta- , estjnd¿rtc al Sargento D. Andrés Miguel: en el de Húsares españoles á Alférez al Sargento D. Manuel Rodríguez; y en el de Voluntarios de Espa- t ña á Ayudante al pr</t>
  </si>
  <si>
    <t>de Torrezar, Ramón</t>
  </si>
  <si>
    <t>Ramón de Torrezar</t>
  </si>
  <si>
    <t>del título de Castilla, de que por Real decreto de 29 de Inero de 1698 se hizo merced á su causante D. Ramón de Torrezar para su v ,g . * , , X ....... • ■; g" •„ J¿¿ ‘ «r . y .... fí, * r— ,,s n ^ .. . i i: • ¿r óre&amp;db título á íavdf dél' referido Di Félix íl odh Ik^déttdffiiSáHdM &lt;jiüe$ de £óza¡ef</t>
  </si>
  <si>
    <t>de Tortosa, Bernardo</t>
  </si>
  <si>
    <t>Bernardo de Tortosa</t>
  </si>
  <si>
    <t>murió á los 78 años de edad en la villa de Paterno, en la Alpujarra, Reyno de Granada, el Exc. Sr. D, Bernardo de Tortosa, Teniente General de los Reales exéreitos. Sirvió á S. M. por espacio de 67 años, habiendo principiado de Cadete de Minadores en. la compañía provincial de la jilñza de Ceuta: fué</t>
  </si>
  <si>
    <t>de U Costa, Vicente</t>
  </si>
  <si>
    <t>Vicente de U Costa</t>
  </si>
  <si>
    <t>pies superficiales’, acuda ante el Sr. D. Juan Antonio Santa María, por la escribanía de número de D. Vicente dé U Costa. = Asimismo se ha mandado publicar por otros 30 diás otra Casa, perteneciente á la misma congregación,' sita en la calle de S. Lúeas , barrios del Barquillo, núm. 4 , mana. 344 ,</t>
  </si>
  <si>
    <t>de Unquera y Cobian, Rafael Francisco</t>
  </si>
  <si>
    <t>Rafael Francisco de Unquera y Cobian</t>
  </si>
  <si>
    <t>ella: para otra Canongía de la de Santiago,' vacante por muerte de D. Joachtn Miguel de Almansa, á D. Rafael Francisco de Unquera y Cobian, Racionero de la misma metropolitana : para*</t>
  </si>
  <si>
    <t>de Unzaga, Francisco</t>
  </si>
  <si>
    <t>Francisco de Unzaga</t>
  </si>
  <si>
    <t>D. Manuel Antonio Elzaurdí. En Cuenca............. D. Manuel Escolar y Noriega. En Granada.........D. Francisco de Unzaga. [En QuadaUtxara. D. Isidoro García Plaza. 'Éñjaen.............. D. Pedro Esponera. En León............. . D. Pedro Gil de Tejada. En Málaga........... D. Antonio Mariano. En Murc</t>
  </si>
  <si>
    <t>.... I}. Manuel Antonio Elzaurdi. En Cuenca........ D. Manuel Escolar y Noriega. En Granada........ D. Francisco de Unzaga. En Guadalaxara. D. Isidoro García Plaza. jfí /z ............... B. Pedro Esponera. En León..... ......... D. Pedro Gil de Tejada. En Malaga....... D. Antonio Mariano. En Murcia..</t>
  </si>
  <si>
    <t>Manuel Antonio de Elzaurdi. En Cuenca............. D. Manuel Escolar y Noriega. En Granada......... D. Francisco de Unzaga. jEn Guadalaxara.. D. Isidoro García Plaza. En Jaén.................D. Pedro Esponera. En León................ D. Pedro Gil de Tejada. En Malaga............D. Antonio Mariano. En</t>
  </si>
  <si>
    <t>de Uñzaga, Francisco</t>
  </si>
  <si>
    <t>Francisco de Uñzaga</t>
  </si>
  <si>
    <t>Manuel Antonio de Elzaurdi. En Cuenca... ......... D. Manuel Escolar y Noriega. En Granada......... D. Francisco de Uñzaga. En Guadalaxara.. D. Isidoro García Plaza. E11 Jaén.................D. Pedro Esponera. En León................. IX Pedro Gil de Tejada. En Malaga............D. Antonio Mariano. En</t>
  </si>
  <si>
    <t>Manuel Antonio de Elzaurdi. En Cuenca............ . D. Manuel Escolar y Noriéga. En Granada........ D. Francisco de Unzaga. En Guadalaxara.. D. Isidoro García Plaza. En Jaén.................. t&gt;. Pedro Esponera. En León.................. D. Pedro Gil de Tejada. En Malaga..............D. Antonio Marian</t>
  </si>
  <si>
    <t>de Urbina, Cayetano</t>
  </si>
  <si>
    <t>Cayetano de Urbina</t>
  </si>
  <si>
    <t>: para la Intendencia y Corregimiento político de la ciudad de Valladolid, vacante por promoción de D. Cayetano de Urbina á la del exército de Valencia, á D. Jos&gt; ph Ventura rerez de Lema: para el de letras de la ciudad de Guadix á D. Joseph Manuel Picado: para el de la villa de Ponferrada á D. Josep</t>
  </si>
  <si>
    <t>de Urbina, Joseph</t>
  </si>
  <si>
    <t>Joseph de Urbina</t>
  </si>
  <si>
    <t>de la ciudad de Salamanca y su distrito, que ha resuelto establecer, al Brigadier de sus exércitos D. Joseph de Urbina, Capitán del regimiento de su Guardia de infantería Española. S. M. ha.nombrado Ingeniero ordinario de sus exércitos, plazas y fronteras al extraordinario D. Guillermo Minali; y p</t>
  </si>
  <si>
    <t>de Urbiná, Luis</t>
  </si>
  <si>
    <t>Luis de Urbiná</t>
  </si>
  <si>
    <t>6 de Noviembre de 1791 hasta 4 de Diciembre de j799 por D* Francisco Peyroíon : elogio del Exc. Sr. D. Luis de Urbiná por el R. P. Benito de S. Pedro: discurso contra el egoísmo por D. Manuel de Velasco: extracto de la rtieihoriá sobre un canal de navegación desde Valencia al puerto dél Grao por</t>
  </si>
  <si>
    <t>de Urcullu, Francisco</t>
  </si>
  <si>
    <t>Francisco de Urcullu</t>
  </si>
  <si>
    <t>, y Subtenencia de bandera á D. Joseph Ramón de la Vega: en el de Xerez la Tenencia de granaderos á D. Francisco de Urcullu, Teniente de fusileros; Tenencia de esta clase á D. Joseph Arquellada, Subteniente de granaderos, y esta resulta al Subteniente de fusileros D. Rafael Sopreanis: en el de Murcia l</t>
  </si>
  <si>
    <t>de Urdaneta, Joseph Joachín</t>
  </si>
  <si>
    <t>Joseph Joachín de Urdaneta</t>
  </si>
  <si>
    <t>María, Oficial segundo: para este destino á D. Manuel Pardo, Oficial tercero, y para esti resulta á D. Joseph Joachin de Urdaneta: para el empleo de Oficial mayor de las Caxas Reales de Antioquía á D. Francisco Pardo : para el de Administrador particular dé Rentas estancadas de la Vega de Süpiá á D. Joseph M</t>
  </si>
  <si>
    <t>de Uribarri, Juan</t>
  </si>
  <si>
    <t>Juan de Uribarri</t>
  </si>
  <si>
    <t>llos, D. Joseph Herrera Ladrón y Don Joseph B-día. .. En consideración á los servicios y méritos de D, Juan de Uribarri, Oficial mayor del Parte de esta Cortea se ha servido eLRey concederle hnnrvres .de Comisario Ordenador los Reales exércitbs. La casa sica en la cajle de Jesús y María, barrio de</t>
  </si>
  <si>
    <t>de Urisa y Almonacid, Juan</t>
  </si>
  <si>
    <t>Juan de Urisa y Almonacid</t>
  </si>
  <si>
    <t>ionero de la misma iglesia, á D. Joseph Toledo: para una Ración de la propia, vacante or ascenso de D. Juan de Urisa y Almonacid á otra de la de Arequipa, r D. Joseph de Arjona: para la Media Ración , que este dexa, á D. Nicolás de Hore; y para la segunda Ración de la catedral de Mérida de Yucatán , vacante</t>
  </si>
  <si>
    <t>de Uriz, Joachín Xavier</t>
  </si>
  <si>
    <t>Joachín Xavier de Uriz</t>
  </si>
  <si>
    <t>á Ja religión y al estado , con notable aumento de la población, fuerzas y riqueza de España : por D. Joachin Xavier de Uriz , Arcediano de Tabla y Canónigo de la santa iglesia de Pamplona. Esta obra , que incluye todos los ramos de educación de tantos niños , que se pueden conservar siguiendo los princ</t>
  </si>
  <si>
    <t>de Urizar y Almonacid, Juan</t>
  </si>
  <si>
    <t>Juan de Urizar y Almonacid</t>
  </si>
  <si>
    <t>l de la misma iglesia: para la primera de las dos Raciones, vacantes en la catedral de -Arequipa, á D. Juan de Urizar y Almonacid, Racionero de la de la Paz: tpara la segunda á D. Manuel de la Peña y Montenegro, Cura en el obispado, del Cuzco; y para la Media-Ración de la metropolitana de México, Vacante por</t>
  </si>
  <si>
    <t>de Urmeneta, Joseph</t>
  </si>
  <si>
    <t>Joseph de Urmeneta</t>
  </si>
  <si>
    <t>esorero de la Real renta de tabacos del Reyno de Guatemala, vacante por muerte del que lo servia, á D. Joseph de Urmeneta, Alcayde de la Real aduana de aquella capital; y ha nombrado para este destino á D. Luis Angel Toledo, Vista primero de ella, y para el que este dexa á D. Manuel Olaverri, Vista s</t>
  </si>
  <si>
    <t>de Urquiaga, Juan Manuel</t>
  </si>
  <si>
    <t>Juan Manuel de Urquiaga</t>
  </si>
  <si>
    <t>r Subteniente al segundo D. Prudencio Castañeda: en el de Sevilla á segundo Subteniente ¡áj ¡Cálete D. Juan Manuel de Urquiaga : en el de Zaragoza á primer Teniente al segundo de granaderos D. Antonio de Martin y Perez ; á segundo Teniente de granaderos al de fusileros D. Domingo Martínez; á segundo Tenie</t>
  </si>
  <si>
    <t>de Urquidi, Marcos</t>
  </si>
  <si>
    <t>Marcos de Urquidi</t>
  </si>
  <si>
    <t>ó supiese de él, lo remitirá ó avisará al expresado D. Agustín de lá Torre en Ordeña, ó en Madrid á D. Marcos de Urquidi, Agente por S. M. del número de Indias. : Por i a audiencia del Sr. I). Pedro González Calderón , caballero de la órden de Cárlosm, del Consejo de S. M., Asesor general del exérci</t>
  </si>
  <si>
    <t>de Urquiza, Nicolás</t>
  </si>
  <si>
    <t>Nicolás de Urquiza</t>
  </si>
  <si>
    <t>ionero de la misma: para una Ración de la parroquial de la villa de Berbegal, diócesis de Lérida, á Don Nicolás de Urquiza; para otra de la parroquial de la de Capella, en la misma diócesis, á í&gt;. Joachin Otón: para otra de las parroquiales unidas de Fra;ga, en el propio obispado, á D. Joseph Serra y</t>
  </si>
  <si>
    <t>de Urraza, Juan Antonio</t>
  </si>
  <si>
    <t>Juan Antonio de Urraza</t>
  </si>
  <si>
    <t>s del Sr. D. Pedro González Calderón, Teniente Corregidor de «sta villa, y escribanía del número de D. Juan Antonio de Urraza* se están subastando 4 casas sitas en esta corte: una en 3a cabe de la Comadre de Granada, núm. 17, manz. 49 &gt; tasada en rs., y tiene de sitio</t>
  </si>
  <si>
    <t>rlos m , del Consejo de S. M., Teniente Corregidor de esta villa, y por la escribanía del número de D. Juan Antonio de Urraza, á deducir y exponer lo conveniente á su derecho. Colección de las obras del M. R. P. Fr. Diego Joseph de Cádiz , del orden de menores Capuchinos de la provincia de Andalucía, y m</t>
  </si>
  <si>
    <t>de Urrutia, Joachín</t>
  </si>
  <si>
    <t>Joachín de Urrutia</t>
  </si>
  <si>
    <t>iente al Cadete í&gt;. Francisco Jsclfart: en el de Granada á primer Teniente al segundo de granaderos D. Joachín de Urrutia; á segundo Teniente de granaderos ai de fjisileF¿s''D; Juan Gutiérrez; á segundo Teniente al Subteniente de granaderos D. Miguel Merioyo; á Subteniente de granaderos al de fusiler</t>
  </si>
  <si>
    <t>de Urteza, Manuel</t>
  </si>
  <si>
    <t>Manuel de Urteza</t>
  </si>
  <si>
    <t>de Mendoza , y los; Capitanes de i N'avío D. Joseph. Jordán, D. Gabriel Sorondo, D.RafaelBennazár y D. Manuel de Urteza-, belj fueron de dict:unen en la úitima junta. cpie cclebr6 Apodaca, de que so procediese al incendio-éri ¿©sí términos que se hizo,ios suspende S. M. de&gt; sus respectivos empleos p</t>
  </si>
  <si>
    <t>de Va Honre, Conde</t>
  </si>
  <si>
    <t>Conde de Va Honre</t>
  </si>
  <si>
    <t>quales ha despichado ya grandes partidas á Inglaterra. Berlín 2$ de Julio. E i Conde de Va Honre, Ministro del Rey de Cerdeña, ha emprendido sh viage a Petersburgo, y ha pasado ya por Koenisberg. Hasta principios de Setiembre no se espera en Potsdam al.Rey de Suecia. Mr. Pontanus, Te ^</t>
  </si>
  <si>
    <t>de Val, Matías</t>
  </si>
  <si>
    <t>Matías de Val</t>
  </si>
  <si>
    <t>, como marido de Doña Francisca Xaviera de Va i parda , patrono de la capellanía colativa que fundó D. Matías de Val parda en ei convento de religiosos Capuchinos de la Paciencia de esta villa, y D. Agustin de Larrea de los Llanos y Val parda, primer Capellán de ella; Deña Agreda Fa raudo, vecin</t>
  </si>
  <si>
    <t>de Valcáx, Juan</t>
  </si>
  <si>
    <t>Juan de Valcáx</t>
  </si>
  <si>
    <t>e Reales Guardias Walonas se ha servido promover el Réy á Alféreces i los Cadetes D. Domingo Junco, D. Juan de Valcáx</t>
  </si>
  <si>
    <t>de Valdés Hevia, Fernando</t>
  </si>
  <si>
    <t>Fernando de Valdés Hevia</t>
  </si>
  <si>
    <t>r y tierra , y nada car©, Los que quieran pretender esta plaza dirigirán sus memoriales y méritos á D. Fernando de Valdés Hevia , y D. Ignacio Menendez Valdés Tabaza, Regidores comisarios al efecto5 en inteligencia de que el dia 17 de Diciembre próximo se executará la elección. Nuevo sistema de gobierno ec</t>
  </si>
  <si>
    <t>de Valen, Juan</t>
  </si>
  <si>
    <t>Juan de Valen</t>
  </si>
  <si>
    <t>. Subteniente al Cadete D. Jayme Ribo!): en el de España á Capitán al primer 1 emente de granaderos D. Juan de Valen zada; á Ayudante al primer. remente D. Juan de Francia*; a primer Teniente de granaderos al de^ fusileros D. Juan Tuuty, a primeros Tenientes á ios segundos de granaderos D. Cayet</t>
  </si>
  <si>
    <t>de Valencia y Bravo, Francisco</t>
  </si>
  <si>
    <t>Francisco de Valencia y Bravo</t>
  </si>
  <si>
    <t>n, para la Dignidad de Sacristán mayor de la órdten de Alcántara, vacante por fallecimiento de Frey D. Francisco de Valencia y Bravo.</t>
  </si>
  <si>
    <t>de Valencia y Torices y Antonia Toricís, Luis</t>
  </si>
  <si>
    <t>Luis de Valencia y Torices y Antonia Toricís</t>
  </si>
  <si>
    <t>. Fernando Zuazo. Valencia y Torices, último poseedor por línea recta del mayorazgo que ftm— dá ron D. Luis de Valencia y Torices y Doña Antonia Toricís y Represa , su mug?r, vecinos de la ciudad de Zamora , siendo su primer poseedor D. Luis de Valencia, su hijo : y habiéndose fixado los edictos en dicha ciudad y otras partes , fue</t>
  </si>
  <si>
    <t>de Valencia, Luis</t>
  </si>
  <si>
    <t>Luis de Valencia</t>
  </si>
  <si>
    <t>ña Antonia Toricís y Represa , su mug?r, vecinos de la ciudad de Zamora , siendo su primer poseedor D. Luis de Valencia, su hijo : y habiéndose fixado los edictos en dicha ciudad y otras partes , fue declarado pertenecerle á D. Joseph María de Acevedo, Capitán de Fragata de la Real armada ; pero sa</t>
  </si>
  <si>
    <t>de Valencia, Melchor</t>
  </si>
  <si>
    <t>Melchor de Valencia</t>
  </si>
  <si>
    <t>ha servido nombrar para la Dignidad de Dean de la catedral de Popayan, vacante por fallecimiento de D. Melchor de Valencia, al Maestrescuela D. Francisco Xavier Hernández de Madrid: para la Maestrescoiía al Tesorero D. Manuel Ventura Hurtado de Arboleda: para la Tesorería al Racionero D. Gerónimo Boni</t>
  </si>
  <si>
    <t>de Valenzucla Prado, Fernando</t>
  </si>
  <si>
    <t>Fernando de Valenzucla Prado</t>
  </si>
  <si>
    <t>ara hacer felices progresos. Se han hecho muy recomendables por sus qualidades sociales el director D. Fernando de Valenzucla Prado, el Dean de esta santa iglesia D. Joseph Martínez de Mazas, el Arcediano de Jaén D. Joseph Gómez, el Coronel de exército D. Andrés de Viedma, D. Fernando de Aranda Alvarez de Soto</t>
  </si>
  <si>
    <t>de Valénzuela, Manuel</t>
  </si>
  <si>
    <t>Manuel de Valénzuela</t>
  </si>
  <si>
    <t>D. Santiago Gregorio de Búroos, Med io-Racionero de ella; y para la Media-Ración, que este dexa, á Don Manuel de Valénzuela, Cura en dicho arzobispado. Igualmente se ha servido S. M. nombrar para la segunda Ración de la citada metropolitana, vacante por muerte del referido D. Antonio Nicolás Martínez C</t>
  </si>
  <si>
    <t>de Valladáres, Pedro</t>
  </si>
  <si>
    <t>Pedro de Valladáres</t>
  </si>
  <si>
    <t>cometida ai Sr. D. Joseph Navarro, Alcalde de casa y corte, &lt; iy por, la escribanía de provincia de D. Pedro de Valladáres,,se vendían las finesa siguientes : la vega llamada de Alcolea y tierras adyacentes, denominadas de )qs Altos , Hoya y Centenáres, situadas en término y jurisdicción de la villa d</t>
  </si>
  <si>
    <t>V ¿ M Alcalde de casa y corte, á quien está cometida dicha Real faStad y* escríbanla de provincia l D. Pedro de Valladáres, o ante la Justicia de dicha villa de Hernán! por lo respectivo á los 16 seles, caserío y suelos, en a üármino de 10 dias , que seadmitirán las que se hicieren , no siendo manos t</t>
  </si>
  <si>
    <t>1. mrs. Quien quisiere hacer postura acuda á dicho Sr. Alcalde, y por la escribanía de provincia de D. Pedro de Valladáres, en el término de 30 dias contados desde hoy, que se admitirán las que se hagan si fueren arregladas, y no siendo manos muertas : en inteligencia de que de la cantidad ó precio en</t>
  </si>
  <si>
    <t>de Valparda, Matías</t>
  </si>
  <si>
    <t>Matías de Valparda</t>
  </si>
  <si>
    <t>ella; Deña Agreda Fa raudo, vecina de esta corts, como poseedora del vínculo que fundó el referido D. Matías de Valparda ; D; Juan Martin de Irigoyen , vecino del lugar de Ciga, en el valle de Bastan ; Doña Catalina de Heras, viuda de D. Manuel de la Sierra, vecina de esta villa; D. Tomas Antonio de</t>
  </si>
  <si>
    <t>de Vargas y Laguna, Antonio</t>
  </si>
  <si>
    <t>Antonio de Vargas y Laguna</t>
  </si>
  <si>
    <t>es, vacante por haber nombrado S. M. por su Ministro Plenipotenciario cerca de la santa Sede al Sr. D. Antonio de Vargas y Laguna. El Consejo,á consulta de la Comisión gubernativa, y con aprobación de S. M., ha resuelto la amortización veinte y tres de 2 jo Vales de 600 pesos y 433 de 300 do i.° &lt;le Mayo, pr</t>
  </si>
  <si>
    <t>de Vargas y Machuca, Gabriel</t>
  </si>
  <si>
    <t>Gabriel de Vargas y Machuca</t>
  </si>
  <si>
    <t>por D. Lúeas Becli, como apoderado de los Sres. CahiL y White, de Sevilla,en 7 de Enero*á favor de D, Gabriel de Vargas y Machuca, de dicha ciudad, y por este con la misma fecha á D. Guillermo vigat en Madrid , á quien los dirigió si 27 de .dicho mes. Los sugetos en cuyo poderse hallen les remitirán al refer</t>
  </si>
  <si>
    <t>de Várgas, Antonio</t>
  </si>
  <si>
    <t>Antonio de Várgas</t>
  </si>
  <si>
    <t>y comunidad de religiosos capuchinos, tíixo el dia 19 de Mayo de 1801 el Dr. D, Antonio de Várgas , Canónigo de la misma santa iglesia. Se hallará en la librería de Llera, plazuela del Argel. Dos minuetes flautados del Basilio y Santana, con el fandango para guitarra: 6 minuetes debayle</t>
  </si>
  <si>
    <t>de Várgasy Laguna, Antonio</t>
  </si>
  <si>
    <t>Antonio de Várgasy Laguna</t>
  </si>
  <si>
    <t>e San Angelo.; . El dia 29 filé presentado en audiencia publica á S. S. el nuevo Ministro de España D, Antonio de Várgasy Laguna. Tres v freíales franceses llegaron aquí el 28 del mes último, é inmediatamente pasaron á verse con el Cardenal Secretario de Estado. Poco después viniéron varios soldados con arm</t>
  </si>
  <si>
    <t>de Ve, Manuel</t>
  </si>
  <si>
    <t>Manuel de Ve</t>
  </si>
  <si>
    <t>os. El tér'minó de este premio se prorogara si es necesario hasta fin de Octubre de 1802.— El socio D Manuel de Ve-, lasco considerando que el aprovechamiento del terreno reduc.uo todo a cnltWo en este fomentar en Reyno JEnde 110 perro],te,que la cria lqs lanar de .ganados: abradores ni propiet</t>
  </si>
  <si>
    <t>de Vega, Diego</t>
  </si>
  <si>
    <t>Diego de Vega</t>
  </si>
  <si>
    <t>ría de Saboya á Capitán de granaderos al de fusileros D. Joseph María Lambí ; á Capitán al Ayudante D. Diego de Vega; á esta resulta al primer Teniente D. Bartolomé Gelevert; á primer Teniente al segundo de granaderos D. Simón Sau</t>
  </si>
  <si>
    <t>de Velado, Manuel</t>
  </si>
  <si>
    <t>Manuel de Velado</t>
  </si>
  <si>
    <t>ncie, y se tendrán presentes á todos los oficios que lo executen para el año siguiente.___ El mismo D. Manuel de Velado considerando que el estudio de la química es muy esencial para la ' ¿rfeccion de las fábricas y artes principales, ofrece un premio de acó *r al artesano ó fabricante que acredite</t>
  </si>
  <si>
    <t>de Velasco, Julián</t>
  </si>
  <si>
    <t>Julián de Velasco</t>
  </si>
  <si>
    <t>u doctrina y de sus obras, escrita en francés por el P. Mtro. Touron, y traducida al castellano por D. Julián de Velasco. Los teólogos ? literatos y toda clase de personas han mirado esta obra en toda la Europa católica no solo como un modelo de edificación y de piedad, sino también como el mas útil</t>
  </si>
  <si>
    <t>de Velasco, Manuel</t>
  </si>
  <si>
    <t>Manuel de Velasco</t>
  </si>
  <si>
    <t>el Exc. Sr.Arzobispo de ValenCiá Fr. D. Joachín Company , 6 por otro socio, 4 por el socio contador Don Manuel de Velasco, 4 por D. Juan Antonio Martínez de Hermosilla, y t : por el yice-archivero D. Joseph Vicente Ibarra. Otros prémiós dé 100 rs.t recibieron quatro discípulos de la Real academia de</t>
  </si>
  <si>
    <t>ogio del Exc. Sr. D. Luis de Urbiná por el R. P. Benito de S. Pedro: discurso contra el egoísmo por D. Manuel de Velasco: extracto de la rtieihoriá sobre un canal de navegación desde Valencia al puerto dél Grao por D; Joachin de-la Croi*'¿ Ingeniero de marina: elogio del limo, Sr. B.‘ Félix fUco por</t>
  </si>
  <si>
    <t>o todas las operaciones baxo sus órdenes y dirección desde el hilado hasta su conclusión___El socio D. Manuel de Velasco considerando que el mayor impulso que puede darse á nuestra industria es el introducir una gloriosa emulación entre los gremios que los empeñe á exámenes anuales de sus adelantos,</t>
  </si>
  <si>
    <t>de Velíseo, Francisco</t>
  </si>
  <si>
    <t>Francisco de Velíseo</t>
  </si>
  <si>
    <t>nte de granaderos al primer Subteniente D. Joseph Ramón Mackenna, y á primer Subteniente al segundo D. Francisco de Velíseo* en el de Hibernia á Capitán al primer Teniente de granaderos D. Alexandro ODonell; á primer Teniente de granaderos al de fusileros D. Diego Clarke; á primer Teniente al segundo c</t>
  </si>
  <si>
    <t>de Vera, Manuel María</t>
  </si>
  <si>
    <t>Manuel María de Vera</t>
  </si>
  <si>
    <t>istrado en Veracruz el año próximo pasado por D. Jo*eph Angel de Guevara, para entregar en Europa á D. Manuel María de Vera, el que fué conducido en la fragata correo de S. M. nombrada la Alcudia, que arribó i Puerto Marin, en las costas de Galicia, en i.° de Setiembre de dicho afio; y no habiendo pare</t>
  </si>
  <si>
    <t>de Verdeja, Juan Manuel</t>
  </si>
  <si>
    <t>Juan Manuel de Verdeja</t>
  </si>
  <si>
    <t>trescuela D. Joseph de Suero González de Andrade; y para la Maestrescolía al Canónigo Penitenciario D. Juan Manuel de Verdeja: para el Deanato de la Paz, vacante por muerte de D. Alexo de San Gines, á D. Bernardo de liria y Lknes: para el Arcedianato, que este dexa en la misma iglesia, al Chantre D. Feli</t>
  </si>
  <si>
    <t>de Vergara, Juan Manuel</t>
  </si>
  <si>
    <t>Juan Manuel de Vergara</t>
  </si>
  <si>
    <t>a ahora no conocido. Se hallará á 4 rs. en la calle Mayor, esquina á la de S. Christóbal, tienda de D. Juan Manuel de Vergara y hermano. Diez y seis estampas finas de Ntra. Sra. del Cármen j la Divina Pastora , San Joseph , S. Antonio ,que por su tamaño pueden servir para registros de libros. Se venden jun</t>
  </si>
  <si>
    <t>de Viedma, Andrés</t>
  </si>
  <si>
    <t>Andrés de Viedma</t>
  </si>
  <si>
    <t>a iglesia D. Joseph Martínez de Mazas, el Arcediano de Jaén D. Joseph Gómez, el Coronel de exército D. Andrés de Viedma, D. Fernando de Aranda Alvarez de Sotomayor y D. Juan Joseph su hermano, caballeros maestrantes, que han franqueado de sus rentas en este ano social 1S32 socorros y premios á los</t>
  </si>
  <si>
    <t>de Viégas, Simón</t>
  </si>
  <si>
    <t>Simón de Viégas</t>
  </si>
  <si>
    <t>Antonio Gimbernat, en consideración á sus servicios; y honores de Alcalde de su Real casa y corte á D. Simón de Viégas, Secretario de la Presidencia de Castilla. En América. S.*M. se ha servido promover á Capitanes del batallón de Milicias ¡disciplinadas-- de 1 infantería de iMérida de Yucatán al</t>
  </si>
  <si>
    <t>de Vieregg, Conde</t>
  </si>
  <si>
    <t>Conde de Vieregg</t>
  </si>
  <si>
    <t>y entraron el 29 y 30 de Junio en el Aito-Pal: tinado, bu comandante intimó al Conde de Vieregg, Coronel de las tropas b .varo-palatinas, se retirase con su regimiento, el quai había ocupado Ls fronteras de aquel país por la parte de Bohemia. Contestó este oficial que no t nia órden</t>
  </si>
  <si>
    <t>de Vilches, Gonzalo Joseph</t>
  </si>
  <si>
    <t>Gonzalo Joseph de Vilches</t>
  </si>
  <si>
    <t>Xerez de la Frontera, han remitido-testimonio de la orden expedida en 21 de Abril último por el Sr. D. Gonzalo Joseph de Vilches, del - Consejo Real y de la Junta suprema de Sanidad, comisionado por S. M. para el gobierno de las ocurrencias de la epidemia pasada en los pueblos de Andalucía; en que declara á</t>
  </si>
  <si>
    <t>de Villabaso, Juan</t>
  </si>
  <si>
    <t>Juan de Villabaso</t>
  </si>
  <si>
    <t>bildo ó Secretario capitular. Por el término de un mes contado desde hoy se recibirán en Bilbao por D. Juan de Villabaso, y en Madrid por D. Alexandro Amirola, comisionados paradlo por la (diputación general del M. N. y M. L. Señorío de V izcsya, las cantidades que se quieran prestar á dicho Señorío</t>
  </si>
  <si>
    <t>de Villaluení, Francisco</t>
  </si>
  <si>
    <t>Francisco de Villaluení</t>
  </si>
  <si>
    <t>mas endoso. El sugeto en cuyo poder se hallare lo entregará en Cádiz al citado Calera, en Madrid á D. Francisco de Villaluení ga , ó en Sevilla á D. Francisco Pifia). Por providencia del Sr. D. Juan Antonio López Altamirano, caballero de'íijf órden de Santiago, Ministro del supremo Consejo dé Castilla| J</t>
  </si>
  <si>
    <t>de Villanueva, Joachín</t>
  </si>
  <si>
    <t>Joachín de Villanueva</t>
  </si>
  <si>
    <t>o, con el texto latino , é igual número de estampas , á 7a rs. : y otros de la traducción hecha por D. Joachin de Villanueva , adornados con 30 délas mismas estampas, á 62 rs. Imitación de Christo y menosprecio del mundo, compuesto en latín por el V. Tomas de Kémpis, traducido por el P. Nieremberg : un</t>
  </si>
  <si>
    <t>de Vulnes, Manuel</t>
  </si>
  <si>
    <t>Manuel de Vulnes</t>
  </si>
  <si>
    <t>pitán de granaderos D. Joachin de Goyeneche ,, y á primer Teniente afGapítan de milicias de Sevilla D. Manuel de Vulnes : en el de granaderos Voluntarios de Estado al empleo de Coronel al Tenieiue GoroneLdel; de infantería de Navarra, graduado dé Coronel, Marques de Casa-Palacio; y en el.de Nápoles</t>
  </si>
  <si>
    <t>de Waldstein, Francisco (conde)</t>
  </si>
  <si>
    <t>Conde Francisco de Waldstein</t>
  </si>
  <si>
    <t>a para aumentar los conocimientos humanos y enriquecer la ciencia. Persuadido de esta'verdad el Sr. Conde Francisco de Waldstein , G«entilhombre de S. TVI. Imp. ,y queriendo añadir un mérito literario ál lustre de su en* na , concibió y está executando«l vastó plan de la magestuosa obra que se anuncia. Ha s</t>
  </si>
  <si>
    <t>de Wurtemberg, Duquesa</t>
  </si>
  <si>
    <t>Duquesa de Wurtemberg</t>
  </si>
  <si>
    <t>l de un regimiento ruso. Mr. Paget ha llegado á Stuttgard, en donde visitó á la Duquesa de Wurtemberg, hija mayor dél Rey de Inglaterra. Por orden del Archiduque Carlos se ha avisado á los habitantes de las posesiones de la orden Teutónica, que á causa de los graves apuntos que le ocupa</t>
  </si>
  <si>
    <t>de Wurtemberg, Luis (duque)</t>
  </si>
  <si>
    <t>Duque Luis de Wurtemberg</t>
  </si>
  <si>
    <t>ruz de la orden de Sta. Catalina á la Reyna de Prusia, y á las esposas del Elector de Baviera y del Duque Luis de Wurtemberg. Stockolmo 12 de Mayo. A ntes de ayer á las 4 de la mañana regresó S. M. á esta capital. Salieron á recibirle los magistrados y las principales personas del vecindario presididas</t>
  </si>
  <si>
    <t>de XJnzaga, Francisco</t>
  </si>
  <si>
    <t>Francisco de XJnzaga</t>
  </si>
  <si>
    <t>..... D. Manuel Antonio Elzaurdí. En Cuenca......... D. Manuel Escolar y Noriega. Engranada........ D. Francisco de XJnzaga. En Guadalaxara. D. Isidoro García Plaza. En Jaén................D. Pedro Esponera. En León.,.......... . D. Pedro Gil de Tejada. En Malaga,,.,..... D. Antonio Mariano. j En Murci</t>
  </si>
  <si>
    <t>de Zaldivaí, Joseph</t>
  </si>
  <si>
    <t>Joseph de Zaldivaí</t>
  </si>
  <si>
    <t>Ramón Cañedo Valdés: en el de Reales .Guardias Wálonas á Alféreces de granaderos á los de fusileros D. Joseph de Zaldivaí y D. Bernardo María Guendulain. En él de infantería deSaboya á Comandante del tercer batallón al Sargento mayor del de Asturias * graduado Aé -Coronel, D* Francisco Fulgosio: en el de</t>
  </si>
  <si>
    <t>de Zaldivar, Martín</t>
  </si>
  <si>
    <t>Martín de Zaldivar</t>
  </si>
  <si>
    <t>destraten, y á segundos Tenientes á los Alféreees'de granaderos D. Martin de Zaldivar y D. Joseph de Zaldivar. En el de infantería de Asturias á Capitán de granaderos al de fusileros D. Manuel Eligió; á Capitán al Ayudante D. Ramón Ducer; á esta resulta al primer Tenie</t>
  </si>
  <si>
    <t>de Zayas, Antonio</t>
  </si>
  <si>
    <t>Antonio de Zayas</t>
  </si>
  <si>
    <t>Real cuerpo de Guardias de Corps, vacante por ascenso de D. Melchor Calatayud, ha nombrado el Rey á D. Antonio de Zayas, Alférez de ella: para esta resulta al Exento D. Eusebio Herrera : para el Bastón de Exento de numero, que este dexa, al supernumerario D. Gerónimo de Roxas; y ha concedido S. M.</t>
  </si>
  <si>
    <t>de Zea y Zea, Antonio</t>
  </si>
  <si>
    <t>Antonio de Zea y Zea</t>
  </si>
  <si>
    <t>e granaderos á D. Pedro Alcántara Roxas.y Narvaez, Teniente de fusileros; Tenencias de esta clase á D. Antonio de Zea y Zea, Subteniente de granaderos, y. D. Juan Montemayor-y*Priego, Subteniente de fusileros; la Subtenencia de granaderos á D. Luis de Sousa, Subteniente de fusileros, y empleo de esta c</t>
  </si>
  <si>
    <t>de Zuloaga, Manuel Joseph</t>
  </si>
  <si>
    <t>Manuel Joseph de Zuloaga</t>
  </si>
  <si>
    <t>por memorial, que dirigirá á qualquiera de los comisionados D. Benito Majuelo , D. Froylan Briz, ó D. Manuel Joseph de Zuloaga , Regidor perpetúo , Diputado de abastos , y Procurador síndico general : se admitirán basta el dia xa de Julio. Se desea saber si hay algún heredero de D. Juan Díaz del Corral. S</t>
  </si>
  <si>
    <t>de Zurita y Adorno, Agustín</t>
  </si>
  <si>
    <t>Agustín de Zurita y Adorno</t>
  </si>
  <si>
    <t>por fallecimiento de D. Antonio de Errea, á D. Antonio Sánchez Notario. f). Alexandro de Coupigní y D. Agustín de Zurita y Adorno, este graduado de Teniente Coronel; y á segundos Tenientes á los Alféreces Don Manuel María Móntalbo y D. Liberato María Victor, este de granaderos. En el de infantería de Granada</t>
  </si>
  <si>
    <t>de Zurita, Gerónimo</t>
  </si>
  <si>
    <t>Gerónimo de Zurita</t>
  </si>
  <si>
    <t>nso Tostado, Luis Vives, pinturas qne Lucas Jordán hizo al. fresco en f K Diego Hurtado de Mendoza, D. Gerónimo de Zurita, D. Diego de Saavedra Fael casan del Buen Retiro : las 16 expresan las fábulas ó trabajos de .Hércules: 4 reprexardo , y. Don Alvaro Navia Oson o : sentan Europa, Asia, Africa y A</t>
  </si>
  <si>
    <t>de Zurita, Manuel Joseph</t>
  </si>
  <si>
    <t>Manuel Joseph de Zurita</t>
  </si>
  <si>
    <t>el año de la fecha. Se bajará en la calle del Arenal, junto á la puerta del Sol , casa-1 tienda de D. Manuel Joseph de Zurita. , Colección completa de las mas áeiectas comedias de figurón. El colector como amante de la# glorias nacionales, ro satisfecho con restituir á su primitivo esplendor las producci</t>
  </si>
  <si>
    <t>De, General</t>
  </si>
  <si>
    <t>General De</t>
  </si>
  <si>
    <t>nos 9© prisioneros* 8© hombres entre muertos y heridos j 30 cañones, $ banderas y J estandartes. El General De|mas se apodero ¿1 28 de CástéLNuov¿ rni^dj^nte -uqa marcha muy yiváyy yo trasladé mi quactel generala Vtüafrancá. El a^oocupó Dcimas á Pastrengo y Bussolengot puntos que nos asegu</t>
  </si>
  <si>
    <t>Debdle, General</t>
  </si>
  <si>
    <t>General Debdle</t>
  </si>
  <si>
    <t>que van á aumentarlo, pues debe constar de 45© hombres. El General Soult manda el ala derecha, y el General Debdle la izquierda. Dícese que la marcha de este exército se resolvió en un consejo de guerra celebrado en Florencia, al qual asistiéron los Generales napolitanos Pignatelli Moliterno y Pi</t>
  </si>
  <si>
    <t>Debelle, General</t>
  </si>
  <si>
    <t>General Debelle</t>
  </si>
  <si>
    <t>el Emo. Doria, que sirve 1a secretaría de Estado hasta que vuelva de París el Cardenal Consalvi. El General Debelle tiene orden de evacuar el castillo de S. León y la provincia de Monte-Feltro. Monseñor Galeppi, que se halla en Florencia* envió aquí por extraordinario esta noticia asi que se la</t>
  </si>
  <si>
    <t>Debelle, Teniente General</t>
  </si>
  <si>
    <t>Teniente General Debelle</t>
  </si>
  <si>
    <t>de los exércitos.de Italia y de observación debian reunirse en este departamento del Reno; pero el Teniente General Debelle ha comunicado á la Junta gubernativa una carta del xefe del estado mayor general en que avisa con fecha del 24 que por decreto del primer Cónsul, Bolonia, Ferrara, Ravena, y todo</t>
  </si>
  <si>
    <t>Decaen, General</t>
  </si>
  <si>
    <t>General Decaen</t>
  </si>
  <si>
    <t>e LauíFen y Salzburgo; y en conseqiiencia mandó á Lecourbe se dirigiese á la derecha del Saal, y al General Decaen marchase á LauíFen, quedando en .reservadas divisiones de Richepanse y Grouchí para acudir adonde se necesitase. Lecourbe atravesó ¿1 Saal el dia 13 sin embargo de la resistencia</t>
  </si>
  <si>
    <t>General Richepanss el camino de Lambach a K-rom ;.u* munster, sosteniéndole el General Grouchí. El General Decaen, que siguió el alcance de los enemigos por el camino de Lintz, les cogió unes 400 prisioneros. 10 ñeros. El jai ala .tía izquierda, mandada por ei Teniente | * 1 v-i x General ^^</t>
  </si>
  <si>
    <t>último país van las divisiones de Grouehi y Richepanse, y ,en el obispado de Saltzburgo quedada del General Decaen. El Obispo de Fulda envió diputados á Vieua para ¡pedir que no se.-se** cularice su obispado.. Le respondiéron que se trasladase á Ratisbona,adonde efectivamente ha llegado.</t>
  </si>
  <si>
    <t>o los almacenes que los franceses tenían en aquella ciudad, en la" quai está todavía el quartel del General Decaen, cuya división ha llegado á los contornos de Stuttgard. Aun no han evacuado los franceses á Wurtzburgo, y sin duda por esto no ha entrado todavía en aquella ciudad su Obispo. Algu</t>
  </si>
  <si>
    <t>Decan, General</t>
  </si>
  <si>
    <t>General Decan</t>
  </si>
  <si>
    <t>abeza de la división del General Ney. En este ataque quedó gravemente herido’ el General Valter. El General Decan consiguió ..que los polacos se adelantasen y sostuviesen á Richepanse y y* mientras que en el centro se decidía la suerte de las anuas, un cuerpo que iba de Wássérburgo á Ebersber</t>
  </si>
  <si>
    <t>Decrés, Almirante</t>
  </si>
  <si>
    <t>Almirante Decrés</t>
  </si>
  <si>
    <t>l cuidó de las disposiciones relativas al regreso de los prisioneros rusos á su patria.” „E1 Contra-Almirante Decrés está nombrado Ministro de Marina y de las colonias en lugar del ciud. Foríait, que ha hecho dexacion de este empleo, y se le ha conferido otro.** El General de división Watrin ha es</t>
  </si>
  <si>
    <t>Definas, General</t>
  </si>
  <si>
    <t>General Definas</t>
  </si>
  <si>
    <t>a la cordillera que separa,el Val- pantena del Vai-Polissélla: marcha dificultosa., por la. qual el General Definas es acreedor íá * los mayores elogios. Viéndose hoyirodCados/Jos. enemigojs evacuaron á Verona: y así nos hallamos establecidos: eú país veneciano. Os escribo con la mayor priesa.’*</t>
  </si>
  <si>
    <t>Dejean, General</t>
  </si>
  <si>
    <t>General Dejean</t>
  </si>
  <si>
    <t>l sosiego público, cuyo número es bastante crecido en algunos cantones. Génova JO de Noviembre. E I General Dejean, xefe de la plana mayor de ias tropas francesas en esta República, ha salido repentinamente de aquí para Milán. Según una carta de Roma ha pasado por aquella ciudad el Conde de Or</t>
  </si>
  <si>
    <t>Dejouy, Pedro</t>
  </si>
  <si>
    <t>Pedro Dejouy</t>
  </si>
  <si>
    <t>eros D...umios de Caumont y D. luán Idaría Narganes, y á los pnmero? Subtenientes D. Manuel O-Daly, D. Pedro Dejouy ,D. Pablo Rosello,D.Miguei 1 uictll,f)on Manuel de Olmedo, D. Joachín Buil, D. Carlos Stonor, D. Felipe Ancora v D. Benito Albini; á primeros Subtenientes a los segundos D. Agustí</t>
  </si>
  <si>
    <t>del Azabal, Juan</t>
  </si>
  <si>
    <t>Juan del Azabal</t>
  </si>
  <si>
    <t>;á primer Teniente al segundo de granaderos D. Agustín Molina ; á esta resulta al segando Teniente D. Juan del Azabal; á segundo Teniente al Subteniente de granaderos D. Agustín Vallancour; á Subteniente de graUad^ros ;al pdméro ¡dé, fusileras D. Juan Rodríguez Almeyda, y á primer Subteniente al</t>
  </si>
  <si>
    <t>del Barco, Joachín</t>
  </si>
  <si>
    <t>Joachín del Barco</t>
  </si>
  <si>
    <t>nario y Correa; á Tenientes á los distinguidos D. Francisco Iparraguirre, D. Juan Manrique de Lara, D. Joachin del Barco, Don Francisco García y D. Juan Joseph Orejuela; á Alféreces al Sargento primero D: Manuel Rodríguez, y í los paisanos D. Silvestre Adriancen, Don Joseph.María Medina, D. Domingo</t>
  </si>
  <si>
    <t>del Barrio, Joseph</t>
  </si>
  <si>
    <t>Joseph del Barrio</t>
  </si>
  <si>
    <t>la catedral de Guadix, vacante por íallecimientode JosephDiaz Heredero,*1¿á D; Joseph del Barrio, Canónigo Lectoral de la^mesifiaüigl^iái^ ^:^: ; ai ^ ^;UR?; H -h.Autntt \-y. EpGónsejo ácOHsnltade la &lt; Comisión gubernativa iy con aprobación de S. Mc ha acordado la novena íttTiórtizaCio</t>
  </si>
  <si>
    <t>del Busto, Pedro</t>
  </si>
  <si>
    <t>Pedro del Busto</t>
  </si>
  <si>
    <t>Sargento primero D. Francisco Claramunt: en el de Asturias á Capitán de granaderos al de fusileros D. Pedro del Busto; á Capitán al primer Teniente de granaderos D. Joseph Zayas; á primer Teniente de granaderos al de fusileros D. Constantino Mañero; á primer Teniente al segundo de granaderos D. M</t>
  </si>
  <si>
    <t>del Campo, Agustín</t>
  </si>
  <si>
    <t>Agustín del Campo</t>
  </si>
  <si>
    <t>ompañía Italiana del Real cuerpo de Guardias déCorps ha promovido el Rey á Brigadier al Subrigadier D. Agustín del Campo: en la Flamenca á Cadete de numero al supernumerario D.-Juan Dagiu; y á Ca-¿&gt; dete supernumerario al Guardia D. Raymundo Ducasse. ' * 1 En América. El Rey se ha dignado promover á</t>
  </si>
  <si>
    <t>del Campo, Joachín</t>
  </si>
  <si>
    <t>Joachín del Campo</t>
  </si>
  <si>
    <t>uado de Coronel, D. Alfonso Fernandez dé Córdoba : en el de Calatrava á Portaestandarte al Sargento D. Joachín del Campo ; y en .él de voluntarios de España á Alférez al Cadete D. Joseph María CaballerQ. También lia nombrado S. M. Ayudantes de los regimientos de dragones de Almansa y Numancia á los</t>
  </si>
  <si>
    <t>, y á segundo Teniente al Alférez D. Alexo Paredes: en el de Calatrava á Alférez al Portaestandarte D. Joachín del Campo; y ea el de Santiago á segundo Teniente al Alférez D. Bartolomé Mercado, y á Portaestandarte al Sargento D. Joseph Prieto. Igualmente en el de dragones de Almansa ha promovido el</t>
  </si>
  <si>
    <t>del Castillo y Cenzano, Rafael</t>
  </si>
  <si>
    <t>Rafael del Castillo y Cenzano</t>
  </si>
  <si>
    <t>primera silla de la colegial de Motril, en el arzobispado de Granada, vacante por fallecimiento de D. Rafael del Castillo y Cenzano, i D. Miguel Ximenez de Vareia, Canónigo de la misma colegial : para- la Dignidad de Maestrescuela de la catees taCai de Villanueva y Santa M¿rla de Castro, eh* el arzobispado de</t>
  </si>
  <si>
    <t>del Castillo, Lorenzo</t>
  </si>
  <si>
    <t>Lorenzo del Castillo</t>
  </si>
  <si>
    <t>infantería de iMérida de Yucatán al Subteniente de granaderos D. Ramón Cosgalla, y al de fusileros D. Lorenzo del Castillo; y á Subteniente de granaderos al de fusileros D. Antonio Castro. En la gazeta anterior de 13 dd corriente se dixo por equivocación haber nombrado ti Rey para una Ración de la cat</t>
  </si>
  <si>
    <t>del Castillo, Matías</t>
  </si>
  <si>
    <t>Matías del Castillo</t>
  </si>
  <si>
    <t>tino; á Ayudante al Capitán segundo D. Marcelo Porrata; á Capitán segundo ai Teniente de granaderos D. Matías del Castillo; á Tenientes de granaderos á ios de fusileros D. Joseph Power y D. Angel Fantony; á Tenientes á los Subtenientes D. Juan Dávila, D. Joachin Goyena y D. Bartolomé Lison, los dos pr</t>
  </si>
  <si>
    <t>del Castillo, Pedro</t>
  </si>
  <si>
    <t>Pedro del Castillo</t>
  </si>
  <si>
    <t>servidoS. M. promover á Alférez al Portaestandarte D. Francisco Gayeta, y á esta resulta al Cadete D. Pedro del Castillo: en el do Borbon á Teniente Coronel al de la propia clase de Carabineros de la Reyna María Luisa Vizconde de Zolina, y á Teniente Coronel de este regimiento al Comandante de esqoa</t>
  </si>
  <si>
    <t>del Collado y Plata, Nicolás Joseph</t>
  </si>
  <si>
    <t>Nicolás Joseph del Collado y Plata</t>
  </si>
  <si>
    <t>Mechoacan, vacante por fallecimiento de D. Manuel Vicente Yañez, al Racionero de la propia iglesia D. Nicolás Joseph del Collado y Plata: para la Ración, que este dexa, al Medio-Racionero P. Eduardo Espinosa de los Monteros;, y para esta Media-Ración a D. Miguel Joseph Aiday ^ Cura de Santiago de Undameo de la mism</t>
  </si>
  <si>
    <t>del Corral, Nicolás</t>
  </si>
  <si>
    <t>Nicolás del Corral</t>
  </si>
  <si>
    <t>á adquirir el facultativo algunos mas intereses. Los sugetos á quienes acomode acudirán en Madrid á D. Nicolás del Corral , calle angosta de los Peligros, núm. 1$, quarto principal. La ciudad de Cuenca vende con superior Real permiso una dehesa perteneciente á sus propios, llamada el Despoblado de la</t>
  </si>
  <si>
    <t>del Mármol, Fernando Antonio</t>
  </si>
  <si>
    <t>Fernando Antonio del Mármol</t>
  </si>
  <si>
    <t>h de la Barreda, D. Agustín García de Arce, D. Mirtin Mármol, D. Andrés Vázquez, D. Andrés Ximenez, Don Fernando Antonio del Mármol, D. Joseph María del Toro, D. Antonio Bravo y D. Joseph de Jesús Paderes: últimamente á Subtenientes de bandera á los plísanos D. Lázaro de Herrera, D. Joseph de Herrera, D. Jo— s</t>
  </si>
  <si>
    <t>del Moral y Rita de Soto, Manuel</t>
  </si>
  <si>
    <t>Manuel del Moral y Rita de Soto</t>
  </si>
  <si>
    <t>en supiere el paradero en España ó America de D. Bartolomé del Moral, natural de Santander, hijo de D. Manuel del Moral y Doña Rita de Soto , difuntos, avisará á ÍD. Francisco Xavier de Bustamante, del comercio de dicha ciudad. ■ . ; Remedio universal de la perdición del mundo; por el P» Fr. Manuel dé Jaén, misionero</t>
  </si>
  <si>
    <t>del Moral, Bartolomé</t>
  </si>
  <si>
    <t>Bartolomé del Moral</t>
  </si>
  <si>
    <t>sponda á la partida de dinero que hay existente. , Quien supiere el paradero en España ó America de D. Bartolomé del Moral, natural de Santander, hijo de D. Manuel del Moral y Doña Rita de Soto , difuntos, avisará á ÍD. Francisco Xavier de Bustamante, del comercio de dicha ciudad. ■ . ; Remedio univer</t>
  </si>
  <si>
    <t>del Moral, Pedro</t>
  </si>
  <si>
    <t>Pedro del Moral</t>
  </si>
  <si>
    <t>4?3 rentes pedazos dé tíertas , ^rtenectentes í ^ testamentaría de Pedro del Moral, vecino que fué del lugar de Carabanchel de Abuzo, consistente» en el termino y jurisdicción de dicho pueblo ,enlos parages y precios siguientes. V ua tierra de una fanega y 8 celemines,</t>
  </si>
  <si>
    <t>del Olmo, Juan Joseph</t>
  </si>
  <si>
    <t>Juan Joseph del Olmo</t>
  </si>
  <si>
    <t>d de Darocar para una Canongía de la catedral de Tudela, vacante por muerte de Don Benito Eslava, á D. Juan Joseph del Olmo: para una Ración de la de Córdoba, vacante por fallecimiento de D. Ignacio Ximenez Arrutave, á D. Francisco de Armcnta y Godoy, Racionero electo de la metropolitana de Sevilla; y</t>
  </si>
  <si>
    <t>del Páramo, Claudio Antonio</t>
  </si>
  <si>
    <t>Claudio Antonio del Páramo</t>
  </si>
  <si>
    <t>s breves sacadas de la sagrada escritura: y la (5.a trata del modo de cortar y llevar la pluma: por D. Claudio Antonio del Páramo. Se hallarán en la librería de Fernandez, calle del Correo , frente al parte : en la misma se venden pautas de madera con sus cuerdas para reglar el papel. La Fulgencia, comedia n</t>
  </si>
  <si>
    <t>del Peral Bereterra, Fernando</t>
  </si>
  <si>
    <t>Fernando del Peral Bereterra</t>
  </si>
  <si>
    <t>strescuela de la catedral de Badajoz,. vacante* por fallecimiento de D. Antonio Chaves y Mendoza» á D. Fernando del Peral Bereterra, Canónigo de la misma catedral: para una .Canon gia de i a catedral de Zamora» vacante por muerte de D. Joseph Calvo» á D. Joachín Esearano: para otra de Ja de Guadix, vacante por</t>
  </si>
  <si>
    <t>del Plano, Francisco</t>
  </si>
  <si>
    <t>Francisco del Plano</t>
  </si>
  <si>
    <t>que con el mismo título escribió en un acto Mr. Destouches, acomodada al teatro español por el Lie. D. Francisco del Plano, Abogado de los Reales Consejos, residente en Zaragoza, y representada en eí teatro de la caile de la Cruz, En 8.°, á 3 rs. §e hallará en las librerías de Quiroga, calle de las Ca</t>
  </si>
  <si>
    <t>del Pozo y Guzman, Francisco</t>
  </si>
  <si>
    <t>Francisco del Pozo y Guzman</t>
  </si>
  <si>
    <t>o de dicha villa dentro del término de 40 dias. 1 Se desea saber el paradero de Francisco del Pozo y Guzman, natural de I4 ciudad de Córdoba, que el afio de 1794, estando de soldado en el regimiento dé infantería de Soria y en el exército de Cataluña, se dice salió herido del ataque de la baterí</t>
  </si>
  <si>
    <t>del Pozo y Medino, Joseph</t>
  </si>
  <si>
    <t>Joseph del Pozo y Medino</t>
  </si>
  <si>
    <t>la ReatiglésraP de^Sy ¿¿ro de MadridvparaelDeanato delacafedraldeLeon, vacanteporfalle-*cimiento de D. Joseph del Pozo y Medino, ár D. EúcasUjiwñmieSi Arce¿ diano de Carballera, Dignidad de la catedral de Astorga; y para la Digni^ dad de Tesorero ¡de la catedral de Guadix, vacante por íallecimientode Josep</t>
  </si>
  <si>
    <t>del Rebollar, Pedro María</t>
  </si>
  <si>
    <t>Pedro María del Rebollar</t>
  </si>
  <si>
    <t>s. por úna y '.z en moneda metálica sonante. • j Ei cha ¿ydá Agosto "remitió D.“Pedro María del Rebollar, vecino de San</t>
  </si>
  <si>
    <t>del Rio y Arnedo, María</t>
  </si>
  <si>
    <t>María del Rio y Arnedo</t>
  </si>
  <si>
    <t>e Madama Montier á su hija, escritas en francés por Madama le Prin.ce de Beaumont, y traducidas por Doña María del Rio y Arnedo: 3 tomos en 8.° Esta obra se puede considerar como una escuela de educación para toda señora ghristiana , y al paso que es una Jmpugnacion de las roa ¡as r,ovalas , forrea por tí</t>
  </si>
  <si>
    <t>del Rio, Antonio</t>
  </si>
  <si>
    <t>Antonio del Rio</t>
  </si>
  <si>
    <t>de cazadores ; su fésulta á D. Francisco León , Teniente del propio cuerpo; Tenencia de fusileros á D. Antonio del Rio, Subteniente de granaderos, y su resulta al Subteniente de fusileros L&gt;. Rodrigo González: en el de Soria Compañía de fusileros al Capitán agregado al mismo cuerpo Barón de Erruz:</t>
  </si>
  <si>
    <t>del Rio, Joseph</t>
  </si>
  <si>
    <t>Joseph del Rio</t>
  </si>
  <si>
    <t>o S. M. projnover á Ayudante al Teniente D. Domingo Branly; á Teniente al Subteniente de granaderos D. Joseph del Rio; á Subteniente de granaderos al ele fusileros D. Valentín Moralejo: á Subteniente al de bandera D. Joseph de la Torre, y á esta resulta al Cadete D. Domingo de Lamaddz. 7" Por Rea</t>
  </si>
  <si>
    <t>del Rio, Juan</t>
  </si>
  <si>
    <t>Juan del Rio</t>
  </si>
  <si>
    <t>za......... gx. sp. Juan del Rio....... Joseph..;.,..... María Alonso........ Redondo.;..... Villalba....... 35. 14. Francisco Albo..,. Vicente..... Escolástica Mar-</t>
  </si>
  <si>
    <t>del Rio, Pedro</t>
  </si>
  <si>
    <t>Pedro del Rio</t>
  </si>
  <si>
    <t>o. Un tomo en 4.0 á 19 rs. en papel, y 26 mismo autor. En 8.° á6 rs. en rústica. en pasta. Su autor D. Pedro del Rio. Tratado sobre el modo de enseñar el cono- Oraciones y Cartas de 7Sócrates , traducim.ento de las letras, y su unión en sílabas cidas del griego é ilustradas con notas por y dicci</t>
  </si>
  <si>
    <t>del Toro, Joseph María</t>
  </si>
  <si>
    <t>Joseph María del Toro</t>
  </si>
  <si>
    <t>a de Arce, D. Mirtin Mármol, D. Andrés Vázquez, D. Andrés Ximenez, Don Fernando Antonio del Mármol, D. Joseph María del Toro, D. Antonio Bravo y D. Joseph de Jesús Paderes: últimamente á Subtenientes de bandera á los plísanos D. Lázaro de Herrera, D. Joseph de Herrera, D. Jo— seph Antonio Verastegui y D</t>
  </si>
  <si>
    <t>Del, General</t>
  </si>
  <si>
    <t>General Del</t>
  </si>
  <si>
    <t>azan llegó á tiempo muy oportuno; y la de caballería de Davoult hizo gran número de prisioneros. El General Del mas atravesó por Monzanhano; y el Teniente General Moncey pasó después. Pusimos á los enemigos en derrota completa. Los Generales de brigada Mermet y Calvin quedaron heridos, como</t>
  </si>
  <si>
    <t>Delbourg, Juan</t>
  </si>
  <si>
    <t>Juan Delbourg</t>
  </si>
  <si>
    <t>primer Ayudante da cirugía pensionado del exército; y del de la de Alcáutara al Consultor honorario D. Juan Delbourg, Cirujano agregado al estado mayor de la de Cádiz. En América. En las compañías de infantería ligera de Cataluña, fixas de la Havana, ha promovido el Rey á Teniente al Subteniente</t>
  </si>
  <si>
    <t>Delgado y Alonso, Francisco</t>
  </si>
  <si>
    <t>Francisco Delgado y Alonso</t>
  </si>
  <si>
    <t>de Uxíjar, arzobispado de Granada, vacante por fallecimiento de D. Antonio Manuel y M4 id o,nado, á D. Francisco Delgado y Alonso, Beneficiado de la parroquia de Soporté jar, en aquel arzobispado: para otra de la colegial de Xetez de la Frontera, en la diócesis de Sevilla, vacante por muerte de Don J4zapü Fe</t>
  </si>
  <si>
    <t>Delgado y Mo, Mateo</t>
  </si>
  <si>
    <t>Mateo Delgado y Mo</t>
  </si>
  <si>
    <t>la catedral de Cuenca,y el Canónigo de la misma D. Antonio Roxas. Ai limo. Sr. Arzobispo de Sebasto D. Mateo Delgado y Mo_reno, Abad de S. Ildefonso: sus padrinos el limo. Sr. D. Joseph Eustaquio Moreno, del Consejo y Cámara de Castilla, y el Exc. Sr. Marques de Villafjranca. Al limo. Sr. D. Buenaven</t>
  </si>
  <si>
    <t>Delgado y Monroy, Nicolás</t>
  </si>
  <si>
    <t>Nicolás Delgado y Monroy</t>
  </si>
  <si>
    <t>i de BorboiV 4 primer. Teniente al segundo D. Manuel Lamarca,y k segundos Tenientes' áTos Alféreces D. Nicolás Delgado y Monroy y D. Antonio González: envide Alcántara á Alférez al Portaestandarte D* Antonio Avelían, y á Portaestandartes al Sargento. D. Marcos González y al Cadete D. Joseph dé Céspedes ; en el</t>
  </si>
  <si>
    <t>Delgado, Jacinto</t>
  </si>
  <si>
    <t>Jacinto Delgado</t>
  </si>
  <si>
    <t>........ . 124. 30. Jacinto Delgado.. Manuel......... María Francés Prieto...............Cisneros.......... León............</t>
  </si>
  <si>
    <t>Delgado, Juan Bautista</t>
  </si>
  <si>
    <t>Juan Bautista Delgado</t>
  </si>
  <si>
    <t>ya D. Pedro Guerra-, D. Vicente López y D. Joseph Serra, y del Cadete del de caballería de Santiago D. Juan Bautista Delgado; estos comandantes jóvenes y activos concertaron entre sí presentar sus partidas á la vista del enemigo en posición de que percibiéndolas este confusamente, asomadas a las eminenc</t>
  </si>
  <si>
    <t>Delgado, Mateo</t>
  </si>
  <si>
    <t>Mateo Delgado</t>
  </si>
  <si>
    <t>ente: „ Atendiendo al mérito ~y aprecíables circunstancias que concurren en el Arzobispo de Sebaste D. Mateo Delgado, Abad de la Real iglesia colegial de este sitio, y á la falta de renta que tiene para mantenerse con la decencia correspondiente á su carácter, he venido en nombrarle para el Arce</t>
  </si>
  <si>
    <t>a el Beneficio ¿implé de Baylen, en el obisoado de laen , que resultará vacante por la promoción de D, Mateo Delgado, Abad á la^Dicnidad dedeArcediano la Real iglesia colegiata del dé Guadalaxara Real sitio de y Canongía de laS. metropohIldefonso, tóba de Toledo, á D. Alonso Gómez Delgado; y par</t>
  </si>
  <si>
    <t>Delmas, General</t>
  </si>
  <si>
    <t>General Delmas</t>
  </si>
  <si>
    <t>rales de brigada Mermet y Calvin quedaron heridos, como también varios oficiales de plana mayor. Al General Delmas le dio una bala en la ropa; y á ios Generales Moncey V Grt les mataron sus caballos. El General Marmont es digno, de elogios por e! cuidado y esmero con que ha arreglado la artill</t>
  </si>
  <si>
    <t>éntbreí S Igue* eL exórcítaifiFances ganando cada dia nuevas ventajas. La vanaardia mandada por; el General Delmas llegó ayer^tarde ■"&amp;&gt; Yillafranca. f os franceses han ocupado todas las alturas de Gastel-Novo.» y-los enemigos se retiran al lado de allá del Adige. Hállñnse también los republic</t>
  </si>
  <si>
    <t>ntos del General j^larmoát, comandante de la artillería, facilitáron esta impoirtáqfe Operación. Él General Delmas, con algunos cañones, atcaiesó la cordillera qué separa el valle de PcllselLa del de Patatena: tuvo que vencer algunas dificultades en eí camino í pero aqúeíla marcha obligó á los</t>
  </si>
  <si>
    <t>piezas de artillería y una bandera. El verdadero ataque se dió el 26 en el puesto de Monzanbano. El General Delmas, que mandaba la vanguardia, d ¡rigió sus tropas con aquel orden admirable que es presagio de. grandes triunfos, y que siempre los alcanza. Le seguía el General Móricey. No pudo to</t>
  </si>
  <si>
    <t>medio de Castel-Nuovo, y que cubría á Peschiera. El General Suchet los atacaba por el frente , y el General Delmas por la espalda. Impaciente este General al ver que tardaban en rendirse, corrió al reducto principal, y llamando ál oficial austríaco le dixo: ,,Señor comandante: mirad no tengáis</t>
  </si>
  <si>
    <t>Delmfas, General</t>
  </si>
  <si>
    <t>General Delmfas</t>
  </si>
  <si>
    <t>&amp;r¿.--- Después del paso del» Mineio y dé:!a ibrillante ^ pdrfÍ5da:adc¡dñ -qiié se siguió j tuvo el General Delmfas que hacer unf movimiento por izquierda para arrojar á los enemigos de las grandísimas obras que habían levantado suponiendo que tentaríamos el pasp del rjo por las'jtníriediacioné</t>
  </si>
  <si>
    <t>Demort, General</t>
  </si>
  <si>
    <t>General Demort</t>
  </si>
  <si>
    <t>gioso, sopeña de perder la pensión ó los bienes que les han señalado. - Strasburgo 28 de Marzo. Í A General Demort, comandante de las tropas francesas que hay en el Tirol, tiene orden de evacuar el Tirol aleman, y no tardará en executarlo. Han llegado á Burgdorff y Altoettingen algunos oficial</t>
  </si>
  <si>
    <t>Den Melchor Borruel</t>
  </si>
  <si>
    <t>tico, y con otro razonamiento qué én nombre de los discípulos hizo el mas antiguo y primer premiado Dr. Den Melchor Borruel, manifestando el respeto y reconocimiento con que agradecían la paternal protección de la sociedad . , Madrid 10 de Febrero. ¡ r E 1 Rey se ha servido nombrar para la plaza del Co</t>
  </si>
  <si>
    <t>Denier, Alexandro</t>
  </si>
  <si>
    <t>Alexandro Denier</t>
  </si>
  <si>
    <t>n­ S. Amantony en tander..................... D. Juan y Doña Blaua Dorde.. Francia......... ao. 30. D. Alexandro Denier... D. Antonio y Doña N............... Lluderedoma.... ao. 30. Juan Dangen........ . Francisco y Claudina Nicolás.... S. Licier en Francia..... . ao. 30. D. Luis Casteras........ D</t>
  </si>
  <si>
    <t>Denisau, Conde</t>
  </si>
  <si>
    <t>Conde Denisau</t>
  </si>
  <si>
    <t>los íenientes GénetaIes Essen y Mussin-Pusching, el General de infantería Hermamm, el de caballería Conde Denisau, y el Mayor .goneitaJ..Qpod^I^!gOíf&gt;m§kj:^-.*r..__S s Copenhague 27 de Diciembre. in embargo de quanto se ha dicho acerca de los armamentos navales dispuestos ya por esta Córte, n</t>
  </si>
  <si>
    <t>Dent</t>
  </si>
  <si>
    <t>independencia; y espero que no se formarán juicios anticipados sobre mi ministerio.”__ Otro vocal (Mr. Dent) empezó á hablar así: „Siento no ver mayor unanimidad en esta Cámara en un momento tan crítico; y temo que los dos partidos hagan á favor de Bonaparte mas dé lo que él mismo podrí</t>
  </si>
  <si>
    <t>Deogracias Cardenal</t>
  </si>
  <si>
    <t>Indias de la negociación de Nuoya-España,. se, ha* servido &gt;&amp;. M. conceder los ascensos regulares i D. Deogracias Cardenal, D. Feliciano Guizaburuaga y D. Joseph Acevedo Villaroel; y para la ultima, de: Oficial duodécimo, que se ha dividido en dos medias por ahora, se ha dignado el Rey nombrar á D. Fr</t>
  </si>
  <si>
    <t>Desaix, General</t>
  </si>
  <si>
    <t>General Desaix</t>
  </si>
  <si>
    <t>, destinando 50 camellos para cargarlas. ~ Así que se recibió en Egipto la noticia dé la muerte del General Desaix se abrió una subscripción para contribuir al monumento que se le ha de eri■ gir en Francia: ya .se habían juntado mas de 5® francos. Se hizo igual.mente el 2 de Noviembre una fies</t>
  </si>
  <si>
    <t>en la isla grande deÍRhin, frente á Kell, en el sepulcro que el exército del Rhin ha consagrado ai General Desaix. El del General Beaupuis se colocará en Brisac. ' ......... Londres jG de Enero. ’ . S e asegura que la Pfusia 110 ha accedido á la neutralidad marítima-del Norte sino para cierto</t>
  </si>
  <si>
    <t>dición servirá baxo las órdenes del General Leclerc. Los habitantes de Clermont, que fué patria del General Desaix, costean un monumento en memoria de este heroe: tendrá 60 pies de alto, se adornará con su busto y varios trofeos, y en su basa habrá una fuente. Ya se colocó la primera piedra po</t>
  </si>
  <si>
    <t>Deselles, General</t>
  </si>
  <si>
    <t>General Deselles</t>
  </si>
  <si>
    <t>nia1» iyda/plafca .¡df JBraunauen él círculo de Biviera.h t'ir.bfru:: oso A l&gt; 01»r&gt; • Óra El mismo General Deselles, xefe de dicha píana mayor, liabia dirigido anteriormente h^igiiiénte: barlak Jtosenhuim ro de í&gt;membt^Íiú dHatodarostaeataade&gt;:qi^^hexérciíbudél Hhin atravesó? ayer éLInn ^or ^Ne</t>
  </si>
  <si>
    <t>Desoiles, General</t>
  </si>
  <si>
    <t>General Desoiles</t>
  </si>
  <si>
    <t>as murallas. • de Viéna. En ofra tarta deiad débmismo mes escrita igualmente en Steyer , informa él General Desoiles abMinistrotdé la; Guerra , que el Archiduque Garlos día;propuestooal tGenéral enl xefe Moreau un armisticio, anunciándole que /el Émperador despachab^un correo á AIrl dé Cííbeutze</t>
  </si>
  <si>
    <t>sen y conduzcan á nuestros puertos todo buque de guerra ó de comercio perteneciente á la Rusia.” El General Desoiles, xefs de ía plana mayor del exército del Rhin, dirigió el i ó de Diciembre la siguiente carta al Ministro de Guerra desde e!</t>
  </si>
  <si>
    <t>Desoües, General</t>
  </si>
  <si>
    <t>General Desoües</t>
  </si>
  <si>
    <t>s, contando 8© prisioneros. Os enviaré nuevos y mayores informes sobre esta acción.” Continuando el General Desoües sus informes sobre !as operaciones del exército del Rhin, ha dirigido al Ministro de Guerra la siguiente carta fecha ui el quartel general de Wetz á 20 Diciembre. ,, Después de co</t>
  </si>
  <si>
    <t>Despuig, Antonio</t>
  </si>
  <si>
    <t>Antonio Despuig</t>
  </si>
  <si>
    <t>os pteníiot pfrecidoq á la Clase dé 'arquitectura : el primero éra de 300 rs. y* lo. dió eJ Excb Jí Dr Antonio Despuig. Se pie3entárDolia?«mdexas¿d^estíimbre¿hiydas&gt;ab irnoiinvéníidoíy ;construido^ojr «el ¿peíabitérelM¡j1jíay me sGanavés ^ de aiatde Petra, el. raaslséncfÜQí y,djtál qú«! cse^baólci</t>
  </si>
  <si>
    <t>Destain, General</t>
  </si>
  <si>
    <t>General Destain</t>
  </si>
  <si>
    <t>neral Regnier se hallaba en la izquierda con 2 medias brigadas y. 2 regimientos de caballería; y el General Destain mandaba la vanguardia compuesta de-una media brigada, algunas tropas ligeras, y un destacamento de caballería. Empezó la acción una hora antes de amanecer con un falso ataque cont</t>
  </si>
  <si>
    <t>Destouches</t>
  </si>
  <si>
    <t>gullosa, comedia en 3 actos, en verso, formada sobre la que con el mismo título escribió en un acto Mr. Destouches, acomodada al teatro español por el Lie. D. Francisco del Plano, Abogado de los Reales Consejos, residente en Zaragoza, y representada en eí teatro de la caile de la Cruz, En 8.°,</t>
  </si>
  <si>
    <t>Devoti, Juan</t>
  </si>
  <si>
    <t>Juan Devoti</t>
  </si>
  <si>
    <t>nto á la gazeta de 27 del pasado. Los subscriptores á la obra Instituciones canónicas del limo. Sr. D. Juan Devoti acudirán á recoger el tomo i.° á las librerías de Fernandez, frente í S. Felipe:, y de Calleja, calle de Majaderiros; y fuera de la corte donde hayan subscripto: eU.°,y 3.0 están</t>
  </si>
  <si>
    <t>de Pajáres, y en Granada en la de Moreno. r * Tomo 3.0 de las Instituciones canónicas del limo. Sr. D. Juan Devoti. Vén-r dese con el primero en buena pasta á jó rs. en la librería de Castillo, frente á las gradas de S. Felipe; en Salamanca en la de Barco, y en Valladoiid en la de la viuda é h</t>
  </si>
  <si>
    <t>Dewiater, Almirante</t>
  </si>
  <si>
    <t>Almirante Dewiater</t>
  </si>
  <si>
    <t>á Constantinopla en calidad de Einbaxador. fflaya 22 de Noviembre. P asado mañana saldrá de aquí el Almirante Dewiater para el Texel, de donde pasará á Flesinga á visitar los buques de la esquadra bátava que esperan en aquel puerto pasaportes del gobierno británico para salir coa destino á las Ind</t>
  </si>
  <si>
    <t>Dewinter, Almirante</t>
  </si>
  <si>
    <t>Almirante Dewinter</t>
  </si>
  <si>
    <t>ue venían destinados á puertos de Holanda, y los han conducido á Inglaterra. Hállase en el Texei el Almirante Dewinter, avivando el armamento de los buques de guerra surtos en aquel puerto. Los oficiales emigrados holandeses pagados por el gobierno británco, que se refugiaron al Obispado de Munste</t>
  </si>
  <si>
    <t>—' 26t Haya 8 de Febrero. H a mandado el Directorio al Almirante Dewinter,-que se halla en Amsterdam, venga inmediatamente á esta ciudad.___En aquella se están formando dos nuevos batallones de artilleros de marina: uno de ellos está ya completo, y no t</t>
  </si>
  <si>
    <t>junta extraordinaria, á la qual asástiéron los Ministros de Marina y de Negocios extrangeros, y el Almirante Dewinter. Concluida la junta se expidieron correos á todos los puertos holandeses; y ahora se asegura que la corte de Petersburgo avisa que en breve llegará á ellos una esquadra combinada</t>
  </si>
  <si>
    <t>ios buques construidos en Flesinga han salido de aquel puerto para incorporarse con la esquadra del Almirante Dewinter que se halla en el Mossa. Parece que la partida de estas fuerzas navales no está tan próxima como se había creído. Espérase en breve en esta ciudad al General Augereau. | Basilea</t>
  </si>
  <si>
    <t>ietud desde que las naves bátavas que se hallaban en este puerto se han juntado con la esquadra del Almirante Dewinter. , } Hfiya go de Abril, E í General Augereau ha llegado á esta capital para tomar el mando de lar tropas francesas en Holanda, ¡y al dia siguiente tuyo su primera audiencia, del D</t>
  </si>
  <si>
    <t>ca, y pasan;ya de 24® hombres. . . Algunos destacamentos que se habían embarcado en la esquadra del Almirante Dewinter (y según parece iban á las Indias) empiezan á desembarcar. ; .i •rr . . • Basüea 22 de Mtfyov , ^ Lo Ala dirigido el Consejó ejecutivo un mensage muy importante al Con^eT jo legis</t>
  </si>
  <si>
    <t>istriss Lope de 80; y Mr. Potter de 87, con Rebeca Helwel de 88. Haya i.° de Julio. H a recibido el Almirante Dewinter nuevas órdenes é instrucciones del gobierno, de las quales puede inferirse que la esquadra de su mando no tardará en salir al mar. Ha acordado la primer Cámara del Cuerpo legislat</t>
  </si>
  <si>
    <t>, se supürá lo restante mediante empréstitos y donativos.: . ;r La esquadra holandesa del mandoidel Almirante Dewinter está pronta i salir á primera orden; y entre tanto las-tripulaciones se exercitan de continuo en maniobras marítimas y evoluciones militares. De Dusseldorf escriben que 1 mediados d</t>
  </si>
  <si>
    <t>ata armados en el Zuyderzea, han entrado en el Texel, y se han juntado con la esquadra que manda el Almirante Dewinter. P Liorna 3 de Julio. or orden del Gobernador de esta ciudad se ha avisado al público que el General en xefe Murat ha convenido en anular la orden que prohibía saliesen embarcacio</t>
  </si>
  <si>
    <t>Dewintér, Almirante</t>
  </si>
  <si>
    <t>Almirante Dewintér</t>
  </si>
  <si>
    <t>las costas de Jíplftoda,por ■? la fragata dio&amp;ndesadla Jipuaí, cuyo Capitán despachó jm expreso ah;Almirante Dewintér¡ pidiendo instruccio-r nes para cpndúpirse en aquel caso. El Almirante envió am cúter. en busca: del Ministro dinamarqués, y_nO'íperinitÍQ ííueu^T paquebot entrase en los. ppertps</t>
  </si>
  <si>
    <t>pletado las tripulaciones ae toda la esquadra del Texel, y está pronta á salir baxo las órdenes del Almirante Dewinter ; al propio puerto se han enviado todos los barcos armados que había en Amsterdam y en el Zuiderzea. Asimismo el General Augereau ha puesto en movimiento á las tropas republicanas</t>
  </si>
  <si>
    <t>aberse suspendido las hostilidades entre Holanda é Inglaterra, la esquadra holandesa mandada por el Almirante Dewinter, que estaba pronta á dar la vela, no saldrá de los puertos en que se halla. Berna ig de Octubre. Li Cuerpo legislativo de la República helvética ha hecho una ley sobre la.uniformi</t>
  </si>
  <si>
    <t>astilleros de la República, y se han expedido órdenes para que se desarme parte de la esquadra del Almirante Dewinter, el qual ha per-' mitido la entrada de corsarios ingleses, en el Texel baxo las precauciones que se acostumbran en tiempo de paz. También se ha enviado, orden á todos los puertos</t>
  </si>
  <si>
    <t>s han visitado y cumplimentado, según costumbre, á la nueva Regencia. II1 vuelto aquí de Helvoet el Almirante Dewinter, cuya esquadra de-, be qnanto antes reunirse toda en el Texel. La guarnición francesa saldrá-de esta ciudad poco después que marche el qm* te! general, el qual, según dicen, va di</t>
  </si>
  <si>
    <t>ién los comandantes militares y los xefes políticos del C tbo de Buena-Esperanza: ya se dice que el Almirante Dewinter irá como Gobernador á aquella posesión. Haya 4 de Noviembre. E ste gobierno ha enviado á Inglaterra los pasaportes destinados para las embarcaciones mercantes inglesas que quieran</t>
  </si>
  <si>
    <t>millas de terreno, y siguen inundando e. país. Haya, 20 de Noviembre. A yer llegó á esta capital el Almirante Dewinter, y asistió á un consejo de guerra en que se juzgaba á un oficial acusado de no haberse derendido como debía en un combate en que entregó el navio de su mando á fuerzas enemigas mu</t>
  </si>
  <si>
    <t>iembre. A fin de año saldrá de nuestros puertos un numeroso convoy para el Mediterráneo, y quizá el Almirante Dewinter irá mandando los buques de su escolta. Se ha recibido la noticia positiva de que la corte de Berlín reconocerá quanto ántes el gobierno de esta República, á cuyo efecto enviará aq</t>
  </si>
  <si>
    <t>Dewmter, Almirante</t>
  </si>
  <si>
    <t>Almirante Dewmter</t>
  </si>
  <si>
    <t>los puertos , para averiguar los movimientos de la esquadra holandesa que está baxo las órdenes del Almirante Dewmter. A la verdad los armamentos</t>
  </si>
  <si>
    <t>DHgo Viilagarcia y Briones</t>
  </si>
  <si>
    <t>scenso de D. Gaspar de Hiedo al Arcedi nato de S- Felipe, y haber fallecido sin sacar los despachos D. DHgo Viilagarcia y Briones , á D. Mauricio Dionis: pira una Ración de la catedral de Orense, vacante por muerte de D. Francisco Aibarado, á D. Ramón &gt;seph Novoa, Cura de S. Vicente de Couceyro, en aqudli di</t>
  </si>
  <si>
    <t>Díaz de Ponte, Antonio</t>
  </si>
  <si>
    <t>Antonio Díaz de Ponte</t>
  </si>
  <si>
    <t>la Plana á D. Manuel María de Toro y Suarez, D. Francisco García Aldao y Andeyro, D. Jacobo Cagiad» D. Antonio Díaz de Ponte, D. Juan Antonio Piñana y IX Ramón María Climent. En América. S. M. se ha servido nombrar para el empleo de Fiel de almacenes y reconocedor de la factoría de tabacos de Ciudad Rea</t>
  </si>
  <si>
    <t>Díaz del Corral, Juan</t>
  </si>
  <si>
    <t>Juan Díaz del Corral</t>
  </si>
  <si>
    <t>or síndico general : se admitirán basta el dia xa de Julio. Se desea saber si hay algún heredero de D. Juan Díaz del Corral. Si los hubiese, acudirán á la calle del Relox , esquina á la del Humilladero , núm. 8, quarto baxo , preguntando por un Sacerdote, el qual dará razón á dichos hsre-r deros de cie</t>
  </si>
  <si>
    <t>Díaz Durana, Francisco</t>
  </si>
  <si>
    <t>Francisco Díaz Durana</t>
  </si>
  <si>
    <t>Albino Mexía: para el Arcedianato vacante en la metropolitana de Manila, en las Islas Filipinas, á D. Francisco Díaz Durana; para la Chantría, que este dexa, al Maestrescuela D. Raymundo de Mixáres: para la Maestrescolía al Tesorero D. Antonio Fernandez de Córdoba: para la Tesorería al Canónigo D. Juan</t>
  </si>
  <si>
    <t>Díaz Guerefiu, Pedro</t>
  </si>
  <si>
    <t>Pedro Díaz Guerefiu</t>
  </si>
  <si>
    <t>arenta de Ja academia francesa, y Obispo de Clermont ; traducidos por el P. JD. Pedro Díaz Guerefiu, presbítero , de la congregación de Clérigos reg aras de S. Cayetano : tercera edición. Se hadarán en la librería de Llera . píazuria dijl Angel, junto á la Nevería. ? Arte de tintoreros de a</t>
  </si>
  <si>
    <t>Díaz Nariega, Juan Antonio</t>
  </si>
  <si>
    <t>Juan Antonio Díaz Nariega</t>
  </si>
  <si>
    <t>; Miguel Munarriz:, del Consejo de S. M.,. su Alcalde de casa y corte* y escribanía de provincia de D. Juan Antonio Díaz Nariega, está mandado sacar á pública subasta,, por término de 30 dias, g,fanegas y 34^ estadales, de tierra eir dos pedazos ,, sitos en- término- de la v41.¡a de Villa!uenga de fa Sagra,</t>
  </si>
  <si>
    <t>Díaz No, Juan Antonio</t>
  </si>
  <si>
    <t>Juan Antonio Díaz No</t>
  </si>
  <si>
    <t>de Cárlos m, del Consejo de S. M., su Alcalde de casa y corte, y por la escribanía de provincia de D. Juan Antonio Diaz No-* riega, se ha rematado una casa mesón, sita en la villa de Leganes, perteneciente é las memorias fundadas por Doña María Osorio, en la cantidad de 32,341 rs. en vales Reales, el q</t>
  </si>
  <si>
    <t>Díaz Nori, Juan Antonio</t>
  </si>
  <si>
    <t>Juan Antonio Díaz Nori</t>
  </si>
  <si>
    <t>eñalado para su remate el 22 del corriente i ias once de la mañana en la escribanía de provincia de D. Juan Antonio Diaz Nori^ga. Quien quisiere hacer mejora á dicha inedia casa mesón acuda ante el expresado Señor y citada escribanía. Por auto proveido el 5 del corriente por el mismo Sr. D. Manuel Perez</t>
  </si>
  <si>
    <t>Díaz Norieg, Juan Antonio</t>
  </si>
  <si>
    <t>Juan Antonio Díaz Norieg</t>
  </si>
  <si>
    <t>rs. Quien quisiere hacer postura á ellas acuda ante dicho Sr. Alcalde, y escribanía de provincia de D. Juan Antonio Díaz Norieg*. Por la audiencia del Sr. D. Juan Antonio Santa María , Teniente Corregidor de esta villa, y escribanía del número de D. Gervasio Fernandez Izquierdo , se e?tá subastando una c?s</t>
  </si>
  <si>
    <t>Díaz Noriega, Juan Antonio</t>
  </si>
  <si>
    <t>Juan Antonio Díaz Noriega</t>
  </si>
  <si>
    <t>y Bruna, del Consejo de S. M., Alcalde de su Real casa y corte, y por la escribanía de provincia de D. Juan Antonio Díaz Noriega, seba mandado sacar i pública subasta por término de 30 dias dos casas pertenecientes i la archicofradía sacramental de S. Juan Bautista; una en la calle que llaman de S. Justo,co</t>
  </si>
  <si>
    <t>. 17 mrs. Quien 'quisiere hacer postura acuda ante dicho Señor, y por la escribanía de provincia de D. Juan Antonio Diaz Noriega. La casa sita en esta corte en la corredera de S. Pablo, núm. 11, manz. 448, -tasada en 99,748 rs., fué rematada en 104^ en papel moneda} si alguna persona quisiere hacer mejora,</t>
  </si>
  <si>
    <t>y Bruna, del Consejo de S. M , Alcalde de su Real casa y corte, y por la escribanía de provincia de D. Juan Antonio Diaz Noriega , se ha mandado sacar á pública subasta por el término de 30 días un’á casa sita en la calle del Baño, cúm. 10, manz. a:8, perteneciente á unas memorias que administra D. Manuel G</t>
  </si>
  <si>
    <t>cer postura á Jas referidas fin-cas acuda ante dicho Sr. Alcalde, por la escribanía de provincia de D. Juan Antonio Díaz Noriega, que se admitirán las que se hagan siendo arregladas. * Por providencia del Sr. D. Manuel Perez y Rozas , Caballero de la Real y distinguida orden española de Cárlos 111 , del Con</t>
  </si>
  <si>
    <t>e hacer postura á dichas fincas acuda ante el citado Sr. Alcalde, por la escribanía de provincia de D. Juan Antonio Díaz Noriega. Habiéndose rematado en virtud de facultad Real, en Ja cantidad de 9$,£cO rs. , los 27 en metálico y los restantes en vales Reales, una casa sita en esta corte en la calle del Leó</t>
  </si>
  <si>
    <t>e y mandado publicar. Quien quisiere hacer mejora (acuda ante S. Sría. y escribanía de provincia de D. Juan Antonio Diaz Noriega , que se admitirán las que hicieren siendo arregladas. Por la audiencia de.l Sr. D. Juan Antonio Santa María, y escribanía del número de D. Gervasio Fernandez Izquierdo, se ha man</t>
  </si>
  <si>
    <t>ado del Sr. Alcalde de la Real casa y corte D. Manuel Perez da Rezas , y escribanía de provincia de D. Juan Antonio Diaz Noriega. La casa mesón , sita en la plaza pública ce 3a villa de Leganés, perteneciente 6 1 ’S memorias fundadas por Doña María de Osorio, comprehensiva de 10,691 pies de sitio, tasada en</t>
  </si>
  <si>
    <t>Díaz Norirga, Juan Antonio</t>
  </si>
  <si>
    <t>Juan Antonio Díaz Norirga</t>
  </si>
  <si>
    <t>aximiliano de Céspedes, el mártes a de Junio i las 11 de la mañana en la escribanía de provincia de D. Juan Antonio Diaz Norirga. Compreherde dicha casa 4475! pies quadrados superficiales , está tasada en 11(9,211 rs, , y dan por ella la misma cantidad en vales Reales. Quien quisiere hacer mejora acuda ante</t>
  </si>
  <si>
    <t>Díaz, Agustín</t>
  </si>
  <si>
    <t>Agustín Díaz</t>
  </si>
  <si>
    <t>44) Muñoz ; y la Subtenencia de granaderos, qne este servia, á D. Agustín Diaz , Subteniente de fusileros del mismo cuerpo. El ? de Noviembre del año próximo pasado concedió el Rey facultad al concejo y vecinos del Valle de Carranza, señorío de Vizcaya, para</t>
  </si>
  <si>
    <t>Díaz, Francisco</t>
  </si>
  <si>
    <t>Francisco Díaz</t>
  </si>
  <si>
    <t>ro de la parroquia de la villa de Esquívias, fcn la diócesis de Toledo,vacante por fallecimiento de D. Francisco Díaz, á D, Francisco García: ’ para el otro de la parroquial de la villa de Santorcaz , en la misma diócesis de Toledo, vacante por muerte de D» Joseph R*mon Sánchez, i D, Fcli</t>
  </si>
  <si>
    <t>Díaz, Isidoro</t>
  </si>
  <si>
    <t>Isidoro Díaz</t>
  </si>
  <si>
    <t>os, al de tusiieros u. Patricio MesKeii; a primeros los segundos de granaderos D. Antonio Barellas, D. Isidoro Díaz y D. Lúeas Savage; á estas resultas á los segundos Tenientes D. Jayme O-Mahony, D. Balvino Cortes y D. Toribio Robles; á. segundos Tenientes al Subteniente de granaderos.D. Blas Gonzá</t>
  </si>
  <si>
    <t>Díaz, Joseph</t>
  </si>
  <si>
    <t>Joseph Díaz</t>
  </si>
  <si>
    <t>e al segundo D. Mariano Espatolero; á segundo Teniente al primer Subteniente, graduado de Teniente, D. Joseph Diaz; á primer Subteniente al segundo Don Gregorio Ferrer, y á segundo Subteniente al Sargento primero D, Mariano Cal" fe 11 También ha conferido S.-M. Compañía en el regimiento de cab</t>
  </si>
  <si>
    <t>........... 31. 11, Joseph Díaz........ Joseph...... .... Antonia Fernán- Sta. María de ' dez................... Cabanas..., Mondoñedo..... 10. 7. F</t>
  </si>
  <si>
    <t>Díaz, Juan</t>
  </si>
  <si>
    <t>Juan Díaz</t>
  </si>
  <si>
    <t>viembre de i8t&gt;6 falleció en la’ ciudad de Sigiienafa á loa 73 años y 5 meses dé edad el limo. SÍp. D, Juan Díaz de-la Guerr#, Obts* po de ella por espacio- de 23 años* cumplidos, habiéndolo sido- 5 de MaMorca: fué Capellán de la Real cap illa de Reyes nuevos de Toledo, aca* démico de la Rea! E</t>
  </si>
  <si>
    <t>Diccionario, Juan</t>
  </si>
  <si>
    <t>Juan Diccionario</t>
  </si>
  <si>
    <t>re varias materias de 3 tomos, á 36 rs. en pasta, y 22 en papel. Física y Filosofía, traducidas por D. Juan Diccionario de las maravillas de la naLópez de Peñalver. Tomo i.u en 8.0 , en pas­ turaleza , por el Sr. Sigaud de la Fond ; trata a 12 rs. , y á 9 en papel. ducido por D. Domingo lladia y leblich:</t>
  </si>
  <si>
    <t>Dickens</t>
  </si>
  <si>
    <t>tras noticias de Egipto: una de ellas es haberse rendido la plaza de Alexandría. De Rusia ha venido Mr. Dickens, y se supone trae la ratificación del Emperador al convenio recien firmado en Petersburgo. Añaden que Mr. Wick ha salido ya de aquí para Rusia con la ratificación de este Soberano</t>
  </si>
  <si>
    <t>Dicksoa, Almirante</t>
  </si>
  <si>
    <t>Almirante Dicksoa</t>
  </si>
  <si>
    <t>en llegando aquí muchos extraordinarios de París. Ayer volvió á fondear en Yarmouth la esquadra del Almirante Dicksoa en número de 6 navios de línea y otras 4 velas. El informe que se comunicó el dia 14 á la Cámara baxa, y sirvió de fundamento para aprobar nuevamente la suspensión del habeas Corpus</t>
  </si>
  <si>
    <t>Dickson, Almirante</t>
  </si>
  <si>
    <t>Almirante Dickson</t>
  </si>
  <si>
    <t>a Egipto. Háblase de otra expedición, cuyo mando se confiará al General Mayt» land; y añaden que el Almirante Dickson saldrá en breve de Yarmouth, mandando una esquadra, cuyo destino se ignora. La esquadra grande volvió al mar el dia 8 compuesta de 18 navios de línea, 2 fragatas y un brulote. La</t>
  </si>
  <si>
    <t>egrinos. , ; Londres 1$ de Abril. E 1 10 del corriente zarpó deYarmouth una división mandada por el Almirante Dickson, y compuesta de 6 buques de alto bordo y algunas naves pequeñas. Va á cruzar ociante de la isla de Corea y en Jas costas de Hor i'íí t i ! &lt; J I i * ! U./ í ;■ Hállase en,Torbay u</t>
  </si>
  <si>
    <t>taña, y que esto ¡ué lo que le movió á retirarse. • E11 el ICateg. t se ha avistado la tsquadra del Almirante Dickson. El dia 24 llegó aquí un correo ingles con cartas para nuestro gobierno *y para el Almirante Parker, á quien se le remitiéron inmediatamente. La crdén-dei Rey relativa al embargo</t>
  </si>
  <si>
    <t>y que ha protestado formalmente contra la libre navegación de los rios del norte de Alemania. El Almirante Dickson salid de Yarmouth el dia 24 con 7 navios de lí&lt;* nea y algunos buques menores para cruzar en los mares de Holanda. Ha empezado á baxar el precio del pan. Por el paquebot llamado e</t>
  </si>
  <si>
    <t>Adigeto* y el Canal blanco. &gt; Brusélas 28 de Mayo. E scriben de Holanda que la esquadra inglesa del Almirante Dickson no ha hecho en todo este mes mas que salir y volver alternativamente á Yarmouth, reconocer la entrada del Mosa, la isla de Gorea ó la rada del Texel, y retirarse. Quando vuelve á</t>
  </si>
  <si>
    <t>dor de Rusia en esta corte, y el dia 4 las presentó á S. M. en audiencia privada. ; La esquadra del Almirante Dickson, compuesta de 6 navios de línea, 2 fragatas y 2 cuters, volvió el dia 2 á Yarmouth después de cruzar algunos dias sobre las costas de Holanda; y el dia S se hizo nuevamente á la v</t>
  </si>
  <si>
    <t>vistarse desde nuestras: costas, ha vuelto á versea estos dias. La mayor , parte de la que manda el Almirante Dickson cruza en la entrada del Mosa á vista de la holandesa surta en Helvoetsluis, y del campamento de la isla deGorea. Espérase en breve aquí al Embaxador que Alexandró i destina para r</t>
  </si>
  <si>
    <t>ctor Bávaro Palatino en esta República, ha sido presentado al Directorio executivo. La esquadra del Almirante Dickson sigue cruzando á la altura de la isla de Gorea. Las fuerzas navales inglesas que hay en el mar del Norte se han aumentado con algunos navios, fragatas y cuters. Parece que apénas</t>
  </si>
  <si>
    <t>inglesas sobre el mal estado de aquella posesión. Escriben de Roterdam que la esquadra inglesa del Almirante Dickson ha recibido refuerzos; en el dia consta de 8 n ivíos de línea, 3 fragatas y muchos buques menores, y recorre varios puntos de las costas de Holanda. Añaden que un navio cíe línea</t>
  </si>
  <si>
    <t>que viene mandándola, recibió poco después orden de volver á salir inmediatamente pará reforzar al Almirante Dickson, que está bloqueando el puerto del Texel. Asimismo, sabiendo el Almirantazgo quo' se dispone una expedición en la isla de Gorea y en toda la costa compre— hendida entre la isla de</t>
  </si>
  <si>
    <t>ar á 30 cañoneras francesas, sin embargo de que estaban resguardadas por las baterías de tierra. El Almirante Dickson se halla en Yarmouth Con los buques de su mando, y la esquadra del Almirante Graves cruza á la altura de Gorea. La que bloquea á la de Brest, se acerca quanto puede á la costa par</t>
  </si>
  <si>
    <t>Dickson, Coronel</t>
  </si>
  <si>
    <t>Coronel Dickson</t>
  </si>
  <si>
    <t>l fuerza de nuestras tropas en el desembarco deAbukir, padeciéron considerable pérdida. El Teniente Coronel Dickson, los Sargentos mayores Ogle y Vigoreux, y el Teniente de Guardias Warren, hijo único del Contra-Almirante de este nombre, perdiéro.n la vida en el encuentro de 13 de Marzo; y el T</t>
  </si>
  <si>
    <t>Die</t>
  </si>
  <si>
    <t>uran, D. Joseph Gutiérrez, Don Domingo Gómez, D. Domingo Amieba , D. Juan Jaldon , D. Joseph Marín, D. Die,*o Garrido, D. Alonso Romero, D. Antonio Ramírez, Don Francisco Xavier, D. Manuel Maclas y D. Joseph de Aragón. Respondiáron todos con oportunidad y expedición á las preguntas que</t>
  </si>
  <si>
    <t>Diego Basilio</t>
  </si>
  <si>
    <t>eros ai Subteniente de cazadores D. Joseph María Cuervo; á Subteniente de cazadores al de fusileros D. Diego Basilio; á Subteniente de fusileros al segundo Ayudante D. Juan de Arguelles, y á segundo Ayudante, con grado de Subteniente , al Cadete D. Pedro Junco: en el de Valdivia á Capitán al Ten</t>
  </si>
  <si>
    <t>Diethefm, Gaspar</t>
  </si>
  <si>
    <t>Gaspar Diethefm</t>
  </si>
  <si>
    <t>udantía á D. Agustín Braans, Teniente del mismo cuerpo; y Tenencia en el de Rutimarn al Subteniente D. Gaspar Diethefm. El Rey se ha servido nombrar para la Fiscalía del crimen de la Chanciliería de VáiladoHd, vacante por haber pisado D. Diego Joseph de Salazar á la de lo civil de ella, á D. Diego</t>
  </si>
  <si>
    <t>Dietrich, Joseph</t>
  </si>
  <si>
    <t>Joseph Dietrich</t>
  </si>
  <si>
    <t>suizo de Reding á Subtenientes al Cadete D.-Francisco de Paula Chichery^y á los Sargentos: primeros D. Joseph Dietrich; D. Juan Brosey y D. Joseph’Re van ger de Bompre. En el regimiento de caballería del Príncipe se ha servido el Rey promover á Ayudante al primer Teniente D. Tomas Perez ; á primer</t>
  </si>
  <si>
    <t>Diez de Bulnes, Carlos</t>
  </si>
  <si>
    <t>Carlos Diez de Bulnes</t>
  </si>
  <si>
    <t>. Juan de la Fuente,Tenientes del propio regimiento, el primero de granaderos; la resulta de este á D. Carlos Diez de Bulnes, Teniente de fusileros; Tenencias de esta dase á D. Clemente de Vargas y D. Joseph. Bejarano y Cuevas, Subtenientes de granaderos y cazadores, y* sus resultas á los Subtenientes d</t>
  </si>
  <si>
    <t>Diez de Texada, Manuel</t>
  </si>
  <si>
    <t>Manuel Diez de Texada</t>
  </si>
  <si>
    <t>Almodóvar, en la diócesis de Córdoba, vacante por muerte de D. Laureano Gutierres de RubalcaVa , á D. Manuel Diez de Texada; y para la Prestamera titulada de Ja Mitacion de Tcba, en la misma diócesis de Córdoba, vacante por fallecimiento de Don Gabriel Terraíba, á D. Diego Perez Bravo. En la compañía E</t>
  </si>
  <si>
    <t>Diez Gamarra, Matías</t>
  </si>
  <si>
    <t>Matías Diez Gamarra</t>
  </si>
  <si>
    <t>. a&amp;g, vo8 , renovado á favor de D. Joseph Barba, vecino de esta corte, y endosado en 1a de Marzo á D. Matías Diez Gamarra, presbítero en Tordelaguna. Quien lo haya hallado Jo entregará á D. Uípiano García,Procurador en la Nunciatura. D.’ -Antonio Senssens, cirujano en esta corte, hac* bragueros elást</t>
  </si>
  <si>
    <t>Diez Navarro, Andrés</t>
  </si>
  <si>
    <t>Andrés Diez Navarro</t>
  </si>
  <si>
    <t>do de Jorge, en dicho $itio,. con 9 mimbreras, de a fan. en 1400. Velilla de S. Antonio. Memoria de D. Andrés Diez Navarro: una tierra en los Acirates, de una fanega, tasada en 8to rs. Otra en dicho sitio, de una fan. ¿ celemines y ap estadales, en d4¿. Una viña en segundo banco en la Lanzadla, con 10</t>
  </si>
  <si>
    <t>Diipont, General</t>
  </si>
  <si>
    <t>General Diipont</t>
  </si>
  <si>
    <t>os mas favorables para el pnso eran al parecer los de Monzanhano y Molino , enfrente de Lavolta. El General Diipont salló de Azola, y echó un puente en Molino. Allí acudió el General Beliegarde con sus principales fuerzas; y se peleó con el mayor encarn i ú ni i n t o . j_ a media brigada liger</t>
  </si>
  <si>
    <t>Dioni</t>
  </si>
  <si>
    <t>obre las observaciones de la­ Historia de la vida de S. Juan Nepomutitud y longitud en el mar , por D. Dioni­ ceno : en 4.0 mayor, con una estampa fina. sio Alcalá Galiano: en 4.0 á 8 rs. en rústica. En rústica á 20 rs. , y ¿8 en pasta. Almanaques náuticos y Efemérides as­ Devocionario.</t>
  </si>
  <si>
    <t>diputado á</t>
  </si>
  <si>
    <t>icitud: y parece que tiene esperanzas de conseguirla. Uno de los puntos que los diputados de las ciudades anseáticas piden al Emperador y á la Francia, es que en adelante dichas ciudades no sean en ningún caso ocupadas por tropas de potencias extrangeras. De Rusia escriben que la coronación del nuevo</t>
  </si>
  <si>
    <t>diputado á cenar</t>
  </si>
  <si>
    <t>ientos de la amistad mas sincera hacia la República Hguriana, y convidó á dicho diputado á cenar. Después visitó la célebre llanura de Marengo, acompañándole el ciud. Lupi, y siguió su viage á Parma. Los tres Emperadores de Europa y el Rey de Inglaterra ha</t>
  </si>
  <si>
    <t>diputado á Luneville para cuidar de sus intereses</t>
  </si>
  <si>
    <t>odo ello en nombre dd Imperio-.bien que cada estado tendrá derecho de enviar un diputado á Luneville para cuidar de sus intereses. ’~ . Londres 14 de Marzo. II: .aliase ya S. M. sin calentura, y hoy se paseó por Stampstend y Highgate, acompañándole la Reyna y las Princesas Augusta 6 Isabe</t>
  </si>
  <si>
    <t>diputado á Mr</t>
  </si>
  <si>
    <t>iciparlo así á aquel Príncipe. El Colegio de las ciudades imperiales ha enviado diputados á Mr. de Fatznenberg para entregarle una representación que dirigen al Emperador, y en la qual le exponen sus rezelos en orden al arreglo de las secularizaciones y</t>
  </si>
  <si>
    <t>diputado á París él Barón de Badén</t>
  </si>
  <si>
    <t>rr ;ife’',rilid'emhÍ2atíidn ‘nuevo estado del Duque de Moderiá*, ha enviado por diputados á París él Barón dé Badén4, como Representante de lbs estados del Brísgaw* y “¿I Consejero Niño, en calidad !de Répresentarité de da-cíudai de #ribüirgo. E$tá diputación páísó por aó[uí</t>
  </si>
  <si>
    <t>diputado á París para obtener del gobierno de la República</t>
  </si>
  <si>
    <t>alva. Dunkerque 26 de Octubre. L os comerciantes de este puerto han enviado dos diputados á París para obtener del gobierno de la República la franquicia de dicho puerto, y han vuelto muy satisfechos con la promesa de que luego que se concluya la paz con Inglaterra se declarará en la forma mas amplia</t>
  </si>
  <si>
    <t>diputado á Viena para representar contra la ce</t>
  </si>
  <si>
    <t>orden de pasar a Suiza, y se dice que de alií irá á Italia. Del Brisgaw han ido diputados á Viena para representar contra la ce?^ sion de aquePpais al Duque de Módena. Pía muerto en Saalfeld, en Saxonia, el Obispo de Bamberg. Le sucede en aquella mitra el Obispo de Wurtzburgo, coadjutor</t>
  </si>
  <si>
    <t>diputado á Vieua para</t>
  </si>
  <si>
    <t>el obispado de Saltzburgo quedada del General Decaen. El Obispo de Fulda envió diputados á Vieua para ¡pedir que no se.-se** cularice su obispado.. Le respondiéron que se trasladase á Ratisbona,adonde efectivamente ha llegado.</t>
  </si>
  <si>
    <t>diputado belgas para tributaros unánimes sus homenages</t>
  </si>
  <si>
    <t>á Bonaparte, y uno de ellos dixo: ,,General y Cónsul. Se han reunido todos los diputados belgas para tributaros unánimes sus homenages, y manifestaros el agradecimiento ae ios pueblos á quienes representan. La guerra habia conquistado á sus compatriotas para la Fran^ cia: ahora le pertenecen a</t>
  </si>
  <si>
    <t>diputado conocidos por so patriotismo</t>
  </si>
  <si>
    <t>aballeros acuñar 3 med. lias de la primera magnitud para honrar la memoria de 3 diputados conocidos por so patriotismo, que son los Barones de Macklean y Hermelin, y Eric Ander$on, diputado de la clase de labradores. Dichas medallas, aprobadas por la Real academia de la histori</t>
  </si>
  <si>
    <t>diputado de</t>
  </si>
  <si>
    <t>"!á‘operación cié lá3 vapcmá: y.ó| días, después fuéfQ^n todp^t reconocidos por diputados de 1^ soefe^ad m^dicí de^París, por los facultí^ ti vos que cqmponen la junt^8e“yaccinacíon,/y^pp^gtra^ 4^. ¿ ,■ ¿.. ** » » **- ‘-f - *■ *- 1 "i, &gt;</t>
  </si>
  <si>
    <t>Diputado de abastos</t>
  </si>
  <si>
    <t>o Majuelo , D. Froylan Briz, ó D. Manuel Joseph de Zuloaga , Regidor perpetúo , Diputado de abastos , y Procurador síndico general : se admitirán basta el dia xa de Julio. Se desea saber si hay algún heredero de D. Juan Díaz del Corral. Si los hubiese, acudir</t>
  </si>
  <si>
    <t>Diputado de Bremen</t>
  </si>
  <si>
    <t>ación del Elba---- Declaró al mismo tiempo el Ministro prusiano á Mr. Pelrichs, Diputado de Bremen, que igualmente se respetará la navegación del Weser, y que las tropas prusianas evacuarán el territorio de Bremen , como también el Electorado de Hannóver, lu</t>
  </si>
  <si>
    <t>diputado de dichos cuerpos</t>
  </si>
  <si>
    <t>nsules con motivo del ajuste de la paz. Así lo hiciéron los dias siguientes lós diputados de dichos cuerpos, y los de los principales Tribunales de Taris. Cada diputación dirigió su arenga á los Cónsules. A la del Cuerpo legislativo respondió "Bonaparte diciendo entr</t>
  </si>
  <si>
    <t>diputado de esta ciudad residente en Berlín la inesperada noticia</t>
  </si>
  <si>
    <t>y bienes de qualcjuíefa especie que sean. El 12 de este mes aviso al Senado el diputado de esta ciudad residente en Berlín la inesperada noticia de que de orden deJSL M. Prusiana le habian comunicado que por razones políticas era indispensable que algunas tropas del Rey ocupasen parte del territorio de Ham</t>
  </si>
  <si>
    <t>diputado de esta República cerca del gobierno francés</t>
  </si>
  <si>
    <t>na saldrán de aquí para Paris los ciudadanos Aldini y Serbelloni, en calidad de diputados de esta República cerca del gobierno francés. Vari encargados de varios asuntos importantes, entre otros el del arreglo de las tropas francesas que quedan por ahora en la Cisalpina.</t>
  </si>
  <si>
    <t>diputado de Hamburgo repitió con fecha</t>
  </si>
  <si>
    <t>ntaciones. La esperanza de que fuesen- atendi-t das era t nto m.tyor, quanto el diputado de Hamburgo repitió con fecha del 26 que le h bian renovado la anterior seguridad sobre las intenciones; del Rey, añadiendo que aun parecía’remoto el cumplimiento déla voluntad de aquel Sober-n</t>
  </si>
  <si>
    <t>diputado de Irlanda</t>
  </si>
  <si>
    <t>ego los Comunes á su Cámara ; y en la alta se leyéron los nombres de los. Pares diputados de Irlanda. Los que se hallaban presentes prestaron su juramento; yeen la haxa se reeligió por orador á Mr. Henrique Addington.. El dia 24 se juntó otra vez el Parlamento</t>
  </si>
  <si>
    <t>diputado de la academia de Petersburgó</t>
  </si>
  <si>
    <t>ventajoso qu; los ya conocidos, del qual se habían hecho pruebas á presencia de diputados de la academia de Petersburgó; y que el inventor ofrecía co*njunieir sü secreto á quien le diese cierta cantidad dél mismo metal! Debeentenderse todo esto de un nuevo método para forjar la</t>
  </si>
  <si>
    <t>diputado de la Cisalpina</t>
  </si>
  <si>
    <t>lfonso Vizc;onti y el ex-Ministro Venturi, para que vayan á Turin en calidad de diputados de la Cisalpina, para cumplimentar en nombre de la República á los Reyes de Toscana. El ciud. Venturi los acompañará hasta Florencia, y residirá allí en calidad de Representan</t>
  </si>
  <si>
    <t>diputado de la ciudad de Francfort</t>
  </si>
  <si>
    <t>es. El 29 del mes anterior pasaron por Nancí para París el Senador Scheweitzen, diputado de la ciudad de Francfort, 3 cambistas de Wesplialia, 2 de Prusia, y varios comerciantes de Alemania y Holanda. Brest 4 de Junio. E 1 dia 28 del mes último llegó aquí el General Hedpuvi</t>
  </si>
  <si>
    <t>diputado de la clase de labradores</t>
  </si>
  <si>
    <t>or so patriotismo, que son los Barones de Macklean y Hermelin, y Eric Ander$on, diputado de la clase de labradores. Dichas medallas, aprobadas por la Real academia de la historia y antigüedades, se han acuñado ya. Lá primera representa el busto de Mr. Macklean, y en el reve</t>
  </si>
  <si>
    <t>diputado de la correspondencia general del Ayuntamiento de la ciudad</t>
  </si>
  <si>
    <t>, en caDon Pedro de la Serna, Veintiquatro, y E&gt;. Christóbal Rodríguez, Jurado, diputados de la correspondencia general del Ayuntamiento de la ciudad de Xerez de la Frontera, han remitido-testimonio de la orden expedida en 21 de Abril último por el Sr. D. Gonzalo Joseph de Vilches, del - Consejo Real y de la Ju</t>
  </si>
  <si>
    <t>diputado de la Regencia prusiana</t>
  </si>
  <si>
    <t>s deben hacer promesa de fidelidad al gobier-, no francés, es probable que los; diputados de la Regencia prusiana, que aun permanecen aquí, se retiren quanto ántes: ya se asegura que tienen ór&lt; dtn del gabinete de Potsdam para que se. traslad.n á ]&lt;* derecha»del Rhin. Igua</t>
  </si>
  <si>
    <t>diputado de las academias ó cuerpos científicos</t>
  </si>
  <si>
    <t>la consulta ordinaria, de diputados del clero, Obispos ó Curas p .rrocos, y de diputados de las academias ó cuerpos científicos, que en todo ascenderán á mas de 300 personas. Empezará sus sesiones á mediados del mes próximo. i- Eí ciud: Gerónimo Bonaparte, que se hallaba en Burdeos, sal</t>
  </si>
  <si>
    <t>diputado de las ciudades</t>
  </si>
  <si>
    <t>aviera, de los Príncipes de Magdeburgo, Bremen* Wurtemberg y Wurtzburgo, de dos diputados de las ciudades, y el de los Condes protestantes. Stuttgard 18 de Julio. D ecíase que las fortificaciones de Ehrenbretstein no se habían derribado enteramente; pero no tiene d</t>
  </si>
  <si>
    <t>°2 cuntes, 31 miembros de cuerpos académicos, 12 xefes de los departamentos, 40 diputados de las ciudades, 150 personas visibles, 48 de la guardia' nacional, 27 diputados de lis tropas, 6 individuos de la junta de gobierno y 31 de la Consulta ordinaria. El Arzobisp</t>
  </si>
  <si>
    <t>diputado de las ciudades anseáticas piden al Emperador</t>
  </si>
  <si>
    <t>diputado de lis tropas</t>
  </si>
  <si>
    <t>iputados de las ciudades, 150 personas visibles, 48 de la guardia' nacional, 27 diputados de lis tropas, 6 individuos de la junta de gobierno y 31 de la Consulta ordinaria. El Arzobispo de Milán, no obstante su avanzada edad, desea asistir á dicha junta. El ciud.</t>
  </si>
  <si>
    <t>diputado de Liuz han abierto en esta capital un empréstito</t>
  </si>
  <si>
    <t>bras ¿ y las. tropas las executáron con la mayor exactitud y pericia. i ■ ■ Eos diputados de Liuz han abierto en esta capital un empréstito de un millón de florines para pagar las contribuciones impuestas por el General Moreau. ■ - ¿.- ;■ . - A beneficio, dé los soldados heridos se ha dado aquí una es</t>
  </si>
  <si>
    <t>diputado de los gremios</t>
  </si>
  <si>
    <t>de ellos avisará al mismo Sr. Conde en Cariet: en Madrid á D. Domingo de Altue, diputado de los gremios, portal de Paños; ó en Valencia á D. Domingo de Larena, de aquel comercio. Por providencia del Sr. D. Juan Antonio Santa María, del Consejo de S. M., jprimtr T</t>
  </si>
  <si>
    <t>diputado de los irlandeses-unidos que hay en París</t>
  </si>
  <si>
    <t>t, Burdeos y Rochefbrt. El General Bernadotte tiene freqüentes conferencias con diputados de los irlandeses-unidos que hay en París. Con fecha del ló han decretado los Cónsules de ]a República lo siguiente: ,,Art. i.° En Burdeos.se formará un cuerpo de tropas con el nom*0 bre de cuerpo de o</t>
  </si>
  <si>
    <t>diputado de los países bélgicos</t>
  </si>
  <si>
    <t>e ha encantado la unión y armonía que hay entre todos los ciudadanos......” Los diputados de los países bélgicos, individuos del Cuerpo legislativo, se presentáron también á Bonaparte, y uno de ellos dixo: ,,General y Cónsul. Se han reunido todos los diputados belgas para</t>
  </si>
  <si>
    <t>Diputado de los Rey nos</t>
  </si>
  <si>
    <t>Real sitio de S. Lorenzo, siendo muy numeroso y lucido el concurso de Grandes, Diputados de los Rey nos, Embaxadores y Ministros extrangeros, y otras personas de distinción, que con tan plausible motivo cumplimentaron á SS. .MM. y A A. Con motivo de la muerte del</t>
  </si>
  <si>
    <t>Real sitio de S. Lorenzo , siendo muy lucido y numeroso el concurso de Grandes, Diputados de los Rey nos, Embaxadores y Ministros extrangeros, y otras personas distinguidas , que con tan plausible motivo cumpiimentáron á SS. MM. y A A. ■ El Rey se ha servido nombr</t>
  </si>
  <si>
    <t>Diputado de los Rey nosEmbaxadores</t>
  </si>
  <si>
    <t>eal sitio de Sa» torénzO r siendo muy lucido y numeroso el concurso dé Grandes, Diputados de los Rey nosEmbaxadores y Ministros extrangeros y otras persona» distinguidas, que cumplimentáron á SS. MM. y AA. En el Real cuerpo de Artillería se ha servido S. M. promover á Toq^ente al Subteniente D. Antonio Castillejo.</t>
  </si>
  <si>
    <t>Diputado de los Reynos</t>
  </si>
  <si>
    <t>y hubo besamanos general, siendo muy lucido y numeroso el concurso de Grandes, Diputados de los Reynos, Embaidores y Ministros extrangeros, y otras personas de distinción que cumpíimentAron á SS. MM. y A A. con tan plausible motivo, y el de ser igualmente dias d</t>
  </si>
  <si>
    <t>Real sitio de S» Lorenzo, siendo muy numeroso y lucido el concurso de Grandes, Diputados de los Reynos, Embaxadores y Ministros extrangeros, y otras personas de distinción que cumplimentáron á SS. MM. y AA. con tan plausible motivo, y el de ser igualmente dias d</t>
  </si>
  <si>
    <t>diputado de Lubeck irá quanto antes k París</t>
  </si>
  <si>
    <t>lido de aquí dos miembros de este Senado para Petersburgo; y se asegura, que un diputado de Lubeck irá quanto antes k París. Entre, el Príncipe Cirios de. Hesse, comandante de las tropas dinamarquesas, y Mr. Crawfort, Ministro., inglesase ajustó el dia 7 un nuevo convenio á presenci</t>
  </si>
  <si>
    <t>diputado de Oneglia</t>
  </si>
  <si>
    <t>ornos y emblemas. El mismo Presidente entregó después la bandera nacional á los diputados de Oneglia y Loan o: países que acaban de incorporarse con la República liguriana. j* Milán xB de Junio. ,, Í ¡d exército galo-cisalpino que ha de haber en esta República cqnstará</t>
  </si>
  <si>
    <t>diputado de todos los barrios</t>
  </si>
  <si>
    <t>los habitantes han formado un gobierno direetorial con un consejo compuesto de diputados de todos los estados y de todos los barrios de la ciudad y del campo. El 12 de Julio se presentó allí una división turca de ó fragatas, cuyo, comandante quiso baxar á tierra. Le respondieron que podría hace</t>
  </si>
  <si>
    <t>diputado de todos los estados</t>
  </si>
  <si>
    <t>diputado de Toscana</t>
  </si>
  <si>
    <t>neros ingleses que se hallan allí prisioneros. , L , Liorna. 10 de Agostos . os diputados de Toscana y lostdel General Murat, que- fueron á Porto-Ferrayo, han vuelto sin haber concluido un ajuste:-pues 300 hombres que los ingleses desembarcaron en aquella ciudad han infundido nuevo a</t>
  </si>
  <si>
    <t>diputado de uno</t>
  </si>
  <si>
    <t>Grubenhagen con Jos dominios prusianos; y se ha señalado el dia 29 para que los diputados de uno y otro país firmen el diploma de unión, loqual se executara en la sala de palacio llamada de los Caballeros. Concluido este acto habrá una comida de 240 cubiertos. Berlín 23 de Marzo. N o habiendo e</t>
  </si>
  <si>
    <t>diputado del clero</t>
  </si>
  <si>
    <t>sonas visibles de los departamentos, de individuos de la consulta ordinaria, de diputados del clero, Obispos ó Curas p .rrocos, y de diputados de las academias ó cuerpos científicos, que en todo ascenderán á mas de 300 personas. Empezará sus sesiones á mediad</t>
  </si>
  <si>
    <t>diputado del Piamonte han venido á París</t>
  </si>
  <si>
    <t>peles én Francia, salió de aquí antes que llegase el Sr. Conde de Liorna. ■ Los diputados del Piamonte han venido á París, y tuviéron el 29 de Mayo su primera Audiencia del Ministro dé Relaciones exteriores. Hállase también en París Mr. MurrayV que ha venido de Holanda ¿ concluir</t>
  </si>
  <si>
    <t>diputado del Senado</t>
  </si>
  <si>
    <t>de Mayo* E 1 Enviado de la corte de Be rlín comunico el 27 del mes último á los diputados del Senado, que siendo las intenciones.de S. M. el nuevo Emperador de Rusia enteramente conformes á las de S. M. el Rey de Prusia , se había resuelto entre ambos Soberano</t>
  </si>
  <si>
    <t>diputado della ciudad dePdtoya</t>
  </si>
  <si>
    <t>re Corillri. Él General MiaEis asistió á dicha ceremonia , como también* varios diputados della ciudad dePdtoya^-patriade</t>
  </si>
  <si>
    <t>Diputado délos Reynos</t>
  </si>
  <si>
    <t>el Real sitio de Aranjuez, siendo muy numeroso y lucido el concurso de Grandes, Diputados délos Reynos, Embaxadores y Ministros extrangeros , y otras personas de distinción que cumplimentaron á SS. MM. y AA. con tan plausible motivo, y el de ser igualmente dias</t>
  </si>
  <si>
    <t>diputado fué in</t>
  </si>
  <si>
    <t>nicada de un modo que infundía el mayor rczelo; pero todo quanto expusiéron los diputados fué in-; útil. Volviéron aquí, y dixéron que S. A. les había declarado del modo mas terminante que á la mañana siguiente se presentaría delante de esta ciudad con sus</t>
  </si>
  <si>
    <t>diputado la seguridad de que está</t>
  </si>
  <si>
    <t>ro de breves dias. Aunque al mismo tiempo se dignó aquel Soberano dar á nuestro diputado la seguridad de que está, ciudad conservaría su independencia, que se protegería su comercio, y quei el disgusto y las molestias inseparables de este paso se minorarían quanto fuese po</t>
  </si>
  <si>
    <t>diputado Loan o</t>
  </si>
  <si>
    <t>diputado lostdel General Murat</t>
  </si>
  <si>
    <t>Diputado Ministros extrangeros</t>
  </si>
  <si>
    <t>Diputado otras persona</t>
  </si>
  <si>
    <t>diputado otro país firmen el diploma de unión</t>
  </si>
  <si>
    <t>diputado para el desempeño de su encargo</t>
  </si>
  <si>
    <t>os de Prusia y Austria , sobre si el Emperador debe tUr plenipotencias á dichos diputados para el desempeño de su encargo. Se asegura que entre la Francia y la Prusia hay en el dia negociaciones importantes: y á la verdad son muchos los correos de gabinete que van y vienen de Parí</t>
  </si>
  <si>
    <t>diputado para pedir al Emperador de la Ghma</t>
  </si>
  <si>
    <t>ortugueses. Según cártas de Calcuta los misioneros portugueses enviaron á Pekín diputados para pedir al Emperador de la Ghma~permitiese el libre exereicícrde la religión christiana en sus- vastos dominios. Añaden que aquel Soberano , desptíes de consultar á los 'mandarines, concedió</t>
  </si>
  <si>
    <t>diputado plenipotencias ilimitadas para examinar últimamente</t>
  </si>
  <si>
    <t>derecho que tienen de tomar parte en las diputaciones. 5.° Se conferirán^ á los diputados plenipotencias ilimitadas para examinar últimamente , y ar-¡ reglar de acuerdo con el gobierno francés los objetos que según el tratádó’ de Luneville han quedado para un ajuste particular. 6.® Se darán no obstan</t>
  </si>
  <si>
    <t>diputado poderes amplios para concluir con el gobierno francés</t>
  </si>
  <si>
    <t>ombramiento á la igualdad de número por lo que hace á la religión, teniendo los diputados poderes amplios para concluir con el gobierno francés (salva la ratiñeacion del Emperador y del Imperio) el ajuste de lo que falta que arreglar; y encargándoles formalmente observen con puntualidad las cláusulas r</t>
  </si>
  <si>
    <t>diputado quejándose del lastimoso estado de su país</t>
  </si>
  <si>
    <t>los países ocupados por tropas francesas padecen muchísimo. De Lintz han venido diputados quejándose del lastimoso estado de su país, y pidiendo socorros, en atención á que no pueden satisfacer las peticiones de los franceses. El Conde de Lehrbach les respondió que en breve tendrían fió aque</t>
  </si>
  <si>
    <t>diputado se retiraron</t>
  </si>
  <si>
    <t>r y aprobar, y empezó á formar otra. Moviéronse .partidos y facciones, y varios diputados se retiraron; y la Dieta,sin pararse en esto, finalizó su nueva constitución, y el 2 y de Octubre hizo la elección de 11 Senadores ; pero el 28 el Cuerpo legislativo, que d</t>
  </si>
  <si>
    <t>diputado una especie de manifiesto del Rey de Dinamarca</t>
  </si>
  <si>
    <t>declarar que HO podía, ménos de obedecer las órdenes que traía , entregó á los diputados una especie de manifiesto del Rey de Dinamarca, en que declara $. M* que Jtpesar suyo se,vela obligado por,las circunstancias, y para mar de represalias con los ingleses, á ocupar temporalmente la ciuiad li</t>
  </si>
  <si>
    <t>diputado y apoderados que hubiesen de concurrir á la junta</t>
  </si>
  <si>
    <t>n anticipación lof bocios correspondientes, á fin de que se sirvan nombrar: los diputados y apoderados que hubiesen de concurrir á la junta, para que también se pongan en lista. No pueden juntarse varios accionistas para formar el numero de 2) acciones y tener un voto, sin embargo de concedérseles</t>
  </si>
  <si>
    <t>Diputado y el Síndico personero</t>
  </si>
  <si>
    <t>amiento de Madrid representado por su Corregidor, dos caballeros Regidores, dos Diputados y el Síndico personero, y un concurso numeroso y lucido que manifestó la mayor complacencia de ver el constante é infatigable zelo con qué la sociedad promueve los útiles objetos de</t>
  </si>
  <si>
    <t>diputado y procurador del común de aquella villa</t>
  </si>
  <si>
    <t>or Jos comisionados D. Francisco Texedor Carranza y D. Gabriel García Sobrino , diputado y procurador del común de aquella villa. v ^ Se cesta saber el paradero de Bernardo Sabxl, natural de Saffrbriíck en Alemania, que fue primtr Sargento d© la; séptima couipafiía del segundó batallón d</t>
  </si>
  <si>
    <t>director de dicha escuela</t>
  </si>
  <si>
    <t>cuerpo del animal; escritas dé órden superior por D. Segismundo Malats, primer director de dicha escuela, mariscal de las Reales caballerizas de S. M. , y alcalde examinador del tribunal del Real Proto-Albeyterato. Este tomo es el 10.* de la obra, y se hallará cbn</t>
  </si>
  <si>
    <t>director de este hospital general</t>
  </si>
  <si>
    <t>Embaxador de Francia ha comunicado al Con$ejerp Franck, médico muy celebrado y director de este hospital general, que e» breve llegarán d Viena 40 franceses para concluir baxo su dirección: el csr tudio. de la medicina. Según se dice no tardará en publicarse una ordenanza</t>
  </si>
  <si>
    <t>Director de este Real cuerpo</t>
  </si>
  <si>
    <t>se íe adjudicó él premio, costeándolo todo la generosidad ídel Sr. Dean, primer Director de este Real cuerpo, quien recomendó á los discípulos en un discurso enéxg-ieo Ja constante aplicación y buenas costumbres, y dió gracias en nombre de Ja sociedad al catedrático,</t>
  </si>
  <si>
    <t>director de ingenieros y del comandante de artillería</t>
  </si>
  <si>
    <t>ropas, el estado de las municiones y el de los caudales;y leed los informes del director dé ingenieros y del comandante de artillería. Bastará para daros una idea ds nuestros recursos y medios, y de nuestra situación. Incluyo también lista de las desgraciadas víctimas de la enfermedad contagi</t>
  </si>
  <si>
    <t>Director de la Dieta</t>
  </si>
  <si>
    <t>ó en calidad dé:Príncipe écíésiástlcay sino; como Archi-Canciller del Imperio y Director de la Dieta ; peró’se mudara el modo de su elección. * ^ ■■ t .. Francfort 1* de Julio. E I Archiduque Maximiliano, Gran Maestre de la órden Teutónica, lia señalado 80© fl</t>
  </si>
  <si>
    <t>director de la expedición botánica de Sta</t>
  </si>
  <si>
    <t>Indias; á D.Joseph Celestino Mutis, botánico y astrónomo de; S. M. Católica , y director de la expedición botánica de Sta. Pede Bogotá; á D. Antonio JosepK Cavanilles, director del jardín botánicoí de Madrid; y al profesor Barthez de Mompeller, que era ya individuo corresponsal de</t>
  </si>
  <si>
    <t>Director de la junta general gubernativa de la facultad reunida</t>
  </si>
  <si>
    <t>idemia de Andalucía, para cuya extinción comisionó S. M. á D. Joseph Queraitó , Director de la junta general gubernativa de la facultad reunida.de Medicina y Cirugía , ha producido los efectos que se esperaba. Para evitar la falsificación de tan útil obra se advierte que los ejemplares de ella están fi</t>
  </si>
  <si>
    <t>Director de la posta de España en Roma</t>
  </si>
  <si>
    <t>c. Sr. Superintendente general de la renta de correos por avisos que ha dado el Director de la posta de España en Roma, no haber podido conseguir, sin embargo de los repetidos oficios que ha pasado por medio del Cónsul del Rey en ia corte de Ñapóles, y órdenes comunicadas desde</t>
  </si>
  <si>
    <t>director de lá Real Academia de Sari</t>
  </si>
  <si>
    <t>o , qué precédídlb Real permiso'ha *éxefcütadó IX Alfonso *Gifaldo!y Beígaz , ’ director de lá Real Academia de Sari ,Fbrñañdo ,¿ y escultóí de -cámara de S. Mí;, póniéndola;,etí noble actitud cdn trage -á' la¡'española-antigua,-•martifé$tartdó*pm su^súitiblánre él ‘aj'ire dl</t>
  </si>
  <si>
    <t>director de la Real escuela pia de esta ciudad</t>
  </si>
  <si>
    <t>igo que había en estos mares. (arranada 14 de Jidio. D on Chrlstóbal de Urbina, director de la Real escuela pia de esta ciudad, celebró el dia 5 de Julio de este año en las casas consistoriales, i presencia del Capitán general, Intendente Corregidor, caballeros Ventiquatros, y otras pe</t>
  </si>
  <si>
    <t>Director de la sociedad</t>
  </si>
  <si>
    <t>ón por Ja' salud' de nuestro amado Soberano, del limo. Sr. Obispo de Plaseneia, Director de la sociedad5&gt;y demas individuos del cuerpo. La música de la s mta iglesia de. PLsi nfia d^corp, ios'.Ínter medios de esíe acto , el qp,J concluyó con una área adaptada á l</t>
  </si>
  <si>
    <t>Director de las casas de moneda</t>
  </si>
  <si>
    <t>das , y Mr. Gárlos Yorke á Mr. Windham , Secretario de Guerra. El Lord Arden es Director de las casas de moneda. El Conde dé Liverpool, Presidente del Consejo de comercio. Él Conde Westmoreland está encargado del sello privado &amp;c. Son muchos los que opinan que este minis</t>
  </si>
  <si>
    <t>Director de marina en las nuevas provincias de Italia</t>
  </si>
  <si>
    <t>este mes por el qual nombra el Emptrador al Archiduque Carlos su hermano p r.i Director de marina en las nuevas provincias de Italia, Istria, Dalm.tcia y Albania. En conseqüencu de ello el Archiduque, de acuerdo con la Cancillería áulica de Italia, ha encargado á su Ayudante general Conde de</t>
  </si>
  <si>
    <t>Director de'pintura</t>
  </si>
  <si>
    <t>s en quartil!a de: marca mayor; Los dihuxos son de D. Vicente López , Te-uiente Director de'pintura .de la Real academia de S&lt; Cirios de Valencia, y el grabado de (jamborino. Esta obra, que es la re presentación; de la pasión y muer-' te de;Ntro.; Sr. Jesuch.</t>
  </si>
  <si>
    <t>director deííi</t>
  </si>
  <si>
    <t>uego que esté con4 fuida Ja impresión. París 17 de Fructidor año ix.3= Xhouretj director deííi -^sfcsuéla.de.ánediciná.&amp;c.!’. , ■_ ; ,.:í</t>
  </si>
  <si>
    <t>director del cuerpo de cadetes nobles de Petersburgo</t>
  </si>
  <si>
    <t>a regalado S. M. I. una hermosa hacienda en Curlandia al Mayor general Klinger, director del cuerpo de cadetes nobles de Petersburgo, y uno de los mejores escritores de Alemania. Baxo su inspección se ka formado aquí un lazareto, que merece la mayor atención por su buen orden y arreglo. j Co</t>
  </si>
  <si>
    <t>Director del cuerpo de ingenieros</t>
  </si>
  <si>
    <t>chiduque Juan llegará á aquella ciudad ea todo este mes. Como dicho Príncipe es Director del cuerpo de ingenieros, se presume que su viage tiene por objeto señalar las fortificaciones que han de levantarse en las fronteras del Tirol. Algunas cartas de Italia expresan que P</t>
  </si>
  <si>
    <t>Director del despacho de negocios extrangeros</t>
  </si>
  <si>
    <t>r. No tardará en exerccr lis funciones de sus empleos de V ice- Canciller, y de Director del despacho de negocios extrangeros. Sin embargo del aviso que el Gobernador de Semlin comunicó sobre que Baswan-Oglow no había promovido la insurrección de. los genízaros de Belgrado» escriben d</t>
  </si>
  <si>
    <t>director del instituto nacional de las colonias</t>
  </si>
  <si>
    <t>a que se está disponiendo para Sto. Domingo irá á aquella isla el ciud. Coenon, director del instituto nacional de las colonias, y lleva consigo los dos hijos de Santos Louverture, que se educaron en el instituto de París. Eí General Dugua, Prefecto que fué del departamento de Calvados,</t>
  </si>
  <si>
    <t>director del jardín botánicoí de Madrid</t>
  </si>
  <si>
    <t>de la expedición botánica de Sta. Pede Bogotá; á D. Antonio JosepK Cavanilles, director del jardín botánicoí de Madrid; y al profesor Barthez de Mompeller, que era ya individuo corresponsal de dicha sociedad. El Almirante Nelson, después del ataque. de la esquadrilla de Boloña/</t>
  </si>
  <si>
    <t>director del jardín nacional de Cayena</t>
  </si>
  <si>
    <t>a del departamento del Sena ha recibido una carta del ciud. Martin, botanista y director del jardín nacional de Cayena, en. que avisa que sigue propagando con felicidad, en aquella colonia el cultivo del árbol de canela, el de pimienta, y el giroflé ó clavo de especia*: añade q</t>
  </si>
  <si>
    <t>Director del lazareto del exército de Oriente</t>
  </si>
  <si>
    <t>de Abukir hasta Marabuk.” Ha nombrado el primer Cónsul al ciud. Leblanc, actual Director del lazareto del exército de Oriente , para residir en Ñapóles en calidad de Comisario general de Relaciones exteriores. Al cabo de 72 dias de navegación entró en Rochefort el 13 de este mes nn na</t>
  </si>
  <si>
    <t>Director del Real cuerpo</t>
  </si>
  <si>
    <t>ciones principales i las matemáticas puras y mixtas. Por I&gt;. Joseph Chai*, Vice-Director del Real cuerpo.de Ingenieros Cosmógrafos de Estado: tomo i.° Contiene el cálculo diferencial y sus aplicaciones. En esta obra se demuestran los principios del cálculo dif ¡re</t>
  </si>
  <si>
    <t>director del Real observatorio astronómico de esta corte</t>
  </si>
  <si>
    <t>nyers Middieton : traducido al castella** no por D; Salvaier Ximencz Corpnado , director del Real observatorio astronómico de esta corte. Se hallará en la librería de la viuda de Ibarra, calle de la Gorgnera. Exámex farmacéutico- galénico-chimico teórico-práctico,extractado de las mejores farmac</t>
  </si>
  <si>
    <t>director del teatro</t>
  </si>
  <si>
    <t>an de reforma para los teatros, y en caso que no se aceptase pedia el retiro de director del teatro. Como no se juzgó posible la execucion de dicho plan, se le dio su retiro con el grado de Consejero, y 1200 rublos de pensión. Su empleo se ha conferido á Mr.</t>
  </si>
  <si>
    <t>Director déMioswn</t>
  </si>
  <si>
    <t>Claudio ¡Salgado, Rfaeioneroi del colegio dé áametí; Spiritüs dé1 Santiago , y Director déMioswn! Á-‘ül'V'vt.W /2íc&gt; • Ci« li rr.* Vv¡Á«V ' '■ rl«4víW *1' Kai tlti/G - ‘/X^A orf '-v aI' j ----- —■-----------— — — ,— -----— ’ ^----- r*—- * ■—*■ Erigía de la</t>
  </si>
  <si>
    <t>Director el Dr</t>
  </si>
  <si>
    <t>de esta ciudad ,y ha sabido hacer aumentar la actividad y acierto de su actual Director el Dr. D. Luis Vaicárcel y Daoiz, Canónigo de esta santa iglesia. Procedióse' á la distribución de premios después de celebrar el santo sacrificio, con asistencia de</t>
  </si>
  <si>
    <t>director el limo</t>
  </si>
  <si>
    <t>e los socios, y algunas cantidades que franquea la beneficencia de su dignísimo director el limo. Sr. D. Victoriano López Gonzalo, Obispo que actu.dmente gobierna. Asistió á este acto toda la nobleza, Prelados, clero é individuos de ios cuerpos y otras per</t>
  </si>
  <si>
    <t>director Francisco Ycbra</t>
  </si>
  <si>
    <t>los alumnos de 1# escuela de náutica; ique 'se halla á cargo del primer maestro director Don Francisco Ycbra, Alférez de Fragata graduado de la Real Armada, y deí tercer maestro D. Juan Antonio Acevedo, los que se han contimudo en los siguientes dias 3 y 4 por mañana</t>
  </si>
  <si>
    <t>Director general</t>
  </si>
  <si>
    <t>voyados por 5 buques de guerra. , El ciud. Barbé-Marbois, Consecro de* Estado y Director general* de ía» tesorería de Francia, ha sido nombrado Ministro de la misma tesorería ; y son ahora 8 los Ministros de Estado. ... El iondro armado ingLs, ndmbrado el</t>
  </si>
  <si>
    <t>Director general de artillería en lugar del Manques de Gornwallis</t>
  </si>
  <si>
    <t>Presidente del Consejo privado. Se asegura que le nombrará S. M. Gran Maestre ó Director general de artillería en lugar del Manques de Gornwallis. Concluido el consejo tuvo Mr. Pitt audiencia del lieyie—.El Duque de Portland dexa también el ministerio de lo Interior, y pasa á Presidente de dicho Coñ</t>
  </si>
  <si>
    <t>Director general de Ingenieros</t>
  </si>
  <si>
    <t>anías, salid de aquí el 27 del mes último para el Tirol, en donde residirá como Director general de Ingenieros: reconocerá las plazas y castillos de aquella provincia, en la qual han de hacerse muchas fortificaciones nuevas, ademas de restablecerse y aumentarse las que</t>
  </si>
  <si>
    <t>director general de la fábrica de pólvora</t>
  </si>
  <si>
    <t>autpoul, xefe de brigada de ingenieros, Regnier, Comisario de guerra, y Champí, director general de la fábrica de pólvora. Os remito todos los pliegos que me entregó el ciud. Hautpoul. El exército del Cayro, al mando dei General Belliard , consta de unos 12,200 hombres, inclusos 1</t>
  </si>
  <si>
    <t>Director general de la tesorería</t>
  </si>
  <si>
    <t>se celebra eri igual dia todos los meses; al qual concurren los Ministros y el Director general de la tesorería.- El médico Corvisart cree que el primer Cónsul podrá sin perjuicio de su salud asistir á la fiesta pública del 14 de Julio. Ha llegado de Roma á París el Duqu</t>
  </si>
  <si>
    <t>director general de los arsenales de Constantinopla</t>
  </si>
  <si>
    <t>. Despachó el General una lancha, en la qual vino á tierra Mohamed-Inijeat-Bey, director general de los arsenales de Constantinopla, y segundo Almirante de la esquadrá otomana. Entregó su navio, que es de porte de 84 cañones, baxo condición de que la tripulación no quedaría esclava, y que l</t>
  </si>
  <si>
    <t>director general de rentas públicas podrá ir á Alexandría</t>
  </si>
  <si>
    <t>é depositarán en Roseta en caso de que no puedan embarcarse actualmente. 7.0 Él director general de rentas públicas podrá ir á Alexandría , ó enviar une de sus dependientes; y para elfo se le facilitarán, las proporciones que necesite. 8.° Podrán los Generales de tier-. ra ó de nur;ide las tres p</t>
  </si>
  <si>
    <t>Director general del cuerpo de irigeP nieros al Archiduque Juail</t>
  </si>
  <si>
    <t>los tarcos. Vierta 11 deFebrero* ' ['■'■■■ •'V; A caba. el Emperador de nombrar Director general del cuerpo de irigeP nieros al Archiduque Juail. ' - ; : El Barón de Thugut ha hecho dexacion del empleo de Gobernador de las provincias de Italia, y se ha retirado de esta capital para residir en Cracovia.</t>
  </si>
  <si>
    <t>director Juan Antonio Hernández de Larrea</t>
  </si>
  <si>
    <t>d. Se concluyó este acto con un razonamiento que hizo á las educandas el primer director Don Juan Antonio Hernández de Larrea, Dean de la santa iglesia metropolitana, inspirándoles los mas tiernos sentimientos de piedad, y excitándolas al mayor aprovechamiento y aplicación. Madrid 9 d</t>
  </si>
  <si>
    <t>director los' recifriéron JuaR Qüy er y Joseplb Hadó</t>
  </si>
  <si>
    <t>^r-irriérafclettis^ arjím^tica y .principios de ¡navegación ;? y epor. mano déi director los' recifriéron JuaR Qüy er y Joseplb Hadó, Salvador Sans^^ntonip^Férrer, Bprnárdo Gafmundíi, Joachín Lío*g mar;, Lorenzo Pom, Atatooid Miáiar^lJoseph;Marti|iez.*Erañcisc^ Iiiómpart ,«/Lorenzo GJler y J</t>
  </si>
  <si>
    <t>Director Marques de f uerte Híjar</t>
  </si>
  <si>
    <t>pública, á que se dio princiT io por una breve oración que pronunció el Sr. Sub-Director Marques de f uerte Híjar. Don Mariano de Villodas, segundo secretario, leyó el extracto de las tareas de la misma Real sociedad durante el último año, y la Excma. Sra. Condesa del Mont</t>
  </si>
  <si>
    <t>director Marques de V alera y con asistencia</t>
  </si>
  <si>
    <t>blica en. Es- casas consisto ríales*, el, dia- q dei cste&gt;mes, presidida por eí director Marques de V alera y con asistencia; de¿ un-^numeroso concurso de las clases mas distinguidas--.y..útiles dél astado. Eli salón, qúe, se. hallaba.autorizado con. los* tetra tosido SB-MM-^se: ado*</t>
  </si>
  <si>
    <t>director se distribuyéron</t>
  </si>
  <si>
    <t>a descripción topográfico-económica de la gobernación de Valencia. Por mano del director se distribuyéron1 á nlños y niñas de las escuelas y enseñanzas de esta ciudad 44 premios ; íos&lt; Xíí costeados por la sociedad, 16 por el Exc. Sr.Arzobispo de ValenCiá Fr. D. Jo</t>
  </si>
  <si>
    <t>director sigue ya correspondencia con el Ministro de la tesorería</t>
  </si>
  <si>
    <t>I2?3 mismo pie que aquellas, y su director sigue ya correspondencia con el Ministro de la tesorería de Francia. Desde el mes de Juiio de este año hasta fines de Setiembre se han acuñado aquí en moneda de oro de 20 francos, llamada marengo, por el valor de 280,76</t>
  </si>
  <si>
    <t>director y de los maestros en</t>
  </si>
  <si>
    <t>allas de plata, y otras alhajas: y todo el concursó ■aplaudid mucho el zelo del director y de los maestros en: servicio de ambas magestades, y con tanta utilidad de la causa pública. Al fomento, sus* tentó y ventajas de esta casa de piedad contribuye en la mayor parte</t>
  </si>
  <si>
    <t>director y fundador de dicho Real colegio</t>
  </si>
  <si>
    <t>abertura del Real colegio de cirugía de S. Cárlos por D. Antonio á* Gimbernat , director y fundador de dicho Real colegio, el dia i.° de Octubre de 1787-: obra que no solo interesa á los profesores para curar con mas benignidad y seguridad las heridas; sino también^! cada individu</t>
  </si>
  <si>
    <t>Director y los Administradores sJi</t>
  </si>
  <si>
    <t>el día 10 la casa de moneda: iba obstqui ndolts el Ministro de lo Interior. Ef Director y los Administradores sJi&amp;on á recibirles, y los conduxéron á los diversos tálleres y oficinas.</t>
  </si>
  <si>
    <t>Djísblíésy, General</t>
  </si>
  <si>
    <t>General Djísblíésy</t>
  </si>
  <si>
    <t>demás disposiciones paré la-abertura del cbngtestú ; 5 '* / ’ Parir Wríd.,:' ldiáiáttégd i TktU él General Djísblíésy xéfé^deTa plána mayor del exército del Rhin. , ■ El Consejero de'Estado Bruñe , Général en xefe del exército Je Tt lia, ha escrito al Ministro de la Guerra la Siguiente carta fech</t>
  </si>
  <si>
    <t>Dochao, Martín</t>
  </si>
  <si>
    <t>Martín Dochao</t>
  </si>
  <si>
    <t>........... go. #8. Martin Dochao... Felipe............ María Alonso...... Domeselle..... Vivero........ go. 28. Tomas Carril....... Manuel......... Antonia Perez..... Gallina</t>
  </si>
  <si>
    <t>Dófik Mafia de Couto</t>
  </si>
  <si>
    <t>to Bermudé* y C04V0, hijo legítimo de DI Juan BérnaVdfq Prieto y Bermudez$y de4 Dófik Mafia de Couto, vecino dé;la fe grésía dé Sia Félix de Monfero , jnrisdlécioá- dé Betlbaos éa Gdíicía ^ se ausentó en el estado’ de soltero hace mas de í8( áfioSvde casa de sus padres,,sin saberse de su</t>
  </si>
  <si>
    <t>Dohm</t>
  </si>
  <si>
    <t>sposición tan repentina. Hdnnóikr i.a de Julio. L a nota qite este ministerio entrégó últimamente á Mr. Dohm, Ministro prusiano, hace relación dé las caUsas que diéron motivo á que las tropas prusianas ocupasen este Electorado: tales son: i.a Las desavenencias movidas entre Inglaterra y</t>
  </si>
  <si>
    <t>Doígoruski, Príncipe</t>
  </si>
  <si>
    <t>Príncipe Doígoruski</t>
  </si>
  <si>
    <t>s preliminares de la paz entre Francia é Inglarerra por el ciad. Otro y el Lord Hawkesbüry.,* ,, El Príncipe Doígoruski ha traído al General Clarke, de parte de S. M. I. Alexandro i, un sable guarnecido de diamantes valuado en 50© francos, como un testimonio del esmero con que el mencionado General</t>
  </si>
  <si>
    <t>Dolmaire-Provenchere</t>
  </si>
  <si>
    <t>correo extraordinario del gobierno, que se dirige á Valaquiá y Constantinopía___ También ha llegado Mr. Dolmaire-Provenchere , Coronel del regimiento imperial de Hohenzoliern. Dieppe 1$ de Octubre. E 1 dia 12 fondeó aquí un paquebot ingles, que es el primero desde los pre</t>
  </si>
  <si>
    <t>Domenech, Ramón</t>
  </si>
  <si>
    <t>Ramón Domenech</t>
  </si>
  <si>
    <t>n al primer Teniente de granaderos D. Manuel Moron; á primer Tenienté dé granaderos al de fusileros D. Ramón Domenech; á primer Tejiente al segundo ¿^granaderos, graduadode Capitán , D. Joseph Ahumada; á segundo Temente dé granaderos al de fusileros D. Clemente Palacio ; i ésta resulta al primer</t>
  </si>
  <si>
    <t>Domínguez, Francisco</t>
  </si>
  <si>
    <t>Francisco Domínguez</t>
  </si>
  <si>
    <t>dad de Maestrescuela de 1&amp; propia iglesia, y por renuncia que ha hecho de él D. Melitoh Zorrilla, á D. Francisco Domínguez; para el Deanato de la catedral de Calahorra, vacante ppr falleciniiento de D. Bartolomé Calleja , al Chantre dé la misma iglesia D. Antonio Carrillo Mayoral, con retención de la</t>
  </si>
  <si>
    <t>Don, General</t>
  </si>
  <si>
    <t>General Don</t>
  </si>
  <si>
    <t>'&gt;sq ■z¿.uv;¿v.. -ó'./4 vi lak-om^vj! £‘ En atención á los servicios y circunstancias del Teniente -General Don; Francisco Xavier de Negreté, se ha digitado S. M. conferirle dz Inspección general de la Iniatiteríá, que ha resultado vacante* por haber exóneradodedía; ai:iTenient# General 0.</t>
  </si>
  <si>
    <t>Donzelot, General</t>
  </si>
  <si>
    <t>General Donzelot</t>
  </si>
  <si>
    <t>Amurátes tras-* hdó su campamento de Minieh á Kennech; y ios franceses que están bax«&gt; el mando del General Donzelot se aprovecharon de aquella proporción y del influxo de Amurátes para internarse en el país y restablecer las rentas y contribuciones, que á no ser el apoyo de aquel Bey, no hubier</t>
  </si>
  <si>
    <t>de derrotar á los ingleses., y venir con todas sus fuerzas contra los turcos. El dia 15 escribí al General Donzelot, á quien habían dexado en Siut, que evacuase el Egipto-Superior, y á marchas forzadas viniese al Cayro con sus tropas. Tibien avisé al Bey Amurátes (el qual observaba rielmente Jo</t>
  </si>
  <si>
    <t>Doral, Juan Bautista</t>
  </si>
  <si>
    <t>Juan Bautista Doral</t>
  </si>
  <si>
    <t>pies. Doña María Antonia Doral, hija de D. Márcos, ó sus herederos, ocurrirán «1 Capitán de Fragata D. Juan Bautista Doral, que reside en el Ferrol, quien tiene noticias interesantes que darles, é ignora ei destino de dicha sefiora ; y al mismo tiempo suplica si alguno supiere el fallecimiento de la c</t>
  </si>
  <si>
    <t>Dordal, Joseph</t>
  </si>
  <si>
    <t>Joseph Dordal</t>
  </si>
  <si>
    <t>n: 10 pesos á ü. Francisco Alastuey por el premio de la tercera clase de arquitectura; y 20 pesos á D. Joseph Dordal por el premio de grabado. Con el objeto de promover el aprovechamiento de los discípulos en figura, ca-; betas y brazos, se premió con cantidades menores á D. Manuel Franco, D. Gu</t>
  </si>
  <si>
    <t>Dordal, Pablo</t>
  </si>
  <si>
    <t>Pablo Dordal</t>
  </si>
  <si>
    <t>concluida -esta, lectura, el Exc. Sr. Capitán general distribuyó los premios siguientes: 25 pesos á D. Pablo Dordal, ó igual cantidad á I). Máteos Juste, opositores en ja primera clase de pintura , en atención al mérito de sus obras , que se han considerado en igual graduación: 20 pesos á D. Ma</t>
  </si>
  <si>
    <t>Dordelin, Capitán</t>
  </si>
  <si>
    <t>Capitán Dordelin</t>
  </si>
  <si>
    <t>fuerzas superiores, y entre las dos se empeñó un combate que duró media hora á tiro de pistola. El Capitán Dordelin, comandante de la Bravouref «quiso intentar el abordage; pero los enemigos lograron evitarlo, y huyéron á todo trapo. En esta acción padeciéron muchísimo Jos ingleses i por el fue</t>
  </si>
  <si>
    <t>Doria, Cardenal</t>
  </si>
  <si>
    <t>Cardenal Doria</t>
  </si>
  <si>
    <t>ue en breve marchará á Paris. , •* Durante la ausencia del Cardenal Consalvi sirve interinamente el Cardenal Doria su empleo de Secretario de Estado del Papa. Genova iG de Junio. E n la fiesta pública con que se celebró aquí la paz del continente, colocó el ciud. Rossi, Presidente del gobierno</t>
  </si>
  <si>
    <t>Dorney, Capitán</t>
  </si>
  <si>
    <t>Capitán Dorney</t>
  </si>
  <si>
    <t>z en el cuarto del Rey desde la enfermedad de su augusto padre. -*. Anoche llegó ai Almirantazgo el Capitán Dorney con pliegos del Almirante Kei-th, y al misino tiempo ha llegado el Capitán Aüsten con cartas del General Abercrombie. Nada se ha publicado de lo que avisan estos Generales; pero s</t>
  </si>
  <si>
    <t>Douden, Christóbal</t>
  </si>
  <si>
    <t>Christóbal Douden</t>
  </si>
  <si>
    <t>s de Marciila, D. Vicente Royo y D. Lucas Vázquez: , de 2.0 los Bachilleres en Leyes D. Rafael Bos, D. Christóbal Douden y D. Antonio Séta; y de i.° D. Fabian Lorente, D. Francisco Oteiza, Don’ Benito Sánchez y D. Francisco Bergcz, exercitando estos últimos sobre la ' doctrina de las Instituciones, ilus</t>
  </si>
  <si>
    <t>: D. Rafael Bos sobre el estado y posible perfección de las fábricas y demas ramos de manufacturas: D. Christóbal Douden sobre las aduanas y contribuciones consideradas en sus diver; sas relaciones, especialmente con .el comercio: D. Antonio Seta sobre la - junta de mejoras, propuesta por D. Bernard</t>
  </si>
  <si>
    <t>Douzelot, General</t>
  </si>
  <si>
    <t>General Douzelot</t>
  </si>
  <si>
    <t>s. Este Bey observa fielmente las condiciones dei convenio, y conserva la mejor inteligencia coa el General Douzelot, que manda en el Egipto Superior. Quando salimos de Alexandría ya se hablaba del desembarco de los ingleses. Si tal es en efecto su intención, deben asegurar bien sus medidas : pu</t>
  </si>
  <si>
    <t>DpmiíVr, Ventura</t>
  </si>
  <si>
    <t>Ventura DpmiíVr</t>
  </si>
  <si>
    <t>88» 33. Ventura DpmiíVr.. •: •. ___ ______ gues. , A*,W Antclin......Estefanía Pablos.. Tord</t>
  </si>
  <si>
    <t>Drome, Lord</t>
  </si>
  <si>
    <t>Lord Drome</t>
  </si>
  <si>
    <t>te de Francia. El Marques de Cornwaliis llegó á París el dia 7 á las 4 de la tarde: le acompañan el Lord Drome, su hijo, Mr. Serigteten, su yerno, los Coroneles Nígthing. 11 y Littehalles, Mr. More y 15 personas dé comitiva. Halló en su posada una guardia de honor; y un crecido destacament</t>
  </si>
  <si>
    <t>Drummond</t>
  </si>
  <si>
    <t>dos;jde aIgpdon;y &lt;de lino, t El 29 de Enero, dia del cumpleaños del Rey, no se presentó en palacio Mr. Drummond, Encargado de Negocios de Inglaterra, ni por la noche asistió al teatro, sin embargo que concurrió todo el cuerpo diplomático y las personas visible^ de la cjorte/. , i, I, í # Au</t>
  </si>
  <si>
    <t>ra tripular la esquadra^ Copenhague JO de Marzo. H a concedido S. M. Británica título de Ministro á Mr. Drummond, su Encargado de Negocios en esta corte; pero hasta ahora no ha presentado sus nuevas credenciales á este Soberano. El 6 por la noche volvió á. esta ciudad el Príncipe Real de su</t>
  </si>
  <si>
    <t>, y ayer tarde una de sus fragatas entro en Els&lt;¿neur con bandera parlamentaria. Traía pliegos para Mr. Drummond, Ministro británico en esta corte , el qual ios recibid, y de resultas de las instrucciones de su gobierno, entrego hoy una nota al ministerio dinamarqués, y tuvo una conferencia</t>
  </si>
  <si>
    <t>Drummoñd</t>
  </si>
  <si>
    <t>cirle que anunciando hostilidad de parte del gobierno dinamarqués la insultante despedida que dio á Mr. Drummoñd , se bailaba Mr. (Parker en el caso dé preguntarte®! la fesquádró; de^spanantíb piodia pasar.Retorosa el ©ficiáKyn volvió- ia «misma -tardepor ia respuestal ;EI «Gomandonte, que e</t>
  </si>
  <si>
    <t>artículo siguiente:que acaba de suceder entre las cortes de Dinamarca é Inglaterra se reduce á que Mr. Drummond, Encargado de Negocios de Inglaterra, y Mr. Vansittart, que vino aquí con una comisión de su gobierno , pidiéron que se les reconociese como Enviados británicos, y que se admities</t>
  </si>
  <si>
    <t>Drunmond</t>
  </si>
  <si>
    <t>n el Ministro de Estado dé 'Dmaidárca'Várl^cbáfdséñcias, ffrgtán muy reñidas. Poco después despachó Mr. Drunmond el mismocorreo; y desde entonces se. observa qm muestro gobierno Jia expedido nuevas órdenes para acelerar las obras de este puerto y de los arsenales del Reyno. A Sn de animar á lo</t>
  </si>
  <si>
    <t>Drusnmond</t>
  </si>
  <si>
    <t>7°2 Londres $ de Junto* ' r? H a nombrado el Rey á Mr. Drusnmond, Enviado que ha sido de esta corte en Copenhague* para reemplazar al Lord Elgin en la embaxada de Constantinopla. El General Moore se retira del exército de Egipto á causa de sus</t>
  </si>
  <si>
    <t>Dubiena, Juan</t>
  </si>
  <si>
    <t>Juan Dubiena</t>
  </si>
  <si>
    <t>... 47. a8. Joseph Navona.......... Joseph y Teresa Te 11 es............. Techia en id..... xa. ap. D. Juan Dubiena........ D. Juan y Doña María de Rollan................ 14. ao. D. Cárlos Vizconde de D. Domingo y Doña Lorenza Se- SarlarchenFranSabinach.................. dillach................</t>
  </si>
  <si>
    <t>Dublaisel, Domingo</t>
  </si>
  <si>
    <t>Domingo Dublaisel</t>
  </si>
  <si>
    <t>es Guardias Walonas á segundos Tenientes de granaderos á los de fusileros D. Alberto de Rocheneuve* D. Domingo Dublaisel y D. Felipe de Miquel y Bloadel; y a segundos Tenientes á los Alféreces de granaderos D. Francisco de Recciulli y_D. Joachín Barón de Garro, y á los de fusileros D. Francisco de Paula</t>
  </si>
  <si>
    <t>Dubouzet, Luis</t>
  </si>
  <si>
    <t>Luis Dubouzet</t>
  </si>
  <si>
    <t>segundos Tenientes al Subteniente de granaderos D. Juan Pedro Payre, y á los primeros Subtenientes D. Luis Dubouzet y D. Leonardo de Pontons; á Subteniente de granaderos al primer Subteniente D. Pascual Borda; á primeros Subtenientes á los segundos D. Luis Ancelin de San Quintín, í)oa Luis de la Ma</t>
  </si>
  <si>
    <t>Duboys, Pedro</t>
  </si>
  <si>
    <t>Pedro Duboys</t>
  </si>
  <si>
    <t>Corps ha nombrado el Rey Brigadier al Subrigadier D. Gerónimo Knapp; y para esta resulta al Cadete D. Pedro Duboys. El Rey se ha servido conferir el Gobierno militar y político de la ciudad de Salamanca y su distrito, que ha resuelto establecer, al Brigadier de sus exércitos D. Joseph de Urbin</t>
  </si>
  <si>
    <t>Ducer, Ramón</t>
  </si>
  <si>
    <t>Ramón Ducer</t>
  </si>
  <si>
    <t>antería de Asturias á Capitán de granaderos al de fusileros D. Manuel Eligió; á Capitán al Ayudante D. Ramón Ducer; á esta resulta al primer Teniente D. Joseph María Peyralon; á primer Teniente al segundo de granaderos D. Juan Antonio Abal ; á segundo Teniente de granaderos al de fusileros D.</t>
  </si>
  <si>
    <t>Duckworth, Almirante</t>
  </si>
  <si>
    <t>Almirante Duckworth</t>
  </si>
  <si>
    <t>llería y 3 regimientos: pues las demas tropas que se esperaban de la Barbada 110 lubian llegado. El Almirante Duckworth mandaba la esquadra , la qpaí se presentó el 20 de Marzo delante de la isla de S. Bartolomé, el 24 delante de la de S. Martín, el 28 delante de Santo Tomas, y el 31</t>
  </si>
  <si>
    <t>Dugua, General</t>
  </si>
  <si>
    <t>General Dugua</t>
  </si>
  <si>
    <t>s, y lleva consigo los dos hijos de Santos Louverture, que se educaron en el instituto de París. Eí General Dugua, Prefecto que fué del departamento de Calvados, va también á dicha colonia. Escriben de Munich que ha pasado por aquella ciudad el xefe de brigada Sebastiani, edecán del primer Có</t>
  </si>
  <si>
    <t>Düheim, General</t>
  </si>
  <si>
    <t>General Düheim</t>
  </si>
  <si>
    <t>no ménós poderoso que magnánimo de la. Repáblíca francesa.0 VV Strasburgo 14 de Diciembre. ' ^ JlÍI General Düheim ocupó el dia' 5 la ciudad Id® Bamberg. El 4. hubo cerca de Burg-Eberách una acción , de icnyás resultas* volviéron los austríacos á pasar el Rednitz, y marchan en retirada,hacia e</t>
  </si>
  <si>
    <t>Duhem, General</t>
  </si>
  <si>
    <t>General Duhem</t>
  </si>
  <si>
    <t>ase en aquella plaza el Barón de Aibini, y se retiró unav hora ántes que entrasen dichas tropas. El General Duhem, que manda la vángíiardia del exército galo~bátavo, dispuso cercar inmediatamente la ciudadela, y, .quedaba haciendo grandes preparativos para atacaría con vigor. .Londres jo de N</t>
  </si>
  <si>
    <t>por el General Barbou, y el General Simbschen acometió á la izquierda, que estaba á las órdenes del General Duhem. Vmiéron unas y otras tropas á las manos, y pelearon cpn increíble encarnizamiento; pero no obstante la superioridad de fuerzas de los enemigos, fuéron der-^ rotados y perseguidos</t>
  </si>
  <si>
    <t>Duhesme, General</t>
  </si>
  <si>
    <t>General Duhesme</t>
  </si>
  <si>
    <t>rcito se ha apostado al otro lado del Reintz para sostener el ataque del castillo de Wurtzburgo. El General Duhesme ocupa á Bamberg; y el General Barbou despacha partidas hasta Nuremberg. Están enteramente libres nuestras comunicaciones con Wurtzburgo , mediante varios puentes del Mein. El país</t>
  </si>
  <si>
    <t>Duhesmé, Teniente General</t>
  </si>
  <si>
    <t>Teniente General Duhesmé</t>
  </si>
  <si>
    <t>rach y las dos primeras alturas que la dominan, y tenia 6 cánones al frente de su segunda línea. El Teniente General Duhesmé consiguió arrojar á ios contrarios de la aldea y de su primer línea; pero</t>
  </si>
  <si>
    <t>Dumas, General</t>
  </si>
  <si>
    <t>General Dumas</t>
  </si>
  <si>
    <t>le el camino. Sin embargo de esto, las tropas tardaban horas enteras en adelantar algunos pasos. El General Dumas se hallaba en esta coluna. El tiempo era pésimo: el viento azotaba,}7 todas las dificultades se aumentaban; El General Laboissiere, que hacia ya 3 dias estaba encerrado eu el hosp</t>
  </si>
  <si>
    <t>atificará así que los firmen también los Cónsules de la República, francesa. Taris iS de Enero. E 1 General Dumas ha dirigido al Ministro de Guerra la carta siguiente: 9j Qtt artelgeneral de Trento 7 de Enero. Se ha logrado el objeto de las operaciones y movimientos del exército de los Grison</t>
  </si>
  <si>
    <t>Dumonccau, General</t>
  </si>
  <si>
    <t>General Dumonccau</t>
  </si>
  <si>
    <t>ocupamos á Aschaft’entrargo,y nos apostamos mas allá de la ciudad. Siguió marchando el exército: el General Dumonccau se dirigió á Wurtzburgo, y el dia 29 rodeó aquella plaza, resultando una leve pérdida por una y otra parte. El General Allaglio, á quien se intimó la rendición de la plaza y del c</t>
  </si>
  <si>
    <t>Dumonceau, General</t>
  </si>
  <si>
    <t>General Dumonceau</t>
  </si>
  <si>
    <t>po la bombardea ron todo el día. Ayer mañana el General en xtfe Augtréau, que está aquí, remitió al General Dumonceau una intimación, que se envió por en trompeta al comandante del castillo. Ignórase la respuesta. Augereau se restituirá á Closter-Eberach, en donde tiene su quartel general, y segú</t>
  </si>
  <si>
    <t>Rednitz, teniendo su izquierda en Honigshofen, y su derecha en Krelingen ; y la división bátava del General Dumonceau , con la qual se reunirá ia reserva de caballería bátava, tendrá sus acantonamientos á orillas de los otros dos ramos del Mein, y en ia margen del Tauber. Algunos batallones de la</t>
  </si>
  <si>
    <t>íces que poseia en esta R..-publica. Se han expedido órdenes á las tropas holandesas mandadas por H General Dumonceau á fin de que aceleren su marcha. La mayor parte de ellas está destinada para la provincia de Nord-Holanda, en donde se formara un exército galo-bátavo, que parece lo mindará el Ge</t>
  </si>
  <si>
    <t>Dumourier, General</t>
  </si>
  <si>
    <t>General Dumourier</t>
  </si>
  <si>
    <t>h, Ministro ingles, le dio un convite á que asistiéron los Ministros de las potencias neutrales, el General Dumourier y otras personas. Algunas cartas de Constantinopla refieren que el exército del^Gran Ví¿ir* ha atacado á los franceses, consiguiendo forzar al cuerpo dtí Genera} Regnier, que estaba</t>
  </si>
  <si>
    <t>Dundas</t>
  </si>
  <si>
    <t>rd def Almirantazgo 6 Ministro de Marinaseiidugar del Conde Spencer.¿Él Lordüobart,, teeñír plaza á Mr. Dundas , y Mr. Gárlos Yorke á Mr. Windham , Secretario de Guerra. El Lord Arden es Director de las casas de moneda. El Conde dé Liverpool, Presidente del Consejo de comercio. Él Conde We</t>
  </si>
  <si>
    <t>dos los pescadores que se habían éhcviado* á Francia baxo palabra.; Los motivos que para esto alega Mr. Dundas son que según avEos que tenia* abusaba el gobierno franoes del favor concedido á los pescadores de esta nación.; y que ademas conjeturaba que los pescadores y sus.barpos podrian e</t>
  </si>
  <si>
    <t>la patria.”—También Mr. Hobhouse hizo la censura de la conducta de Mr. Pitt. Y después de defender Mr. Dundas á los Ministros* tomó Mr. Nichols la palabra, y ha* bló con ménos comedimiento contra el ministerio: observó que Mr. Pitt había declarado que los nuevos Ministros seguir ín los pr</t>
  </si>
  <si>
    <t>aba que solo los Ministros eran ios culpados, y que debían dar cuenta de sft .c$$diícfá. Le replicó Mr. Dundas» y dio en su discurso algunas luces sobre el objeto de dicha tentativa. „No veo inconveniente en manifestar á 4 CÍáiiiara los motivosdc la expedición. Confieso ingenuamente que el</t>
  </si>
  <si>
    <t>tiene la siguiente respuesta de un.voluntario dd exército de Oriente á una porte de un discurso que Mr. Dundas pronunció en el Parlamento británico, v ,, El exército os debe dar, Señor, las mas sinceras* y expresivas gracias porque deseáis su entera destrucción ; sin duda habéis creído que</t>
  </si>
  <si>
    <t>e General Trigge y del Contra-Almirante Duckworth. t H A conseqiiencia de las órdenes expedidas por Mr. Dundas el 14 y el 31 de Enero, el Teniente General Trigge, comandante en xefe de las fuerzas terrestres en las islas de barlovento y sotavento, salió el 16 de Marzo del puerto de S. Juan,</t>
  </si>
  <si>
    <t>Dupen de San, Luis</t>
  </si>
  <si>
    <t>Luis Dupen de San</t>
  </si>
  <si>
    <t>jan.. D. Cárlos y Doña Francisca Bonfontona.............................. Lila Jorden...... ao. 30. D. Luis Dupen de San­ S. Amantony en tander..................... D. Juan y Doña Blaua Dorde.. Francia......... ao. 30. D. Alexandro Denier... D. Antonio y Doña N............... Lluderedoma.... ao. 30.</t>
  </si>
  <si>
    <t>Duplessis, Pedro</t>
  </si>
  <si>
    <t>Pedro Duplessis</t>
  </si>
  <si>
    <t>capital, y desde entonces no ha habido la menor noticia suya. Quien tuviere alguna, la comunicará á D. Pedro Duplessis:, en Falencia. r" Epítome de Ja vida de S. Brocardo , segundo General latino del orden de "Ntra. Sra, del Carmen, con un novenario de oraciones y meditaciones para implorar la pro</t>
  </si>
  <si>
    <t>Dupont, General</t>
  </si>
  <si>
    <t>General Dupont</t>
  </si>
  <si>
    <t>lta. §e comunicaron al instante las demás convenientes órdenes á las otras divisiones. No viendo el General Dupont fuerzas muy considerables enemigas en el camino que seguía, echó su puente, y verificó con toda felicidad el paso. Los enemigos acudieron inmediatamente á aquel punto con mayor nú</t>
  </si>
  <si>
    <t>niente General Dupont, haciendo para ello desde Azzola úna marcha forzada» digna de todo elogio por su rapidez. Este ataque falso no podía mé-i nos de Mamar la atención ’de Mr. Bellegarde , y dividir s</t>
  </si>
  <si>
    <t>Dupont, Teniente General</t>
  </si>
  <si>
    <t>Teniente General Dupont</t>
  </si>
  <si>
    <t>usos quéde acompañaban. Se han publicado las dos siguientes relaciones de nuestros exércitos. ,, El Teniente General Dupont al General en xefe Btubc. Quartel general de Azota G de Diciembre. Ayer hubo en Macaría una acción » cuyas resultas fueron felicísimas para el exército francés. El intento de lo*</t>
  </si>
  <si>
    <t>¿i(¿&gt; ata derecha/ al mando del Teniente General Dupont, tuvoóídcn de subir por la prilla del Minció,dexando un cuerpo de observación delante de Goito, y de aparentar un paso Cft Lavolta. §e comunicaron al instante las demás convenient</t>
  </si>
  <si>
    <t>l mismo tiempo que la brigada del ;0enéraL Lessuíre atacase lacabeza, de pílente de Borghetto, y el Teniente General Dupont continuase .llamando la atención de los enemigos hacia Fozzuolo. Esta combina-.</t>
  </si>
  <si>
    <t>Dupradel, Miguel</t>
  </si>
  <si>
    <t>Miguel Dupradel</t>
  </si>
  <si>
    <t>Henrique y Dofia Carlota de Grau............ ........................... Limos en id...... 27. 17. D. Miguel Dupradel,... D. Luis y Doña María Limosin........................................... S; ntonge.......... 28. 31» Jayme Vales............... Juan y Teresak Estebe............... Perpifian..</t>
  </si>
  <si>
    <t>Duque de Richelieu, Teniente General</t>
  </si>
  <si>
    <t>Teniente General Duque de Richelieu</t>
  </si>
  <si>
    <t>alido para Nápoles el Príncipe Gagarin, en calidad de Enviado de Rusia cerca ae S. M. Siciliana. El Teniente General Duque de Richelieu,que habla sido despedido del servicio» acaba de ser reemplazado en su mismo empleo» conservando su antigüedad. En todo el imperio se han celebrado este año con mucha solemnidad lo</t>
  </si>
  <si>
    <t>Duque, Joseph Domingo</t>
  </si>
  <si>
    <t>Joseph Domingo Duque</t>
  </si>
  <si>
    <t>ión de la citada metropolitana, vacante por muerte del referido D. Antonio Nicolás Martínez Caso, á Don Joseph Domingo Duque, Medio-Racionero de ella; y para esta á D. Juan. Nepomuceno de Cabrera, Cura en el mismo arzobispado. En la gazeta extraordinaria del día 13 del mes pasado se dio noticia del ataq</t>
  </si>
  <si>
    <t>Duran, Andrés</t>
  </si>
  <si>
    <t>Andrés Duran</t>
  </si>
  <si>
    <t>ron por parte del Ayuntamiento los premios señalados; sobresalieron en ei certamen D. Juan Jaldon , D. Andrés Duran y D. Joseph Gutiérrez (vecinos de esta villa) sin embargo de su tierna, edad, y dé 1 ■corto espacio.de msiestudios. - Madrid jo de Marzo. / E n el regimiento de infantería del Rey se</t>
  </si>
  <si>
    <t>Durango, Francisco</t>
  </si>
  <si>
    <t>Francisco Durango</t>
  </si>
  <si>
    <t>..... D. Joseph Ligero. En Valencia...........D. Francisco Pcyroíón y compañía. EnValladolid....... D. Francisco Durango é hijo mayor. En Zamora............D. Vicente Perez de Tejada. En Zaragoza........ D. Tomas de la Madrid. EnZeuta..............D. Pedro Huguet , comisionado subalterno del de Cádi</t>
  </si>
  <si>
    <t>. . D. Joseph Ligero. ' En Valencia....;..... D. Francisco Pcyrolon y compañía. EnVallhdolid....... D. Francisco Durango é hijo mayor. ; En Zamora...........D. Vicente Perez de Tejada. En Zaragoza........ D. Tomas de la Madrid. En Zeuta... ......... D. Pedro Huguet , comisionadosubalterno del de Cád</t>
  </si>
  <si>
    <t>Madínaveitia, su Agente en corte, que vive en la baxi'da de Sta. Cruz, casa núm. 2: en Valiadolid k D. Francisco Durango é hijo: en Bílrgos á D. Luis Tomé: en Logroño á D. Marcial Antonio Martínez; y por íó que mira á las provincias exentas en Vitoria á.D. Juan Ramón González de Echavarri, Tesorero</t>
  </si>
  <si>
    <t>...D. Joseph Ligero. En Valencia. .......... D. Francisco Peyrolon y compañía. En Valladolid....... D. Francisco Durango é hijo mayor. En Zamora............ D. Vicente Perez de Tejada. En Zaragoza......... D. Tomas de la Madrid. En Zeuta............... D. Pedro Huguet, comisionado subalterno . del d</t>
  </si>
  <si>
    <t>. . D. Joseph Ligero. En Valencia........... D. Francisco Peyrolon y compañía. En Valladolid....... D. Francisco Durango é hijo mayor. En Zamora............. D. Vicente Perez de Tejada. En Zaragoza......... D. Tomas de la Madrid. * EnZeuta.......... . D. Pedro Huguet, comisionadosubalterno del de Cá</t>
  </si>
  <si>
    <t>.... D. Joseph Ligero. En Valencia............D. Francisco Peyrolbn y compañía. En VaUadolid....... D. Francisco Durango é hijo mayor. En Zamora............D. Vicente Perez de Tejada. En Zaragoza........ D. Tomas de la Madrid. En Z¿uta................D. Pedro Hugtíet, comisionado subalterno del dé C</t>
  </si>
  <si>
    <t>Dutrel, Capitán</t>
  </si>
  <si>
    <t>Capitán Dutrel</t>
  </si>
  <si>
    <t>corsarios franceses en la bahía de Bengala: los nombrados Confianza, Capítan Surcouff, y Malartic, Capitán Dutrel, han cogido 14 ricamente cargadas. El Capitán Peard y los demas oficiales de la fragata de guerra denominada el Suceso, apresada por la esquadra del Almirante Gantheaume, escriben</t>
  </si>
  <si>
    <t>E I Barón de Krudner</t>
  </si>
  <si>
    <t>e necesitaban tres ó quatro semanas para hacer aquel viage. Berlín 14 de Julio. E I Barón de Krudner, Ministro de Rusia, ha entregado á S. M. Prusiana una carta del Emperador su amo. En todo este mes se espera aquí al Rey de Suecia. El General Macdonald, que va á Copenhague en calidad de E</t>
  </si>
  <si>
    <t>E J Príncipe Fernando Francisco</t>
  </si>
  <si>
    <t>rto, pues visitan todas las embarcaciones que vienen á él. Ñapóles j&gt; de Julio. E J Príncipe Fernando Francisco, hijo del Príncipe de Nápoíes, qne na-» ció el 26 de Agosto de 1800, acaba de fallecer en esta capital. El cadáver</t>
  </si>
  <si>
    <t>Ebbelloft, Coronel</t>
  </si>
  <si>
    <t>Coronel Ebbelloft</t>
  </si>
  <si>
    <t>í las providencias mas vigorosas para resguardar este puerto contra todo ataque. Se ha conferido al Coronel Ebbelloft el mando de los castillos de la costa, y tiene orden de tirar con bala roxa á la esquadra inglesa así que se presente.__ La rusa de Reve!, se juntará con la: sueca de Carlscrona par</t>
  </si>
  <si>
    <t>Echeverría, Xavier</t>
  </si>
  <si>
    <t>Xavier Echeverría</t>
  </si>
  <si>
    <t>, D. Felipe Gradan, D. Mateo Zapater, D. Narciso LaJana, D. Anselmo Rueda, D. Juan Antonio Lacosta, D. Xavier Echeverría, D. Marcos Antonio Ames, D. Jacinto Aznar y J&gt;. Pascual Grasa. Concluida la distribución, el Exc. Sr. Capitán general hizo á ios premiados un eloqiiente razonamiento, dirigido á e</t>
  </si>
  <si>
    <t>Ecrriol, Joseph</t>
  </si>
  <si>
    <t>Joseph Ecrriol</t>
  </si>
  <si>
    <t>número, que este dexa, al supernumerario D. Joachín Mexía, y para Cadete supernumerario al Guardia Don Joseph Ecrriol. ; ’J 'v~ V.' " ./ ' ' V En el regimiento de Reales Guardias Españolas se ha servido promover el Rey á&gt; primer Teniente al segundo de granaderos D. Joachín Arredondo: á segundo Ay</t>
  </si>
  <si>
    <t>Edmundo O-Ronan</t>
  </si>
  <si>
    <t>dez Teran: en el de Ultonia á Capitán al Ayudante D. Ricardo Macarty; á Ayudante al primer Teniente D. Edmundo O-Ronan; á' primer Teniente al segundo de granaderos D, Armando Tranquen ; á según</t>
  </si>
  <si>
    <t>Eedericó de Hesse, Príncipe</t>
  </si>
  <si>
    <t>Príncipe Eedericó de Hesse</t>
  </si>
  <si>
    <t>ciudad mas que 5 0.0 hombres de infantería y i@o dragones baxo 'las órdenes del General Blucher. El Príncipe Eedericó de Hesse, con un cuerpo de ¿tropas dinamarquesas, hjzo la intimacion á Ratzburgó ; pero el comandante de la guarnición hannoveriana respondió que no solo no entregaría la-plaza,, sino que</t>
  </si>
  <si>
    <t>Eelips de Gaevar</t>
  </si>
  <si>
    <t>#som., si$o también á oualquíera sugeto de inteligencia y gusto: qualidad^si l%^e;óOiiCdrriérqn. en D. Eelips de Gaevar ? , las quales y el trato con sanios exfirgnge^os, y )as.especulaciones que le proporcio;&gt;áron sus viagi s por Europa , le conspináron en el conocimiento do todo género ae antigüe</t>
  </si>
  <si>
    <t>Eernándfez de Ddeda, Joseph</t>
  </si>
  <si>
    <t>Joseph Eernándfez de Ddeda</t>
  </si>
  <si>
    <t>ñte* el $!% Alcalde de 1 córte X); Domingo Antonio deMiranda , y por ia escíibaiiía de provincia-de Don Joseph Eernándfez dé Ddeda.; , EUiTa gazeta núm. 100 de iz de Diciembre último se diÓ noticia de la plaza- vacaote de maestro de primeras letras de la ciudad de Truxillo , dotada' en 500 ducados anuales,, s</t>
  </si>
  <si>
    <t>Eguia, Félix</t>
  </si>
  <si>
    <t>Félix Eguia</t>
  </si>
  <si>
    <t>enida del Espíritu Santo y su octava, según el breviario y misal romano: por O. Félix Eguia, presbítero, teólogo y,examinador del tribunal de la Nunciatura , y predicador en este arzobispado: tin tomo en 8.° Se hallará en la librería de Baylo, calle de las Carretas. Nuevo Prontuario</t>
  </si>
  <si>
    <t>Eguia, Joseph</t>
  </si>
  <si>
    <t>Joseph Eguia</t>
  </si>
  <si>
    <t>elobato.... .89. 9. Joseph Eguia...... Vicente.. .... Madaíena Guia.,.. Erse............... Soria.......... go. 16. Genaro Navarro... Manuel... .... Antoniá Moreno.. Madrid....</t>
  </si>
  <si>
    <t>Eguilar, Martín</t>
  </si>
  <si>
    <t>Martín Eguilar</t>
  </si>
  <si>
    <t>de inxerir á-entera satisfacción de los examinadores; y en la clase desmedíanos D. SeVerino- JJrra, D. Martin Eguilar y D. Benito Sanchez.._En los dias 8 y 9 del propio mes se celebráron los exámenes públicos y genérales de la cátedra de economía civil y de comercio, que con tanta concurrencia y apro</t>
  </si>
  <si>
    <t>Ehrensward</t>
  </si>
  <si>
    <t>regarle ^ re-; galo de ^despedida, que se acostumbra hacer a los Ministros cxtrangeró*^ Respondióle Mr. Ehrensward que en atención á que no teni? &lt;jue'comuni-j car á su Soberano sino pérdidas causadas por violaciones de fes' ippíeses,fho quería se pudiese decir que él solo había sacado alguna</t>
  </si>
  <si>
    <t>EIdon, Lord</t>
  </si>
  <si>
    <t>Lord EIdon</t>
  </si>
  <si>
    <t>an influxo en las provincias, se transfieran á sus haciendas para contribuir al sosiego publico. El Lord EIdon prestó el día 14 en la Cámara de los Pares su juramento como Lord Canciller.__ En la de los Comunes se comunicó el 13 en junta secreta un informe sobre los documentos relativos al</t>
  </si>
  <si>
    <t>EIford</t>
  </si>
  <si>
    <t>último heredero varón de esta familia. En la sesión de la Cámara de los Comunes del dia 16 presentó Mr. EIford una petición de Mr. Koops, inventor del papel hecho con paja, ea que solicita que el privilegio que se le ha dado para usar de este descubrimiento se extienda á otras varias perso</t>
  </si>
  <si>
    <t>Eigin, Lord</t>
  </si>
  <si>
    <t>Lord Eigin</t>
  </si>
  <si>
    <t>res de hoy incluye el siguiente extracto de las noticias: recibidas de Turquía. : 99 Por:cartas del Lord Eigin fechas en Constantinopla á 31 de Marzo» parece que había recibido pliegos del Lord Keith con el aviso de que las tropas del mando de Mr. Abercrombie hiciéron el 8 de Marzo un .des</t>
  </si>
  <si>
    <t>DEL MARTES 7 DE JULIO DE 180Í. s Constan{inopia j de Mayo. egun las últimas cartas de Egipto que el Lord Eigin recibió antes de ayer» y cuya fecha no pasa del 22 de Abril» parece que el General Hutchinson, después de obligar á los enemigos á retirarse á sus lineas de Alejandría, aguarda re</t>
  </si>
  <si>
    <t>El Barón de Hochstetten</t>
  </si>
  <si>
    <t>rgo el 12 del corriente, y salieron de allí al dia siguiente para Copenhague. * El Barón de Hochstetten, Ministro de Prusia en esta ciudad, ha notificado al Círculo del Alto-Rhin que el dia 26 llegará cerca de Wetzlar ufl cuerpo de tropas rusas, que de Francia se restituye á su patria pasando</t>
  </si>
  <si>
    <t>El Barón de Nolleken</t>
  </si>
  <si>
    <t>den la salida de paquebotes para Jas An- : tillas y la América Septentrional. • El Barón de Nolleken, Ministro interino de S. M. Sueca, ha notificado á este gobierno la accesión del Rey su amo al tratado de Petersburgo entre Rusia é Inglaterra. • Turin ji de Julio, E f Cardenal Gonsalvi ha</t>
  </si>
  <si>
    <t>El Barón de Oxénstierna</t>
  </si>
  <si>
    <t>arcos que estaban en la rada de Pillau han dado todos sin excepción á la costa. El Barón de Oxénstierna, Ministro de Suecia, ha salido hoy de esta ciudad para Stockolmo llamado por su Soberano. La semana pasada atravesáron el Sund 92 embarcaciones de varías potencias. Semlin de Noviembre. A c</t>
  </si>
  <si>
    <t>El Cardenal Consaivi</t>
  </si>
  <si>
    <t>rca de la santa Sede. El 29 llegó igualmente Mr. Maníredini, General austríaco. El Cardenal Consaivi, Secretario de Estado, dió el domingo último una espléndida comida al ciuJ. Cacault, Ministro de Francia, á hy qual asistieron varios Cardenales y Prelados, el caballero Vargas, Ministro de E</t>
  </si>
  <si>
    <t>El Conde de Alvensleben</t>
  </si>
  <si>
    <t>uda sobre la continuación de las relaciones de amistad entre los dos Soberanos. El Conde de Alvensleben , Ministro íntimo de gabinete , ha ofrecido dos premios, uno de 20 y ©tro de 10 federicos de oro , á las dos memorias que mejor resuelvan la siguiente qüestion: ,,Qual seria el modo mas yent</t>
  </si>
  <si>
    <t>El Conde de Bernstorfí</t>
  </si>
  <si>
    <t>epido destacamento de artillera para Egipto¡ lo va mandando el Capitau Ayde. ;% El Conde de Bernstorfí, Secretario de Estado de S. M. Dinamarquesa* y su Enviado extraordinario en estacorter ha llegado hoy aquí, aeompa* fiándole,su hermano».¡, -.v: hh j £. M. ha nombrado al Lord Saint-Helens pa</t>
  </si>
  <si>
    <t>El Condé de Erchliok</t>
  </si>
  <si>
    <t>tre los dos gabinetes se tratará de impedir que entren en el resto de Alemania. El Condé de Erchliok, Ministro del Emperador en el Círculo de Franconía, se halla en camino para Arensberg, en donde asistirá en calidad de Ministro imperial á la elección del nuevo Arzobispo de Colonia. Mr. de</t>
  </si>
  <si>
    <t>El Duque de Portland</t>
  </si>
  <si>
    <t>borough. El Conde deChatham; hermano mayor de Mr. Pict, Presidente del-Consejo. El Duque de Portland, Secretario de Estado dé lo InteríorJ Eli Lord Hatvkesbury, Secretario de Estado y de Negociosextrangeros, como subesordelLord Grenvilje. El Al ñútante Conde de S* Vicente! primer ■ Lord def</t>
  </si>
  <si>
    <t>El General Beurnonvilie</t>
  </si>
  <si>
    <t>sburgo á Glukstadt, ciudad del Ducado de Hoístein, situada á 12 leguas de aquí. El General Beurnonvilie, Ministro de Francia en Berlín, na remitido á Petersburgo los pasaportes del gobierno de Francia para el Conde de Kalitschew y su comitiva, habiendo sido el Baton de Krudner, Enviado ruso e</t>
  </si>
  <si>
    <t>El General Jonrdan</t>
  </si>
  <si>
    <t>ca. 4:' y ^ ;— 'r r \A T- -a- s.r.:¿.L Sq1 ' ■ * : Tz/rítt 2 de Eneros - \ rr; .El General Jonrdan, Ministro extraordinario de la República francesa, ha comunicado en carta del 2 5 á; da Junta executiva del‘gobierno interior de Piamonte haberle escrito el Ministró de Relaciones exteriore</t>
  </si>
  <si>
    <t>El Lord Carisford</t>
  </si>
  <si>
    <t>kolmo han enviado ya á Petersburgo la ratificación del convenio de neutralidad. El Lord Carisford, Ministro ingles, ha hecho representaciones en nombre de su Soberano Sobre lai accesión de esta corte á dicho convenio; y en una nota que acaba de presentas asegura que d Rey de la Gran Bre</t>
  </si>
  <si>
    <t>acordado que se dexe éste punto al arbitrio y resolución de S. M. el Emperador. El Lord Carisford, Ministro dé Inglaterra en Berlín, hk{comunicado k aquel gabinete una nota remitida por el Lord Grefcville al Ministro ruso^ la qual contiene fuertes quejas sobre el embargo de las embarcac</t>
  </si>
  <si>
    <t>ciudad sobre la seguridad de, su independencia y el goce de todos sus fueros. . El Lord Carisford, Ministro de Inglaterra en Berlín, ha declarado de oficio á aquel gabinete que los ingleses respetarán la bandera de Prusia y los géneros y efectos prusianos cargados en embarcaciones neutr</t>
  </si>
  <si>
    <t>El Lord Minto</t>
  </si>
  <si>
    <t>orral , Ministro plenipotenciario de S. M. Católica cerca de la Puerta Otomana. El Lord Minto, Ministro de Inglaterra en esta corte, ha obtenido su retiró, y no tardará en restituirse á su patria. Mr. Straton, Secretario de embaxada, queda por Encargado de Negocios hasta la llegada</t>
  </si>
  <si>
    <t>baxador de Francia, para el qual ha cuidado esta corte de disponer alojamiento. El Lord Minto, Ministro de S. M. Británica cerca de S. M. I., está haciendo preparativos para su marcha á Inglaterra, y la emprenderá así que llegue su sucesor. Avisan de Inspruck que el General Marques</t>
  </si>
  <si>
    <t>El Marques de Gallo</t>
  </si>
  <si>
    <t>los bienes pertenecientes á dicha orden quedan libres de toda carga de guerra. El Marques de Gallo, Ministro del Rey de Ñapóles, llegó de París aquí el 30 de Mayo. El mismo día el Elector bávaro-palatino salió de Carisrue con su esposa para Munich¿ Londres 6" de Junio. A yer se publicó e</t>
  </si>
  <si>
    <t>El Marques de Luchesini</t>
  </si>
  <si>
    <t>de Ministro plenipotenciario del Emperador para las conferencias de Lúneville. El Marques de Luchesini, Ministro de Prusia, presentó luego á Bonaparte el Conde de Linange; y el Almirante español Mazarredo tuvo su audiencia de despedida. El Arzobispo Galeppi, nombrado Nuncio de Sf. S. en la c</t>
  </si>
  <si>
    <t>El Marques Ghislieri</t>
  </si>
  <si>
    <t>licas para pedir al Altísimo el fin^de los muchos males que afligen á Italia. . El Marques Ghislieri, Ministro del Emperador , celebró el dia 22 la paz de Francia con el Austria y con Nápoles, dando un espléndido banquete, á que asistieron todos los individuos del cuerpo diplomático, y los</t>
  </si>
  <si>
    <t>El Príncipe Adolfo Federico</t>
  </si>
  <si>
    <t>ue hasta ahora ao había tenido guarnición; y también han ocupado sus contornos. El Príncipe Adolfo Federico, hijo 7.0 del Rey de Inglaterra, Teniente General de las tropas d&amp; Hannóver, está nombrado comandante de la capital de aquel Electorado. f Según avisos de Gluckstadt «se há puesto embar</t>
  </si>
  <si>
    <t>El Príncipe Constantino</t>
  </si>
  <si>
    <t>también de la misma capital el 29 de Julio,Jynnp -tardará en llegar á París»—--.El Príncipe Constantino, Coronel dé uñ hermoso íegi* miento de coraceros, dispensó al xefe de brigada Duroc la honra especial de hacer maniobrar dicho cuerpo á presencia suya. El aprecio que aquel joven y valeros</t>
  </si>
  <si>
    <t>Eldoa, Lord</t>
  </si>
  <si>
    <t>Lord Eldoa</t>
  </si>
  <si>
    <t>de la Tesorería yChancilier del JEchijquier, d sea Ministro de dlacienda, en lugar de Mr. Pira. ®1 Lord Eldoa es Gran Canciller en lugar deí Lord Loughborough. El Conde deChatham; hermano mayor de Mr. Pict, Presidente del-Consejo. El Duque de Portland, Secretario de Estado dé lo InteríorJ E</t>
  </si>
  <si>
    <t>Elector de Tréveris, Arzobispo</t>
  </si>
  <si>
    <t>Arzobispo Elector de Tréveris</t>
  </si>
  <si>
    <t>igirse fortalezas para defensa de aquella parte de la frontera. . _ ; ElSr. iPidol, Vicario general Arzobispo Elector de Tréveris, ha recibido orden de S. A. Electoral para que se transfiera á Tréveris, y haga la »romesa de fidelidad á lacbostituqioa: adc.mas'le van tara ejeutredicho de Í as iglesias, que se</t>
  </si>
  <si>
    <t>Elector, Arzobispo</t>
  </si>
  <si>
    <t>Arzobispo Elector</t>
  </si>
  <si>
    <t>Canónigos de Colonia se han reunido en Arensperg, y que el dia 20 de este mes harán la elección del Arzobispo Elector, recayendo en la persona del mencionado Archiduque. Londres de Setiembre. E sta mañana recibió el gobierno nuevos pliegos de Egipto. Parece que no son de fecha posterior á los que</t>
  </si>
  <si>
    <t>Elector, Príncipe</t>
  </si>
  <si>
    <t>Príncipe Elector</t>
  </si>
  <si>
    <t>dor de Rusia se interpone eficazmente á favor de los intereses, de dicho Príncipe Elector.' Berlín 7 de Abril. U n cuerpo de 15-® hombres se reunirá á mediados de este mes en las inmediaciones de esta capital. Hasta ahorá se ignora su .destino. El Ministro de Estado Co</t>
  </si>
  <si>
    <t>Elena Pawlowna, Duquesa</t>
  </si>
  <si>
    <t>Duquesa Elena Pawlowna</t>
  </si>
  <si>
    <t>resisten á adoptar la disciplina de los exérciros de Europa. Petersburgo 20 de Setiembre, L a Gran Duquesa Elena Pawlowna, hermana segunda del Emperador, ba salido de aquí para Alemania con su esposo el Príncipe heredero de Mecklenbur go-Sch werin.</t>
  </si>
  <si>
    <t>Elgin, Conde</t>
  </si>
  <si>
    <t>Conde Elgin</t>
  </si>
  <si>
    <t>uther al Coronel Brownrigg. Estos documentos son del tenor siguiente: „ Carta de Mr. Abercrombie al Conde Elgin i delante de Alexandría J&lt;Tde Marzo. La esquadra llegó el i.° de este mes á vista de Alexandría, y el 2 ancló en la bahía de Abukir. El mal tiempo impidió se hiciese el desembarco</t>
  </si>
  <si>
    <t>Conde Elgin, recibida el 19 de Junio en la Secretaría del Lord Hawkesbu.ry, . • t nConstantinomia 2gde Maya. Un oficial despachado por el Capitán Ba%í acaba de llegar con la noticia de que el</t>
  </si>
  <si>
    <t>a corte pliegos recibidos por duplicados del Teniente General Hutchinson, inclusos en una carta del Conde Elgin, fecha en Constantinopla á 18 de Julio, y dirigida al Lord LJaukesburi, de la qual se ha dado á luz el siguiente extracto: „Tengo la satisfacción de comunicaros que las cartas adj</t>
  </si>
  <si>
    <t>Elgin, Lord</t>
  </si>
  <si>
    <t>Lord Elgin</t>
  </si>
  <si>
    <t>dad que nunca; celebra freqiientes consejos de estado, y á muchos de ellos asiste el Gran Señor. El Lord Elgin, Embaxador británico, conferenció el dia i| con el Reis-Eflfendi; y Mr. de Támara , Embaxadprde Rusia, tuvo dot dias después oirá'conferencia con el mismo Ministro turco¿ * ^ &gt; ■</t>
  </si>
  <si>
    <t>6$ ingleses de los que manda el General Abercornbrie ki llegado á Rhódas, y el Embaxador británico Lord Elgin acaba de enviar allí uno de sus secretarios. El Embaxador argelino está aquí como preso hasta que vuelva su secretario, que salió para Argel quando la sublime Puerta manda arresta</t>
  </si>
  <si>
    <t>las aguas de Rhódas, los quales han quedado desarbolados. El gobierno ingles ha puesto á cargo del Lord Elgin el despacho de las dependencias mercantiles de que Mr. Spenccr Smifh estuvo hasta ahora encargado. Peter¿burgo j.° de Febrero de 180 r. E 1 Príncipe Belmente Pignateli ha tenido su</t>
  </si>
  <si>
    <t>. Mr. Carlisle, catedrático de lengua árabe en la universidad de Oamibridge , pasó á Turquía Con ci Lord Elgin , Embajador británico cerca del 'Gran Señor. Se sabe que ha salido ^de Constantinopla paca -Siria y Egip.to ^ habiéndole enviado el General francés pasaportes para sú vi gé , y of</t>
  </si>
  <si>
    <t>es. Dicho Almirante comunicó su llegada á la Sublime Puerta, al Capitán Baxá, y también sin duda ai Lord Elgin, Ministro británico; pero este niega haber recibido sus cartas, para librarse así ■de dar informes al gobierno turco. Despachó igualmente el Lord Keith 4 navios de línea y otras t</t>
  </si>
  <si>
    <t>viruelas: ahora pagan este beneficio introduciendo aquí lá nueva inoculación de la vaccina, pues el Lord Elgin pidió á Viena este nuevo preservativo al Dr.Caro: lo recibió, y ha inoculado á sus hijos y otros niños. En vista del buen éxito de éste ;e¡n$ayo, no se duda de que se propague est</t>
  </si>
  <si>
    <t>ina. Se ha publicado la siguiente carta escrita en Smirna á 15 de Febrero : „Mr. Bruce, hermano del Lord Elgin, yendo de Constantinopia á Bagdad fijé detenido y preso en Malatia , á 12 leguas de Madaun por un rebelde llamado Cuchute-Ally. La causa de su prisión sé cuenta de este modo. El G</t>
  </si>
  <si>
    <t>tanta confianza. Contiene dicha gazeta extraordinaria una carta del Teniente General Abercrombie al Lord Elgin, Embaxador’en Constañtinoph: pliegos del mismo Lord para el Duque de Yótck y para el Ministro de Estado; y otra carta del Coronel Anstruther al Coronel Brownrigg. Estos documentos</t>
  </si>
  <si>
    <t>llos. El dia 9 llegó un extraordinario de Londres, que va áConstantinopia con instrucciones para el Lord Elgin y el Almirante Keith, á quien se previene que la Inglaterra no trata ya á los rusos'como á euemigos, y que respeta su bandera. El dia 27 saldrá de aquí el Emperador con la Emperatriz</t>
  </si>
  <si>
    <t>ue la esquadra del Almirante Warren se ha dirigido hacia Liorna. Ha recibido el gobierno cartas del Lord Elgin, Embaxador británico en Constantinopla , en que avisa haber llegado ai mar Roxo un cuerpo mandado por el General Bayrd, y compuesto de 1200 hombres despachados del Cabo de Buena-E</t>
  </si>
  <si>
    <t>de mérito y un excelente oficial.” En la misma gazeta extraordinaria se ha publicado otra carta del Lord Elgin al Ministro Hawkesbury, fecha en Constantinopla á 9 de Mayo, cuyo extracto es como sigue. „ Habiendo vuelto de Egipto Mr. Morriez, puedo comunicaros noticias mas circunstanciadas</t>
  </si>
  <si>
    <t>ombrado el Rey á Mr. Drusnmond, Enviado que ha sido de esta corte en Copenhague* para reemplazar al Lord Elgin en la embaxada de Constantinopla. El General Moore se retira del exército de Egipto á causa de sus heridas. • . . Algunas cartas de oficiales de nuestro exdrcito de Abukir expresan</t>
  </si>
  <si>
    <t>Hutchinson no haya despachado directamente avisos de esta victoria al gobierno, y que la carta del Lord Elgin nó contenga mas circunstancias sobre aquel suceso» Otras gazetas añaden que se han recibido cartas del Almirante Blankett escritts en Suez: y así no queda duda de su llegada á aqu</t>
  </si>
  <si>
    <t>Elgín, Lord</t>
  </si>
  <si>
    <t>Lord Elgín</t>
  </si>
  <si>
    <t>. D mouth. ícese que SS. MM. y la familia Real permanecerán 4 meses en WeyAdemas del Secretario del Lord Elgín, víno en el,último paquebot de Hamburgo un oficial despachado por el Almirante Blarfke tí con la noticia de haber llegado de Bombay á Suez un cuerpo de ingleses y cipayos. Añade á</t>
  </si>
  <si>
    <t>eral; me avisa que ha cogido una partida de 5^0 camellos-y, 600 .franceses. Quedo &amp;c.” La carta del Lord Elgin, en qne remite esta relación, es de ?. 1 de Junio, y se reduce á atribuir a l,s disposiciones y esfuerzos de ios oficiales ingleses que qued.&lt;n hombrados&gt; y mas particularmente ai</t>
  </si>
  <si>
    <t>GAZETA DE MADRID DEL MARTES 22 DE SETIEMBRE DE 1801. v ConstantinopJa 24 de Julio. E1 Lord Elgin, Ministro de Inglaterra , ha tenido uña audiencia extraordidel Gran Señor , en_ la qual le regaló S. A: Una preciosa piocha guarnaria necida de brillantes, un caballo ricamente en</t>
  </si>
  <si>
    <t>Zante hecho propuestas muy ventajosas á los ingleses, desechiron estos sus ofertas, y que ademas el Lord Elgin envió un comisionado á aquella isla para que recogiese la bandera biit. nica que tremoló algunos meses en su castillo; y aunque los magistrados se oponían á ello, tuvieron al fin qu</t>
  </si>
  <si>
    <t>table sus fuerzas navales, se propone comprar á la Inglaterra 20 buques entre navios y fragatas. El Lord Elgin, Embaxador de S. M. Británica, se está disponiendo £ salir de aquí para volver á su patria; pero antes hará un viage á Egipto. Mr. Straton, que ha de reemplazarle en calidad de Mi</t>
  </si>
  <si>
    <t>Elginr Ministro, Lord</t>
  </si>
  <si>
    <t>Lord Elginr Ministro</t>
  </si>
  <si>
    <t>Sidney-Smith el mando de esta vanguardia. Hay gran desunión entre el referido Almirante Keith y el Lord Elginr Ministro británico cerca del Gran Señor. Envió este á Mr. Morrier, su secretarioal cámpotdel Gran V^ para proponer una nueva capitulación á los franceses; y al volver desu comisión fué pre</t>
  </si>
  <si>
    <t>Elias Aylíon</t>
  </si>
  <si>
    <t>, Díaz ¥eü%y 1&gt;. Juan Rodríguez Almeyda; á~ Subtenientes. de granaderos á los primeros Subtenientes D. Elias Aylíon* D. Manuel Meneses y D. ÁntóUió Mémbrilla; á primeros Subtenientes á los segundos Di Pedro’Pen, D. Manuel dé ¿es y D. Vicebté Casado, y á' segundo Subteniente alCadéte D. Jóséph"</t>
  </si>
  <si>
    <t>Elias Bayala</t>
  </si>
  <si>
    <t>cenes de tabacos deBuenos-Ayres al Alférez graduado-de dragones Don Elias Bayala. Habiendo quedado vacante por fallecimiento-de D. Joseph de San Martin la plaza de Oficial nono de,;la Secretaría del Consejp; y Cámara de Indias de la negociación de Nuoya-España</t>
  </si>
  <si>
    <t>Elias del Arco</t>
  </si>
  <si>
    <t>atro billetes de los expendidos en esta corte; y de ellos se han presentado los números 729,357 por D. Elias del Arco, y el 729,319 por D. Gregorio Pelaez de Castro. Faltan todavía los números 899,082 y 903,008, y se avisa igualmente para que concurran los dueños de ellos á la Caxa. La Junta enca</t>
  </si>
  <si>
    <t>Elias Gavilanes</t>
  </si>
  <si>
    <t>. á Alférez al Portaestandarte D. Francisco Sobrevida: en el de España á primer Teniente al segundo D. Elias Gavilanes, y á segundo Teniente al Alférez D. Alexo Paredes: en el de Calatrava á Alférez al Portaestandarte D. Joachín del Campo; y ea el de Santiago á segundo Teniente al Alférez D. Barto</t>
  </si>
  <si>
    <t>Eligió, Manuel</t>
  </si>
  <si>
    <t>Manuel Eligió</t>
  </si>
  <si>
    <t>ar y D. Joseph de Zaldivar. En el de infantería de Asturias á Capitán de granaderos al de fusileros D. Manuel Eligió; á Capitán al Ayudante D. Ramón Ducer; á esta resulta al primer Teniente D. Joseph María Peyralon; á primer Teniente al segundo de granaderos D. Juan Antonio Abal ; á segundo Teni</t>
  </si>
  <si>
    <t>Eliot</t>
  </si>
  <si>
    <t>a asistieron todos los Ministros de gabinete, los Generales y los individuos del cuerpo dqVnmático. Mr Eliot, Ministro de Inglaterra, llevó consigo varios oficialas ingleses, á quienes el Embaxador francés obsequió mucho. Francfort 2/ de Noviembre. H an rpresado últimamente los ingleses</t>
  </si>
  <si>
    <t>Elvira, Felipe</t>
  </si>
  <si>
    <t>Felipe Elvira</t>
  </si>
  <si>
    <t>... .'.... 13*. 10. Felipe Elvira....... Manuel.... Josepha Mateo..... S. Sebastian.. Madrid........... 131. 10. Antonio González. Domingo., JosephaMartínez. Cotes........ .</t>
  </si>
  <si>
    <t>Elzaurdí, Manuel Antonio</t>
  </si>
  <si>
    <t>Manuel Antonio Elzaurdí</t>
  </si>
  <si>
    <t>-Real.. D. Ramón Antonio Pico. En Córdoba...........Sres. Barcia padre é hijo. En la Cortina....... D. Manuel Antonio Elzaurdí. En Cuenca............. D. Manuel Escolar y Noriega. En Granada.........D. Francisco de Unzaga. [En QuadaUtxara. D. Isidoro García Plaza. 'Éñjaen.............. D. Pedro Esponera.</t>
  </si>
  <si>
    <t>d-Real,* D. Ramón Antonio Pico. En Córdoba.......... Sres. Barcia padre é hijo. En la Coruña....... D. Manuel Antonio Elzaurdí. En Cuenca......... D. Manuel Escolar y Noriega. Engranada........ D. Francisco de XJnzaga. En Guadalaxara. D. Isidoro García Plaza. En Jaén................D. Pedro Esponera. En L</t>
  </si>
  <si>
    <t>Embajador británico</t>
  </si>
  <si>
    <t>ía dé aquella» pUr ¿a para Níácedonia. » &gt; - Viena /p de Jplio. Í 1 Lord Minto, Embajador británico, expidió el dia -15-jan. correo á Con** t.T.ntitippja con pliegps de Lóndres para eU Lord. Elgin. En breve llegará aquí el Xord Pagct, sucesor del Xprd Minto.</t>
  </si>
  <si>
    <t>e puerto un parlamentario ingles con pliegos. Viene en el tmibi.n C Lord Paget, Embajador británico, destinado para la cortq de V&amp;ena. Fuá admitido en: vista de ios pasaportes que le envió</t>
  </si>
  <si>
    <t>Embajador británico cerca</t>
  </si>
  <si>
    <t>ngua árabe en la universidad de Oamibridge , pasó á Turquía Con ci Lord Elgin , Embajador británico cerca del 'Gran Señor. Se sabe que ha salido ^de Constantinopla paca -Siria y Egip.to ^ habiéndole enviado el General francés pasaportes para sú vi gé , y ofreciéndole a</t>
  </si>
  <si>
    <t>Embajador británico se mostró que joso</t>
  </si>
  <si>
    <t>el arreglo de los asuntos particulares pendientes entre Suecia é Inglaterra. Ei Embajador británico se mostró que joso de,;c§taespacie d&amp; protesta, y de que la accesión no iba con la 'Formalidad"'de" entiló j pero al fin, como no llegó otra, tuvo que admitirla, á__No causó aquel c</t>
  </si>
  <si>
    <t>Embajador Daque</t>
  </si>
  <si>
    <t>nes £ la Reyña Fidelísima 9jy mandé i mi Embajador Daque.de Frías, que recoarriendo todas las épocas de testa dilatada negociación , la hiciese veí lo irrespetuoso é injusto de in conducta, el abismo que la amenazaba</t>
  </si>
  <si>
    <t>Embajador de</t>
  </si>
  <si>
    <t>che, que acompañan á S. M., y ha conferido la orden de S. Andrés á Mr. Steding, Embajador de„Suecia c.n aquella, corte,,General Toll. A las demas personas principales de la comitiva ha dado también S. M. Imperial señales de su munificencia. El Rey se p</t>
  </si>
  <si>
    <t>Embajador de España</t>
  </si>
  <si>
    <t>encia de Embaxadores que hubo el mismo di a, el Sr. D. Joseph Nicolás de Azara, Embajador de España, presente) al primer Cónsul el Príncipe de Nassau-Siegen, General de los exércitos de S. M. Cat. Igualmente, el Ministro de Relaciones exteriores le presentó á</t>
  </si>
  <si>
    <t>Embajador ruso f</t>
  </si>
  <si>
    <t>icha Princesa es la Gran Duquesa de «Rusia Elena Pawlowna. Los Barones Krudner, Embajador ruso f y¿Lutzow, Ministro de Mecklemburgo, salieron á recibir á S. A. I.; y el Conde idé Vosi, Chambelán de^.M., fué también i su encuentro á íegej para cumplimentar en</t>
  </si>
  <si>
    <t>Embaxador á la corte de Pe</t>
  </si>
  <si>
    <t>mente, dicen las propias cartas que ei Emperador ha suspendido por ahora enviar Embaxador á la corte de Pe-» tersburgo. ‘ * ' 'Landres ío de Febrero, S e ha divulgado que este ministerio ha recibido noticias en orden á la expedicion dé Mr. Aoercrombie contra Egipto;</t>
  </si>
  <si>
    <t>Embaxador á París</t>
  </si>
  <si>
    <t>al Ministro Beurnonvilie que Paulo I despachaba á Mr. Kalitschew en calidad de Embaxador á París. Lleva de sueldo anual 100® rublos, y el Emperador le ha dado .50© para gastos del viage. ;■ , . Aseguran varias gazetas que Paulo I ha insinuado al Conde de P</t>
  </si>
  <si>
    <t>Embaxador austríaco</t>
  </si>
  <si>
    <t>embarcación en que había 74 personas de la servidumbre del Conde de Esterhazy, Embaxador austríaco, con todos sus equipages, y su vaxilla valuada en So® florines. La tripulación logro salvarse en las lanchas; pero de la familia del Embaxador se libró solamen</t>
  </si>
  <si>
    <t>Embaxador bátavo</t>
  </si>
  <si>
    <t>o déJa República en Suecia, el qual lia salido ya para Rusia con el carácter de Embaxador bátavo. jry * Roma 12 de Febrero. Príncipe heredero de Nápoles, á quien acompaña el General Acton en calidad de primer Ministro , ha despachado desde aquella ciudad u</t>
  </si>
  <si>
    <t>Embaxador británico</t>
  </si>
  <si>
    <t>es consejos de estado, y á muchos de ellos asiste el Gran Señor. El Lord Elgin, Embaxador británico, conferenció el dia i| con el Reis-Eflfendi; y Mr. de Támara , Embaxadprde Rusia, tuvo dot dias después oirá'conferencia con el mismo Ministro turco¿ * ^ &gt; ■ E</t>
  </si>
  <si>
    <t>n los ingleses en Turquía.” 'i Viena 11 de Febrero. Ideclaración il Lord Minto, Embaxador británico, ha entregado al Emperador una del Rey su amo, por la quaí le dexa libre de los empeños que habla contr .'ido en su último tratado con Inglaterra. El 27 4el me</t>
  </si>
  <si>
    <t>hallan en Italia se conservan en pie hasta nueva orden. Mr. Arturo Paget, nuevo Embaxador británico, llegó aquí el día 21* Dícese que la Dalmacia y la Istria se reunirán con la Hungría, á cuyo efecto se celebrará en Badén una Dieta general el 25 de Noviembre.</t>
  </si>
  <si>
    <t>Embaxador británico en Constantinopla</t>
  </si>
  <si>
    <t>ren se ha dirigido hacia Liorna. Ha recibido el gobierno cartas del Lord Elgin, Embaxador británico en Constantinopla , en que avisa haber llegado ai mar Roxo un cuerpo mandado por el General Bayrd, y compuesto de 1200 hombres despachados del Cabo de Buena-Esperanza, 2® de Bom</t>
  </si>
  <si>
    <t>r. ?..:■&gt; -,'i h--. Por Cuxhaven ha recibido el gobierno cartas del Tord Eíginy Embaxador británico en Constantinopla, con noticias del Almirante Keith, que alcanzan al 3 de Mayo. Parece que Mr; Blanket había'llegado al mar Roxo con un cuerpo de c i payos; pero no expfesá el L</t>
  </si>
  <si>
    <t>Embaxador británico en Gonstantinopla</t>
  </si>
  <si>
    <t>gazeta-extraordinaria de hoy ha publicado la corte una carta del Lord! Elgin , Embaxador británico en Gonstantinopla , al Secretario de Estado Hawkesbury, en que lé remite una relación de Mr. Carlos Holloway, y •tra carta del General Hutchinson.dirigida.al Lord Hobart.La del</t>
  </si>
  <si>
    <t>Embaxador de</t>
  </si>
  <si>
    <t>Rey de Diñamdrca, qtie'va á París -pasando por' Luoeville*y el Marques de Gallo.Embaxador de. Ná potes ^éq Vtefri él' -mismo' que firmo como met diador el tratado de, Caropc£Fbr»:iio y ios preliminares, de Ltoben- Este último Mi-mstroá'saL&amp;S. áüéés'deL</t>
  </si>
  <si>
    <t>to entre turcos y rusos, cuyas resultas tiene muy cuidadoso á este gobierno. El Embaxador de «Rusia consiguió un firman para visitar todas las mezquitas de Constantinopla: llegó á la llamada de Solimán, precisamente á la hora en que el pueblo estaba co</t>
  </si>
  <si>
    <t>e Tnlh- De allí pasaránMAL &gt;á rH«ls»iqgbarg Milmoj ; El ciud. Bóurgoing, nuévo ’Embaxador dé* Francia , llegó.'él fdiá 12^*4 esta capital, á la qual habían ya llegado con dos dias de anticipación &gt;su$ Secretarios Fcnelon y Caiiiard. . ¿ * f 1 Ha conced</t>
  </si>
  <si>
    <t>do en dichos .puertos.” Extracfo del Monitor del dLt 2 8: „ El ciúd. Champagny, Embaxador dé ’íá' República cérea dé Sv M. I. y R;, tuvo sus audiencias el iBde Octubre. Fúé récibida cón éxtraordmarió ceremonial. Llevado al palacio imperial attavésó las</t>
  </si>
  <si>
    <t>Embaxador de España</t>
  </si>
  <si>
    <t>de Liorna llegaron á París el 25 á la una de la noche, y se apearon en casa del Embaxador de España. El Ministro de Relaciones exteriores y el de Guerra están disponiendo fiestas magníficas para obsequiar á estos ilustres viageros. El dia ió llegó á Brest el</t>
  </si>
  <si>
    <t>El 11 de este mes fué el Sr. Conde de L ¡ornaron el Ministro de Ip Interior, el Embaxador de España, y, muchas persoñas de su comitiva, á visitarel conservatorio ^rcscuela de musica. Muy aficionado é inteligente en este arte, vio qo¡n gusto lasvarias clases d</t>
  </si>
  <si>
    <t>ERNES 7 DE AGOSTO DE 1801. f i Constaniinopla $ de Junio* E 1 caballero Corral, Embaxador de España, comunico antes de ayer de .oficio á este gobierno su llegada por medio de;su secretario de embaxada .y su dragomán: y según estilo envid a cumplimentar al Rei</t>
  </si>
  <si>
    <t>Embaxador de España recieñ llegado aquí</t>
  </si>
  <si>
    <t>ses. :^ París ay de\Marzo* • ... n*** E 1 caballero D. Joseph Nicolás de Azara, Embaxador dé España recieñ llegado aquí, fué presentado el dia 23 por el Ministro de Relaciones exteriores al primer Cónsul», á quien entregó sus credenciales. Su antecesor el Sr. D. Ignacio Múzquiz</t>
  </si>
  <si>
    <t>Embaxador de España y ál de Rusia</t>
  </si>
  <si>
    <t>de la República francesa, que permanece en ei&gt; arrabal dé Pera ¿ ha visitado al Embaxador de España y ál de Rusia. Ha llegado á esta capital con toda su familia el Hespodar Príncipe Ipsilanti. Su sucesor el Príncipe Suzzo sé halla ya en su nuevo destino. Todo indica que no</t>
  </si>
  <si>
    <t>Embaxador de esta corte en la de Berlín</t>
  </si>
  <si>
    <t>isgaw. Londres 14 de Noviembre. H a llegado aquí el Lord Carisford, que ha sido Embaxador de esta corte en la de Berlín. Las cartas de Alemania vuelven á hacer rnencion de la entrada de tropas prusianas en el obispado de Munster. De Calais á Douwres llegaron estos días dos pasag</t>
  </si>
  <si>
    <t>Embaxador de esta República cerca del Rey de Etr</t>
  </si>
  <si>
    <t>. JElaya 28 de Agosta. , r. E stá nombrado el cind. -StrifenVan-Liuschotee para Embaxador de esta República cerca del Rey de Etr^ria. No.tardará ¿¿ emprender su vltge^y pasará por París. ' ; / Ha prorogado el Cuerpo legislativa el decreto qué prohíbe la extracción de granos y legumbres d</t>
  </si>
  <si>
    <t>Embaxador de Francia</t>
  </si>
  <si>
    <t>68'9 Ñapóles 27 de Mayó. E I ciud. Alquier, Embaxador de Francia, ha sido presentado al Príncipe heredero. Prosiguen los ingleses cruzando á vista de este puerto. Habiendo ido S. M. Siciliana hace algunos días á divertirse e</t>
  </si>
  <si>
    <t>güedad. ' Roma 7 de Julio. f Lspérase en breve de vuelta aquí al ciud. Cacault, Embaxador de Francia. Entre tanto su secretario de embancada conferencia fr&lt; qüentemente con el Emo. Doria, que sirve 1a secretaría de Estado hasta que vuelva de París el Cardenal</t>
  </si>
  <si>
    <t>y en Petersburgo el 11 de Junio. Copenhague i.° de Agosto. E 1 ciud. Micdonald, Embaxador de Francia, y el ciad. Bourgoing, su antecesor, tuvieron el 29 del mes último su audiencia del Rey. Ambos pronunciaron los discursos de estiló , y el primero presentó sus</t>
  </si>
  <si>
    <t>ahora perdían mucho, ganan ya mas de uno por 100. No tardará en llegar aquí el Embaxador de Francia, para el qual ha cuidado esta corte de disponer alojamiento. El Lord Minto, Ministro de S. M. Británica cerca de S. M. I., está haciendo preparativos para su m</t>
  </si>
  <si>
    <t>ratificación del ultimo conclusum de la Dieta al Consejero de Estado Ghampagni, Embaxador de Francia , quien inmediatamente lo envió á su gobierno por un correo ex* traordinario. Permanece todavía aquí el Príncipe Gagarin, Ministro de Rusia destinado á la cort</t>
  </si>
  <si>
    <t>Embaxador de Francia cerca del Sultán</t>
  </si>
  <si>
    <t>dixo que el ciud. Caulincourt, xefe de brigada de carabineros, estaba nombrado Embaxador de Francia cerca del Sultán, ahora se asegura que va á Petersburgo con la ratificación del gobierno francés al tratado de paz con Rusia. El primer Cónsul ha conferido como recompensa naci</t>
  </si>
  <si>
    <t>Embaxador de Francia en esta corte</t>
  </si>
  <si>
    <t>ará por Stockolmo y Copenhague; Creen algunos qu-? el General Macdonald, actual Embaxador de Francia en esta corte, YiiiJrá á residir en Dinamarca con igual carácter. Copenhague 11 de Agostó. . ... Sobre las costas.de Suecia se ha descubierto hace nnp$,dÍ4? un nfvíó de líne</t>
  </si>
  <si>
    <t>Embaxador de Francia en la corte de Viena</t>
  </si>
  <si>
    <t>8ó3 Parts 27 de Julio. E 1 ciud. Champagny, Consejero de Estado, está nombrado Embaxador de Francia en la corte de Viena. Lleva por primer secretario de embajada al Xefe de brigada Lacuée, por segundo al eiud. Dodun, y por tercero al ciud. Posnel. . También está nombrado el Gener</t>
  </si>
  <si>
    <t>Embaxador de Francia ha comunicado al Con</t>
  </si>
  <si>
    <t>onas de distinción que acuden á visitar dicho edificio. ¡ ( ... , El mencionado Embaxador de Francia ha comunicado al Con$ejerp Franck, médico muy celebrado y director de este hospital general, que e» breve llegarán d Viena 40 franceses para concluir baxo su dirección: el csr tudi</t>
  </si>
  <si>
    <t>Embaxador de Francia se presentó por primera vez al Emperador</t>
  </si>
  <si>
    <t>.al Emperador, y poco después siguieron su viage á Turquía. Quando el referido Embaxador de Francia se presentó por primera vez al Emperador, le recibió S. M. rodeado de las personas de corte y palacio, vestidas todas dé gala; y corno no se observó la misma ostentación quando Tué presentado Mr. Rasu</t>
  </si>
  <si>
    <t>Embaxador de i</t>
  </si>
  <si>
    <t>ya mas que 150 hombres. t El día 2 j * llego aquí el ,General Macdonald^ nuevo Embaxador de i*</t>
  </si>
  <si>
    <t>Embaxador de Inglaterra</t>
  </si>
  <si>
    <t>ndres con pliegos para el gobierno británico, y ha dexado cartas al Lord Minto, Embaxador de Inglaterra. De resultas se ha divulgado que los ingleses consiguiéron apoderarse de una partida de 200 camellos, que jban del Alto-Egipto con víveres para Alejandría. De</t>
  </si>
  <si>
    <t>Embaxador de la República cisalpina en Florencia al ciud</t>
  </si>
  <si>
    <t>s de la anarquía. Milán 16 de Octubre. E sta junta de gobierno ha nombrado para Embaxador de la República cisalpina en Florencia al ciud. Tassoni, que se halla en Génova; para Ministro en Génova al ciud. Cometti, y para igual destino en la República helvética ai ciud. Venturí. El 8 de este mes s</t>
  </si>
  <si>
    <t>Embaxador de la República en Madrid</t>
  </si>
  <si>
    <t>s años en España, la dio á conocer en este país; y el ciud. Luciano Bonapárte , Embaxador de la República en Madrid, ha enviado una gran remesa de simiente á petición del Prefecto de este departamento. Se espera que se pro¿ pague en nuestros terrenos areniscos. El ciud. Alex</t>
  </si>
  <si>
    <t>Embaxador de la República fr ncesa</t>
  </si>
  <si>
    <t>o. Viena 21 de Setiembre. A, .otes de ayer noche llegó aquí el ciud. Champagni, Embaxador de la República fr ncesa. A mas de 40© hombres asciende el número de soldados á quienes en lo restante de este año se dará licencia; y añadiendo á esto Jos cuerpos francos que se han r</t>
  </si>
  <si>
    <t>Embaxador de la República francesa</t>
  </si>
  <si>
    <t>aquí al Rey de Suecia. El General Macdonald, que va á Copenhague en calidad de Embaxador de la República francesa, llegó á esta capital con 5 Ayudantes, dos de los quales son oficiales de infantería, otros dos del cuerpo de cazadores de á caballo, y uno de dragones. Este ú</t>
  </si>
  <si>
    <t>Embaxador de los EstadosUnidos en esta República</t>
  </si>
  <si>
    <t>7* ri 7 • ¡ Jlafa'i$ de Agosto. S e:ha restituido de; Paírissaquí Mr.' Murray-, Embaxador de los EstadosUnidos en esta República. Dicese que en rbreve será reemplazado eii éste destino. ’ . *r cooH Tj .: . .é rd \ Antes de ayer mañana saltó de. esta ciudad el General Augereauipará* Bois-</t>
  </si>
  <si>
    <t>Embaxador de Marruécos</t>
  </si>
  <si>
    <t>y Tritón: esta viene de Túnez, y la otra de Trípoli. En esta última se halla un Embaxador de Marruécos. Parece que un navio anglo-americano de 50 cañones es el único buque de aquella nación que tiene ahora á.su cargo el bloqueo del puerto de Trípoli. Marsella 12</t>
  </si>
  <si>
    <t>Embaxador de Paulo I en</t>
  </si>
  <si>
    <t>disposiciones militares. . El Conde dé Kalits'chéw , Vice-Canciller de Rusia, y Embaxador de Paulo I en^iVancia, llegó á esta plaza ayer á las 2 de la tarde &gt; acompañándole por orden dél gobierno francés' * el General CafTarelli y sus edecanés. Entre las personas</t>
  </si>
  <si>
    <t>Embaxador de Paulo I i París</t>
  </si>
  <si>
    <t>de Krudnér para Lipsia,' á conferenciar con él Conde de KalitscHew &gt; que va de Embaxador de Paulo I i París. 1. Sé ha dado á las tropas prusianas un nuevo uniforme muy ayroso y vistoso, con partiéufo^^^^^^ los granaderos &gt; cuyo Casco es de una forma muy ventajosa y c</t>
  </si>
  <si>
    <t>Embaxador de Prusia en Ratisbona</t>
  </si>
  <si>
    <t>iqrj / Se sabe que el Conde de Goertz, Embaxador de Prusia en Ratisbona, ^ha hecho igual declaración á la Dieta; y el Consejero privado de la eatedral de: Munster ha notificado a aquel Cabildo de parte de S. M. Prusiana, que no pro</t>
  </si>
  <si>
    <t>Embaxador de Prusia residente aquí ha comunicado á este ministerio</t>
  </si>
  <si>
    <t>a no puede enviar grandes socorros al Baxá sitiado. *17 Viena 24 de Agosto. XSl Embaxador dé Prusia residente aquí ha comunicado á este ministerio .el siguiente oficio: ,, Acaba de: morir él Elector de Colonia, Príncipe Obispo de Munster, prelado que gozaba de un aprecio general. S. M. el Reyde Prusia cre</t>
  </si>
  <si>
    <t>Embaxador de Rusia</t>
  </si>
  <si>
    <t>rase con impaciencia que vuelva él extraordinario expedido á Petersbürgó por el Embaxador de Rusia , dando cuenta á su Soberano del asesinato de los dos oficiales de su nación. Ha desechado dicho Embaxador quantas ofertas de .satisfacción le hizo la Puerta,</t>
  </si>
  <si>
    <t>ese que en él se trato sobre uni representación enérgica que el General Tamara, Embaxador de Rusia, liá héchp contra la expedición de los ingleses á Egipto. Entre otras cosas expone la corte de Rusia que la Sublime Puerta dehe oponerse á dicha ex*</t>
  </si>
  <si>
    <t>legó aquí de Petersburgo el Príncipe Belmonte Pignateli. r El Barón de Krudner, Embaxador de Rusia, dio ayer noche una magnífica fiesta á la PrinéeSa^e^Mébktéihb^rgb^Schwériii Üfqiiíd concurriéi rtfrf contra la etiqueta y costumbre SS. MM* ébn la familia Rea</t>
  </si>
  <si>
    <t>00 &amp;c. Roma / de Febrero. E 1General Levaicheff, que va á Ñapóles en calidad de Embaxador de Rusia, no se detuvo mas que dos días en esta capital, y salió ya para su destino. Llegó aquí con el ciud. francés Lagrange, xete de batallón; y al día siguiente comi</t>
  </si>
  <si>
    <t>ciudad de Italia. Berlín jp- de Marzo. S e ha concertado este ministerio con el Embaxador de Rusia, para que las mercancías v efectos de aquel Imperio no lleguen á Inglaterra; pero se ha permitido nuevamente su entrada en dominios de Prusia. Son muchos los r</t>
  </si>
  <si>
    <t>ió ¡gualmente.de aquí el reiud. Duroc para Petersburgo. # Air. de Kalitscheff , Embaxador de Rusia, pidió al Ministro de Relaciones exteriores una audiencia del primer Cónsul, la qual se verifico el día 25 totes de la parada. Fné el Embaxadór conducido al pa</t>
  </si>
  <si>
    <t>ampas del retrato del Archiduque Cárlos. .Berlín de Mayo* E 1 Barón de Krudner, Embaxador de Rusia, dio el dia 11 un gran banquete diplomático, al que asistieron el General Beurnonville, Ministro de Francia, y el Lord Carisford, Ministro ingles; y se noto qu</t>
  </si>
  <si>
    <t>s al Gran Señor, y en audiencia publica le entregó sus nuevas credenciales como Embaxador de Rusia. S. A. ai recibirlas le dirigió la palabra; ío qual se ha mirado aquí como cosa extraordinaria y opuesta á la etiqueta que en tales ocasiones se observaba de m</t>
  </si>
  <si>
    <t>corno no se observó la misma ostentación quando Tué presentado Mr. Rasumowski, Embaxador de Rusia, dio este quejas por ésta diferencia. Nuestro gabinete le respondió que los enlaces de amistad entre la Rusia y el Austria eran muy antiguos y muy íntimos para</t>
  </si>
  <si>
    <t>Embaxador de Rusia en París</t>
  </si>
  <si>
    <t>nación de Cuaima 11 su abuela. Añaden que el Conde de Markow está nombrado para Embaxador de Rusia en París. Viená 2$ de Mayo. H oy ha salido de aquí para Petersburgo el Príncipe dé Schwarzenberg, que va á cumplimentar á Alexandro 1 con motivo de su exáltacion al tro</t>
  </si>
  <si>
    <t>Embaxador de Rusia se interesa á favor de ellas</t>
  </si>
  <si>
    <t>ueva República de las Siete-Islas el libre comercio del mar Negro; pero como el Embaxador de Rusia se interesa á favor de ellas, es probable que lo consigan, r Acaba de. fondear delante de Constantino pía un bergantín Ingles, Otras 3 naves turcas de guerra se han despachado de aquí para</t>
  </si>
  <si>
    <t>Embaxador de un modo menos familiar</t>
  </si>
  <si>
    <t>tad entre la Rusia y el Austria eran muy antiguos y muy íntimos para recibir ál Embaxador de un modo menos familiar; que por otra parte, como la nación francesa gusta de aparato, y que el primer Cónsul recibió con él mayor fausto y distinción á Mr. de Cobentzel, había pareci</t>
  </si>
  <si>
    <t>Embaxador del Emperador de Rusia cerca de la República francesa</t>
  </si>
  <si>
    <t>s. Francfort 14 di Setiembre. E I dia 9 llegó á esta ciudad el Conde de Markow, Embaxador del Emperador de Rusia cerca de la República francesa, y antes de ayer siguió su viage á París. Le acompañan el Conde de Apraxin ,y Mr. de Bachotf. Una gazeta de está ciudad desmiente lo que otras dixéron últimame</t>
  </si>
  <si>
    <t>Embaxador del Rey</t>
  </si>
  <si>
    <t>1-- ;';v v?’ Madrid 24 de Febreroi ^it X ór un extraordinario despachado por el Embaxador del Rey - en París* que llego al Real sitio dé Aranjuez la mañanadel día 20 d^^ este we^ dían; redibidb SS. MMrla hgridkble fiotkk^C^kkbef^-^tíivadobea^á^tuieviltodapá</t>
  </si>
  <si>
    <t>Embaxador del Rey de Ñapóles</t>
  </si>
  <si>
    <t>rador cartas del Conde de Cobentzel. Queda dicho Marques en Viena en calidad de Embaxador del Rey de Ñapóles. Según noticias de Italia hay en Ja fortaleza de Porto-Ferrayo 300 ingleses, 400 corsos, muchos desertores napolitanos y algunos artilleros, que en todo compon</t>
  </si>
  <si>
    <t>Embaxador do Rusia ha mediado á favor de ellos</t>
  </si>
  <si>
    <t>nación experimentan ahora aquí mejor suerte que ántes, sobre todo desde que-el Embaxador do Rusia ha mediado á favor de ellos; todos ios que estaban encerrados en los castillos del mar Negro han conseguido venir á esta capital. Petersburgo 28 de Julio. Príncipe y la Princesa de .Badea</t>
  </si>
  <si>
    <t>Embaxador en Petersburgo</t>
  </si>
  <si>
    <t>olonias suecas, ó acceder ,al convenio: y en tales-circunstancias escribió á su Embaxador en Petersburgo, qüe impidiéndole por ahora el estado de las eos s yer útil a Ls naciones comerciantes, tenia por conveniente acceder al tratado; bien que re</t>
  </si>
  <si>
    <t>Embaxador en Rusia</t>
  </si>
  <si>
    <t>de las potencias beligerantes. Acaba esta corte de enviar al Conde de Lüsi, su Embaxador en Rusia, instrucciones relativas al tratado de neutralidad , que se está formando en Petersburgo entre aquella corte y las dé Berlín3 Stockolmo y Copenhague. Las 3 pot</t>
  </si>
  <si>
    <t>Embaxador extraordinario</t>
  </si>
  <si>
    <t>tuvo el 8 de este mes audiencia del Rey, á quien entregó sus credenciales como Embaxador extraordinario -y plenipo* Itenciario del Emperador de todas las Rusias. : :; &gt; Se envían paquebotes de aquí á Tortuga! con .bandera parlamentaria,. Se ha notado que después</t>
  </si>
  <si>
    <t>Embaxador extraordinario á tratar</t>
  </si>
  <si>
    <t>quí para Londres el Secretario de Estado Conde Bernstorff, que va en calidad de Embaxador extraordinario á tratar, según dicen, la paz con el gobierno ingles. Durante su ausencia despachará ea su lugar el Ministro de Estado Conde de Reventlaw. Jtitbeck 24 de Mayo.. A las i</t>
  </si>
  <si>
    <t>Embaxador extraordinario cerca</t>
  </si>
  <si>
    <t>han servido en esta guerra. Se asegura que * 1 Conde de Eltz está nombrado para Embaxador extraordinario cerca .cel Rey de España. * Francfort 1$ de Febrero. I Ll cuerpo de Conde se embarcará en uno de los puertos del Adriático en buques ingleses para un destino que se</t>
  </si>
  <si>
    <t>Embaxador extraordinario con la ratificación del tratado de neutralidad marítima</t>
  </si>
  <si>
    <t>onde de Dannerskiel-LowendahJ está nombrado para ir á Petersburgo en calidad de Embaxador extraordinario con la ratificación del tratado de neutralidad marítima, acompañándole dos secretarios de legación. Dícese no obstante que Mr. Lysakewitz, Ministro ruso en esta corte, tiene orden de salir de aquí. Los navios de lín</t>
  </si>
  <si>
    <t>Embaxador extraordinario de Dinamarca</t>
  </si>
  <si>
    <t>pendientes entre esta Corte y la de Gor: penhague, está el Conde de Bernstorft, Embaxador extraordinario de Dinamarca , disponiéndose á marchar quante antes á Copenhague por Holanda. Entre las Dunas y las costas de Francia hay cerca de 6o navios ingleses, que cruzan para evita</t>
  </si>
  <si>
    <t>Embaxador extraordinario de Dinamarca en esta corte</t>
  </si>
  <si>
    <t>en las de Picardía. _ Ya salió de Londres para Holanda el Conde de Bernstorff, Embaxador extraordinario de Dinamarca en esta corte. Hace su navegación en el paquebot el Príncipe Gátes, que lleva bandera parlamentaria. Estos dias se comunicaron en Portsmouthy toda aquella costa repetidos av</t>
  </si>
  <si>
    <t>Embaxador extraordinario en</t>
  </si>
  <si>
    <t>e de Saurau, Ministro y Presid nte de la Cámara áulica de Rentas, está nombrado Embaxador extraordinario en la* corte de Rusia con 60® florines de sueldo. S. M. le ha conferido al propio tiempo la gran cruz de la orden de S. Esteban. Con motivo de la muerte del Emperado</t>
  </si>
  <si>
    <t>Embaxador extraordinario y Ministro plenipotenciario del Rey de Dinamarca</t>
  </si>
  <si>
    <t>para 3 meses. Antes de ayer fué presentado á S. M. el Conde de BernstoríF como Embaxador extraordinario y Ministro plenipotenciario del Rey de Dinamarca___ Espérase en breve un Enviado extraordinario de S. M. Sueca. El dia 14 despachó el banco de Londres á Portsmouth 100© libras esterlinas en oro y plata para e</t>
  </si>
  <si>
    <t>Embaxador f Ministro extraordinario de la corte de Suecia cerca</t>
  </si>
  <si>
    <t>el. Fué también presentado por primera vez el Barón de Éhrénsvetd en calidad de Embaxador f Ministro extraordinario de la corte de Suecia cerca de S. M. Británica. Después asistió el Rey á un consejo privado, y el Lord Grenviííe le comunicó las últimas noticias recibidas de A íás £ .de la tarde sálíó S. M</t>
  </si>
  <si>
    <t>Embaxador francés</t>
  </si>
  <si>
    <t>l dé Francia, acaba de encargar á los habitantes de esta capital manifiesten al Embaxador francés, que se espera en breve, los miramientos debidos á su carácter; y en caso que la bandera republicana llegue á tremolarse, no la consideren sino como prenda de</t>
  </si>
  <si>
    <t>agrange, pariente del primer Cónsul. Ai dia siguiente fueron presentados por el Embaxador francés .al Emperador, y poco después siguieron su viage á Turquía. Quando el referido Embaxador de Francia se presentó por primera vez al Emperador, le recibió S. M.</t>
  </si>
  <si>
    <t>Embaxador francés obsequió mucho</t>
  </si>
  <si>
    <t>, Ministro de Inglaterra, llevó consigo varios oficialas ingleses, á quienes el Embaxador francés obsequió mucho. Francfort 2/ de Noviembre. H an rpresado últimamente los ingleses dos embarcaciones suecas, fo qual ha causado la mayor novedad. El Elector de Baviera ha supr</t>
  </si>
  <si>
    <t>Embaxador imperial en aquella República</t>
  </si>
  <si>
    <t>la ciudad. *r&gt;j Vierta 1° Noviembre, extraordinario, despachado dp París por el Embaxador imperial en aquella República, ha.traído pliegos relativos á los asuntos de Italia. - Trátase de poner una contribución sobre los bienes raiccs de los nobles de Hungría, quienes en remunera</t>
  </si>
  <si>
    <t>Embaxador ingles</t>
  </si>
  <si>
    <t>zo.r q a esquadra otomana está todavía en, la rada de Baschiktar. El LordElgin, Embaxador ingles, y Mr. deTamara, Ministro ruso, fuéron estos dias á visitar al Capitán Baxá en su navio almirante. Stockolmo24.deMarzo A noche liego aquí un correo despachado</t>
  </si>
  <si>
    <t>ADRID DEL MARTES 2 DE JUNIO DE 1801. Constantino]}!a jz de Marzo. M. je. Elgin, Embaxador ingles, ha recibido cartas del Almirante Keith, en que le remite noticias circunstanciadas del desembarco en Egipto. Los franceses dieron las mayores pruebas de valor</t>
  </si>
  <si>
    <t>rador ; pero que volverá antes de dos meses p.ra reemplazar al Lord Mijito como Embaxador ingles. ~T7 - Londres 14 de Agosto. ' /. JEsta mañana llegó un correo á ia secretaría dé Estado, y otro á la compañía de la India. Ambos traen pliegos con noticias im</t>
  </si>
  <si>
    <t>ducido en aquella capital la inoculación de la vaccina; y Mr, Scott, médico dwl Embaxador ingles, ha enviado á la India dicho virus. El referido Mr. Hesse se propone irá Rusia para practicar en aquel Imperio esta nueva inoculación; la qual, según aparienci</t>
  </si>
  <si>
    <t>Embaxador ingles cerca del Emperador de Alemania</t>
  </si>
  <si>
    <t>egado de Londres aquí Mr. Paget, que vi á reemplazar al LordMinto en calidad de Embaxador ingles cerca del Emperador de Alemania.. Su llegada á esta capital da motivo á creer que trae de paso algún encargo particular para nuestro gobierno. En la última audiencia que el primer Cónsul dio</t>
  </si>
  <si>
    <t>Embaxador ingles como sucesor del Lord Minto</t>
  </si>
  <si>
    <t>cí g de Setiembre. J~Ia pasado por aquí Mr. Paget, que va á Viena en calidad de Embaxador ingles como sucesor del Lord Minto. Durante su viage por Francia le acompaña un mensagero de estado ingles, nombrado al intento por el gabinete de S. Jámes. Poco ántes habían transitado igualmen</t>
  </si>
  <si>
    <t>Embaxador ingles en Petersburgo en lugar del Lord Saínt-Helens</t>
  </si>
  <si>
    <t>sta ahora no se habia señalado en ningún mapa. Eb Lord Carisford está, nombrado Embaxador ingles en Petersburgo en lugar del Lord Saínt-Helens, que se restituye á Inglaterra á causa de hallarse enfermo. Refieren los últimos avisos de Bengala que el navio holandés nombrado1 lá Constancia, al mando del</t>
  </si>
  <si>
    <t>Embaxador ó Cónsul de Es</t>
  </si>
  <si>
    <t>eros, ademas de arreglarse á estas formalidades han de venir legalizados por el Embaxador ó Cónsul de Es-, paña mas inmediato. Los accionistas naturales ó extrangeros que ya tuvie-. sen presentados sus poderes en los años anteriores, siempre que se extiendan á cobr</t>
  </si>
  <si>
    <t>Embaxador Otomano</t>
  </si>
  <si>
    <t>ad de haberse firmado /los preliminares. &gt;■ 1 Seid-Amet-ElFendij secretario del Embaxador Otomano ^.HaníLfíeyj su mayordomo; y Isoty criado de este, han obtenido/pasap.ortes pata r.cstií-? tuirse á su patria , y no tardarán, eu salir de París. s ■ . íi’.í E</t>
  </si>
  <si>
    <t>Embaxador otomano que está en Parió</t>
  </si>
  <si>
    <t>les en efecto se cogiéron muchos. Por Naneí han transitado dos dependientes del Embaxador otomano que está en Parió: van á Constantinopla por Viena. Parts 8 de Agosto. E n la audiencia que el primer Cónsul dio á los Embaxadores el día 5 fuéron presentados el Barón de Ehrensw</t>
  </si>
  <si>
    <t>Embaxador pata París</t>
  </si>
  <si>
    <t>oda la noche estuvo iluminada la posada en que se alojó. Esta tarde «ale cficho Embaxador pata París. El General Moreau, que fué de aquí á'Luneville el día 25, volvió ayer con su esposa, á la que encontró cerca de Nanci ¿ y asistió al convite , á la comedla y</t>
  </si>
  <si>
    <t>Embaxador prusiano en Londres</t>
  </si>
  <si>
    <t>oficio semejante ha entregado el ministerio británico al Barón de Klost Jacobi, Embaxador prusiano en Londres. Parece que en el embargo que el gabinete de S. Jímes ha mándalo poner en las embarcaciones, de las potencias del Norte, n&lt;j se incluyen las prusianas. Quizá s</t>
  </si>
  <si>
    <t>Embaxador quantas ofertas</t>
  </si>
  <si>
    <t>su Soberano del asesinato de los dos oficiales de su nación. Ha desechado dicho Embaxador quantas ofertas de .satisfacción le hizo la Puerta, y siempre ha contestado que el asunto debía arreglarse entre los dos gobiernos. Es de temer que el castigo -:d$ los dos delinq</t>
  </si>
  <si>
    <t>Embaxador que envíe esta corte</t>
  </si>
  <si>
    <t>capital de Rusia, en donde residirá con el mismo carácter hasta la llegada del Embaxador que envíe esta corte. Todo esto sé ha resuelto^ según parece, de resultas de la llegada de un extraordinario de Rusia, que entre otros pliegos de mucha importancia traia una carta</t>
  </si>
  <si>
    <t>Embaxador que fué de Francia en la corte de Rusia</t>
  </si>
  <si>
    <t>adores de á caballo, y uno de dragones. Este último es el ciud. Segur, hijo del Embaxador que fué de Francia en la corte de Rusia. Antes de salir de aquí para Dinamarca tuvo el ciud. Macdonald la honra de comer con el Rey. Londres 27 de Julio. P or orden del gobierno se hacen con la mayor</t>
  </si>
  <si>
    <t>Embaxador que fué de Inglaterra en Viena</t>
  </si>
  <si>
    <t>nteras de Holanda y por el Escalda. Strasburga 14 de Noviembre. E í Lord Minto, Embaxador que fué de Inglaterra en Viena, llegó aquí el di-a que se celebraba la fiesta de la paz; y después de asistir á ella con mucho gusto, salió el dia 11 para París, de donde irá á embarcarse en</t>
  </si>
  <si>
    <t>Embaxador ruso</t>
  </si>
  <si>
    <t>a á servir su empleo. Este -Ministro ," miéntras residid en Viena en calidad de Embaxador ruso , tuvo varias disensiones con el Barón de Thugut. .**■ Ha llegado á Koenisberg el Conde Balbi, que era Enviado del Rey de Cerdeña en Petersburgo, de donde ha t</t>
  </si>
  <si>
    <t>Embaxador ruso cerca de la República</t>
  </si>
  <si>
    <t>tersburgo para París el 8 de Agosto con. un encargo par* ticular; y Mr. Markow, Embaxador ruso cerca de la República! francesa , había salido también de la misma capital el 29 de Julio,Jynnp -tardará en llegar á París»—--.El Príncipe Constantino, Coronel dé uñ hermoso íegi* m</t>
  </si>
  <si>
    <t>Embaxador ruso en París</t>
  </si>
  <si>
    <t>si todos los Ministros extrangeros para Moscow. El Coronel Chitroff, cuñado del Embaxador ruso en París, ha venido de aquella ciudad como correo, no habiendo tardado mas que 16 dias en su viage. El 7 de este mes, S. M. I. ántes de ponerse en camino para Moscow co</t>
  </si>
  <si>
    <t>Embaxador ruso ha tenido con los Ministros turcos</t>
  </si>
  <si>
    <t>el temor de un rompimiento con Rusia. En una de las muchas conferencias que el Embaxador ruso ha tenido con los Ministros turcos, les ha intimado que si el Gran Señor tardaba en hacer la paz con los franceses y echar á los ingleses de sus tfondníos, le declarará guerra el Emperador su am</t>
  </si>
  <si>
    <t>Embaxador ruso tuvo con el Ministre de Negocios extrangeros</t>
  </si>
  <si>
    <t>mentos, en virtud de orden que se expidió de resultas de una conferencia que el Embaxador ruso tuvo con el Ministre de Negocios extrangeros, á quien entregó pliegos que acababa de recibir de Petersburgo. También se confirma que el Rey de Dinamarca ha mandado armar por su parte 17 naves de guerra en</t>
  </si>
  <si>
    <t>Embaxador se libró solamente el cocinero</t>
  </si>
  <si>
    <t>florines. La tripulación logro salvarse en las lanchas; pero de la familia del Embaxador se libró solamente el cocinero. Florencia 10 de Marzo. E 1 exército francés de observación ocupa todos los puestos señalados en el armisticio: la m^yor parte está en Foligno; pero el parque</t>
  </si>
  <si>
    <t>Embaxador sueco Barón de Steding</t>
  </si>
  <si>
    <t>su mansión en Petersburgo. Baxo el nombre de Conde de Haga se apeó en casa del Embaxador sueco Barón de Steding; y allí fué desde luego á cumplimentarle el Conde de Rostoptschin, primer Ministro de Estado imperial. Poco después le visitaron también el Emperador y sus dos</t>
  </si>
  <si>
    <t>Embaxador turco y para varios particulares</t>
  </si>
  <si>
    <t>Constantinopla á Viena, y llevaba mucho dinero y alhajas de graa precio para el Embaxador turco y para varios particulares*</t>
  </si>
  <si>
    <t>Embaxador una gran comida</t>
  </si>
  <si>
    <t>recibió de Petersburgo. Después de esta ceremonia hubo Tt Deum, y luego dio el Embaxador una gran comida. Bremen 15 de Abril, P rosiguen las tropas prusianas marchando hácia las costas del mar del Norte. Han ocupado también á Vegesackjy mañana llegará aquí la eaxa</t>
  </si>
  <si>
    <t>Embaxador y en toda</t>
  </si>
  <si>
    <t>la familia Imperial para presentarse1 á SS. A A. Manifestó en todas partes el* Embaxador y en toda&amp; recibió los testimonios de un aprecio recíproco, y la seguridad de las disposiciones mas amistosas de parte de los dos gobiernos de Francia y Austria.” El Min</t>
  </si>
  <si>
    <t>Embaxador y Miáis</t>
  </si>
  <si>
    <t>ndole,su hermano».¡, -.v: hh j £. M. ha nombrado al Lord Saint-Helens para * su Embaxador y Miáis* tro plenipotenciario en la corte de Petersburgo, en la qual se halla en cali* dad de Éaviadoy negociador. ._■&gt; ¿ 7 - v ú • ; ¿ EÍ día 8mánifqst&lt;5enlaCámaraalt</t>
  </si>
  <si>
    <t>Embaxador y Ministro plenipotenciario de la corte de Portugal</t>
  </si>
  <si>
    <t>uvo audiencia, durante la qual fué presentado el Marques de Lima, en calidad de Embaxador y Ministro plenipotenciario de la corte de Portugal, y como tal entregó sus credenciales. Ha vuelto á subir el precio del pan:.el de 4 libras cuesta ahora 6 rs. y medio. En la Cámara de los Comunes propuso Mr. A</t>
  </si>
  <si>
    <t>Emparan, Juan Bautista</t>
  </si>
  <si>
    <t>Juan Bautista Emparan</t>
  </si>
  <si>
    <t>ará Vacante por él pase de D. Ignacio García dél Castillo al de Penitenciário de la Real Capilla, á D. Juan Bautista Emparan , Capellán de Honor de S. M.; y para el de Administrador del colegio de Sta. Isabel de la misma villa,-Vacante por muerte de D. Ramón Salvadór dé Ardíano, á D. Blas de Toro, Capel</t>
  </si>
  <si>
    <t>Emperador, Francisco</t>
  </si>
  <si>
    <t>Francisco Emperador</t>
  </si>
  <si>
    <t>, contando que «ha fabricado en esta ciudad y Sceoñ7os cha de cítelo.— Cien 1 á Francisco Emperador, vecino de la vida de Híjar, por haber establecido á sus expensas en eüa una fabrica J .;a L la aue se han presentado vanas gamuzas anteadas de buena de curt,dos,oe la que s^eban _p_on ^</t>
  </si>
  <si>
    <t>en xefe Abdullahy Jayme Francisco Menou, General</t>
  </si>
  <si>
    <t>General en xefe Abdullahy Jayme Francisco Menou</t>
  </si>
  <si>
    <t>s para la metrópoli, ni mas honoríficas para ellas mismas: resolvió el consejo que se propusiese al General en xefe Abdullahy Jayme Francisco Menou entablara desde luego negociaciones con los Generales de las potencias aliadas para la evacuación de Alexandría, con tal que fuese baxo condiciones honoríficas al exército francés y</t>
  </si>
  <si>
    <t>en xefe Augercau, General</t>
  </si>
  <si>
    <t>General en xefe Augercau</t>
  </si>
  <si>
    <t>és de ella; pero entre tanto el pais de Solms Braunfels disfrutará la neutralidad estipulada con el General en xefe Augercau.” El General de división Andreossi, xefe interino de la plana mayor del exército galo-bátavo,- ha dirigido al Ministro de Guerra una relación, que extractada dice así: Quartel gen</t>
  </si>
  <si>
    <t>en xefe Augereauy, General</t>
  </si>
  <si>
    <t>General en xefe Augereauy</t>
  </si>
  <si>
    <t>.° del tratado de armisticio concluido, pa- t ra. el exército del Rhin, la línea convenida entre el General en xefe Augereauy el Teniente General Barón de Simbschen se extenderá de Bayersdorf á Lichtenech , siguiendo por la orilla derecha del Rednitz y el curso del Mein , en la prolongación del Rednitz has</t>
  </si>
  <si>
    <t>en xefe BeÜegarde, General</t>
  </si>
  <si>
    <t>General en xefe BeÜegarde</t>
  </si>
  <si>
    <t>e conduxéron á éí cqn la mayor parte de sús fuerzas. (Según Redaran los prisioneros las mandaba el. General en xefe BeÜegarde). La situación del Teniente General Dupont era apurada; pero el Teniente Ger neral Suchet, qua se hallaba por aquella parte , no dudó destacar del cuerpo de su mando la división d</t>
  </si>
  <si>
    <t>en xefe Brune, General</t>
  </si>
  <si>
    <t>General en xefe Brune</t>
  </si>
  <si>
    <t>v,k &amp;b sen A . . : ■ ¿El tGíenoraitfrauces.MacmoEtt salidi^iyer'dó aquíIcob fimédiascBrigadas; y el General en xefe Brune^qiieseliaila todavía* en esta(ciúdad:v ha revisa tadoitodo el’exercit^repubnc^úmídc? ¿*¡ie o'r; C' í.-'ir í . . v. i ■b^vhifníj^y- .ó on mucha actividad se abastece de v!veresn^K*</t>
  </si>
  <si>
    <t>ro General.” Extracto del Monitor: „EI 16 del corriente se ajustó en Treviso el armisticio entre el General en xefe Bruñe y el General austríaco Bellegarde. Los austríacos han evacuado todo el país del lado de acá del Tagmmcnto. El General Oudinot, xefe de la plana mayor1, ha salido dé Treviso para París</t>
  </si>
  <si>
    <t>que por demasiada cedria rizá no huyérón de sjéÉqskbtti tÉói^ós» ‘i?. ’ !Í ., ' J4 de Febrero* r t General en xefe Bruñe ha escrito al Ministro dé Guerra con fecha de Verbna 4; 21 de. Enéro dicíéndóle : ,&gt;M?éntra$ que nuestras tropas vic-; foth^s perse^nirt k los értemi^ós hasta él TagltanáehfOv se</t>
  </si>
  <si>
    <t>en xefe Btubc, General</t>
  </si>
  <si>
    <t>General en xefe Btubc</t>
  </si>
  <si>
    <t>han publicado las dos siguientes relaciones de nuestros exércitos. ,, El Teniente General Dupont al General en xefe Btubc. Quartel general de Azota G de Diciembre. Ayer hubo en Macaría una acción » cuyas resultas fueron felicísimas para el exército francés. El intento de lo* ¿nemigos era apoderarse d</t>
  </si>
  <si>
    <t>en xefe Conde de Béilegardé, General</t>
  </si>
  <si>
    <t>General en xefe Conde de Béilegardé</t>
  </si>
  <si>
    <t>e los consejos, tribunales y demás ramos gubernativos que había anteriormente. Espérase hoy aquí al General en xefe Conde de Béilegardé. Roma _p de Abril. L a corte de Ñapóles ha ratificado el tratado de paz ajustado con la República francesa. De resultas, las tropas de aquella nación evacuarán sin duda la parte d</t>
  </si>
  <si>
    <t>en xefe Conde de Bellegarde, General</t>
  </si>
  <si>
    <t>General en xefe Conde de Bellegarde</t>
  </si>
  <si>
    <t>demas 100 cañoneras armadas defienden la embocadura de los ríos de Holanda. Venecia /&amp; de AbriL E 1 General en xefe Conde de Bellegarde llego efdiaif á esta ciudad y y fijó recibido con-salva de artillería de todos los navios del puerto.Presenció; luego las evoluciones que en uno de los canales executáron las barc</t>
  </si>
  <si>
    <t>de $. Máteos. El Archiduque Joseph Palatino de Hungría ha llegado á esta ciudad, 1 acompañándole el General en xefe Conde de Bellegarde y el Comisario imperial Conde de Maylath. Los dias siguientes visitó S. A. el arsenal, el castillo de Chiozza y otros edificios públicos. Hoy ó mañana saldrá para Hungría, haciendo sü</t>
  </si>
  <si>
    <t>en xefe Leclerc, General</t>
  </si>
  <si>
    <t>General en xefe Leclerc</t>
  </si>
  <si>
    <t>r á su patria. París 24 de Noviembre. S e han publicado en el Monitor los siguientes artículos: „E1 General en xefe Leclerc ha llegado á Brest, en donde se habrá embarcado el 21. Por el telégrafo se ha sabido que el Almirante Viilaret- Joyeuse debia dar el 22 á su esquadra la órden de que nadie baxase</t>
  </si>
  <si>
    <t>en xefe Macdonald, General</t>
  </si>
  <si>
    <t>General en xefe Macdonald</t>
  </si>
  <si>
    <t>rden á la caballería para que retrocediese; pero el General Dumas, que sabia la ñrme resolución del General en xefe Macdonald, persistió en la empresa, y dio por escrito la orden de adelantar. Al fin, venciendo obstáculos y peligres, llegó dicha coluna á la altura del hospedage; y corriendo los mismos ri</t>
  </si>
  <si>
    <t>en xefe Menou, General</t>
  </si>
  <si>
    <t>General en xefe Menou</t>
  </si>
  <si>
    <t>indigestión. Siguen ¡as noticias de Egipto. ^ , . &gt;■ Ei 12 de Octubre se publicó^un reglamento del General en xefe Menou ¡ sqbre la cantidad, repartimiento y cobro de las contribuciones que los gre-" míos de mercaderes y artesanos de las ciudades han de pagar, rebasando, á proporción las que reditúa</t>
  </si>
  <si>
    <t>o, en el qual hubo 127 muertos y 176 heridos. Extracto de varios pliegos remitidos de Egipto por el General en xefe Menou, el Prefecto marítimo Leroy, y el Capitán de Marina Guien, y recibidos por el aviso S. Felipe. ,,Los últimos avisos de Egipto anunciaban la llegada de 7 embarcaciones á Alexandría</t>
  </si>
  <si>
    <t>itió sus tentativas, siempre vanas, para encerrar á la guarnición de Alexandría en sus murallas. El General en xefe Menou llegó el 1: con su quartel general á Rabmanié, en donde sé iban juntando las varias divisiones de su exército.—Es probable que á estas horas se haya resuelto la suerte y posesión</t>
  </si>
  <si>
    <t>e¡:,, No habiendo el Ósíris podido salir ayer, me aprovecho de su detención j&gt;ara informaros que el General en xefe Menou llegó el dia 11 á Rahmanié,.en donde parece que se reúne su exército. Lo esperamos aquí ántes del dia 21. Si para entonces no se han embarcado los enemigos, no serán muchos los qu</t>
  </si>
  <si>
    <t>Alexañdría se ha reforzado estos dias, y ahora consta de 4 á 5® hombres. Esperamos quanto ántes al General en xefe Menou, que según dicen llegará mañana con su exército; y es probable que mediante un ataque concertado se consiga obligar á los enemigos á embarcarse, si no lo hiciesen ántes. La parte</t>
  </si>
  <si>
    <t>el General de división Belliard al primer Cónsul. ,, El Cayro jo de Jamo. Después de la partida del General en xefe Menou y!del exército para Abukir quedé el 12 de Marzo en e! centró de este país con un cuerpo de 2553 hombres para defender el Egipto, la ciudad del Cayro y su distrito, contra el exércit</t>
  </si>
  <si>
    <t>en xefe Moreau, General</t>
  </si>
  <si>
    <t>General en xefe Moreau</t>
  </si>
  <si>
    <t>cuerdo con cH exército. de Augereau. París jo de Diciembre. S e ha publicado la siguiente carta del General en xefe Moreau al Ministre de la Guerra: .. , nQuartel general de Anzittg. § dé Diciembre. Tengo la satisfaGcjonJde daros cuenta de un acoirtecimienta muy glorioso para el exército que man-? 1</t>
  </si>
  <si>
    <t>iera que el General Spanochí (el qual como prisionero debia ir á Francia) ha recibido una carta del General en xefe Moreau avisándole que el Consejo áulico de Viena pedia de orden expresa ||lí Emperador que fuese cangeado por el General Colii; y que. en consequencia puede restituirse al Austria.</t>
  </si>
  <si>
    <t>los puertos de sus dominios. Léese en varias gazetas que el primer Cónsul de Francia ha enviado al General en xefe Moreau un precioso sable turco con esta inscripción: Al General Moreau , conquistador de ¡a paz” Una carta del Presidente de la Real sociedad de Londres al instituto nacional de Francia</t>
  </si>
  <si>
    <t>s, que se hallan en esta!, ciudad, emprenderán quanto antes su marcha-----El dia 3 salió de aquí el General en xefe Moreau para el quartel general de su exército , el qual se, trasladará á Munich el dia 11. Las tropas helvéticas que.había en esta ciudad se han puesto en marcha para B. silea; y varios</t>
  </si>
  <si>
    <t>cxército del Rhin: hubo bayle en las casas consistoriales, y cena de 200 cubiertos á que asistió el General en xefe Moreau con otros Generales y oficiales de graduación. Se iluminó la torre de la catedral, que presentaba una vista hermosísima, y se divisaba á 8 leguas de distancia. Parts 17 de Mayo. f</t>
  </si>
  <si>
    <t>en xefe Moreaual General Víctor, General</t>
  </si>
  <si>
    <t>General en xefe Moreaual General Víctor</t>
  </si>
  <si>
    <t>sión;' de armas; y á este efecto han elegido respectiva mente cop • poderes espedíales, á-saberr el General en xefe Moreaual General Víctor íEaiieau Lahorie: y S. A. R. el Archiduque Garlos, al Sargento mayor Confde de Grima, y ai Coronel Wairother.de Vetái ,*de la plana* mavort los ■ «nales hán convenido en los artíc</t>
  </si>
  <si>
    <t>en xefe Murat, General</t>
  </si>
  <si>
    <t>General en xefe Murat</t>
  </si>
  <si>
    <t>y el Abruzzo, y las demas divisiones se han puesto en marcha para Perusk, Cortona, Séttá y Roma. El General en xefe Murat ha dispuesto qüe se restablezcan y observen las leyes y los reglamentos hechos por el Gran Duque Leopoldo, qué se habían derogado por los Ministros del Gran Duque último. Quiere d</t>
  </si>
  <si>
    <t>Ministro de Francia. De Florencia ha venido también el General de artillería Rioult, y se espera al General en xefe Murat. Gínova j de Jimio* L a publicación de la paz de Luncville se hizo aquí con mucha pompa el 29 del mes ú timo. Ha salido de esta ciudad un destacamento de tropas ligurianas para oc</t>
  </si>
  <si>
    <t>pi, que se halla en Florencia* envió aquí por extraordinario esta noticia asi que se la comunicó el General en xefe Murat. Ya están evacuadas varias aldeas del territorio de Urbi no, que las tropas cisalpinas habían ocupado, y que según ei tratado de Tokntino pertenecen al l\*pa. Parts 2 $ de Julio.</t>
  </si>
  <si>
    <t>winter. P Liorna 3 de Julio. or orden del Gobernador de esta ciudad se ha avisado al público que el General en xefe Murat ha convenido en anular la orden que prohibía saliesen embarcaciones de este puerto , cuya navegación dexa libre baxo la única condición de que no puedan extraer armas ni municione</t>
  </si>
  <si>
    <t>a que se cumpla esta nuestra disposición. Dado en Parma á 26 de Julio de 1801.-^Firmado x'Lxúi." El General en xefe Murat publicó igualmente una exhortación dirigida al pueblo de Toscana , á quien'entré otras cosas dice: „ Conserváis una jús- ' ta veneración á las instituciones y i la memoria de los</t>
  </si>
  <si>
    <t>ública, la tuvo el Conde de Marcow, enviado por Alexandro 1 para suceder á Mr. Kalitchew. Carta del General en xefe Murat al Ministro de Guerra. ,, Afilan rj&gt; de Setiembre. Hace varios dias que se está bombardeando á Porto-Ferrayo. Nuestras baterías impiden la entrada del puerto á la esquadra del Alm</t>
  </si>
  <si>
    <t>e convocó una junta extraordinaria de gobierno, á la que asistieron el Ministro francés Petiet y el General en xefe Murat. Duró f</t>
  </si>
  <si>
    <t>en xefe Múreau, General</t>
  </si>
  <si>
    <t>General en xefe Múreau</t>
  </si>
  <si>
    <t>n á causa de haberse suspendido por unos dias las hostilidades, y de que las negociaciones entre el General en xefe Múreau y el Archiduque Cárlos dan esperanza de una próxima paz., ........... , ■ . ■ EÍ obispado de Salzburgo debia pagar á los republicanos 6íjudiones de francos, 500 bueyes, 1 y©’ quintale</t>
  </si>
  <si>
    <t>Enhena, Manuel</t>
  </si>
  <si>
    <t>Manuel Enhena</t>
  </si>
  <si>
    <t>a en id*... 81. a5. Manuel Enhena......1.1. Juan y Mariana Viscarrona...... Id. en id.*.;...... 50. ig, Pablo Gracia........Andrés y Mariana^Borel................. . "S. Genis en id.. 8i. ao. Estéban</t>
  </si>
  <si>
    <t>Enseña, Martín</t>
  </si>
  <si>
    <t>Martín Enseña</t>
  </si>
  <si>
    <t>............... 522,560, Joseph Andreu...................................... ...¿..i....vi 522,595. D. Martin Enseña...... 72,287. D. Pedro Alonso Montalban........ . 769,561. Antonio Calleja.................................... 732,647. r D. Juan Saenz de Santa María....... 732,662* Fr. Joseph P</t>
  </si>
  <si>
    <t>Erasmo Puig</t>
  </si>
  <si>
    <t>to a.0^ ’ " *"í ’ Eb. 18 de Noviembre último remitió ;l&gt;. Juan ue Ágáilir, del comercio dé Cádiz, i D. Erasmo Puig, deí de B&amp;rcelóni, 4 ’valés Reales de á do© pesos, de-i;* afe Octubre, números , 1^,538 , y~i$,dp© , renovados á- favor de ¿D. Manuel Gregorio Martinez; yno habiendo llegado á su</t>
  </si>
  <si>
    <t>Eraso, Joseph</t>
  </si>
  <si>
    <t>Joseph Eraso</t>
  </si>
  <si>
    <t>o D. Manuel Francisco Tubil: para una Media Ración de la catedral de la Paz, vacante por ascenso de D. Joseph Eraso á Racionero de la misma iglesia, á D. Joseph Toledo: para una Ración de la propia, vacante or ascenso de D. Juan de Urisa y Almonacid á otra de la de Arequipa, r D. Joseph de Arjo</t>
  </si>
  <si>
    <t>Ergui, Juan</t>
  </si>
  <si>
    <t>Juan Ergui</t>
  </si>
  <si>
    <t>............ 12. 2. Juan Ergui...... Miguel.......... María Damborin.. Errazu..... .... Pamplona....... 212. ig. Cabo i.° Ramón</t>
  </si>
  <si>
    <t>Erhenheirn</t>
  </si>
  <si>
    <t>5p x r ... ' lebró el Rey capítulo de sus órdenes, é hizo varias promociones. -Ha fiomhrado-S.-M, 4/Mr. Erhenheirn para Presidente de la, Cancillería 6 Ministro ~de: Negocios extrangeros. J':rr"”' • Informado el Rey de que muchas embarcaciones de Pomeranü habían car.gado -graups cu^ntí^del gob</t>
  </si>
  <si>
    <t>Ernesfo Augusta, Príncipe</t>
  </si>
  <si>
    <t>Príncipe Ernesfo Augusta</t>
  </si>
  <si>
    <t>o ataque * para lo quai se emplearúntí{psj medios que parezcan mas chcaces* ux-'£ááéfá(¿i,&amp;jEé&gt;r0^ ¿Príncipe Ernesfo Augusta, hijo del^^ Peyese embarcará en el navio Endimion para ir al Mediterráneo. ■ ; ¿ , t- , j ; ; f</t>
  </si>
  <si>
    <t>Errazurriz, Joseph Antonio</t>
  </si>
  <si>
    <t>Joseph Antonio Errazurriz</t>
  </si>
  <si>
    <t>921 doña, Dignidad de Tesorero de la misma: para esta al Doctoral D. Joseph Antonio Errazurriz: para la Canonjía de la catedral de Nicaragua, va-** cante por traslación de D. Pedro Albino Mexiá á la Chantría de la do Coimyagua., á D. Juan Joseph de Ceiaya , Cura Vicario del</t>
  </si>
  <si>
    <t>Erskine, Coronel</t>
  </si>
  <si>
    <t>Coronel Erskine</t>
  </si>
  <si>
    <t>l Contra-Almirante de este nombre, perdiéro.n la vida en el encuentro de 13 de Marzo; y el Teniente Coronel Erskine perdió una pierna.'Otros muchos oficiales se nombran como muertos 6 heridlos en la propia acción y al tiempo de desembarcar. Asimismo, según algunas gazetas, el número total de mu</t>
  </si>
  <si>
    <t>Erskyne, Coronel</t>
  </si>
  <si>
    <t>Coronel Erskyne</t>
  </si>
  <si>
    <t>reñida, y el enemigo rechazado hasta las murallas de Alexandría. Nuestra pérdida es muy crecida. El Coronel Erskyne fué -herido; perdió una pierna, pero sigue bien; su regimiento sobresalió y padeció mucho. Ningún oficial superior quedó muerto ni peligrosamente herido___Disimulad esta mala letr</t>
  </si>
  <si>
    <t>Eruix, Almirante</t>
  </si>
  <si>
    <t>Almirante Eruix</t>
  </si>
  <si>
    <t>dable, Indomable y Oesaix, que se separáron de la esquadra de Gantheaume en las aguas de Liorna. El Almirante Eruix visitó el dia 24 los buques de guerra surtos en la isla de Aix. Todos ellos le saludaron con salva de 21 cañonazos hecha por cada navio sucesivamente; duró el saludo hasta la tard</t>
  </si>
  <si>
    <t>Es- Torres de Bepun, Miguel</t>
  </si>
  <si>
    <t>Miguel Es- Torres de Bepun</t>
  </si>
  <si>
    <t>33. 30, Otro. Miguel Es- Torres de Bepun................ Domingo...... Ignacia Laita...... lleren........ Zaragoza.......... $6. 10. - Francisco Argente. Francisco...... María Alba........ Balbona.......... Teruel</t>
  </si>
  <si>
    <t>Escario, Ventura</t>
  </si>
  <si>
    <t>Ventura Escario</t>
  </si>
  <si>
    <t>imer Subteniente al segundo 0. Jayme AltXaftdría, y á segundo Subteniente al. Cadete del de América D. Ventura Escario: en el de América á primer Subteniente al segundo D. Antonio Panadero, y á segundo Subteniente al Cadete D. JLgnacio Rodríguez de Soto: en el batallón de Voluntarios de Tarragona</t>
  </si>
  <si>
    <t>Escarmiento, Juan</t>
  </si>
  <si>
    <t>Juan Escarmiento</t>
  </si>
  <si>
    <t>yo beneficio se cede la impresión y producto de la obra. Avisos baratos que da á sus amigos el Lie. D. Juan Escarmiento sobre las ferias de Madrid en un romance jocoso. Se hallará en la librería de Quiroga , calle de las Carretas : su precio &lt; qusrtos , y puede ir por el correo. El Ropavejero liter</t>
  </si>
  <si>
    <t>Escarno, Francisco</t>
  </si>
  <si>
    <t>Francisco Escarno</t>
  </si>
  <si>
    <t>escritos en Flanees por Mr. Nicole, con ¿a historia de sus progresos , decadencia y traducidos por D. Francisco Escarno : 4 y restauración', escrita en italiano por Don tomos á 12 rs. cada uno en rústica, y á 15 Antonio Eximeno , y traducida por D. Fran­ en pasta: se continúa. cisco Antonio Gutiérr</t>
  </si>
  <si>
    <t>Escobercta, Francisco</t>
  </si>
  <si>
    <t>Francisco Escobercta</t>
  </si>
  <si>
    <t>es: en,. Madrid i D. Ramón Rodríguez Prieto, casa del Ex ciño. Sr. Marques de;iranda:etiZa,tágoza á D. Francisco Escobercta, calle de la Sombrerería, del comerció''de' aquélla ciudad: en Valenda á D. • Alberto 1-gaaí de Igual, calle' de los Apóstoles, del comercio de la misma y.y «*£!*•’' . ciudad de l</t>
  </si>
  <si>
    <t>Escola, Joseph</t>
  </si>
  <si>
    <t>Joseph Escola</t>
  </si>
  <si>
    <t>sa, delude Górdoha, y á D. Joseph Gliver : í en el de Extremadura £ segundo;Subtenieiite &lt;ahCadete:,D. Joseph Escola :■ en el de las Ordenes Militares a .Sargento.seayor al Capitán de granaderos D. Joachin de Goyeneche ,, y á primer Teniente afGapítan de milicias de Sevilla D. Manuel de Vulnes :</t>
  </si>
  <si>
    <t>Escolar y Noriega, Manuel</t>
  </si>
  <si>
    <t>Manuel Escolar y Noriega</t>
  </si>
  <si>
    <t>.Sres. Barcia padre é hijo. En la Cortina....... D. Manuel Antonio Elzaurdí. En Cuenca............. D. Manuel Escolar y Noriega. En Granada.........D. Francisco de Unzaga. [En QuadaUtxara. D. Isidoro García Plaza. 'Éñjaen.............. D. Pedro Esponera. En León............. . D. Pedro Gil de Tejada. En Má</t>
  </si>
  <si>
    <t>......Sres. Barcia padre é hijo. En la Coruña....... I}. Manuel Antonio Elzaurdi. En Cuenca........ D. Manuel Escolar y Noriega. En Granada........ D. Francisco de Unzaga. En Guadalaxara. D. Isidoro García Plaza. jfí /z ............... B. Pedro Esponera. En León..... ......... D. Pedro Gil de Tejada. En Ma</t>
  </si>
  <si>
    <t>..... Sres. Barcia padre é hijo. En la Coruña....... D. Manuel Antonio Elzaurdí. En Cuenca......... D. Manuel Escolar y Noriega. Engranada........ D. Francisco de XJnzaga. En Guadalaxara. D. Isidoro García Plaza. En Jaén................D. Pedro Esponera. En León.,.......... . D. Pedro Gil de Tejada. En Mal</t>
  </si>
  <si>
    <t>es. Barcia padre é hijo. En la Coruña........ D. Manuel Antonio de Elzaurdi. En Cuenca............. D. Manuel Escolar y Noriega. En Granada......... D. Francisco de Unzaga. jEn Guadalaxara.. D. Isidoro García Plaza. En Jaén.................D. Pedro Esponera. En León................ D. Pedro Gil de Tejada.</t>
  </si>
  <si>
    <t>s. Barcia padre é hijo. En la Cor uña........ D. Manuel Antonio de Elzaurdi. En Cuenca... ......... D. Manuel Escolar y Noriega. En Granada......... D. Francisco de Uñzaga. En Guadalaxara.. D. Isidoro García Plaza. E11 Jaén.................D. Pedro Esponera. En León................. IX Pedro Gil de Tejada.</t>
  </si>
  <si>
    <t>Escolar y Noriéga, Manuel</t>
  </si>
  <si>
    <t>Manuel Escolar y Noriéga</t>
  </si>
  <si>
    <t>s. Barcia padre é hijo. En la Coruña........ D. Manuel Antonio de Elzaurdi. En Cuenca............ . D. Manuel Escolar y Noriéga. En Granada........ D. Francisco de Unzaga. En Guadalaxara.. D. Isidoro García Plaza. En Jaén.................. t&gt;. Pedro Esponera. En León.................. D. Pedro Gil de Tejad</t>
  </si>
  <si>
    <t>Escudero, Pedro</t>
  </si>
  <si>
    <t>Pedro Escudero</t>
  </si>
  <si>
    <t>á esta resulta al primer Subteniente D. Gabriel Serrano Barran das;á primer Subteniente al segundo D. Pedro Escudero ; y á segundo Subteniente al Cadete D. Ignacio de Lora y Cáceres: en el de voluntarios de Castilla á Capitán al primer Teniente D. Antonio Barona;á primer Teniente al segundo ee g</t>
  </si>
  <si>
    <t>Escuza, Domingo</t>
  </si>
  <si>
    <t>Domingo Escuza</t>
  </si>
  <si>
    <t>Ki Rey se ha servido nombrar para una Canongía de la catédral de Valladolid, vacante por muerte de D. Domingo Escuza, á D. Joseph García Nieto, Racionerode la misma iglesia: para otra Canongía de la catedral de Sigíienza, vacante por la promoción de D. Félix Ximenez á Ja Dignidad de Chantre de l</t>
  </si>
  <si>
    <t>Esearano, Joachín</t>
  </si>
  <si>
    <t>Joachín Esearano</t>
  </si>
  <si>
    <t>a catedral: para una .Canon gia de i a catedral de Zamora» vacante por muerte de D. Joseph Calvo» á D. Joachín Esearano: para otra de Ja de Guadix, vacante por fallecimiento de D. Pascual Ruiz, á D. Andrés de Anaya y Ribas: para una Ración del colegio de Sancti Spíritus de la ciudad de Santiago» va</t>
  </si>
  <si>
    <t>Eslava, Benito</t>
  </si>
  <si>
    <t>Benito Eslava</t>
  </si>
  <si>
    <t>Santiago de la ciudad de Darocar para una Canongía de la catedral de Tudela, vacante por muerte de Don Benito Eslava, á D. Juan Joseph del Olmo: para una Ración de la de Córdoba, vacante por fallecimiento de D. Ignacio Ximenez Arrutave, á D. Francisco de Armcnta y Godoy, Racionero electo de la m</t>
  </si>
  <si>
    <t>Espada Gallardo, Francisco</t>
  </si>
  <si>
    <t>Francisco Espada Gallardo</t>
  </si>
  <si>
    <t>Presumirá de la villa de la Fuente de Pedro Narro, que se halla vacante en la diócesis de Cuenca, á D, Francisco Espada Gallardo.</t>
  </si>
  <si>
    <t>España, Joseph</t>
  </si>
  <si>
    <t>Joseph España</t>
  </si>
  <si>
    <t>rerle,quien supiere de él avisará en Cádiz ai referido Di, Francisco , ó en dicha villa á su abuelo D. Joseph España, 6 á su tío JX Joseph Ber-¿ nardo Español, presbítero. - / Los subscriptores al Compendio de los libros históricos de la Sra- Biblia, dedicado á la Rey na Ñera. Sra. por el P. Sci</t>
  </si>
  <si>
    <t>Español, Francisco</t>
  </si>
  <si>
    <t>Francisco Español</t>
  </si>
  <si>
    <t>les de id., .sombrero redo¿d&lt;r* de copa baxa j hizo fuga el ií de Febrero de 1800 de casa de^su tío D. Francisco Español, vecino de Cádiz5 y no Sabiendo su paradero desde entonces, i fin de recogerlo ó socorrerle,quien supiere de él avisará en Cádiz ai referido Di, Francisco , ó en dicha villa á su</t>
  </si>
  <si>
    <t>Esparza, Cayetano</t>
  </si>
  <si>
    <t>Cayetano Esparza</t>
  </si>
  <si>
    <t>errero: en el de Navarra á Teniente Coronel al Comandante del tercer batallón, graduado de Coronel, D. Cayetano Esparza: en el de las Ordenes Militares á Capitán de granaderos al de fusileros D. Vicente Campos; á esta resulta al primer Teniente del de Toledo D. Bonifacio de Ribas, y á segundos Subt</t>
  </si>
  <si>
    <t>Espejo, Pedro Antonio</t>
  </si>
  <si>
    <t>Pedro Antonio Espejo</t>
  </si>
  <si>
    <t>te al segundo Subteniente del batallón de Voluntarios de Gerona D. Juan Bautista Sech. Al Brigadier D. Pedro Antonio Espejo, Sargento mayor de la Real Brigada de Carabineros, ha conferido S. M. la segunda Comandancia de dicho cuerpo. También ^e ha servido promover el Rey* en el regimiento de caballería</t>
  </si>
  <si>
    <t>Espigues y Martí</t>
  </si>
  <si>
    <t>de ;la orden de Santiago, Igualmente se ha servido el Rey conceder á D. J^sepli Espigues y Martí , vecino de la villa de Aguílente, Reyno de Valencia, título de Barón, con-la denominación de-Zafra , para St, sos hijos y sucesores; de que se le ha expedido el oportuno Real despadho *en</t>
  </si>
  <si>
    <t>Espinalt y Gar, Bernardo</t>
  </si>
  <si>
    <t>Bernardo Espinalt y Gar</t>
  </si>
  <si>
    <t>paña por Reynos y Provincias , con estamtica.— Quarenta y ocho estampas finas, que pas finas , por D. Bernardo Espinalt y Gar</t>
  </si>
  <si>
    <t>Espinosa de los Monteros, Joseph</t>
  </si>
  <si>
    <t>Joseph Espinosa de los Monteros</t>
  </si>
  <si>
    <t>ileros Dt Blas de Pinar y D. Joseph Zelaya : en el de Toledo á Capitán de cazadores al de fusileros D. Joseph Espinosa de los Monteros; á Capitán de fusileros al Teniente de cazadores D. Claudio de</t>
  </si>
  <si>
    <t>Espinosa, Antonio</t>
  </si>
  <si>
    <t>Antonio Espinosa</t>
  </si>
  <si>
    <t>el y de precio. Se hal’ará en la libreria de E.-crib?no, calle de las Carretas, y en la imprenta de D. Antonio Espinosa , calle del Espejo : se dará por resmas, medias y manos á razón de ¿o rs. ja resma. EN LA IMPRENTA REAL.</t>
  </si>
  <si>
    <t>Espinosa, Juan Francisco</t>
  </si>
  <si>
    <t>Juan Francisco Espinosa</t>
  </si>
  <si>
    <t>sa , este de granaderos, y, D. Juan ¡ Gallo , y i los’ Cadetes D. Joachín Albizu, D. Joseph Aballe, D. Juan Francisco Espinosa, delude Górdoha, y á D. Joseph Gliver : í en el de Extremadura £ segundo;Subtenieiite &lt;ahCadete:,D. Joseph Escola :■ en el de las Ordenes Militares a .Sargento.seayor al Capitán d</t>
  </si>
  <si>
    <t>Espinosa, Juan Joseph</t>
  </si>
  <si>
    <t>Juan Joseph Espinosa</t>
  </si>
  <si>
    <t>Dalmacio Masot y Sabater. En la Real brigada de Carabineros ha nombrado el Rey Teniente al Alférez D. Juan Joseph Espinosa. También ha nombrado S. M. para la Sargentía mayor de la ciudadela de Pamplona al Teniente Coronel I&gt;. Christóbal Cardona, Capitán del regimiento de dragones de Ahnansa* En Améric</t>
  </si>
  <si>
    <t>Espinosa, Matías</t>
  </si>
  <si>
    <t>Matías Espinosa</t>
  </si>
  <si>
    <t>.......... S38- 3°« Matías Espinosa... Tomas..... Josepha Ellera..... Villatnoronta. Carrion........... 6. 10, Joseph Galvan.... Joseph..... Rosalía Mendez... Xer,</t>
  </si>
  <si>
    <t>Espinosa, Pedro</t>
  </si>
  <si>
    <t>Pedro Espinosa</t>
  </si>
  <si>
    <t>ra de Buenos Ayres se ha servido el Rey promover á Capitanes £ los Tejientes E&gt;. Antonio Valcarce y D. Pedro Espinosa; á Temientes,i los .Alféreces D. Gabriel Hernández y D. Gabriel Casado, y á Alféreces al Cadete D. Nicolás Rodríguez Peña y al Sargento D. Juan Barragan. S. M. se ha servido nombr</t>
  </si>
  <si>
    <t>Espiros, Antonio</t>
  </si>
  <si>
    <t>Antonio Espiros</t>
  </si>
  <si>
    <t>....... 45. 10. Antonio Espiros... Henrique...... . Bal tasara Barral.» Barcia............Sto. Tomé de Mar</t>
  </si>
  <si>
    <t>Esponera, Pedro</t>
  </si>
  <si>
    <t>Pedro Esponera</t>
  </si>
  <si>
    <t>ada.........D. Francisco de Unzaga. [En QuadaUtxara. D. Isidoro García Plaza. 'Éñjaen.............. D. Pedro Esponera. En León............. . D. Pedro Gil de Tejada. En Málaga........... D. Antonio Mariano. En Murcia....... Sres. Moreda y LadalkL En Oviedo............. D. Manuel Rubiano. En Falen</t>
  </si>
  <si>
    <t>da........ D. Francisco de XJnzaga. En Guadalaxara. D. Isidoro García Plaza. En Jaén................D. Pedro Esponera. En León.,.......... . D. Pedro Gil de Tejada. En Malaga,,.,..... D. Antonio Mariano. j En Murcia.,,........ Sres. Moreda y Ladalid. . , En Oviedo..,,.......D. Manuel Rubiano. En</t>
  </si>
  <si>
    <t>........ D. Francisco de Unzaga. jEn Guadalaxara.. D. Isidoro García Plaza. En Jaén.................D. Pedro Esponera. En León................ D. Pedro Gil de Tejada. En Malaga............D. Antonio Mariano. En Murcia............. Sres. Moreda y Ladalid. En Oviedo.............. D. Manuel Rubiano.</t>
  </si>
  <si>
    <t>........ D. Francisco de Uñzaga. En Guadalaxara.. D. Isidoro García Plaza. E11 Jaén.................D. Pedro Esponera. En León................. IX Pedro Gil de Tejada. En Malaga............D. Antonio Mariano. En Murcia..............Sres. Moreda y Ladalid. En Oviedo.............. D. Manuel Rubiano</t>
  </si>
  <si>
    <t>Esque, Cayetano</t>
  </si>
  <si>
    <t>Cayetano Esque</t>
  </si>
  <si>
    <t>infantería de Nápples se ha servido S. M. promover á segundo Teniente al Subteniente*de granaderos D. Cayetano Esque</t>
  </si>
  <si>
    <t>Esquinas, Juan</t>
  </si>
  <si>
    <t>Juan Esquinas</t>
  </si>
  <si>
    <t>rgo de firme con intrepidez, sufriendo á quemaropa una descarga que hirió al Subteniente de Húsares D. Juan Esquinas, mató un sargento, 4 soldados y 6 caballos, é hirió un sargento de Borbon, 2 Carabineros de la Reyna María Luisa, J Húsares, y 7 caballos de estos tres cuerpos. La parte que estab</t>
  </si>
  <si>
    <t>Estala, Pedro</t>
  </si>
  <si>
    <t>Pedro Estala</t>
  </si>
  <si>
    <t>iagero universal, ó noticia del mundo antiguo y nuevo ¿ obra recopilada de los mejores viageros por D. Pedro Estala, presbítero. Quaderno 108, con el qual * concluye el tomo 35, y contiene la conclusión del viá£e á la Suiza, y principio del de Italia. Véndese á 4 rs. en la librería de Castillo,</t>
  </si>
  <si>
    <t>iagero universal, 6 noticia del mundo antiguo y nuevo j obra recopilada de los mejores viagéros por D. Pedro Estala, presbítero. Qóaá'ériió 109, que contiene la coh ti nuaclotí dé la Italia. Véndese á 4 rs. én la librería de Cástilló, frente á las gradas- dé .3. Felipe, en la de la viuda de Cer</t>
  </si>
  <si>
    <t>iagtro universal, ó noticia del mundo .antiguo y nuevo5 obra recopilada de los mejores viageros por D. Pedro Estala, presbítero. Quaderno no, quecontiene la continuación de la Italia. Véndese á 4 rs. en la librería de Castillo, frente á las gradas de S. Felipe, en la de la viuda de Cerro, red d</t>
  </si>
  <si>
    <t>iagero universal, ó noticia del mundo antiguo y nuevo $ obra recopilada dé los mejores víageros por D. Pedro Estala, presbítero. Quaderno, njJ, con que cónduyeeítomo ^7 ,ycontienelacontinuacion4elaItália.Vénde^;á'4 en la librería de CastillO j frente á las gradas de S.: Felipe, .en ?!*;.• de-:J</t>
  </si>
  <si>
    <t>age.ro universal, ó noticia del mundo antiguo y nuevo 1 obra recopilada de los mejores viageros por D. Pedro Estala, presbítero. Quaderno 1 ia, que contiene el Reyno de Ñapóles. Véndese á 4 rs. en la librería de Castillo, frente, á las gradas de S. Felipe, en la de la viuda de Cerro, red de S.</t>
  </si>
  <si>
    <t>agero universal, ó noticia del mundo, antiguo y nuevo) obra recopilada' de los mejores viagero* por D. Pedro Estala, presbítero. Quaderno 113, que contiene el viage á Sicilia. Véndese á 4 rs. en la librería de Castillo., frente á iat gradas de S. Felipe, en la de la viuda de-Cerro, red de S. Lu</t>
  </si>
  <si>
    <t>Viagiro universal, ó noticia del mundo antiguo y nuevo; obra recopilada de los mejores viageros por D. Pedro Estala, presbítero. Quaderno 114, que contiene la continuación de Ja Sicilia y Reyno de Nápoles, con el qual concluye el tomo 38. Véndese á 4 rs. en la librería de Castillo, frente á las</t>
  </si>
  <si>
    <t>Viagero universal, ó noticia del mundo antiguo y nuevo; obra recopilada de los mejores viageros por D. Pedro Estala, presbítero. Quaderno ng, que contiene la conclusión del viage de Italia. Véndese á 4 rs. en la librería de Castillo, frente á las gradas de S. Felipe, en la de la viuda de Cerro,</t>
  </si>
  <si>
    <t>agero universal, ónoti.cia del mundo antiguo y nuevo; obra recopilada . de.Ibs mejores viageros por D. Pedro Estala, presbíteros Quaderno 116, que constiene la descripción «fe Ja. Francia» Véndese i 4 rs. en&gt; la librería dé Castillo, «frente d -ias gradas de S. Felipe, en la de la viuda de Cerr</t>
  </si>
  <si>
    <t>gero universal , ó noticia del mundo antiguo y nuevo; obra recopilada de los mejores viageros , por D. Pedro Estala, presbítero. Suplemento al Egipto , quaderno i.° Véndese á 4 rs. en la librería de Castillo, frente á las gradas de S. Felipe , en la de la viuda de Cerro , red de S. Luís , y en</t>
  </si>
  <si>
    <t>agero universal , ó noticia del mundo antiguo y nuevo; obra recopilada de los mejores viageros, por D. Pedro Estala, presbítero. Quaderno «.° del primer Suplemento, que contiene las nuevas noticias que se han adquirido del Egipto , después de la conquista de los franceses. Véndese á 4 rs. en la</t>
  </si>
  <si>
    <t>gero universal , ó noticia del mundo antiguo y nuevo ; obra recopilada de los mejores viageros, por D. Pedro Estala, presbítero. Quaderno 3.0 con que concluye el primer tomo del Suplemento, y contiene la descripción del Reyno de Darfur, nuevamente descubierto en lo interior del Africa. Véndese</t>
  </si>
  <si>
    <t>Viagero universa!, ó noticia del mundo antiguo y nuevo} obra recopilada de los mejores visgeros por D. Pedro Estala , presbítero. Quaderno 4.0 del Suplemento, que contiene la descripción de la Siria. Véndese á 4 rs. en la librería de Castillo , frente á las gradas de S. Felipe ¿en la de la viud</t>
  </si>
  <si>
    <t>agero universal, ó noticia del mundo antiguo y nuevo: obra recopilada de los mejores Vis ge ros por D. Pedro Estala, presbítero. Quaderno g.° del Suplemento, que contiene la descripción dé la Siria. Véndese á 4 rs. en la librería de Castillo, frente á las gradas de S. Felipe; en la de la viuda</t>
  </si>
  <si>
    <t>del mundo antiguo y nuevo ; obra recopilada de los ^mejores vi» ge ros por D.; Pedro Estala , presbítero : quaderno y.° que contiene el suplemento á la Arabia y á la Turquía, continuándose este último en todo el tomo 3.0, qí'í será el penúltimo de estos suplementos, los quaies conclu</t>
  </si>
  <si>
    <t>agero universal , ó noticia del mundo antiguo y nuevo ; obra recopilada de los mejores viageros por D. Pedro Estala, presbítero: quaderno 8.° del suplemento, que contiene la continuación de la Turquía. Y énde6e á 4 rs. en la librería de Castillo, frente á las gradas de S. Felipe , en la de la v</t>
  </si>
  <si>
    <t>ro universal , Ó noticia del mundo antiguo y ¿nievo ; obra recopilada dé lós inéjo;res Viageros pbr D. Pedro Estala, presbítero: quaderno 9.0 del suplemento, con que concluye e! toúio 3.0 de los suplementos, y contiene la adido* 4 la Turquía. Véndese á 4 rs. en la librería de Castillo, frente í</t>
  </si>
  <si>
    <t>agero universal , ó noticia del mundo antiguo y nuevo ; obra recopilada de los mejores viageros por D. Pedro Estala, presbítero: quaderno xo con que empieza el tomo 4.0 y último de los suplementos, y contiene adiciones á la Grecia y á la Persia. Véndese á 4 rs. en la librería de Castillo, frent</t>
  </si>
  <si>
    <t>ticia del mundo antiguo y nuevo ; obra recopilada de los mejores viageros por D.Pedro Estala, presbítero: quadernos ti y 12, que contienan las adiciones á la Persia y á la India, y con ellos concluye el tomo 4.0 y último de los suplementos, con lo qual se da fin á toda la obra. El vi</t>
  </si>
  <si>
    <t>Estanislao Monroy</t>
  </si>
  <si>
    <t>de Sevilla , á D. Joseph Monroy, Alférez del regimiento de infantería de España , Don Tomas Monroy, D. Estanislao Monroy , colegial en el mayor de Salamanca , Don Francisco Monroy , presbítero , y á los hijos de Doña María Monroy, acudan ante el Alcalde mayor de la ciudad de Málaga , y escribanía de</t>
  </si>
  <si>
    <t>Estepa, Antonio</t>
  </si>
  <si>
    <t>Antonio Estepa</t>
  </si>
  <si>
    <t>nte de granaderos D. Medardo Ximenez de Bagues-,; á Subteniente de granaderos al primer Subteniente D. Antonio Estepa; á primer Subteniente al segundo ID. Blas Bielsu, y á segundo Subteniente al Cadete D. Joseph Narvaez: en -el de America á segundo Teniente al Subteniente de granaderos *D. Vicenr</t>
  </si>
  <si>
    <t>Estépan Mipgo</t>
  </si>
  <si>
    <t>r muerte de D. Pedro Cortijo, á Don TqsephCitiaeoyde Hijes: para otra, Vacante por fallecimiento de D. Estépan Mipgo,,i D. Bernardo Sánchez: para otra, vacante por muerte de D. Antonio Morales, á D. Juan Francisco Angel: para otra, vacante por fallecimiento de D. Manuel Medina, á D. Bruno Franci</t>
  </si>
  <si>
    <t>Estepar, Santiago</t>
  </si>
  <si>
    <t>Santiago Estepar</t>
  </si>
  <si>
    <t>que corren desde dicho dia : quien quisiere hacerla acudirá á la escribanía del número del cargo de D. Santiago Estepar. Por providencia del Sr. D. Luis Melendez y Bruna, del Consejo de S. M , Alcalde de su Real casa y corte, y por la escribanía de provincia de D. Juan Antonio Diaz Noriega , se ha</t>
  </si>
  <si>
    <t>ular. Ante el Sr. D. Juan Antonio Santa María , Teniente Corregidor de esta villa , y escribanía de D. Santiago Estepar, se están subastando imas casas en la cada de la Madalena con vuelta á la de las Urosas , propias de las memorias de la Sra. Marquesa de Aytona, números j8 , ip , ao, ai, «a y 23</t>
  </si>
  <si>
    <t>Estrada, Pedro</t>
  </si>
  <si>
    <t>Pedro Estrada</t>
  </si>
  <si>
    <t>ano Cevallós, D. Gregorio Alagon, D. Luis Vargas y D. Diego Orellana, y á Subtenientes de.bandera á D. Pedro Estrada, D. Diego de la Vaca y Don Bartolomé del Peso, también Sargentos primeros del mismo cuerpo: á Sargento mayor del dei Milicias urbanas de dragones de Quispicanchi al Capitán D. Her</t>
  </si>
  <si>
    <t>Estrada, Xavier</t>
  </si>
  <si>
    <t>Xavier Estrada</t>
  </si>
  <si>
    <t>imera clase de escultura. A D. Diego Vidiella;20 pesos por el premio de segunda clase, y 10 pesos á D. Xavier Estrada por el de tercera: 40 pesos á D. Joseph Sanz por el premio de la primara clase de arquitectura: 20 pesos á D. Ambrosio Lanzaco por el de segunda ciase: 15 pesos á D. Joseph Esteba</t>
  </si>
  <si>
    <t>EúcasUjiwñmieSi Arce</t>
  </si>
  <si>
    <t>dridvparaelDeanato delacafedraldeLeon, vacanteporfalle-*cimiento de D. Joseph del Pozo y Medino, ár D. EúcasUjiwñmieSi Arce¿ diano de Carballera, Dignidad de la catedral de Astorga; y para la Digni^ dad de Tesorero ¡de la catedral de Guadix, vacante por íallecimientode JosephDiaz Heredero,*1¿á D; Josep</t>
  </si>
  <si>
    <t>Eugenia Fernández</t>
  </si>
  <si>
    <t>anteriores á dicha archicofradia , en 1100 : otra casa, que pertenece í las obras pías fundadas por Doña Eugenia Fernandez, con fachadas á la plazuela de Dolores y del Gallo, en 79,400; y otra casa, perteneciente á la Real esclavitud del Santísimo Christo del Perdon , situada en la calle de Infantes ,</t>
  </si>
  <si>
    <t>Eugenia Sánz Calvo</t>
  </si>
  <si>
    <t>ino del puerto (según se avisó en Ja gazeta penúltima),’está endosado á nombre de Manuel Sanz Ruiz. Don Eugenia Sánz Calvo, uno de los sugstos á quien podrá remitirse, es vecino y del J comercio de Segovia,’ y no de Sigüenzá , corno se dixo equivocadamente. 4* í; 7i Por la audiencia del Sr. D. Jüan An</t>
  </si>
  <si>
    <t>Eugenio de la Calera</t>
  </si>
  <si>
    <t>vale Real de 300 pesos , creación de i.° dé Mayo , rúm. 444,780 , con la primera firma en blanco de D. Eugenio de la Calera, sin mas endoso. El sugeto en cuyo poder se hallare lo entregará en Cádiz al citado Calera, en Madrid á D. Francisco de Villaluení ga , ó en Sevilla á D. Francisco Pifia). Por pro</t>
  </si>
  <si>
    <t>Eugenio Muría Ycbra</t>
  </si>
  <si>
    <t>regado t.-n esta clase D. Juan O-Donoju y O-Rian; y á Capitán en ti de Numancia á su caballero Page D. Eugenio Muría Ycbra. S. M. ha conferido el empico de Coronel del regimiento provincial de Truxiílo á D. Diego Carv. jal Roco de Godoy, Teniente Coronel del misal» cuerpo; la Subtenencia de cazadores</t>
  </si>
  <si>
    <t>Eugenio Recuenco</t>
  </si>
  <si>
    <t>pez de Arroyabe, á í&gt;. Joseph Joachín Beltran: para la Chantría, que este de-? xa, al Maestrescuela D. Eugenio Recuenco i para la Maestrescolía al Tesorero D. Francisco Xavier López; y para la Tesorería á Dv. Joseph María S. Martin , Cura de la misma catedral. Igualmente para el Gorregimi ento del</t>
  </si>
  <si>
    <t>ey se ha servido nombrar para la Chantría de la catedral de Comayagua, vacante por fallecimiento ae D. Eugenio Recuenco, á D. Pedro Albino Mexía: para el Arcedianato vacante en la metropolitana de Manila, en las Islas Filipinas, á D. Francisco Díaz Durana; para la Chantría, que este dexa, al Maestr</t>
  </si>
  <si>
    <t>Eugenio Roldan</t>
  </si>
  <si>
    <t>ampo, calla de Alcalá, y de Escribano, calle de las Carretas. Varias obras de música compuestas por D. Eugenio Roldan , ingeniero cosmógrafo: parte de ellas forman ahora la 3.* entrega , que consta de 3 sonatas para guitarra con acompañamiento de violin y violoncelo, 6 minuetes, 6 contradanzas y</t>
  </si>
  <si>
    <t>Eugenio Sanz Calvo</t>
  </si>
  <si>
    <t>hubiese encontrado Jo presentará en Madrid en el mesón del Peyne á Manuel Moras Ruiz,en Sigüenza á D. Eugenio Sanz Calvo, dei comercio, en Valladolid á D. Manuel Ruiz Picado, ó en Falencia i D. Joseph Tomé de Córdoba. Por providencias del Sr;. D. Juan Antonio Santa María, y escribanía del nú</t>
  </si>
  <si>
    <t>Eugenio Torre</t>
  </si>
  <si>
    <t>............ 46, 7, Cabo a ° Eugenio Torre............... Juan.......... ..... Josepha Ruiz.,.....Sta, Cecilia... Burgos........... 101. 7. Mariano Box:...... Francisco... .., FranciscaXimenezAyerve,......... Huesca..</t>
  </si>
  <si>
    <t>Eulogio de Arguelles y Gas</t>
  </si>
  <si>
    <t>idad de la catedral de Ciudad-Rodrigo, y para la Canongía de la misma, vacante por fallecimiento de D. Eulogio de Arguelles y Gas, á D. Santiago Basarrate y Eguia, pensionando el expresado Arcedianato en 4© rs. anuales á favor de la Real capilla : para la Dignidad de Chantre de la catedral de Jaca, que obten</t>
  </si>
  <si>
    <t>Eulogio Marín del Campo</t>
  </si>
  <si>
    <t>de S. Pedro de la villa de Sta. Olalla,- en el arzobispado de Toledo, vacante por fallecimiento de D. Eulogio Marín del Campo, á DonDiego Martin Romo, Cura propio-de la misma iglesia parroquial: para; otro Beneficio de Hebdomadario de la colegiata de la ciudad de S. Felipe, diócesis de Valencia,, á D. Fr</t>
  </si>
  <si>
    <t>Eusebio Herrera</t>
  </si>
  <si>
    <t>r Calatayud, ha nombrado el Rey á D. Antonio de Zayas, Alférez de ella: para esta resulta al Exento D. Eusebio Herrera : para el Bastón de Exento de numero, que este dexa, al supernumerario D. Gerónimo de Roxas; y ha concedido S. M. graduación y antigüedad de Alférez, con sueldo de tal y mando sob</t>
  </si>
  <si>
    <t>Eusebio María Ferrer</t>
  </si>
  <si>
    <t>que fundó D. Pedro Valle de la Cerda; Don. Francisco Rico, vecino de Madrid, y en su representación D. Eusebio María Ferrer, vecino también de esta villa; D. Ramón Francisco de la Palma, vecino de Toledo, como poseedor de los mayorazgos que fundáron D. Francisco Abarca Maldonado y Doña Agustina Suarez,</t>
  </si>
  <si>
    <t>Eustaquio Moreno, Joseph</t>
  </si>
  <si>
    <t>Joseph Eustaquio Moreno</t>
  </si>
  <si>
    <t>r. Arzobispo de Sebasto D. Mateo Delgado y Mo_reno, Abad de S. Ildefonso: sus padrinos el limo. Sr. D. Joseph Eustaquio Moreno, del Consejo y Cámara de Castilla, y el Exc. Sr. Marques de Villafjranca. Al limo. Sr. D. Buenaventura Moyano, Obispo de Sebastópolis, ¡Auxiliar de Toledo: padrino el cabildo de l</t>
  </si>
  <si>
    <t>vemente. Tpji Madrid 8 de Mayo. . Un atención á los distinguidos méritos y ser-vicios del Exc* $r.&lt; D. Joseph Eustaquio Moreno* Gobernador del Consejo Real , ha venido S. M. en conferirle la Colecturía general de Espedios y Vacantes , y darle hoiu&gt;» res de su Consejo de Estado. En el Real cuerpo de artill</t>
  </si>
  <si>
    <t>Eustasio Sáenz de Arellano</t>
  </si>
  <si>
    <t>o el 22 del presente mes en la audiencia del Sr. D. Juan Antonio Santa María , por la escribanía de D. Eustasio Saenz de Arellano, á las 12 de su mañana. En la Real aduana de la ciudad de Pontevedra ;se halla detenido un sobornal ó zurrón de grana, registrado en Veracruz el año próximo pasado por D. Jo*eph A</t>
  </si>
  <si>
    <t>Evaristo Sanz</t>
  </si>
  <si>
    <t>oseph Cortines; habiendo también nombrado S. M. Capellán del de infantería de Granada al presbítero D. Evaristo Sanz. La villa de la Mota del Marques, en la provincia de Vallado lid, á consulta del Real y supremo Consejo de Castilla, ha obtenido de S. M. permiso para poder celebrar un mercado el</t>
  </si>
  <si>
    <t>Eximeno, Antonio</t>
  </si>
  <si>
    <t>Antonio Eximeno</t>
  </si>
  <si>
    <t>6 rs. en rústica ; y se continúa. pel á x8 rs. cada tomo. Los Enamorados, ó Qaiatea y sus boDuda de D. Antonio Eximeno sobre el das , historia pastoral comenzada por Miguel Ensayo fundamental práctico de contra­ de Cervantes Saavedra , abreviada después y punto del P. Marti ni ; traducida del ital</t>
  </si>
  <si>
    <t>Eyben</t>
  </si>
  <si>
    <t>nformes en todo á la declaración del Rey de Prusia de 30 de Marzo.__ El Cancillery Consejero íntimo Mr. Eyben se ha puesto en camino para Ratzburgo, á fin de conseguir que en aquella ciudad se admitan pacíficamente las tropas prusianas que deben ocuparla. Ratisbona € de Abril. V arios Min</t>
  </si>
  <si>
    <t>F-erris, Capitán</t>
  </si>
  <si>
    <t>Capitán F-erris</t>
  </si>
  <si>
    <t>os del. BáRfoq? -^téMéb'^íVeíes ra yinéses. •: ni- ■ • m ¡¿í.l íh oício1p&lt;Í ^ £í\£M so n nr-'c ^ El Capitán F-erris, que mandabaél návíoAnibalapréékdoeilel combad te de Algecíras, ha vuelto aquí éii calidad dé píisioneró dé' gdéírr?. &gt;lJ ; Está nombrado eLTéniente General Henriqtfé EduápdéFÓx p</t>
  </si>
  <si>
    <t>Fabian Lorente</t>
  </si>
  <si>
    <t>: , de 2.0 los Bachilleres en Leyes D. Rafael Bos, D. Christóbal Douden y D. Antonio Séta; y de i.° D. Fabian Lorente, D. Francisco Oteiza, Don’ Benito Sánchez y D. Francisco Bergcz, exercitando estos últimos sobre la ' doctrina de las Instituciones, ilustrada con las aplicaciones ménos difíciles</t>
  </si>
  <si>
    <t>Fabián Lorente</t>
  </si>
  <si>
    <t>sobre la - junta de mejoras, propuesta por D. Bernardo Ward, y de la policía supé• rior é inferior: D. Fabián Lorente sobre H/propiedad y precio de las cosas: D- Francisco Oteiza sobre las artes primitivas; explicando también 4ós -.preliminares de la ciencia político-económica, e indicando sus ci</t>
  </si>
  <si>
    <t>Fabian Martínez</t>
  </si>
  <si>
    <t>.......... 168. ai, Fabian Martínez.. Domingo... ... Rosa Fernandez... Piñera en Asturias...... . Idem. 84. 34. Diego Hernández. Miguel....... ... Cristina Grande... Tornadizos.... A</t>
  </si>
  <si>
    <t>Fabregas, Marcos</t>
  </si>
  <si>
    <t>Marcos Fabregas</t>
  </si>
  <si>
    <t>arias.............. Marcos Fabregas........ . Marcos y Ana Pillandon........... Monferer en el Rosellon....... 44</t>
  </si>
  <si>
    <t>Fabresa, Juan</t>
  </si>
  <si>
    <t>Juan Fabresa</t>
  </si>
  <si>
    <t>on.......... 9. aj. Juan Fabresa............ Joseph y María Fabresa.............. Id. en id.......... P- *3. Antonio Rocache.,.,... Domingo y María Fibras........... Fenollet en id.. 40. afl. Joseph Viles</t>
  </si>
  <si>
    <t>Facuhdo Ibañéz</t>
  </si>
  <si>
    <t>-' mer Subteniente al; segundo : Dh Manuel Espaiolero, &lt;y¡á segundó Subteniente al Sargento primero D. Facuhdo Ibañéz: en el de León á Sargento mayor al agregado en esta clase al de Zamora, graduado de Teniente Coronel, D. Martin González; de Menchaca; en: el de .Asturias á Capitán al Ayudante, d</t>
  </si>
  <si>
    <t>Fairfax, Almirante</t>
  </si>
  <si>
    <t>Almirante Fairfax</t>
  </si>
  <si>
    <t>comandante al V ice-AI mirante Lord Nelson, que debía ir. alMediterraneo, , y por tercero al Contra-Almirante Fairfax. „ : , v ' 'AcaB'a de permitir éste gobierno la libre introducción y extracción de</t>
  </si>
  <si>
    <t>Faklemberg</t>
  </si>
  <si>
    <t>ción muy reñida entre dicho Ministro y el de aquel Electorado. Ni Mr, Hugel, Comisario imperial, ni Mr. Faklemberg, Enviado austríaco, llamados por mediadores, quisieron tomar parte en su desavenencia. Francfort 2/ de Setiembre. N o menos la corte de Prusia que la de Saxonia están en ánimo de</t>
  </si>
  <si>
    <t>Falcon y Aguilar, Manuel</t>
  </si>
  <si>
    <t>Manuel Falcon y Aguilar</t>
  </si>
  <si>
    <t>in Gura de la parroquial de Santiago de Arcade, en el obispado de Tuy, vacante por fallecimiento de D. Manuel Falcon y Aguilar, á D. Francisco Mazon de Solares; y para el Beneficio de la parroquial de la villa de Iznatoraf, en la diócesis de Jaén, vacante por muerte de D. Pedro López Román, á D* Pedro Jos</t>
  </si>
  <si>
    <t>Faleen, Fernando</t>
  </si>
  <si>
    <t>Fernando Faleen</t>
  </si>
  <si>
    <t>raviado una letra girada por la tesorería de Canériss contra !• tesorería mayor deS. M., á favor de D. Fernando Faleen, presbítero, residente en Madrid ¿ la persona que supiere de.ella avisará á dicho interesado, casi del ^vSr. Marq«,i«sde;Castromontft, á la puma de Fnentarrai. Por la audiencia de</t>
  </si>
  <si>
    <t>Falques, Joseph</t>
  </si>
  <si>
    <t>Joseph Falques</t>
  </si>
  <si>
    <t>Fulgosio: en el de Soria á igual empleo al Sargento mayor de el del Príncipe, graduado de Coronel, D. Joseph Falques: en el de Bárgos á Comandante del tercer batallón ai Sargento mayor del de infantería de la Reyna D. Félix Martines: en el de las Ordenes Miiitares y Ñapóles también á Comandantes</t>
  </si>
  <si>
    <t>Farfan de los Godos, Joachín</t>
  </si>
  <si>
    <t>Joachín Farfan de los Godos</t>
  </si>
  <si>
    <t>para el Beneficio de la villa de Cañete la. Real, en la diócesis de Sevilla, vacante por muerte de D. Joachín Farfan de los Godos, á D. Bernardo.Ruiz de Mendoza. En los regimientos provinciales ha conferido el Rey en el de Mondoñedo Compañías de fusileros á los Tenientes de cazadores y granaderos D. Joseph P</t>
  </si>
  <si>
    <t>Farré y Quares, Francisco</t>
  </si>
  <si>
    <t>Francisco Farré y Quares</t>
  </si>
  <si>
    <t>tes D. Joseph de la Puebla y D. Joseph Muñoz de la Torre: y á Capellán de este cuerpo al presbítero D. Francisco Farré y Quares. También en el regimiento de caballería del Príncipe se ha servido el Rey promover á segundos Tenientes á los Alféreces D. Cirios Lanzarote, Don Ildefonso Quintana y D. Francisco</t>
  </si>
  <si>
    <t>Farreé, Gerónimo</t>
  </si>
  <si>
    <t>Gerónimo Farreé</t>
  </si>
  <si>
    <t>............ 36. 4, Gerónimo Farreé......... Juan y Ines Viguna .................... Castelnpu en id. gg. 10. Esteban Carcasona;..... Juan y Margarita Camia.......... Puüestras en id. 81. a&lt;?. Fraqci,scp.</t>
  </si>
  <si>
    <t>Farrera, Antonio</t>
  </si>
  <si>
    <t>Antonio Farrera</t>
  </si>
  <si>
    <t>s dé ia santa iglesia de Burgos-: para otra Cañonería de la colegial de Tremp, diócesis de Urgel, á D. Antonio Farrera: para una Ración de la catedral de Avila , vacante por promoción de DonIgnacio de la Madrid á otra de la de Málaga , á D. Fernando Perez de Agüeros* para otra Ración de. la parroq</t>
  </si>
  <si>
    <t>Farrich, Claudio</t>
  </si>
  <si>
    <t>Claudio Farrich</t>
  </si>
  <si>
    <t>ellon....... 14. p. Claudio Farrich............ Claudio y Rosa Farrich............ Perpiínr........... 4$. aa. Juan Daunis................ Joseph y Mariana Benacet........ S. Lcienzo de</t>
  </si>
  <si>
    <t>Faurifío, Estéban</t>
  </si>
  <si>
    <t>Estéban Faurifío</t>
  </si>
  <si>
    <t>lon...... .. n. ay, Estéban Faurifío............ Bernardo y Rosa Salías............. Noedas................ 31 n, Juan Cariol............... Vicente y Ana María Carabasa. S. Feliu en el</t>
  </si>
  <si>
    <t>Faustina Ladrón de Guevara, María</t>
  </si>
  <si>
    <t>María Faustina Ladrón de Guevara</t>
  </si>
  <si>
    <t>da; el Sr. D. Joseph Ladrón, Teniente General de los Reales exércitos , vecino de Madrid, y la Sra. Doña María Faustina Ladrón de Guevara, su muger; el Sr. D. Gaspar de Bardales, del Consejo de S. M. en el de Hacienda , como poseedor del mayorazgo que fundó D. Pedro Valle de la Cerda; Don. Francisco Rico, vecino de</t>
  </si>
  <si>
    <t>Faustino Branet, Pedro</t>
  </si>
  <si>
    <t>Pedro Faustino Branet</t>
  </si>
  <si>
    <t>D. Pedro Faustino Branet: para la Chántrtíi qtié esté dexa en la misma iglesia al Maestrescuela D. Joseph Joachirt Chacón : para la Maestfescolia? al Canónigo D. Manuel de Salazar: para la Canongía al Rac</t>
  </si>
  <si>
    <t>Faustino del Rio Vitlareal</t>
  </si>
  <si>
    <t>cindad, falleció el 6 de Enero de este año á los tres meses y medio de su embarazo; sabido este por D. Faustino del Rio Vitlareal, Cirujano titular y partidario de esta villa, lo comunicó al Cura Rector de ella D. Ignacio Bernardo López, quien hizo que luego que muriese avisasen los asisten-* tes para que po</t>
  </si>
  <si>
    <t>Faustino Manuel Martínez</t>
  </si>
  <si>
    <t>s de Bureau y D. Joachin de Ezpeieta: en el de infantería de España á segundo Subteniente al Cadete D. Faustino Manuel Martínez: en el regimiento de granaderos Voluntarios de Estado á primer Teniente al segundo D. Joseph Casadavante y Ézpeleta; á esta resulta al Subteniente D. Luis Rengifo; y ha concedido</t>
  </si>
  <si>
    <t>Fausto Juara y Sánz</t>
  </si>
  <si>
    <t>en la clase de sobresalientes D. Ramón Garces de Marcilla, D. Vicente Royo, alumnos de quarto año; D. Fausto Juara y Sánz, de tercer año, y D. Manuel Luis de Septien, D. Andrés Soulié, D. Ramón Mateo, D. Antonio y D. Isidoro Capilla, de primer año; y en la clase de buenos D. Rafael Bos Campesino, de</t>
  </si>
  <si>
    <t>Fcli</t>
  </si>
  <si>
    <t>lla de Santorcaz , en la misma diócesis de Toledo, vacante por muerte de D» Joseph R*mon Sánchez, i D, Fcli</t>
  </si>
  <si>
    <t>Fdzquez, Francisco</t>
  </si>
  <si>
    <t>Francisco Fdzquez</t>
  </si>
  <si>
    <t>escrita en francés por Mr. Anquetil, Miembro de varios Cuerpos literarios, / traducida por el Padre Don Francisco Fdzquez, Clérigo Reglar de S. Cayetano, y Lector de Teología. T lectura de la Histeria Universal en toda su extensión sería ja insoportable á la memoria y aun á las fuerzas de lá mayor pa</t>
  </si>
  <si>
    <t>Febrero, Joseph</t>
  </si>
  <si>
    <t>Joseph Febrero</t>
  </si>
  <si>
    <t>Dávila, calle de 1 s Carretas. Febrero reformado y anotado , ó Librería de Escribanos, que compuso D. Joseph Febrero, y ha reformado en su ler.guage, estilo, método y mu'has doctrinas, ilustrándola y enriqueciéndola con varias notas y adiciones, para lo que se han tenido presentes las Reales órd</t>
  </si>
  <si>
    <t>Federic y Auge, Andrés</t>
  </si>
  <si>
    <t>Andrés Federic y Auge</t>
  </si>
  <si>
    <t>i Subteniente de granaderos D. Francisco Ordoñez; á Subteniente de granaderos ai primer Subteniente D. Andrés Federic y Auge; á primer Subteniente al segundo D. Ildefonso Suarez, y á segundo Subteniente al Sargento primero de granaderos D. Esteban Alvarez: en el de Borbon á segundo Subteniente al Sargen</t>
  </si>
  <si>
    <t>Federico de Hesse, Príncipe</t>
  </si>
  <si>
    <t>Príncipe Federico de Hesse</t>
  </si>
  <si>
    <t>ciudad en nombre del Rey de Dinamarca. Dos diputados- del Senado saliéron á presentar las llaves al Príncipe Federico de Hesse, hijo •del Principé Cárlos, quien tomó posesión de la ciudad con 3© hombres. El mismo dia el Capitán Príncipe de Wáideck ai frente de dos compañías, entró en Bergedorff, que es.un</t>
  </si>
  <si>
    <t>Federico Hackenhergerj</t>
  </si>
  <si>
    <t>anaderos D. Antonio Cabnnety ,. D. Francisco Teobaído Chichera y ai Ayudante, graduado de fcapitan, D. Federico Hackenhergerj á Teniente de granaderos al de fusileros D. Llris Richenbach, y á grado de^Cagitan al Ayudante m^s antiguo del mismo cuerpo D. Luis Gógelf./ También en el regimiento de caballería</t>
  </si>
  <si>
    <t>Federico Montágue, Lord</t>
  </si>
  <si>
    <t>Lord Federico Montágue</t>
  </si>
  <si>
    <t>letras: empleó vacante én la universidad'de' Edimburgo por mñer¿ te del célebre Dr.,Hugo Blair. El Lord Federico Montágue irá quanto antes á tomar el mando de una, división de tropas.del exército de Egipto^ El Lord Hobart en la Cámara de los Pares , y Mr, Addington en la de los Comunes, presentaron a</t>
  </si>
  <si>
    <t>Federico Mpreti</t>
  </si>
  <si>
    <t>rtukir.i, á; 30 rs. : 6 minuetes á dos vio!ines con sus trios, á 8xs.} y un dúo para guitarra^* por D. Federico Mpreti ¿ú 16 rst f f ^ !* ;*■ * SUPLEMENTO</t>
  </si>
  <si>
    <t>Federico Tonnies, Juan</t>
  </si>
  <si>
    <t>Juan Federico Tonnies</t>
  </si>
  <si>
    <t>Don Helivig Gerónimo Luis Tonnies falleció en Cádiz el dia 11 de Setiembre del año último: su padre D. Juan Federico Tonnies, residente en Hamburgo, aunque no tenia conocimiento del estado de los negocios que giró su difunto hijo, aceptó previamente la herencia con beneficio de la ley é inventario j y.á</t>
  </si>
  <si>
    <t>Federowna, Ana (duquesa)</t>
  </si>
  <si>
    <t>Duquesa Ana Federowna</t>
  </si>
  <si>
    <t>stro de Rusia Barón de Krudner marchó de aquí el día 21 para Custrin, adonde va á recibir á la Gran Duquesa Ana Federowna, esposa dei Gran Duque Constantino, qúe salió de Petersburgo el 13 de Julio para visitar á su madre la Princesa heredera de Saxonia Coburgo, que se halla peligrosamente enferma. L</t>
  </si>
  <si>
    <t>Fedro González Calderón</t>
  </si>
  <si>
    <t>alguna persona quisiere hacer mejora, á lo menos en la quarta paite de su remate^acüda ante el Sr. D. Fedro González Calderón, y éseribánía del número de D, Gervasio Fernandez Izquierdo en el término-de 3c dias. Quien quisiere hacer postura á varios pedazos de tierra sitos en el término del lugar de Maja</t>
  </si>
  <si>
    <t>Feld-Maraca, General</t>
  </si>
  <si>
    <t>General Feld-Maraca</t>
  </si>
  <si>
    <t>abasto ele las tropas 3 que por decretos de 25 de Agosto y 23 de Setiembre componen los cuerpos del General Feld-Maraca! Conde Sokukow, cerca de Witebsc, del General de infantería Goíonitschew-Kutusow cerca de Wladimir, y del General de caballería Conde de Pahlen, cerca de Brzesc en Lithuania. f s</t>
  </si>
  <si>
    <t>Feld-Mariscal Conde de Soltickow, General</t>
  </si>
  <si>
    <t>General Feld-Mariscal Conde de Soltickow</t>
  </si>
  <si>
    <t>isminuirlo, según lo exijan las dependencias que tuviere que despachan Por ahora estan nombrados el General Feld-Mariscal Conde de Soltickow, los Generales de infantería Príncipe y Conde Subow, el Vice-Canciller Príncipe Kurakin, el Vice-Presidente del Consejo de guerra Lamba, el General de infantería y Procurador gene</t>
  </si>
  <si>
    <t>Feld-Mariseal Príncipe Repnin, General</t>
  </si>
  <si>
    <t>General Feld-Mariseal Príncipe Repnin</t>
  </si>
  <si>
    <t>al: „En prueba del particular aprecio que hacemos de les servicios militares y civiles del difunto. General Feld-Mariseal Príncipe Repnin , y de sus virtudes cívicas y privadas así en tiempo de paz como de guerra, y no menos en la corte que en su retiro: deseando acreditar que los*verdaderos servidos jamas mueren, s</t>
  </si>
  <si>
    <t>Feliciano Candía</t>
  </si>
  <si>
    <t>menez Lobaton; á Tenientes de fusilerós á los Subtenientes D. Mariano González, D. Bernardo Flores, D. Feliciano Candía, D. Bernardino Fañola, D. Pedro Moralesy al paisano D. Juan Joseph de, OJaneta; á Subteniente de granaderos á.D. Buenaventura Morales ;.á Subtenientes de fusileros á los Sargentos</t>
  </si>
  <si>
    <t>Feliciano Guizaburuaga</t>
  </si>
  <si>
    <t>de Nuoya-España,. se, ha* servido &gt;&amp;. M. conceder los ascensos regulares i D. Deogracias Cardenal, D. Feliciano Guizaburuaga y D. Joseph Acevedo Villaroel; y para la ultima, de: Oficial duodécimo, que se ha dividido en dos medias por ahora, se ha dignado el Rey nombrar á D. Francisco Xavier de Amestoy y D.</t>
  </si>
  <si>
    <t>Felicitas, María (princesa)</t>
  </si>
  <si>
    <t>Princesa María Felicitas</t>
  </si>
  <si>
    <t>itanas, que eran las únicas fuerzas navales que había en nuestros puertos. T Roma 28 de Abril. JL¿a Princesa María Felicitas, tia del Rey de Cerdeña, que se detuvo algún tiempo en Ñapóles á causa de enfermedad, ha llegado aquí y se presento alisto. Padre, quien poco después le pagó la visita en el palac</t>
  </si>
  <si>
    <t>llegado á Roma, *en donde se halla toda la familia sarda.__ Está muy enferma en aquella capital la Princesa María Felicitas, tia del mismo Soberano. Según noticias de Liorna y Genova los ingleses recorren todo el Mediterráneo en términos que es casi imposible que llegue una embarcación de Egipto á Fran</t>
  </si>
  <si>
    <t>ad les ha obsequiado con un gran convite que les dio a bordo de una corbeta. . Ha muerto en Roma la Princesa María Felicitas, tia del Rey de Cerdeña. L la misma ciudad ha llegado desde Ñapóles el Príncipe ruso Czartoriski, y no tardará en salir de allí para Petersburgo. Dícese que todas las personas dep</t>
  </si>
  <si>
    <t>fecto. Roma 2 de Junto. E 1 28 de! mes ú’timo asistió el Rey de Cerdeña á las exéquias de su tía la Princesa María Felicitas, y el Papa fue el propio dia á darle el pésame. La misma noche llegó de París un extraordinario despachado por el Ministro de Rusia con pliegos para dicho Soberano, quien después</t>
  </si>
  <si>
    <t>Felipe Martín</t>
  </si>
  <si>
    <t>or suerte, y de satisfacer después á las preguntas hechas por los examinadores: el dia i.° exercitó D. Felipe Martin sobre aritmética, y Don Ramón Garces sobre álgebra : el dia 2.0 D. Alberto Soler sobre la trigonometría plana, y D. Juan Antonio Comat sobre geometría: el día 3.? D. Gaspar Ornos</t>
  </si>
  <si>
    <t>Femando de Wurtemberg, Príncipe</t>
  </si>
  <si>
    <t>Príncipe Femando de Wurtemberg</t>
  </si>
  <si>
    <t>De aquí ha salido para Petersburgo el Príncipe Femando de Wurtemberg, Gobernador de esta capital. En Venecia se ha publicado un aviso por el qual se previene que todos -los vasallos de S. M. I. en aquellos^nuevos estados dirijan sus pretensiones y</t>
  </si>
  <si>
    <t>Fenateu, Francisco</t>
  </si>
  <si>
    <t>Francisco Fenateu</t>
  </si>
  <si>
    <t>n id....... £0. 30. Francisco Fenateu.. .... Pablo y, María Rocía.... . Condiex en id.. 60. 30. Juan Otasa................. Juan y Engracia Rulen.........</t>
  </si>
  <si>
    <t>Ferhandó Caúiacho</t>
  </si>
  <si>
    <t>de la catedral dé* Sita; Fe de Bogotá, que ha resultado vacáhté por muerte de D. Lorenzo Várgas, i D. Ferhandó Caúiacho, Racionero de la misma iglesia. Ha. mandado S. M. que la feria de Mayrena del Alcor se celebre este año lo mismo que en los anteriores, dando principio el dia 25 del corriente, me</t>
  </si>
  <si>
    <t>Feria y de Valdelirios</t>
  </si>
  <si>
    <t>s urbktós^dé eáballerrá dé ‘HuaUríá á 0.1 Gispáir ll^dé1 Albofrib^ yJMdrqáéS de Feria y de Valdelirios, Coronel agregado qhé erá ál de milicias de hifantétfa Ae fibamanga: la Comandancia 'del tet* cef tésqnadrtín dél? de milicias ürbanás de drágohefs de' Magés' al 'Sargenta niáybr ■ FÉiipéA</t>
  </si>
  <si>
    <t>Fermín Alonso</t>
  </si>
  <si>
    <t>............ 8$ 2$. Fermín Alonso.... Baltasar....... . María Alonso..... Muereyes..... Burgos.............. ai, 6, Gaspar Garrido... Esteban...... .» Manuela Fernan-</t>
  </si>
  <si>
    <t>Fermín de Labiano, Martín</t>
  </si>
  <si>
    <t>Martín Fermín de Labiano</t>
  </si>
  <si>
    <t>tica í traducidos del griego de Ni cocí és con notas por el Abate Mably, y al castellano por el Dr, D. Martin Fermín de Labiano, presbítero: nueva edición muy corregida. Esta obra trata de la materia mas importante á los hombres: se eleva hasta los principios inas fundamentales de la política, y prueba que</t>
  </si>
  <si>
    <t>Fermín García, Manuel</t>
  </si>
  <si>
    <t>Manuel Fermín García</t>
  </si>
  <si>
    <t>r y Don Francisco Arce: a Subtenientes de compañía al de bandera D. Joseph Portocarrero , al Cadete D. Manuel Fermín García y al Sargf nto primero Don Martin Lagasca;y á Subtenientes de bandera á los Cadetes D. Placido Duro y D. Vicente Abad, y ál Sargento primero D. Joachín lima. Igu Imente, para el Cor</t>
  </si>
  <si>
    <t>Fermín Joseph Fuero</t>
  </si>
  <si>
    <t>S. M. se ha servido nombrar para el Obispado de la catedral de Chiapa, vacante por fallecimiento de D. Fermín Joseph Fuero, á D. Ambrosio de Llano, Dignidad de Tesorero de la de Guatemala; y. para el de Sta. Marta, vacante por renuncia hecha de él por D. Juan Francisco Avendaño, al R. P. Fr. Eugenio d</t>
  </si>
  <si>
    <t>Fermin Mariano Ramírez y Pizarro, Juan</t>
  </si>
  <si>
    <t>Juan Fermin Mariano Ramírez y Pizarro</t>
  </si>
  <si>
    <t>ija, Ciudad Rodrigo, Toro, Laredo y Valladoüd á D. Francisco Ruano Calderón, D. Miguel Ruiz Jurado, D. Juan Fermin Mariano Ramírez y Pizarro, D. Mariano Muñoz y Basanta, D. León de Billota y D. Manuel María de Arzalaya. El Consejo 1 consulta de la Comisión gubernativa, y con aprobación da S. M., ha acordado la vigésima</t>
  </si>
  <si>
    <t>Fern</t>
  </si>
  <si>
    <t>os comisionados siguientes. En Alicante......... D. Juan Casou y compañía. En Avila................ D. Fern ando de Eche pare. En Badajoz........... D. Manuel de la Peña. En Barcelona»...... D. Ramón de Llordella é hijo. En Burgos............. D. Andrés Fray le. En Cádiz...............</t>
  </si>
  <si>
    <t>Fern, Juan</t>
  </si>
  <si>
    <t>Juan Fern</t>
  </si>
  <si>
    <t>. Juan Manuel Chavarría: para unja. Capellanía de la catedral de Pamplona, vacante por promoción de D. Juan Fern^ia de Oteyza y Larrayoz al Arccdianato de Valdeaybar, Dignidad de aqueila catedral, á D* Pedro Izquierdo: para un Benenciode la villa de Álgora, diócesis de Sigüenza, vacante ; po</t>
  </si>
  <si>
    <t>Fernán, Antonio</t>
  </si>
  <si>
    <t>Antonio Fernán</t>
  </si>
  <si>
    <t>nta Maria , Teniente' Corregidor de esta villa , y por la escribanía d^ oiímtro de eÜa del cargo dé Don Antonio Fernán dea, se ha mandado sacar i 5u£&gt;SSÍ».. una casaren la■ caí le ,de. Ja-^ ' cometrezo ,; nüm. ti , ípán*^ 379 ¿-que 'aéné'.'ae^ttio'; *884*.'íabéd*. en i&lt;oQ rs. Quien quisiere hacer pos</t>
  </si>
  <si>
    <t>Fernanda, Joseph</t>
  </si>
  <si>
    <t>Joseph Fernanda</t>
  </si>
  <si>
    <t>S. M. compañía en el batallón de milicias disciplinadas de las Quatro Villas, en la isla de Cuba, á D. Joseph Fernanda</t>
  </si>
  <si>
    <t>Fernández Abasca, Bernardo</t>
  </si>
  <si>
    <t>Bernardo Fernández Abasca</t>
  </si>
  <si>
    <t>a de Manila, yacante por promoción de D. Manuel Francisco Tubil á la Canongía de merced de ella , á D. Bernardo Fernandez Abasca!, El Consejo á consulta de la Comisión gubernativa, y con aprobación de S. M., ha acordado que se extingan 1280 Vales de 300 pesos de i.° de Mayo, cuyo capital asciende á 5.782,58</t>
  </si>
  <si>
    <t>Fernández Abascal, Bernardo</t>
  </si>
  <si>
    <t>Bernardo Fernández Abascal</t>
  </si>
  <si>
    <t>para unaj 2¡£ecUa~Raqion de la catedral de Manila, en las islas Filipinas, vacante por promoción de D. Bernardo Fernandez Abascal á una Ración de la misma, á D. Sebastian Rodríguez Xaramillo. — - ------------ ----------- — " ' ...................... 1 ....... . 1 '■ " ............. .. ' ■'■■■" — .MI • * Cole</t>
  </si>
  <si>
    <t>Fernández Colavlda, Antonio</t>
  </si>
  <si>
    <t>Antonio Fernández Colavlda</t>
  </si>
  <si>
    <t>allará en la tienda del Toledano , calle de la Montera, á 4 rs. el frasquito , y en Toledo en la de D. Antonio Fernandez Colavlda á 3 rs. Seda una instrucción de las virtudes de este específico. Disertación inaugural sobre el recto uso de las suturas y su abuso : leída ea la primera abertura del Real colegio</t>
  </si>
  <si>
    <t>Fernández de Arroyo, Fernando</t>
  </si>
  <si>
    <t>Fernando Fernández de Arroyo</t>
  </si>
  <si>
    <t>y Giles y D. Francisco de Silva Berlanga; en el de Bujalance á Teniente de fusileros al Subteniente D. Fernando Fernandez de Arroyo, y á Subteniente de cazadores al de fusileros D. Joseph Muñoz del Castillo: en el de Alcázar de S. Juan á Subteniente de granaderos al de fusileros D. Andrés Villaseñor, y á Subte</t>
  </si>
  <si>
    <t>Fernández de Córdoba, Antonio</t>
  </si>
  <si>
    <t>Antonio Fernández de Córdoba</t>
  </si>
  <si>
    <t>Chantría, que este dexa, al Maestrescuela D. Raymundo de Mixáres: para la Maestrescolía al Tesorero D. Antonio Fernandez de Córdoba: para la Tesorería al Canónigo D. Juan Anselmo Medrano: para la Canongía al Racionero D. Manuel Francisco Tubil: para una Media Ración de la catedral de la Paz, vacante por ascens</t>
  </si>
  <si>
    <t>Fernández de Córdoba, Gonzalo</t>
  </si>
  <si>
    <t>Gonzalo Fernández de Córdoba</t>
  </si>
  <si>
    <t>ón Española , en 13 Antonio: 2.0 el Cardenal Gil Albornoz, quadernos de á seis , que contienen: x.° Don Gonzalo Fernandez de Córdoba , el Gran Antonio Ley va , Ambrosio Morales , el P. Duque de Alba, Arias Montano, D. FranJuan de Mariana, Fr. Lope Félix de Vega cisco Quevedo y Villegas, y D. Juan de</t>
  </si>
  <si>
    <t>Fernández de Córdoba, Miguel</t>
  </si>
  <si>
    <t>Miguel Fernández de Córdoba</t>
  </si>
  <si>
    <t>, vacante por promoción de D. Juan Bazo y Berri á plaza de Oidor de la Audiencia de Buenos-Ayres, á D. Miguel Fernandez de Córdoba. El Consejo á consulta de la Comisión gubernativa de Consolidación de vales Reales ha acordado la décimaquinta amortización de 400 vales de 300 pesos de i.° de Julio, y 487 de la</t>
  </si>
  <si>
    <t>Fernández de Gceda, Joseph</t>
  </si>
  <si>
    <t>Joseph Fernández de Gceda</t>
  </si>
  <si>
    <t>* Por mandado del Sr. Alcalde de corte D. Domingo Antonio de Miranda . y escribanía de provincia de D. Joseph Fernandez de Gceda, se saca á pública subasta por término de ao dias, una escribanía de Cámara del Crimen de la sala de Sres. Alcaldes de esta corte, tasada en 11 p© rs. Asimismo un ofimo de Recepto</t>
  </si>
  <si>
    <t>Fernández de la Quintana, Isidoro</t>
  </si>
  <si>
    <t>Isidoro Fernández de la Quintana</t>
  </si>
  <si>
    <t>su muger; el í?r. D. Joseph Andonaegui, Teniente General de los Reales exércitos» vecino de Madrid; D. Isidoro Fernandez de la Quintana, como marido de Doña Francisca Xaviera de Va i parda , patrono de la capellanía colativa que fundó D. Matías de Val parda en ei convento de religiosos Capuchinos de la Paciencia d</t>
  </si>
  <si>
    <t>Fernández de Uceda, Joseph</t>
  </si>
  <si>
    <t>Joseph Fernández de Uceda</t>
  </si>
  <si>
    <t>sacar á pública subasta por término de 10 dias perentorios , acuda á la escribanía de provincia de D. Joseph Fernandez de Uceda ; previniéndose que su rematq está señalado , y se ha de celebrar el viérnes 31 del corriente en dicha escribanía de provincia á las 11 de su mañana. Los remates celebrados el dia</t>
  </si>
  <si>
    <t>onel D. Juan uaiguíllon , Gobernador de la plaza de S. Sebastian. Por la escribanía de provincia de D. Joseph Fernandez de Uceda se han seguido autos por los acreedores á Ja testamentaría del Sr. D. Andrés Martines de Isunza, Consejero que fué de S. M. en el. Real y supremo de Castilla , sobre la cobranza d</t>
  </si>
  <si>
    <t>uda ante el Sr. Alcalde de corte D. Uornbgo Antonio de Miranda ,, por ]a escribanía de provincia de D. Joseph Fernández dé Uceda, detade se admitirán las que hicieren siendo arregladas. ' ! - ; ! ■■■&gt;■■ Curso completo de anatomía del cuerpo humano , dedicado al Rey Ntro. Sr. por el Dr. D. Jayme Bonells y po</t>
  </si>
  <si>
    <t>Fernández del Vahe, Juan</t>
  </si>
  <si>
    <t>Juan Fernández del Vahe</t>
  </si>
  <si>
    <t>cia de las obras que se conocen en Europa, anáíog-isá ella; por lo que es única en sudase: su autor D. Juan Fernandez del Vahe, ex-primer ayudante de anatoinía y actual cir rujano de número de los Reales hospitales. = Tratado completo de la flebotomía: contiene toda la anatomía que debe saber el sangrador</t>
  </si>
  <si>
    <t>Fernández Luna, Vicente</t>
  </si>
  <si>
    <t>Vicente Fernández Luna</t>
  </si>
  <si>
    <t>uel Vázquez, y Subtenencia de bandera á D, Alvaro Cataño: en el de León Subtenencias de fusileros á D. Vicente Fernandez Luna, D. Martin de Quevedo y Aíonteagudo y D. Antonio Perez; y en el de Toledo las Subtenencias de bandera á D. Joseph de Salanova y D. Antonio Fernandez Htañez. En América. S. M. se h</t>
  </si>
  <si>
    <t>Fernández Mo, Nicolás</t>
  </si>
  <si>
    <t>Nicolás Fernández Mo</t>
  </si>
  <si>
    <t>muy corregida,y lleva una estampa que representa la última escena. Guzman el Bueno, Ltragedia, por D. Nicolás Fernandez Mo.ratín, impresa en 8.® marquilla, papel fino. ?Hernán Cortés&gt; tragedia de Alexo Pirón, traducida del francés. Se hallarán ¿n -casa de Sancha,¿calle del Lobo, y en el puesto de Jose</t>
  </si>
  <si>
    <t>Fernández Soler, Antonio</t>
  </si>
  <si>
    <t>Antonio Fernández Soler</t>
  </si>
  <si>
    <t>otro medio sueldo : para la Fiscalía del Crimen de la Audiencia de Sevilla, vacante por muerte ‘de D. Antonio Fernandez Soler, á D. Ramón Navarro Pingarron: para la Vara de Alcalde mayor Teniente de Corregidor mas moderno de la villa de Madrid á O. Vicente Torres Cónsul: para el Corregimiento político de</t>
  </si>
  <si>
    <t>Fernández Teran, Antonio</t>
  </si>
  <si>
    <t>Antonio Fernández Teran</t>
  </si>
  <si>
    <t>ndo Teniente al primer Subteniente D. F rancisco Lobato: en el de León á Capitán al primer Teniente D. Antonio Fernandez Teran: en el de Ultonia á Capitán al Ayudante D. Ricardo Macarty; á Ayudante al primer Teniente D. Edmundo O-Ronan; á' primer Teniente al segundo de granaderos D, Armando Tranquen ; á s</t>
  </si>
  <si>
    <t>Fernández Vallejo, Felipe</t>
  </si>
  <si>
    <t>Felipe Fernández Vallejo</t>
  </si>
  <si>
    <t>Rey Se ha servido nombrar para el Arzobispado ¡de Santiago;, vacante por fallecimiento dei Exc. Sr. D. Felipe Fernandez Vallejo, al limo. Sn IX Rafael de Muzquiz, Arzobispo Obispo de Avila ; para í la Dignidad :de Prior y Canongía unida de la catedral* de ^londoúedo,: vácante por muerte de D. Francisco ViU</t>
  </si>
  <si>
    <t>Fernández' de Catnpománes, Domingo</t>
  </si>
  <si>
    <t>Domingo Fernández' de Catnpománes</t>
  </si>
  <si>
    <t>Ihs démas obligaciones executivas á que tiene que atender. Por providencia del Sr. Alcalde de corte D. Domingo Fernandez' de Catnpománes, caballero de la órden de S. Juan, refrendada de Di Domingo Rod ignez, Escribano de provincia, se han mandado sacar á pública^ subasta por indias,dife</t>
  </si>
  <si>
    <t>Fernández, Antonio</t>
  </si>
  <si>
    <t>Antonio Fernández</t>
  </si>
  <si>
    <t>i día 4 de este mes I las ira de sú mañana ea la audiencia del Sr. D. Juan Antonio Santa María ante D. Antonio Fernandez, Escribano del número. Quien quisiere hacer postura á una ca$ay sita íbera de la puerta de Fuencarraf; que llaman el tej ir de Hueso , perteneciente á la memoria fundada por D. Ba</t>
  </si>
  <si>
    <t>es, tasada en 60,114 rs. acuda ante el Sr. I). Juan Antonio Santa María, y escribanía del número de D. Antonio Fernandez. Se cita y emplaza á los dueños de dos censos perpetuos , el uno de 114 mrs. y una gallina , y' el Otro de dos rs. de renta al año, impuestos con sus correspondientes derechos sob</t>
  </si>
  <si>
    <t>el Sr.JD. Juan Antonio Santa María., Teniente Corregidor de esta villa , y escribanía del número de D. Antonio Fernandez. ’ ' La casa sita en la calle del Oriente, núm. 18, manz. 103 , fuá rematada en 1 aoo§ rs. en papel moneda. Sí alguna persona quisiere hacer míjora á lo menos én y laquarta parte</t>
  </si>
  <si>
    <t>cerla, acudirá ante, el referido.Sr. D. Juan Antonio Santa María, por la escribanía del mírnero de ,D. Antonio Fernandez , donde se admitirá. Para el remate de dos casas sitas en esta corte, la una en la calle de Embaxa— dores, mím. 31 y 3a de la manz. 68, tasada en 107,31a rs., y la otra en la call</t>
  </si>
  <si>
    <t>itada escribanía. Por la audiencia del tonismo Señor Teniente Corregidor y escribanía del número de D. Antonio Fernandez , se han sacado á subasta las casas siguientes : una en la villa de Leganes , sita en la plaza , con accesorias á la talle que llaman del Cura de Bu urque $ tiene de sino Sí 3-*§</t>
  </si>
  <si>
    <t>del corriente á las ia de la mañana en la audiencia del Señor D. Juan Antonio Santa María por ante D. Antonio Fernandez, Escribano del número. . Por edicto de 16 de este mes se cita y emplaza al poseedor de la encomienda de Mirabel, y á los herederos de los que lo hayan sido, para que en el término</t>
  </si>
  <si>
    <t>se han de celebrar á las puertas de la audiencia del mismo Sr. D. Juan Antonio Santa María por ante D. Antonio Fernandez, Escribano del número. Por providencia del mismo Sr. Teniente primero de Corregidor de Madrid, ante D. Casimiro Antonio Gómez, de su número, se manda que en el término de 1$ dias</t>
  </si>
  <si>
    <t>n quisiere'hacer dicha mé*¿&gt; jora á qualquiera de las referidas fincas acudirá á la. ¡escribanía de D. Antonio Fernandez. Por la audiencia del Sr. D. Juan Antonio Santa María, Teniente Corregidor de esta villa, y escribanía del número de D. Gervasio Fernandez Izquierdo, se está subastando un oficio</t>
  </si>
  <si>
    <t>Quien quisiere hacerla acuda ante el Sr. D. Juan Antonio Santa María por la escribanía de numero dé D. Antonio Fernandez. Habiéndose rematado ana casa sita en la costanilla de Santiago, núm, 20, manz. 4r$&gt; en la cantidad de 46,500 rs., los 2^ en moneda metálica y los 44,500 restantes en vales reales</t>
  </si>
  <si>
    <t>e dicho término ante el-mismo Sr. 13. Juan Antonio Santa María , y escribanía del número que exerce D. Antonio Fernandez, que se admitirá 4 i en do arreglada. Dicha casa tiene de sitio ¿4,79 pies, quadrados superficiales, y •jestá tasada en 43.5,0.50 rs. Se tita , llama-y emplaza á. los dueños de un</t>
  </si>
  <si>
    <t>D. Juan Antonio Santa María ,! Teniente Corregidor de esta villa, y por la escribanía del número de D. Antonio Fernandez, se están subastando 3 casas sitas una en la calle del Rosario , barrios de San Francisco , fiúm. az , manz. 119, cuyo sitio comprehende 1807 pies, y está valuada eu $1,814 rs. Ot</t>
  </si>
  <si>
    <t>su maña: a en la audiencia del Sr. D. Juan Antonio Santa María, y por ante el £s"ribano del número D. Antonio Fernandez; previniéndose haberse hecho postura á ellas en las dos terceras partes de dicha retasa á vales Reales. Compendio cronológico de la historia y estado actual de Rusia, en que se da</t>
  </si>
  <si>
    <t>Fernández, Domingo</t>
  </si>
  <si>
    <t>Domingo Fernández</t>
  </si>
  <si>
    <t>el Rodríguez de Castro, calle del Cárneo, cúm. 1'. ' / J,, ... \ ^ Por la audiencia del Sr. Alcalde D. Domingo Fernandez de ^áippománer,u'yf escribanía dé provincia de D. Domingo Rodríguez V sé ha 'mandado subastar por segunda'Vez y término de ’30 dias, una casa perceneéiente á lis memorias de Dell at</t>
  </si>
  <si>
    <t>Fernández, Francisco</t>
  </si>
  <si>
    <t>Francisco Fernández</t>
  </si>
  <si>
    <t>undos de granaderos D. Pedro Zorrilla,.D. Vicente Cevailos y D. Eugenio Iglesias, y al de fusileros Don Francisco Fernandez ; á segundos Tenientes de granaderos á los de fusileeos D. Juan Antonio Abal , ¡D. Manuel Barranco y D. Gerónimo de la Escosura; á segundos Tenientes á los Subtenientes de granade</t>
  </si>
  <si>
    <t>imer* Subteniente al segundo D. Vicente Romero: en el ce Zaragoza á piinier. Subteniente al segundo D. Francisco Fernandez, y á segundo Subteniente.al. Cadete. D. Antonio López : en el de América á primer Teniente al se—' guudo de granaderos.D..Genaro Remartmez;vá segundo Teniente, de. gra»</t>
  </si>
  <si>
    <t>y á segundos Subtenientes al Cadete D. Francisco Martin Patino, y al Sargento primero de granaderos D. Francisco Fernandez: en el de Borbon á primer Subteniente al segundo D. Pedro Terrene, y á segundo Subteniente al Teniente del provincial de Mallorca D. Miguel Hermand: en el de Mallorca á primer Ten</t>
  </si>
  <si>
    <t>Fernández, Gaspar</t>
  </si>
  <si>
    <t>Gaspar Fernández</t>
  </si>
  <si>
    <t>resulta al Subteniente de granaderos D. Juan Granados; á Subteniente de granaderos al de fusileros D. Gaspar Fernandez, y á Subtenientes al Sargento primero D. Gregorio de Arroyo y al Cadete D. Manuel de León y Romero; habiendo nombrado también §. M. Capellanes de los regimientos de infantería de</t>
  </si>
  <si>
    <t>Fernández, Joseph</t>
  </si>
  <si>
    <t>Joseph Fernández</t>
  </si>
  <si>
    <t>teniente de granaderos S primer Subteniente D. Vicente Naudinjá esta resulta ai segundo Subtetóente D. Joseph Fernandez, y á segundo. Subteniente al Cadete D. Jayme Ribo!): en el de España á Capitán al primer 1 emente de granaderos D. Juan de Valen zada; á Ayudante al primer. remente D. Juan de Fra</t>
  </si>
  <si>
    <t>primer Teniente dé :¿rár1adétqs Dé Manuel Bermudez; á primer Teniente dé granaderos al de fusileros D. Joseph Fernandez; á primer Teniente ai segundo de granaderos D. Matías de Guzm *n; á esta resulta al segundo^ Teniente D. Joachin Armendáriz; á segundo Teniente al SubtfínieatedecgcaytderósD. Rafa</t>
  </si>
  <si>
    <t>Fernández, Juan</t>
  </si>
  <si>
    <t>Juan Fernández</t>
  </si>
  <si>
    <t>........». gio. ag. Juan Fernandez... Juan........... ... IgnaciaBenavides. Madrid......... Idem.......... . |i8. ao. Fu Igencio Izquierdo...................... Antonio..... ...</t>
  </si>
  <si>
    <t>Fernández, Juan de Dios</t>
  </si>
  <si>
    <t>Juan de Dios Fernández</t>
  </si>
  <si>
    <t>n América. El Rey se ha dignado conferir el empleo de Guarda mayor vista de la aduana de Acapuico á D. Juan de Dios Fernandez; y el de Oficial segundo de las Reales caxas del mismo puerto á D. Julián Martínez de Villagra. El Consejo á consulta de la Comisión gubernativa y con aprobación de S. M. ha acord</t>
  </si>
  <si>
    <t>Fernández, Pedro Antonio</t>
  </si>
  <si>
    <t>Pedro Antonio Fernández</t>
  </si>
  <si>
    <t>Antonio Monet y Don1 Crispía Moya; á primeros Subtenientes á los segundos D. Christobal Gar-^ cía, D. Pedro Antonio Fernandez y D. Ramón de Veíasco; y á segundos Subtenientes á los Cadetes D. Juan Timoteo Inclan Arango, D. Juan Boixo y D. Juan Naghten; y en el de Ilibernía ha conferido S. M. Coiúpama á su ca</t>
  </si>
  <si>
    <t>Fernández, Pedro Joseph</t>
  </si>
  <si>
    <t>Pedro Joseph Fernández</t>
  </si>
  <si>
    <t>cia en el de Moquegua á .D. Luis;Pomareda : empleos de Alféreces en ti de cab-lkrí i de i íu. nta á D. Pedro Joseph Fernandez., D. Isidro Candioti y D. Tomas Pedrero, Cadetes y Sargento primero del mismo regimiento, y empltos de Portaestandartes á los Sargentos primeros D. Mariano Quixada, D. Rafael Vict</t>
  </si>
  <si>
    <t>Fernández, Ramón</t>
  </si>
  <si>
    <t>Ramón Fernández</t>
  </si>
  <si>
    <t>lo que le haya pagado. Principios de cirugía así en la práctica como en la teórica; compuestos por D. Ramón Fernandez para el exámen de los que se dedican á esta profesión-y desean aprovechar en ella: segunda edición corregida por su autor, con la explicación de los vasos linfáticos. Se bailará e</t>
  </si>
  <si>
    <t>arriga, Abogado de het des Longrois , Doctor Regente de la facultad médica pe Paris : traducido por D. Ramón Fernandez, profesor de cirugía. Se hallará en las librería^ dé Campo, calle de Alcalá, de Fernapd^z, Número del Memorial ÉitéT^ría,*’¿. JJjtyioleca; te«, En este número fon tirina lá idea d</t>
  </si>
  <si>
    <t>en Valenciaenla de Fauli y compañía. ’ ¡■ ■ - ■ El Espíritu de la amistad dé lái bellas almas, por D, Ramón Fernandez: un tomo en 8.° Véndese en las librerías de Fernandez y compañía, frente i las gri¿ das de S. Felipe, de Campo /calle de Alcalá , y de Gobeo, calle del Buque dé Alba, á 6 ts. en p</t>
  </si>
  <si>
    <t>Fernando Francisco, Príncipe</t>
  </si>
  <si>
    <t>Príncipe Fernando Francisco</t>
  </si>
  <si>
    <t>loquear este puerto, pues visitan todas las embarcaciones que vienen á él. Ñapóles j&gt; de Julio. E J Príncipe Fernando Francisco, hijo del Príncipe de Nápoíes, qne na-» ció el 26 de Agosto de 1800, acaba de fallecer en esta capital. El cadáver</t>
  </si>
  <si>
    <t>Fernando, Archiduque</t>
  </si>
  <si>
    <t>Archiduque Fernando</t>
  </si>
  <si>
    <t>Bellegarde, Mitrowsky, Saint-Julien, Laudon , Resemberg y Bukowina: 23 batallones, mandados por el Archiduque Fernando, los Príncipes de HesseHomburgo y I^oraina, y los Generales Simbschen, Giulai y Meerfeld, se repartirán en Hungría: 10 batallones, baxo el mando de los Generales Lusignan, Latterm</t>
  </si>
  <si>
    <t>los degollaron é hiciéTon perecer entre las-llamas. Viena 4 de,Maye. E 1 día .12 saldrán de aquí el Archiduque Fernando y su esposa para Frir burgo en el Brisgaw. El. Duque de ftSodená, padrerjdeda Archiduquesa, ha confirmado en sus empleos á todos los sugetos qué los servían nombrados por el Emperad</t>
  </si>
  <si>
    <t>al instante, y matárou 100 judíos. El gobierno no tomó parte en este suceso. Viena 7 de Junio. E 1 Archiduque Fernando ha ido á Presburgo á encargarse del mando de las tropas aquarteladas en aquellos contornos. Parece que dicho Príncipe no irá al Brisgaw tan pronto como se había asegurado;y aun se</t>
  </si>
  <si>
    <t>legido Elector en 12 de Abril de 1784. Algunas horas antes de fdlecer m&lt; ndó llamar á su hermano el Archiduque Fernando. El Archiduque Cárlos como Coadjutor suyo qu«;da Gran Maestre de dicha órd«?n, y por conseqüencia Príncipe del Imperio.</t>
  </si>
  <si>
    <t>Generales Vicenta Kollowrath-Liebsteinsky, Vaüx, Szeredai y Príncipe Rosenherg, comendadores ; y el Archiduque Fernando y otros 74 oficiales tuviéron la cruz chic&amp;i Se ha divulgado, estos, días que m corteo de Constantinopla ha traído al Embaxador de Inglaterra la noticia de que el resto dtl exército</t>
  </si>
  <si>
    <t>ngs burgo 4 de'Octubre. pa'vtiJa precipitada *de aquel Príncipe, que ha ido á ’Gratz acompañando al Archiduque Fernando, el qual estuvo aigunos-días en Schce.ibrunh.' Por otra parte las *ga zetas ‘de Alemania hablan mucho de los preparativos que se hacen para la próxima 'elección 'de Elector de Col</t>
  </si>
  <si>
    <t>de de Colloredo reemplaza al Príncipe de Lobkowitz en el empleo de Capitán de la guardia noble;y el Archiduque Fernando reemplaza al Gen. ral Colloredo en el de Inspector de las tropas de las fronteras del Bannato, Croacia, Dahrucia, Esclavonia y de las Siete-montañas: el sueldo de este último emph</t>
  </si>
  <si>
    <t>añó al¡ quarto de la Emperatriz. Tuvo igualmente audiencia de SSi :AA. RR. el Archiduque Cárlos, el Archiduque Fernando y su esposa; y sólo espera que vtielvaií los demas Príncipes dé la familia Imperial para presentarse1 á SS. A A. Manifestó en todas partes el* Embaxador y en toda&amp; recibió los testi</t>
  </si>
  <si>
    <t>Fernando, Duque</t>
  </si>
  <si>
    <t>Duque Fernando</t>
  </si>
  <si>
    <t>para que su gobierno alcanzase el objeto que se proponia al prodigarías. Ha llegado á Gratz el Gran Duque Fernando con su esposa y familia,y fué recibido con salva del castillo. Dícese que según el estado de las negociaciones sobre los resarcimien^ tos, el Elector de Baviera será ampliamente i</t>
  </si>
  <si>
    <t>la Baviera : si el Rey de Cerdeña será Rey de Roma?— El Rey de Toscana reynará en Toscana. Al Gran Duque Fernando se le darán en Alemania las indemnizaciones que Ié concede el tratado de Luneville, y qué el Cuerpo germánico y todas las potencias de Europa han convenido en concederle. El Rey d</t>
  </si>
  <si>
    <t>Fernando, Príncipe</t>
  </si>
  <si>
    <t>Príncipe Fernando</t>
  </si>
  <si>
    <t>mintiendo otros rumores falsos? ¿Si el Rey de Etruria irá á Nápoles mas bien que á Florencia: si el Príncipe Fernando, Gran Duque que fué de Toscana, tendrá por estados la Baviera : si el Rey de Cerdeña será Rey de Roma?— El Rey de Toscana reynará en Toscana. Al Gran Duque Fernando se le darán en</t>
  </si>
  <si>
    <t>stcon el Gran Duque de Toscana. Esta noticia es falsa: pues la Francia nada tiene que tratar con el Príncipe Fernando, cuya suerte se fixó irrevocable-» mente en el tratado de Luneville.’- 1 El primer Cónsul ha recompensado al Contra-Almirante Linois , co-* mandante de los 3 navios franceses que</t>
  </si>
  <si>
    <t>FernaUdo-Ortiz</t>
  </si>
  <si>
    <t>r Subteniente al segundo í&gt;. Manuel Rubiales; segundo Subteniente al Sargento primero de granaderos D. FernaUdo-Ortiz. - V También en el regimiento de caballería de Farnesio se- ha servido promover S. M. á segundo Teniente al Alférez graduado de Teniente D. Frap• ci-sco Gallardo: en el de'España</t>
  </si>
  <si>
    <t>Ferrand, General</t>
  </si>
  <si>
    <t>General Ferrand</t>
  </si>
  <si>
    <t>irse con la esquadriila ligera en el puerto de Boloña. Una batería levantada entre dos cabos por el General Ferrand protegió eficazmente su paso por un párage en que antes no hubieran encontrado defensa alguna. Las cañoneras mandadas por ei Capitán de fragata español Miralles, comandante genera</t>
  </si>
  <si>
    <t>Ferrandiz, Francisco</t>
  </si>
  <si>
    <t>Francisco Ferrandiz</t>
  </si>
  <si>
    <t>Juan Amat de Tortosa; y en el de dragones de Alman-r á Capitán al Ayudante , graduado de Capitán , D. Francisco Ferrandiz.^ S. M. se ha servido conceder el Gobierno militar y político de la plazfc de Peóíscola á D. Joseph Salaz-at y Miranda, Brigadier de la Real armada1. Por convenir al Real servicio</t>
  </si>
  <si>
    <t>Ferraz, Vicente</t>
  </si>
  <si>
    <t>Vicente Ferraz</t>
  </si>
  <si>
    <t>n del Rey para el uso de las Reales escuelas militares del cargo del Real cuerpo de Ingenieros, por D. Vicente Ferraz, Teniente Coronel é Ingeniero ordinario del exército: un tomo en 8.* mayor. Se hallará en pasta á ap rs. en la librería de Ramos, carrera de $. G'-rónimo, y en las porterías de la</t>
  </si>
  <si>
    <t>Ferrer, Gregorio</t>
  </si>
  <si>
    <t>Gregorio Ferrer</t>
  </si>
  <si>
    <t>niente al primer Subteniente, graduado de Teniente, D. Joseph Diaz; á primer Subteniente al segundo Don Gregorio Ferrer, y á segundo Subteniente al Sargento primero D, Mariano Cal" fe 11 También ha conferido S.-M. Compañía en el regimiento de caballería de Montesa á D. Pedro Camba, Teniente de la R</t>
  </si>
  <si>
    <t>Ferreri del de Ñapóles, Vicente</t>
  </si>
  <si>
    <t>Vicente Ferreri del de Ñapóles</t>
  </si>
  <si>
    <t>Peña del de Granada, á D.Policarpo de Frias del de España, á D. Jacinto Ruis del fixo de Ceuta, y á D. Vicente Ferreri del de Ñapóles. En el regimiento provincial de Mallorca ha conferido el. Rey Compañía de fusileros al Teniente de la misma clase y cuerpo D. Ramón Maroto: en el de Truxillo la Tenencia de cazado</t>
  </si>
  <si>
    <t>Ferrero, Pedro Antonio</t>
  </si>
  <si>
    <t>Pedro Antonio Ferrero</t>
  </si>
  <si>
    <t>an Torres y D, Narciso de Salas, y á los Cadetes í). Joseph y D. Estéban Barriga, y al de Cantabria D. Pedro Antonio Ferrero; y á Subtenientes en los de Suizos de Rutimin y Betschart á los Cadetes D. Alexandro Tayll y D. Jacobo Wasser: en el batallón de infantería de Canarias á Capitán al primer Ayudant</t>
  </si>
  <si>
    <t>Ferrery, Juan</t>
  </si>
  <si>
    <t>Juan Ferrery</t>
  </si>
  <si>
    <t>29x y al Sargento primero de granaderos D. Juan Ferrery, y a Subtenientes de bandera á los Cadetes D. Salvador Vaidejuily y D. Joseph Arnao, graduado de Subteniente, y al Sargento primero D. luis Guinety. El Rey se ha dignado conferir</t>
  </si>
  <si>
    <t>Ferreyro, Pedro</t>
  </si>
  <si>
    <t>Pedro Ferreyro</t>
  </si>
  <si>
    <t>edesma......... 44* Pedro Ferreyro... Domingo...... . Antonia Perez..... Cuifia........... Ulloa............... 46. so. Manuel Igelxno.... Manuel......... María Delgado.... Castro Mocho. Valladol</t>
  </si>
  <si>
    <t>Ferriol, Joseph</t>
  </si>
  <si>
    <t>Joseph Ferriol</t>
  </si>
  <si>
    <t>e D. Maximiliano Vandersteene: para el empleo de Cadete de número, que este dexa, al supernumerario D. Joseph Ferriol; y para el de Cadete supernumerario al Guardia D. Cirios Tresegny. S. M. ha concedido grado de Teniente Coronel de infantería al Capitán D. .fxiid res Guardabrazo, Sargento mayor</t>
  </si>
  <si>
    <t>Ferris</t>
  </si>
  <si>
    <t>so el nombrado Tigre, se incorporó el 18 de Junio con la del Almirante Keith delante de Alexandría. Mr. Ferris, Capitán del Aníbal, y los demas oficiales de aquel navio apresado en Algecíras, han sido juzgados y absueltos en un consejo de guerra celebrado en Portsmouth. Su presidente, el A</t>
  </si>
  <si>
    <t>Ferris, Capitán</t>
  </si>
  <si>
    <t>Capitán Ferris</t>
  </si>
  <si>
    <t>de guerra celebrado en Portsmouth. Su presidente, el Almirante fíolloway, al devolver la espada al Capitán Ferris, le dixo: „Con el mayor gusto os restituyo vuestra espada, pues estoy seguro de que sí se os presentase otra ocasión de serviros de ella, lo haréis con el mismo valor que habéis a</t>
  </si>
  <si>
    <t>Ferruz, Miguel</t>
  </si>
  <si>
    <t>Miguel Ferruz</t>
  </si>
  <si>
    <t>aco por el de segunda ciase: 15 pesos á D. Joseph Esteban: 12 pesos á D. Maauel Barta; y 10 pesos á D. Miguel Ferruz por la aproximación: 10 pesos á ü. Francisco Alastuey por el premio de la tercera clase de arquitectura; y 20 pesos á D. Joseph Dordal por el premio de grabado. Con el objeto de p</t>
  </si>
  <si>
    <t>Feursman</t>
  </si>
  <si>
    <t>providencias semejantes, todas consiguientes ai ajuste de los preliminares de paz. Ha llegado aquí Mr. Feursman, Coronel dinamarqués, que durante la ausencia del Conde de Lukner servirá el empleo de Encargado de Negocios de la corte de Copenhague. Acaba este gobierno de nombrar los empleado</t>
  </si>
  <si>
    <t>FéÚx de Tejada</t>
  </si>
  <si>
    <t>sugetos en cuyo poder ss hallen, ios dirigirán á. dichos Sres. Soubi'ron en Málaga, ó al expresado D. FéÚx de Tejada en Madrid. A voluntad de su ducho, y en virtud de Real facultad comunicada al Sr. D. Antonio González Ycbra, caballero de la Real orden de Cárlos ni , del Con:ep de S. M. en el supr</t>
  </si>
  <si>
    <t>Ffancisco</t>
  </si>
  <si>
    <t>Sr. D.Juau Acisclo de Vera iy Delgado, Arzobispo de Laodicéa i feréton-asistentes los limos.: Sres. D. Ffancisco de ¿l.Cuerda, Obispo que fué de-Puerto Rico, deiuConsejo 1 de ia suprema y general Inquisición, y D. Atanagio Puya! y Povéda, Obispo de Caristo y Auxiliar de Madrid; y padrino el Cab</t>
  </si>
  <si>
    <t>Fidelísima, General</t>
  </si>
  <si>
    <t>General Fidelísima</t>
  </si>
  <si>
    <t>n los lugares vecinos, hallen oh poderde [losespa^ aun siendo vasallos de S. M. ñ olesí =± Firmado^ General Fidelísima. = Firmado: Ma­ Lancáster. -bor- ’ ;«r. : ;.v.nuel Antonio Tabáres, Brigadier Gobernador. Inventario de la artillería, efectos ¿atmalyiquniciontf' que se hallaron en la plaza de A</t>
  </si>
  <si>
    <t>Figueroa, Diego Antonio</t>
  </si>
  <si>
    <t>Diego Antonio Figueroa</t>
  </si>
  <si>
    <t>ores al Teniente de fusileros D. Antonio de Cea y Junguito; su resulta al Subteniente de granaderos D. Diego Antonio Figueroa; la de este al Subteniente D. Joseph Martínez Henao, y una Subtenencia de bandera á D. Juan Chrisóstomo Ruiz Amaya; y en el de Salamanca Tenencia de fusileros al Subteniente de es</t>
  </si>
  <si>
    <t>Fitt</t>
  </si>
  <si>
    <t>-¿ das1 Cbri el -Eríríéipé dé Gátís:* TambTenj han conferenciado con* el mismo Ffíiiclpe herédérb ; Mr. Fitt, él;bu^[ué'd-e Portlarcd y el Lord Grenviile ; y estbí'sagétbs ^cMébi-^^fféquentes juntas éntre siyy con-otros de los Mmís-r tros antiguos,Jy de los\qde estaban nombrados para suc</t>
  </si>
  <si>
    <t>Fitz-gerald, Dionisio</t>
  </si>
  <si>
    <t>Dionisio Fitz-gerald</t>
  </si>
  <si>
    <t>,5*5 do Teniente de gfgoadieríw al de fusileros D. Dionisio Fitz-gerald; á segundo Te»iente al Sübtenieme de granaderos D. Amonio Pchsun ; á Subteniente de gramdéíos al de fusileros D. Cárlos Monrignany ; á primer Subteniente al segundo 0. Jayme AltXa</t>
  </si>
  <si>
    <t>Fitzsimmons</t>
  </si>
  <si>
    <t>aya dado recientemente nuevas ordeñes que autoricen semejantes insultos, como lo Índica la carta de Mr. Fitzsimmons. Quedo &amp;c.” ,, ‘ xv Petersburgó 2 de Mayo. v.,./ JL^e los oficiales rusos que fueron anteriormente despedidos del servicio y aun degradados, vuelven muchos á servir sus empleos, c</t>
  </si>
  <si>
    <t>Fitzwiiliám y Mr, Lord</t>
  </si>
  <si>
    <t>Lord Fitzwiiliám y Mr</t>
  </si>
  <si>
    <t>lta, y Mr. Winne en la baxa, propusiéron la acostumbrada respuesta de gracias .al discurso Real. El Lord Fitzwiiliám y Mr. Gréy pidiéron en las respectivas Cámaras que en dicha téspuésttf se insertara la proposición de que se hiciesen averiguaciones sobré él estado general de lá naciOñ, sobre la cond</t>
  </si>
  <si>
    <t>Flanes, Alberto</t>
  </si>
  <si>
    <t>Alberto Flanes</t>
  </si>
  <si>
    <t>uzman, Cura en aquel obispado; y para otra Mediá-Ra-r clon de la de Charcas, vacante por ascenso de D. Alberto Flanes á Racionero de la misma iglesia, á D. Juan de Dios Balanza, Cura en aquella diócesis. En el regimiento de infantería ñxo de Puerto Rico se ha servido el Rey promover á Capitán pri</t>
  </si>
  <si>
    <t>Flor y Olmos, Antonio</t>
  </si>
  <si>
    <t>Antonio Flor y Olmos</t>
  </si>
  <si>
    <t>lase de la plaza de Cartagena á Capitanes á los Tenientes D. Joseph María Berrueco, D. Mateo Nuñez, D. Antonio Flor y Olmos, D. Hilario del Mueute, D. Domingo Verastegui y D. Ildefonso de la Barreda; á Tenientes de granaderos á los de fusileros D, Antonio Urruchurtu y D. Esréban Ximenez; á Tenientes de</t>
  </si>
  <si>
    <t>Floral Francisco Virey</t>
  </si>
  <si>
    <t>é Alba, á 6 ts. en pasta, i 4 en pergamino y á 3 en rustica. * c ( Tratado de cirugíf y medicina dé D. Floral Francisco Virey, Doctor en medicina en la universidad de;Valencia,opositor á cátedras,y catedrático extraordi«ario y académicohondtario de la Real medica matritense : 3 tomos en 4.0 : el *.° trat</t>
  </si>
  <si>
    <t>Florencio Am</t>
  </si>
  <si>
    <t>Alférez graduado de Teniente D. Frap• ci-sco Gallardo: en el de'España á Ayudante al primer Tenknte D. Florencio Am ya: en el de dragones de Ahmnsa á Alrérrz ai .Sargento primero ' de granaderos D. Antonio Yagues, y en el de Lusitanía i Alférez, al Cadete D. Miguel Ravcl. ■ ' • ¡¡• En América. S.</t>
  </si>
  <si>
    <t>Flores, Bernardo</t>
  </si>
  <si>
    <t>Bernardo Flores</t>
  </si>
  <si>
    <t>deros á D. Manuel Ximenez Lobaton; á Tenientes de fusilerós á los Subtenientes D. Mariano González, D. Bernardo Flores, D. Feliciano Candía, D. Bernardino Fañola, D. Pedro Moralesy al paisano D. Juan Joseph de, OJaneta; á Subteniente de granaderos á.D. Buenaventura Morales ;.á Subtenientes de fusi</t>
  </si>
  <si>
    <t>Flores, Manuel</t>
  </si>
  <si>
    <t>Manuel Flores</t>
  </si>
  <si>
    <t>e ha servido conferir la Capellán! &gt; del sexto batallón del Real cuerpo de Artillería al presbítero D. Manuel Flores, y Muñoz. . El Rey se ha servido nombrar Cirujano dei tercer batallón del regimiento, de infantetía de Aragón a D. Juan Antonio Fontana: del senundo .de granaderos Voluntarios de</t>
  </si>
  <si>
    <t>on Ghristobal Martínez de Mora, D. Félix de Soto y Melgarejo, D. Chiistoba 1 Antonio de Coptrerus y D. Manuel Flores. En America. El Rsy se ha servido nombrar para la Dignidad de Dean de la metropolitana de México, vacante por fallecimiento de D. Valentín García Narro, al Arcediano de la propia</t>
  </si>
  <si>
    <t>Foderé, Francisco Manuel</t>
  </si>
  <si>
    <t>Francisco Manuel Foderé</t>
  </si>
  <si>
    <t>tratado de medicina legal y de higiene pública, escrito en francés por el ciud. Francisco Manuel Foderé, Médico del hospital de Caridad de la ciudad de Marsella , y traducido al castellano por D. J. D. R. I. C. tomo 3.0 Esta obra es' de la nnyor utilidad ¿ importancia , y muy digna de ser l</t>
  </si>
  <si>
    <t>Folgueras y Sion, Luis</t>
  </si>
  <si>
    <t>Luis Folgueras y Sion</t>
  </si>
  <si>
    <t>el cabildo patrono de la referida cátedra para su inspección, y acompañado para el mismo efecto de D. Luis Folgueras y Sion, Canónigo de dicha iglesia. Leyó este un discurso inaugural, dirigido á manifestar las ventajas del nuevo método establecido por eí cabildo, y arreglado en todas sus partes al de</t>
  </si>
  <si>
    <t>Folgueras, Luis</t>
  </si>
  <si>
    <t>Luis Folgueras</t>
  </si>
  <si>
    <t>, á las que respondieron con singular despejo y á satisfacción de los concurrentes. El mismo Prior, D. Luis Folgueras, D. Meiiton Zorrilla, D. Francisco de Borja Fernandez, Magistral, el Dr. D. Ramón Bonifaz y Quintano y otras personas ofrecie'ron recompensas, que se distribuyeron entre los mas s</t>
  </si>
  <si>
    <t>Fontana, Juan Antonio</t>
  </si>
  <si>
    <t>Juan Antonio Fontana</t>
  </si>
  <si>
    <t>El Rey se ha servido nombrar Cirujano dei tercer batallón del regimiento, de infantetía de Aragón a D. Juan Antonio Fontana: del senundo .de granaderos Voluntarios de Estado á D. Tomas.Bonafos: del primero del de Guada laxara , á D. Manuel Casals; y del segundo del del Rey á Don Domingo Gerbert y Llobe</t>
  </si>
  <si>
    <t>Forner, Juan Pablo</t>
  </si>
  <si>
    <t>Juan Pablo Forner</t>
  </si>
  <si>
    <t>scribano, y en la de Montero, calle de la Concepción , á 4§ rs. Preservativo contra el ateísmo, por D. Juan Pablo Forner: un tomo en 8.* mayor. = La Corneja sin plumas; fragmento postumo del Lie. Paulo Ipnocausto; papel en 4.0 por el mismo Forner. Contestación á la carta inclusa en el diario de 28 d</t>
  </si>
  <si>
    <t>Forster</t>
  </si>
  <si>
    <t>e !Prüsia ed Lóndres. ; -■' El Rey de Prusia ha comprado en 8o® rixdalers la biblioteca del difunto Mr. Forster, profesor «en la Universidad de Hall ,.y autor de varias obras de mérito. i; :: ^ ■/_ -Aitgsbutgo wpd&amp; Nóviembre. : . P areOé qué -el regimifcnto áiis triacoxie N eu g ¿ baue r se</t>
  </si>
  <si>
    <t>Fortun, Antonio</t>
  </si>
  <si>
    <t>Antonio Fortun</t>
  </si>
  <si>
    <t>al Subteniente de granaderos V. Vicente Anduaga; á Subteniente de granaderos al primer Subteniente D. Antonio Fortun; á esta resulta al segundo Subteniente D. Heraciio de Alaiz, y á segundo Subteniente al Sargento primero de granaderos D, Joseph Barrera; y en el de cazadores Voluntarios de la Co</t>
  </si>
  <si>
    <t>Fos y Carboneü, Joseph</t>
  </si>
  <si>
    <t>Joseph Fos y Carboneü</t>
  </si>
  <si>
    <t>uan Palou ,. Subteniente del propio cuerpo: en el dé Valencia Tenencia de* fusílelos al Subteniente D. Joseph Fos y Carboneü; las Subtenencias dev granaderos y cazadores á los Subtenientes de fvA sileros DI Alonso Ramos y D. Joseph Viljena, y Subtenencia de bandera, á P. LuísEseuder: en el de Cuenca Sub</t>
  </si>
  <si>
    <t>Fox</t>
  </si>
  <si>
    <t>ron en la fonda de Londres. Presidid el Duque de Norfolk , el qual después de brindar á la salud de Mr. Fox añadid : „ Haga el cielo que él Rey y el piieblo conozcan ¿ ¿otes qué se pierda la ocasión, el error en qué están , y apelen á Jas virtudes y al talento de Mr. Fox para librarse d</t>
  </si>
  <si>
    <t>ón de aquel pais por un exército de otra potencia. Varios impresores de Londres acaban de ofrecer á Mr. Fox 5© guineas (al pie de 30©pesos) por su manuscrito de la Historia de la casa de Stuardo que ha compuesto. Las sesiones del Parlamento no presentan estos dias asuntos de ínteres púb</t>
  </si>
  <si>
    <t>quando se examinasen los preliminares se vería que la celebra por motivos muy diferentes de los de Mr. Fox. Síguit5se Mr. Windham, que fué el que con mas empeño sostuvo estos últimos años la continuación de la guerra. Dixo que no aprobaría dicha respuesta si pudiese su aprobación recae</t>
  </si>
  <si>
    <t>Fr-Luciano de Regas y de Puigrubi</t>
  </si>
  <si>
    <t>María de Jesús de aquella universidad *. para la Sacristía mayor del; Kezl monasterio de Bañólas á D. Fr-Luciano de Regas y de Puigrubi : pa~ ra el oficio regular de Ceilerero del monasterio de S.. Pedro de Rodas a * tS Fr Francisco Huguet y Llocer: para el oficio regular de Dispensero del, monasterio de Ripoll á</t>
  </si>
  <si>
    <t>Frade, Juan Antonio</t>
  </si>
  <si>
    <t>Juan Antonio Frade</t>
  </si>
  <si>
    <t>tes D. Toribio Moran y D. Juan Nepomuceno Vaidés: en eL de Ctd'did-Rodrigo’ Tenencia de fusileros á D. Juan Antonio Frade, Subteniente de granaderos, y esta resulta al Subteniente de fusileros D. Gaspar? lfenf, él pHrníero Cadete deí mi^irló cuerpo, , En América. En el regimiento de dragones de Méxic</t>
  </si>
  <si>
    <t>Frágela, Juan</t>
  </si>
  <si>
    <t>Juan Frágela</t>
  </si>
  <si>
    <t>6$6 de Honda á D. Juan Frágela: para la de Guarda mayor del Resguardo de Quico á jD. Juan, de Fabara: para la de Guarda mayor Visitador de la lienta de tabacos de Pore, en la provincia de los Llanos, á D. Josep</t>
  </si>
  <si>
    <t>Framman</t>
  </si>
  <si>
    <t>recogerá el de barcas. Nancí 8 de Julio. A ntes de ayer pasó por esta ciudad, dirigiéndose á París, Mr. Framman¿ Enviado de los estados de Wurtemberg cerca del gobierno francés. ?» Grenoble 9 de Julio. I ¡il dia 6 salió de aquí el Prefecto del departamento del Isere para Bourgoin, adonde va</t>
  </si>
  <si>
    <t>Fran</t>
  </si>
  <si>
    <t>ta en italiano por Don tomos á 12 rs. cada uno en rústica, y á 15 Antonio Eximeno , y traducida por D. Fran­ en pasta: se continúa. cisco Antonio Gutiérrez : tres tomos en 8.° Ensayos políticos, económicos y filosóficos marquilla por 54 rs. en papel , 57 en rústica, del Conde de Rumfard</t>
  </si>
  <si>
    <t>Franautor</t>
  </si>
  <si>
    <t>, y 4c en papel. Aiio Christiano de ..España , por el mismo , 1 Observaciones sobre el pulso ; por D. Franautor : tomos i,® , 2." , 3.“ , 44° y 5.0 en 8.° ’ cisco Solano de Luque : segunda edición eh marquilla á 15 rs. cada tomo en papel, 16 én 4,® á 19 rs. en pasta y 13 en papel. rústica,</t>
  </si>
  <si>
    <t>Franbíséo'María PizárrÓ y Ce</t>
  </si>
  <si>
    <t>ontador de íá Reáf aduana de Lima , vacante por faMecimientb dé D. Jóseph Ignacio de Le-: ^trmda, á D. Franbíséo'María PizárrÓ y Ce^allos.' ’ Igualmente se Ha servido el Rey1 nombrar para el empleo de Oficial prímero de la Contaduría de las Reates Caxás de Campeche., en la provincial de Yucatán, á D. Manuel Or</t>
  </si>
  <si>
    <t>Franc</t>
  </si>
  <si>
    <t>y af de fusileros del de Murcia, también graduado de Subteniente, D. M*uycio Estrada, á los Cadetes D. Franc.sco X,vior de Parcelo, que 1c. e* del de Extremadura, D. Miguel T D Francisco Carabano, D Joseph V»dal y D. Bartolomé Polo, y al Soldado distinguido del de Malaga D. Tade°¿iTos1 r</t>
  </si>
  <si>
    <t>Francés Dupont, General</t>
  </si>
  <si>
    <t>General Francés Dupont</t>
  </si>
  <si>
    <t>... - /. }$En Liorna ha publicado el General Francés Dupont un aviso ofreciendo entera libertad a ios vasallos y embarcaciones de potencias neutrales para su comercio en antier puerto. Las embarcación es griegas se consideran también como</t>
  </si>
  <si>
    <t>Franchíni</t>
  </si>
  <si>
    <t>permanece en su resolución de desprenderse de la autoridad del General otomano. Parece positivo que Mr. Franchíni, Ministro de Rusia en el exército turco, fué envenenado ó asesinado el 25 de Enero-----Los comerciantes gozan en Egipto de tanta protección como seguridad en sus operaciones merca</t>
  </si>
  <si>
    <t>Francis</t>
  </si>
  <si>
    <t>ta. Fe, con su estampad Afíá-' dése la respuesta á la memoria de las qdinas de Sta. Fe, que insertó D. Francis-1 cb Zea en los Analeé dé historia natural , pretendiendo igualar 4 estas lás precio^ sás quinas dé L-cxs y demás peruvianas: y la satisfacción 4 los fépafés ó dudasf del ciud.Juss</t>
  </si>
  <si>
    <t>Francisca Larminal</t>
  </si>
  <si>
    <t>ar de Urdach en Navarra en calidad de disperso. Quien tuviere esta noticia se servirá comunicarla á Doña Francisca Larminal, vecina de esta corte, calle de Panaderos. Número 3.0 del Memorial literario, ó Biblioteca periódica de ciencias y artes. En este número finaliza la idea del siglo xvm : se trata</t>
  </si>
  <si>
    <t>Francisca Xaviera de Va</t>
  </si>
  <si>
    <t>eral de los Reales exércitos» vecino de Madrid; D. Isidoro Fernandez de la Quintana, como marido de Doña Francisca Xaviera de Va i parda , patrono de la capellanía colativa que fundó D. Matías de Val parda en ei convento de religiosos Capuchinos de la Paciencia de esta villa, y D. Agustin de Larrea de los L</t>
  </si>
  <si>
    <t>FranCiscb Blas de Llamas</t>
  </si>
  <si>
    <t>uéna dé Duero, en la diócesis dé Paléit^ cía, vácante por muerte dé D. Joseph Rodríguez Veiarde | \ D. FranCiscb Blas dé Llamas: para el Benefició simple.de la villa deAmuscoyenla misma diócesis de Falencia1, vacante por fallecimiento del référidirD. Jóseph Rodríguez Vélarde, a D. Francisco Gómez Negrete:</t>
  </si>
  <si>
    <t>Francisco Lorenzo</t>
  </si>
  <si>
    <t>está; señalado dicho dia para su segundo remate. En la calle de León junto á la botica , en casa de D. Francisco Lorenzo el maquinista, se vende un juego de abecedarios de chapa de latón berberisco,que consta de 8 alfabetos completos, esto es, uno minúsculo y otro mayúsculo , que es loque se entiende</t>
  </si>
  <si>
    <t>Francisco Xavier</t>
  </si>
  <si>
    <t>114 de Ministro de capa y espada del Consejo de Indias, vacante por fallecimiento de D. Francisco Xavier de ■Fondeviía. Eí Rey se ha servido nombrar Cirujanos del primero y tercer batallón del regimiento de infantería de la Reyna á D. Vicente Aviles y D. Joseph ¿ierra: del primero y seg</t>
  </si>
  <si>
    <t>Amieba , D. Juan Jaldon , D. Joseph Marín, D. Die,*o Garrido, D. Alonso Romero, D. Antonio Ramírez, Don Francisco Xavier, D. Manuel Maclas y D. Joseph de Aragón. Respondiáron todos con oportunidad y expedición á las preguntas que Jeshiciéron así los jueces nombrados por el Ayuntamiento, como otros c</t>
  </si>
  <si>
    <t>Francisco- Clos</t>
  </si>
  <si>
    <t>e al segundo de granaderos Di Francisco- Viniegra; á.seguodo Teniente de granaderos al de fusileros D. Francisco- Clos.; á?segundo, Tentente al Subtenientede granaderos D. N i colas (jarees.j^esta. resulta al primer Subteniente D. Marians Cañellas; á primer Subteniente al segundo D. Luis Vinicgra,</t>
  </si>
  <si>
    <t>Francisco-Antonlo Menendez</t>
  </si>
  <si>
    <t>ara el Beneficio de la parroquial de Escacena , en el arzobispado,de Sevilla, vacante por muerte de D. Francisco-Antonlo Menendez, á D. Francisco Joseph de Padilla, con obligación de precisa personal residencia. . En consideración á loslservlcios y mérito de D&gt; Eugenio Izquierdo le ha concedido el Rey honore</t>
  </si>
  <si>
    <t>FranciscoMontero Joachín</t>
  </si>
  <si>
    <t>o.......... ¿9. 30, FranciscoMontero Joachín...... ... Lucía Salvo......... Ateca........... . Calatayud...... ig. 14, Joseph Loren....... Matías........ ... Isabel Jariod.......Samper......... Alcgñíz.........</t>
  </si>
  <si>
    <t>Franco, Manuel</t>
  </si>
  <si>
    <t>Manuel Franco</t>
  </si>
  <si>
    <t>provechamiento de los discípulos en figura, ca-; betas y brazos, se premió con cantidades menores á D. Manuel Franco, D. Guillermo Olleta, D. Francisco Zapater, D. Felipe Gradan, D. Mateo Zapater, D. Narciso LaJana, D. Anselmo Rueda, D. Juan Antonio Lacosta, D. Xavier Echeverría, D. Marcos Anton</t>
  </si>
  <si>
    <t>Franco, Vicente Ignacio</t>
  </si>
  <si>
    <t>Vicente Ignacio Franco</t>
  </si>
  <si>
    <t>finalmente la gratificación de 10 rs. vn., también ' como accessit al premio ofrecido, en favor de D. Vicente Ignacio Franco, socio de mérito, por haber presentado la descripción topográfico-económica de la gobernación de Valencia. Por mano del director se distribuyéron1 á nlños y niñas de las escuelas</t>
  </si>
  <si>
    <t>Francos, Francisco Xavier</t>
  </si>
  <si>
    <t>Francisco Xavier Francos</t>
  </si>
  <si>
    <t>éllmont, á D.'Manuel Delgado Valle: para la Media-Ración que también Óbteñia en la misma catedral á D. Francisco Xavier Francos: para el Arcedianato de Galisteo, Dignidad de la catedral de Coria, vacante por promoción de D. Christóbal Pascasio Ortuño á la Dignidad de Maestrescuela de 1&amp; propia iglesia, y p</t>
  </si>
  <si>
    <t>FranJuan de Mariana</t>
  </si>
  <si>
    <t>nandez de Córdoba , el Gran Antonio Ley va , Ambrosio Morales , el P. Duque de Alba, Arias Montano, D. FranJuan de Mariana, Fr. Lope Félix de Vega cisco Quevedo y Villegas, y D. Juan de</t>
  </si>
  <si>
    <t>Frap</t>
  </si>
  <si>
    <t>llería de Farnesio se- ha servido promover S. M. á segundo Teniente al Alférez graduado de Teniente D. Frap• ci-sco Gallardo: en el de'España á Ayudante al primer Tenknte D. Florencio Am ya: en el de dragones de Ahmnsa á Alrérrz ai .Sargento primero ' de granaderos D. Antonio Yagues, y</t>
  </si>
  <si>
    <t>Fray, Andrés</t>
  </si>
  <si>
    <t>Andrés Fray</t>
  </si>
  <si>
    <t>.... D. Manuel de la Peña. En Barcelona»...... D. Ramón de Llordella é hijo. En Burgos............. D. Andrés Fray le. En Cádiz............... D. Benito de la Piedra. En Cartagena........D. Manuel de Ozores. En Ciudad-Real... D. Ramón AntonioTico. En Córdoba........... Sres. Barcia padre é hij</t>
  </si>
  <si>
    <t>....... D. Manuel de la Peña. En Barcelona....... D. Ramón de Llordella é hijo. En Burgos.......... D. Andrés Fray le. En Cádiz...............D. Benito de la Piedra. En Cartagena........ D. Manuel de Ozores. En Ciudad-Real... D. Ramón Antonio Pico. En Córdoba........... Sres. Barcia padre é hi</t>
  </si>
  <si>
    <t>Frayle, Andrés</t>
  </si>
  <si>
    <t>Andrés Frayle</t>
  </si>
  <si>
    <t>.... D. Manuel de Ja Peña. En Barcelona....... D. Ramón de Llordella é hijo. En Burgos............. D. Andrés Frayle. En Cádiz..............D. Benito de la Piedra. En Cartagena...... . D. Manuel de Ozores. En Ciudad-Real.. D. Ramón Antonio Pico. En Córdoba...........Sres. Barcia padre é hijo. En</t>
  </si>
  <si>
    <t>.... D. Manuel de la Peña. En Barcelona....... D. Ramón de L tordella é hijo. En Búrgos............ D. Andrés Frayle. En Cádiz.............. D. Benito de la Piedra. En Cartagena.......D. Manuel de Ozores. En Ciudad-Real,* D. Ramón Antonio Pico. En Córdoba.......... Sres. Barcia padre é hijo. En</t>
  </si>
  <si>
    <t>Freáerich, Capitán</t>
  </si>
  <si>
    <t>Capitán Freáerich</t>
  </si>
  <si>
    <t>uth á Wíndsor. Pt&gt;r las últimas noticias de Egipto se hit recibido la coüíjrmscion de la muerte del Capitán Freáerich, que quedó herido til ti desembarco de los ingleses cu Abukir. , .'ó.----. &gt;-ff Haya 22 de Setiembre. L a suspensión de las sesiones del Gu:rpo legislativo no ha produc/do in</t>
  </si>
  <si>
    <t>Freemantle, Capitán</t>
  </si>
  <si>
    <t>Capitán Freemantle</t>
  </si>
  <si>
    <t>a al ir de Copenhague á Petersburgo. De aquella capital de Rusia ha vuelto á la esquadra inglesa el Capitán Freemantle, á quien Mr. Hide-Parker habia despachado para tratar con los Ministros rusos. Otros avisos posteriores añaden que la esquadra británica se alejó de Revel temiendo indisponer á la</t>
  </si>
  <si>
    <t>Frere, Bartolomé</t>
  </si>
  <si>
    <t>Bartolomé Frere</t>
  </si>
  <si>
    <t>á toda priesa para aumentar su división, y reparar las pérdidas que ha tenido. Ha nombrado S. M. á Mr. Bartolomé Frere para servir el empleo de Secretario de embaxada en la corte de Lisboa. A la altura de aquel puerto navegaba el 27 de Agosto la esquadra del Almirante Pole, compuesta de 6 navios d</t>
  </si>
  <si>
    <t>Frey Lope Félix de Vega Carpió</t>
  </si>
  <si>
    <t>eatro espa^ ftol por £&gt;. Vicente García de la Huerta. Poesías escogidas del Dx. Frey Lope Félix de Vega Carpió, presbítero , del hábito de S. Juan } con una breve noticia de Ja vida del autor, y un discurso de-Marmontel .sobre la oda. Se hallará en la librería de Castillo, frente á S. Feiipe}: qn de l</t>
  </si>
  <si>
    <t>Freyre, Manuel</t>
  </si>
  <si>
    <t>Manuel Freyre</t>
  </si>
  <si>
    <t>al Cadete D. Joseph Casado: en el de Húsares Españoles á Comandante de esqúadron al Sargento mayor D. Manuel Freyre: en el de la Costa de Granada á Capitán al Ayudante, graduado de Teniente Coronel, D. Juan Amat de Tortosa; y en el de dragones de Alman-r á Capitán al Ayudante , graduado de Capi</t>
  </si>
  <si>
    <t>Freyre, Tomás</t>
  </si>
  <si>
    <t>Tomás Freyre</t>
  </si>
  <si>
    <t>l Monte y D. Fernando Manuel Montenegro: en el de Mondoñedo á Teniente de cazadores al de fusileros D. Tomas Freyre; á Teniente de esta clase al Subteniente D. Joseph de Lago y Robles; á Subteniente de granaderos al de fusileros D. Joseph Ramón de Ja Vega, y á Subteniente de bandera á D. Antoni</t>
  </si>
  <si>
    <t>Friant, General</t>
  </si>
  <si>
    <t>General Friant</t>
  </si>
  <si>
    <t>ay rezek» para Jo sucesivoc beneficio que se debe en.gjraii; pacte á las acertadas providencias del General Friant. La guarnkioú dé aquella ciudad construyóen pocos dias (dps qiiar te*les semejantes á- dos poblaciones* con. calles y plazas* á las^quales han, puesto» los nombres do los-Generale</t>
  </si>
  <si>
    <t>r la tarde entro igualmente el bergantín nombrado el Lodi. Lá guarnición de Alexandría al mando del General Friant, se7 apostó este día en las alturas .meridionales de la rada de Abukir , y nada mas de nuevo acaeció. Del 3 al 6 reynáron vientos fuertes con lluvia , mucha'mar y apariencias de t</t>
  </si>
  <si>
    <t>os dias fuego; y el 13 habiendo intentado los enemigos ganar unos puestos importantes, los ataco el General Friant. Estuvo todo el dia dudosa la suerte de aquella acción, hasta que queriendo los ingleses apoderarse del puente del canal de Alexañdría, fueron rechazados y obligados á desistir de</t>
  </si>
  <si>
    <t>Froelich</t>
  </si>
  <si>
    <t>rra celebrado contra los Generales que luviéroit parte en la rendición de Ancolia, ha sentenciado á Mr. Froelich áprivación; de empleo, y á Mr. Knesowich á dos años de encierro en un castillo. * Ratisbona 28 de Febrero. f Ll Conde de Gortz, Ministro de Prusia, ha comunicado á la Dieta una di</t>
  </si>
  <si>
    <t>Froylan Briz</t>
  </si>
  <si>
    <t>ensión lo «xecutará por memorial, que dirigirá á qualquiera de los comisionados D. Benito Majuelo , D. Froylan Briz, ó D. Manuel Joseph de Zuloaga , Regidor perpetúo , Diputado de abastos , y Procurador síndico general : se admitirán basta el dia xa de Julio. Se desea saber si hay algún hereder</t>
  </si>
  <si>
    <t>Froylan García</t>
  </si>
  <si>
    <t>Froylan García... Manuel...... Isabel Vázquez.... S. Vicente de UHoa........ Ide</t>
  </si>
  <si>
    <t>Frutos, Agustín</t>
  </si>
  <si>
    <t>Agustín Frutos</t>
  </si>
  <si>
    <t>D. Antonio Dámaso Torrecilla, Médico de número de los mismos hospitales, y del maestro demostrador D. Agustín Frutos , Cirujano numerario de ellos , acordó la junta se procediese á las públicas oposiciones i los premios de emulación que tiene señalados anualmente, comisionando á dos Sres. Consil</t>
  </si>
  <si>
    <t>Frutos, Ángel</t>
  </si>
  <si>
    <t>Ángel Frutos</t>
  </si>
  <si>
    <t>.......... 130. 23. Angel Frutos....... Antonio........ Josepha Rubio,.... Navas deOro. Cuellar............. 12. 2. Juan Ergui...... Miguel.......... María Damborin.. Errazu..... .... Pam</t>
  </si>
  <si>
    <t>Ftinders, Capitán</t>
  </si>
  <si>
    <t>Capitán Ftinders</t>
  </si>
  <si>
    <t>Sheerness^ zarpó el 26 de Mayo para Portsmouth el buque de guerra el Investigador, aue al mando del Capitán Ftinders emprenderá quinto antes un viage al rededor del mundo para hacer descubrimientos. El 28 de Mayo pidió Mr. Robson en la Cámara de los Comunes que los Ministros presentasen una razón</t>
  </si>
  <si>
    <t>Fu Igencio Izquierdo</t>
  </si>
  <si>
    <t>|i8. ao. Fu Igencio Izquierdo...................... Antonio..... ... María del Val,.... Espeja,.».,..... Burgos............ p&lt;5, 23. Sargento a.D Salvador Polop.,... Vicente..... ... Josepha Escribá... Oliva....</t>
  </si>
  <si>
    <t>Fu, General</t>
  </si>
  <si>
    <t>General Fu</t>
  </si>
  <si>
    <t>patos. Londres 23 de Diciembre, H a llegado aquí un correo marítimo de Lisboa con noticia de que el General Fu.’tney se restituye á Inglaterra. Tres regimientos ingleses de los que estaban baxo su mando esperan en Portugal transportes para retirarse también á este Reyno; y otro de infanter</t>
  </si>
  <si>
    <t>Fuensalida, Agustín</t>
  </si>
  <si>
    <t>Agustín Fuensalida</t>
  </si>
  <si>
    <t>aderos D. Francisco Gijon y D. Manuel Casaus; á segundos Tenientes de granaderos á los de fusileros D. Agustín Fuensalida, D. Pedro Carrion y D.‘Vicente Conty; á segundos Tenientes á los Subtenientes de granaderos D. Miguel de Santiago y D. Francisco Martínez, y á los primeros Subtenientes O. Juan Or</t>
  </si>
  <si>
    <t>Fuller</t>
  </si>
  <si>
    <t>l debía hacerse al. Rey y al Consejo de la Gran Bretaña, y no á S. M. Dinamarquesa; pero conociendo Mr. Fuller.que este método era muy dilatado para sus fines particulares, ha tomado otras disposiciones dirigidas á que todo se venda en un instante. Desde luego envió trop .s á muchos establ</t>
  </si>
  <si>
    <t>Fuxet, Pedro</t>
  </si>
  <si>
    <t>Pedro Fuxet</t>
  </si>
  <si>
    <t>........... 41. ay. Pedro Fuxet.................. Francisco y Rosa Carbouell.,... Pesilla en el Rosellon.............. 10. 15, Buenaventura Padrinas. Francisco y Rosa Delbona........ Id. en id.......... 31. Ga</t>
  </si>
  <si>
    <t>F’uentes, Joseph</t>
  </si>
  <si>
    <t>Joseph F’uentes</t>
  </si>
  <si>
    <t>cisco Palacios; y para lis dos Subtenencias de bandera, vacantes en el propio cuerpo, á ios Cadetes D. Joseph F’uentes y D. Francisco de Paula Bolívar. S. M. se ha dignado conferir el empleo de Tesorero de la Real renta de tabacos del Reyno de Guatemala, vacante por muerte del que lo servia, á D. Jose</t>
  </si>
  <si>
    <t>G-antheaume, Almirante</t>
  </si>
  <si>
    <t>Almirante G-antheaume</t>
  </si>
  <si>
    <t>onaparte, que llevó á Londres la ratificación de este gobierno á los preliminares de paz. El Contra-Almirante G-antheaume, de quien nada se hablaba hace mucho tiempo, se halla actualmente en la Ciotat, que es su patria. En una riada del Sena subieron aquí de tai modo las aguas, que cubriéxon las obra</t>
  </si>
  <si>
    <t>Gáber, Fernando</t>
  </si>
  <si>
    <t>Fernando Gáber</t>
  </si>
  <si>
    <t>elles. El Rey se ha dignado conferir el Gobierno militar y político de la plaza de Ciudad-Rodrigo á D. Fernando Gáber, IngenieroMirector de los Reales exércitos, plazas y fronteras: la Regencia de la Chancillería de Granada á D. Bartolomé de Rada y Santander, por retiro de D. León de Puga: la Reg</t>
  </si>
  <si>
    <t>Gafart, Juan</t>
  </si>
  <si>
    <t>Juan Gafart</t>
  </si>
  <si>
    <t>n Mas..................... Gerónimo y Gertrudis Mas........ Monferrer en ti Rosellon....... ao. 18. D. Juan Gafart......... D. Juan y Doña Mariana Busach......................................... Perpifian.......... 19. 18, Juan Marabel......... Juan y Juana Gaubert.............. Cabors en Fran</t>
  </si>
  <si>
    <t>Gafcía Nieto, Joseph</t>
  </si>
  <si>
    <t>Joseph Gafcía Nieto</t>
  </si>
  <si>
    <t>ero, á D. Joseph Gómez de Villavedon : para la Ración vacante en la misma catedral por promoción de D. Joseph Gafcía Nieto á una Canongía de la referida . íolesia, á D. Andrea Rom.-n: para el Beneficio ¿implé de Baylen, en el obisoado de laen , que resultará vacante por la promoción de D, Mateo Delgad</t>
  </si>
  <si>
    <t>Gagarin, Príncipe</t>
  </si>
  <si>
    <t>Príncipe Gagarin</t>
  </si>
  <si>
    <t>su corte'al Almirante Nelson. Asimismo refieren las cartas de Petersburgo que el 17 de este mes el Príncipe Gagarin comunicó á varios ingleses que aquel Soberano habia resuelto se levantase el seqiiestro de todos sus bienes; y á Riga llegó el día 21 un extraordinario de Petersburgo con el aviso</t>
  </si>
  <si>
    <t>e llego el Emperador al palacio de Petrowitz, inmediato á Moscow. De,aqui ha salido para Nápoles el Príncipe Gagarin, en calidad de Enviado de Rusia cerca ae S. M. Siciliana. El Teniente General Duque de Richelieu,que habla sido despedido del servicio» acaba de ser reemplazado en su mismo empleo</t>
  </si>
  <si>
    <t>ien inmediatamente lo envió á su gobierno por un correo ex* traordinario. Permanece todavía aquí el Príncipe Gagarin, Ministro de Rusia destinado á la corte de Ñapóles, y se dice que no emprenderá su viage hasta que se firme el tratado definitivo de paz. S. M. Siciliana ha nombrado al Condé de C</t>
  </si>
  <si>
    <t>Galabert, Pedro Vicente</t>
  </si>
  <si>
    <t>Pedro Vicente Galabert</t>
  </si>
  <si>
    <t>inción ó minoración de los mendigos, y en conseqiíencía repite el premio propuesto por su individuo D. Pedro Vicente Galabert en el año anterior, .de una medalla de plata al que describa los medios de mas pronta y fácil realización para darles empleo conforme al estado actual, y á las circunstancias partic</t>
  </si>
  <si>
    <t>Galderique Preste</t>
  </si>
  <si>
    <t>en id.......... 31. Galderique Preste........ Manuel y María Ana Carras quete....*.............................. . S. Andreu......... 9. atf. Joseph Padrinas......... Franc</t>
  </si>
  <si>
    <t>Galderique y Dofia María Toll</t>
  </si>
  <si>
    <t>t...... . Juan y Juana Autie............. ...... Pesillat en id... 41. ig. D» Joseph Casais,....... Don Galderique y Dofia María Toll..................... Perpifian........... 41. jg.</t>
  </si>
  <si>
    <t>Galeano, Salvador</t>
  </si>
  <si>
    <t>Salvador Galeano</t>
  </si>
  <si>
    <t>el Rey Cadete de número al supernumerario D. Joseph Medina; y por Cadete supernumerario ai Guardia D. Salvador Galeano. En el regimiento de Reales Guardias Españolas se ha servido promover S. M. á Alféreces de cazadores á los de fusileros D. Joseph Ximenez de Texida, D. Domingo Manso de Zúñiga y D</t>
  </si>
  <si>
    <t>ericana del. Real cuerpo de Guardias de Corps ha nombrado el Rey Cadete de número al supernumerario D. Salvador Galeano; y por Cadetes supernumerarios á los Gpardias de la misma compañía D. Tomas Pardo y D. Francisco Pió Manrique de Lara. En el regimiento de infantería de Saboya se ha servido promo</t>
  </si>
  <si>
    <t>Galeppi, Arzobispo</t>
  </si>
  <si>
    <t>Arzobispo Galeppi</t>
  </si>
  <si>
    <t>Bonaparte el Conde de Linange; y el Almirante español Mazarredo tuvo su audiencia de despedida. El Arzobispo Galeppi, nombrado Nuncio de Sf. S. en la corte de Lisboa, propuso en nombre del Papa al G eneral Murat fuese á Roma. Las tropas napolitanas acababan de evacuar aquella ciudad, y hallándos</t>
  </si>
  <si>
    <t>Galindo, Joseph</t>
  </si>
  <si>
    <t>Joseph Galindo</t>
  </si>
  <si>
    <t>.......... 25$. 27. Joseph Galindo.... Juan.............. María Santos....... Salamanca...., Idem................. !$«;. 23. Miguel Ruiz....... Francisco...... María Redonda... Campo Real. Alcalá.</t>
  </si>
  <si>
    <t>Gallardo, Bartolomé</t>
  </si>
  <si>
    <t>Bartolomé Gallardo</t>
  </si>
  <si>
    <t>an Marcelino Casas, D. Casildo Posada y D. Nicolás de Lora; á Subtenientes de granaderos al Cadete, D. Bartolomé Gallardo y ai Sargento segundo voluntario D. Pedro Moreno: á Subtenientes de fusileros al Cadete D. Joseph Ramón Islas, al Sargento segundo voluntario D. Manuel Cortes y Obel, y á los paisan</t>
  </si>
  <si>
    <t>Gallardo, Francisco</t>
  </si>
  <si>
    <t>Francisco Gallardo</t>
  </si>
  <si>
    <t>te al Subteniente de granaderos D. Rafael Ramiro; á Subteniente de granaderos al primer Subteniente D. Francisco Gallardo; á primer Subteniente al segundo D. Andrqs Rodríguez, y á segundo Subteniente al Sargento primero del de granaderos Voluntarios de Estado D* Joseph Rui: en el de Toledo á primer T</t>
  </si>
  <si>
    <t>Gallardo, Manuel</t>
  </si>
  <si>
    <t>Manuel Gallardo</t>
  </si>
  <si>
    <t>egundos Subtenientes á los Cadetes D. Joseph Joachín Muzo,'1 D. Joseph Losada, D. Andrés Rodríguez, D. Manuel Gallardo, D. JuarF de Torr.es Coca, D-Joseph Martinez y D. Joachín Casaus , y á los Sargen-r tos primeros Di Poiicarpo de Frías, D. Francisco Barrera, de granaderos, D. Narciso Lafuente y</t>
  </si>
  <si>
    <t>Gallego y Martínez, Cayetano Gabriel</t>
  </si>
  <si>
    <t>Cayetano Gabriel Gallego y Martínez</t>
  </si>
  <si>
    <t>güenza, vacánte.por. promoción de Df Francisco .Sánchez Nieto, á una Ilación de la misma iglesia, a D. Cayetano Gabriel Gallego y Martínez : paraotra de la propia catedral, vacante por ascenso de D. Miguel. Al°ns9y: Alcalá al Arcedianato de Ayllqn, á D. Juan Manuel Chavarría: para unja. Capellanía de la catedral de P</t>
  </si>
  <si>
    <t>Galli, Tomás</t>
  </si>
  <si>
    <t>Tomás Galli</t>
  </si>
  <si>
    <t>... Oviedo......10. Tomas Galli........ Bernardo.,.,.. Bárbara Blanco,... S. Millan de Lara.....;,..Burgos......... . ai. 6.</t>
  </si>
  <si>
    <t>Gallo, Felipe Santiago</t>
  </si>
  <si>
    <t>Felipe Santiago Gallo</t>
  </si>
  <si>
    <t>ido los remitirá ¿dicha Sra. £ Valladolid , á Zamora £ D. Francisco García Patón, ó en esta corte á D. Felipe Santiago Gallo , Procurador de los Reales Consejos, que vive calle de la Gorguera núm. 16. El Cabildo Eclesiástico de la santa iglesia catedral de Badajoz, deseando proporcionar millón y medio d</t>
  </si>
  <si>
    <t>Galludo, Joseph</t>
  </si>
  <si>
    <t>Joseph Galludo</t>
  </si>
  <si>
    <t>-primer Subteniente D. Leonardo Martines; á Subtenientes de granaderos á Josi primeros Subtenientes D. Joseph Galludo, D. Joseph Calíava y D. Rafael Ramiro; á primeros Subtenientes á los segundos D. Antonio Merlo, D. Joseph Juano, D. Joseph Rodríguez, D. Miguel Márquez y D. Joseph Casaus, y a seg</t>
  </si>
  <si>
    <t>usileros D. Joachín Juano y D. Gabriel Rubio; á segundos Tenientes á los Subtenientes de granaderos D. Joseph Galludo y D. Joseph Callava; á estas resultas á los primeros Subtenientes D. Joachín Rodríguez y D. Joseph Fransoy, y á/primer Subteniente al segundo D. Josepn Murzo: en el batallón de cazado</t>
  </si>
  <si>
    <t>Galvan, Jorge</t>
  </si>
  <si>
    <t>Jorge Galvan</t>
  </si>
  <si>
    <t>r la Tenencia Coronela del regimiento dé irffah** tería de Saboya al Coronel D. Jorge Galvan , Teniente Coronel del deríVíte íencia; este empleo al Marques de Campo Sagrado, Coronel agregado ai de, infantería de Asturias, y la Tenencia Coronela de este regimiento at Coronel D. Rodul</t>
  </si>
  <si>
    <t>Galvan, Joseph</t>
  </si>
  <si>
    <t>Joseph Galvan</t>
  </si>
  <si>
    <t>... 6. 10, Joseph Galvan.... Joseph..... Rosalía Mendez... Xer, z de los Cebaderos. I iem..............</t>
  </si>
  <si>
    <t>Gamheanm'e, Almirante</t>
  </si>
  <si>
    <t>Almirante Gamheanm'e</t>
  </si>
  <si>
    <t>674 be ¡levarles .el Almirante Gamheanm'e.’'La pérdida de los enemigos se regulaba generalmente en mas de 5© hombres, entre ellos 4 Generales y gran número de oficiales. Dícese que se habían valido de todos los medios pos</t>
  </si>
  <si>
    <t>Gan, Almirante</t>
  </si>
  <si>
    <t>Almirante Gan</t>
  </si>
  <si>
    <t>s se pusiéron al instante en marcha para Alexandría, de donde no dista Derna mas que 5 jornadas. El Almirante Gan* theaume debía restituirse inmediatamente á ToIon. Una partida de tropas de Tréveris ha tomado posesión de Ehrenbrestein y de la aldea del Thal. No tardarán en llegar tropas palat</t>
  </si>
  <si>
    <t>Gántbeauhié, Almirante</t>
  </si>
  <si>
    <t>Almirante Gántbeauhié</t>
  </si>
  <si>
    <t>ica cisalpina. ^ .yi'- v'&gt; ;■ ■ M -¿ ■. ..l S :/- '-"v; ' ‘ Génova g'de Juntó. ’ ; é asegura qpe el Almirante Gántbeauhié lleva órden de desembarcar quanto ántés sea posible en las costas de Trípolrlas tropas qué ván *en su esquadra, las quales marcharán á Egipto venciendo todos los obstáculos y difi</t>
  </si>
  <si>
    <t>Ganthaüme, General</t>
  </si>
  <si>
    <t>General Ganthaüme</t>
  </si>
  <si>
    <t>ldná' de las embarcaciones dél ciud! Baúx, que salió para Egipto el 19 ¿e Marzo con la división del General Ganthaüme, fué apresada por los ingleses S ¿o leguas de la costa, y llevada áMahon. Su Capitán y la tripulación han vuelto en un parlamentario que entró en Marsella el 19 de Abril. Escribe</t>
  </si>
  <si>
    <t>Ganthcamne, Almirante</t>
  </si>
  <si>
    <t>Almirante Ganthcamne</t>
  </si>
  <si>
    <t>nes. París 4 de Abril. L a esquadra inglesa del Almirante Warn-n , que perseguida por la del Contra-Almirante Ganthcamne se acogió á Mahon, se aprovechó del moiTKnto en que este General había entrado en el puerto de Tolon para salir nuevamente de Menorca, y el 16 de Marzo llegó á la entrad 1 del gol</t>
  </si>
  <si>
    <t>Ganthcaume, Almirante</t>
  </si>
  <si>
    <t>Almirante Ganthcaume</t>
  </si>
  <si>
    <t>á ella con éxpresiones.de^gratitud. : : : ¿ v . : q La esquadra qiie salió de Brest mandada por ei Almirante Ganthcaume ha conseguido continuar su navegación librándose de la vigilancia de loscomandantes de nuestras fuerzas navales apostadas en las.costas de Francia.; El Almirante Hide-Párker está</t>
  </si>
  <si>
    <t>Gantheaiime, Almirante</t>
  </si>
  <si>
    <t>Almirante Gantheaiime</t>
  </si>
  <si>
    <t>erán á colocarse en los castillos y repuestos de donde se habían sacado. Dícese que la esquadra del Almirante Gantheaiime está cruzando en di golfo Adriático. Hán consentid*) los ingleses en que pasen las mercancías austríacas destinadas para la República cisalpina, pagándoles un derecho de a á 3 por l</t>
  </si>
  <si>
    <t>Gantheaume, Almirante</t>
  </si>
  <si>
    <t>Almirante Gantheaume</t>
  </si>
  <si>
    <t>navios de 80 cañones, quatro de 74, dos fragatas de 40, y otros buques menores. La manda el Contra-Almirante Gantheaume , en cuyo navio van el General Sahuguet, comandante de las tropas de desembarco , y el Consejero de Estado Lascaiiier. Ignórase el destino de esta expedición. Un corsario de la Ro</t>
  </si>
  <si>
    <t>Gantheaumé, Almirante</t>
  </si>
  <si>
    <t>Almirante Gantheaumé</t>
  </si>
  <si>
    <t>. fortalezas de la orilla derecha dél Rlíin se atrasarán igualmente. v Parts g de Marzo. E I Contra-Almirante Gantheaumé, Consejero dé Estado y Comandante de la esquadra que salió de Brest el 23 de Enero, ha escrito al Ministro de Marina desde la altura del cabo de Gata, á 10 de Febrero, informándol</t>
  </si>
  <si>
    <t>de línea y otras tantas fragatas, después de buscar inútilmente por el Mediterráneo la esquadra del Almirante Gantheaume. Se han recibido cartas directas de lá India, y nada dicen de la toma de Batavia. Pasan de 400 las embarcaciones dinamarquesas y suecas que se hallan embargadas en los puertos de</t>
  </si>
  <si>
    <t>rd y los demas oficiales de la fragata de guerra denominada el Suceso, apresada por la esquadra del Almirante Gantheaume, escriben desde Alice cerca de Tolon, haciendo muchos elogios del buen trato que Ies dan los franceses. Créese en este país que las tropas prusianas ocuparán el Ducado de Mecklenb</t>
  </si>
  <si>
    <t>rlinas para atender á la mejor defensa de la isla." Parece que la salida de la esquadra. del Contra-Almirante Gantheaume fué la que dio motivo á aquellos rumores. Se sabe que la de Mr. Roberto Calder fué á buscaría á las Indias occidentales, y dicen que ha llegado á la Martinica ; pero la de Ganthea</t>
  </si>
  <si>
    <t>en este puerto 11 embarcaciones napolitanas cargadas de víveres y vino. La ; esqüadra francesa; del Almirante Gantheaume se* halla actualmente en estos mares, y proporciona Ja libertad de la navegación entre Ñapóles y Génova. Escriben de Liorna que Porto-Ferrayo no se ha entregado todavía á las arma</t>
  </si>
  <si>
    <t>lia, y que ha cogido esclavos gran número de habitantes. ■ ' De Liorna escriben que la esquadra del Almirante Gantheaume ha apresado á la altura de Bastía una fragata y dos xabequts argelinos. Parece cierto que la mencionada esquadra se ha alejado de los mares de Italia; no se sabe si va á Egipto, ó</t>
  </si>
  <si>
    <t>Ganthéaume, Almirante</t>
  </si>
  <si>
    <t>Almirante Ganthéaume</t>
  </si>
  <si>
    <t>Miu CaHér^:,quf acaba de llegar de las Indias occidentes , ha andado .14© millas en busc^ de la del Almirante Ganthéaume. r ? í : £ Haya 8 de Junto, :T:p P ermanecen en estado de guerra. todas las tropas francesas pagadas porjesta Repubíiwvla ntíi^jpmte^4?;^^.Mífefe£^pviniáásde;0j^¿^-¡r</t>
  </si>
  <si>
    <t>defender la Morca y las costas de Turquía contra los ataques que se rezeia intente la esquadra del Almirante Gantheaume.</t>
  </si>
  <si>
    <t>e Constantinopla de 11 de Mayo expresa que I31 esquadra del Almirante Warren llegó á avistar la del Almirante Gantheaume, sin que una ni otra se atreviesen á emprender un ataque, aunque estuviéron 24 horas á la vista. Un temporal alejó á los franceses: y el Almirante ingles, temiendo que se dirigies</t>
  </si>
  <si>
    <t>, cuya fuerza se regula en 4® hombres. Con fecha de 27 de Mayo avisan de Sicilia que U esquadra del Almirante Gantheaume, compuesta de 4 navios de línea y 2 fragatas, entró el 25 en el estrecho de Mesina. París 3 de Julio. A caba el gobierno de formar un establecimiento ó junta de legislación extran</t>
  </si>
  <si>
    <t>gsburgo que de Trieste escriben como noticia positiva recibida de Venecia, Ñapóles y Liorna, que el Almirante Gantheaume ha desembarcado en Deraa, en el Reynó de Barca, los 8© hombres que Ue*&gt; vaba en su esquadra, los quales se pusiéron al instante en marcha para Alexandría, de donde no dista Derna</t>
  </si>
  <si>
    <t>de Augsburgo, que llegó ayer, se confirma la noticia del desembarco de las tropas francesas que el Almirante Gantheaume llevaba en su esquadra. Las cartas de Trieste , Venecia y Ancona están contestes sobre este hecho, aunque difieren en quanto al número de tropas desembar* cadas, pues unas lo supo</t>
  </si>
  <si>
    <t>e el Contra-Almirante Bickerton era el que mandaba el navio Swiftsure, apresado por la esquadra del Almirante Gantheaume, El Lord Nelson, nombrado comandante en xefe de las fuerzas inglesasen los mares del Norte, salió esta mañana de aquí para Sheerness, y allí se embarcará en la fragata Amazona par</t>
  </si>
  <si>
    <t>ád y de los castillos. En aquel puerto entró el 9 dé Junio la corbeta Heliópolis, despachada por el Almirante Gantheaumé con municiones de guerra y algunas tropas. Dicho Almirante quedaba surto á 125 leguas.dé Alexandría. El General Belliard mandaba en el Cayro, temen* do baxo sus órdenes á los Gene</t>
  </si>
  <si>
    <t>e para los artilleros, soldados y marineros de cada uno de los dos navios de la esquadra del Contra-Almirante Gantheaume que apresaron al navio ingles S^vitshure: otras 4 granadas, 6 fusiles y.12 hachas de abordage dé honor para los artilleros, soldados y marineros de la vanguardia de ra. esquadrill</t>
  </si>
  <si>
    <t>nacional muchas granadas, fusiles y hachas de honor á los milirares y marineros de la esquadra del Almirante Gantheaume, que atacaron y apresaron el navio ingles el §witsfure. Para aumentar la biblioteca de la universidad de Maguncia ha;enviado de aquí el gobierno 2500 cuerpos de obras. El dia 3 un</t>
  </si>
  <si>
    <t>Gantheaume, General</t>
  </si>
  <si>
    <t>General Gantheaume</t>
  </si>
  <si>
    <t>que á la mañana inmediata se encontró el navio almirante solo con una fragata.. El dia 29 llegó el General Gantheaume al parage señalado para la reunión, y avistó y dió caza a úna fragata inglesare guerra nombrada la Incendiaria, despachada de Gibraltar por el Almirante Warin para observar á la e</t>
  </si>
  <si>
    <t>Ganthenume, Almirante</t>
  </si>
  <si>
    <t>Almirante Ganthenume</t>
  </si>
  <si>
    <t>cación raguseá recien entrada en et mismo puerto de Liorna declara haber encontrado la esquadra del Almirante Ganthenume á la altura de Bonifacio, con dirección á Cerdeña. Otros suponen que d'cha esquadra seguirá su navegación por el norte de la Isla de Candía , á £ n de evitar el encuentro de la de</t>
  </si>
  <si>
    <t>Gaona, Antonio</t>
  </si>
  <si>
    <t>Antonio Gaona</t>
  </si>
  <si>
    <t>a suprema y general Inquisición,y D. Miguel Ochoa, Auditor de Rota de la Nunciatura; y al limo. Sr. D. Antonio Gaona, Obispo Prior dcUcles en la orden de Santiago:fué su padrino el Exc. Sr. Duque de Híjar, Presidente del Consejo Real de las Ordenes, y á sur nombre sus dos hijos el Exc. Sr. Duque</t>
  </si>
  <si>
    <t>Gar, Christobal</t>
  </si>
  <si>
    <t>Christobal Gar</t>
  </si>
  <si>
    <t>eros Subtenientes D. Juan Antonio Monet y Don1 Crispía Moya; á primeros Subtenientes á los segundos D. Christobal Gar-^ cía, D. Pedro Antonio Fernandez y D. Ramón de Veíasco; y á segundos Subtenientes á los Cadetes D. Juan Timoteo Inclan Arango, D. Juan Boixo y D. Juan Naghten; y en el de Iliberní</t>
  </si>
  <si>
    <t>Garcés de Marciila, Ramón</t>
  </si>
  <si>
    <t>Ramón Garcés de Marciila</t>
  </si>
  <si>
    <t>once: á saber, de 4.0 año el Dr. D. Melchor Borrücl: de 3.0 los Bachilleres en Jurisprudencia civil D. Ramón Garcés de Marciila, D. Vicente Royo y D. Lucas Vázquez: , de 2.0 los Bachilleres en Leyes D. Rafael Bos, D. Christóbal Douden y D. Antonio Séta; y de i.° D. Fabian Lorente, D. Francisco Oteiza, Don’</t>
  </si>
  <si>
    <t>ión del mérito de los , alumnos resultaron en la olase de sobresalientes el Dr. D. Melchor Borrucl, D. Ramón Garcés de Marciila, D. Vicente Royo, D.Lúeas Vazquez, Don , Rafael Bos y D. Fabián Lorente, por el orden que van nombrados, aproximándose á esté D. Francisco Oteiza, y se consideró á los demas en la</t>
  </si>
  <si>
    <t>Garces de Marcilla, Ramón</t>
  </si>
  <si>
    <t>Ramón Garces de Marcilla</t>
  </si>
  <si>
    <t>la graduación del mérito de los alumnos, se consideráron en la clase de sobresalientes de justicia D. Ramón Garces de Marcilla, D. Alberto Soler, Don Gaspar Ornos y D. Juan Antonio Comat; y los otros dos en la clase de buenos; adjudicando el primer premio de justicia, que es una medalla de oró, al expresa</t>
  </si>
  <si>
    <t>do de los Reales Consejos, hace 17 años: de resultas fuéron graduados en la clase de sobresalientes D. Ramón Garces de Marcilla, D. Vicente Royo, alumnos de quarto año; D. Fausto Juara y Sánz, de tercer año, y D. Manuel Luis de Septien, D. Andrés Soulié, D. Ramón Mateo, D. Antonio y D. Isidoro Capilla, de</t>
  </si>
  <si>
    <t>Garces, Ramón</t>
  </si>
  <si>
    <t>Ramón Garces</t>
  </si>
  <si>
    <t>las preguntas hechas por los examinadores: el dia i.° exercitó D. Felipe Martin sobre aritmética, y Don Ramón Garces sobre álgebra : el dia 2.0 D. Alberto Soler sobre la trigonometría plana, y D. Juan Antonio Comat sobre geometría: el día 3.? D. Gaspar Ornos sobre la aplicación del álgebra á la</t>
  </si>
  <si>
    <t>Garcés, Ramón</t>
  </si>
  <si>
    <t>Ramón Garcés</t>
  </si>
  <si>
    <t>ios de Aragoti a segundo Ayudante al primer Teniente D. Manuel Carbón; á primer Teniente al segundo D. Ramón Garcés; á esta resulta al primer Subteniente D. Pío Ambrós; á primer Subteniente al segundo D. Juan Lafuente,y á segundo Subteniente al Sargento primero D. Joseph Aznar. El Rey ha confer</t>
  </si>
  <si>
    <t>Garcés, Salvador</t>
  </si>
  <si>
    <t>Salvador Garcés</t>
  </si>
  <si>
    <t>eros aLde fusileros D. Manuel de San Pedro; á Capitán de fusileros al primer Teniente de granaderos D. Salvador Garcés; á prim r Teniente de granaderos al de fusileros D.Rafael Menchaca; a esta resulta al segundo.Teménté' de granadefos IX Juah Orsitísan; á segundo Te-/ niente de granaderos al dé f</t>
  </si>
  <si>
    <t>Garcescorrespondió, Ramón</t>
  </si>
  <si>
    <t>Ramón Garcescorrespondió</t>
  </si>
  <si>
    <t>ocio ae mérito literario. Este contestó con las expresiones mas propias de su gratitud; y el alumno D. Ramón Garcescorrespondió igualmente con otras expresiones de reconocimiento á la protección de la sociedad en nombre de los demas discípulos sus compañeros. Escuelas de agricultura, economía civil, y quím</t>
  </si>
  <si>
    <t>Garchíy, Joseph</t>
  </si>
  <si>
    <t>Joseph Garchíy</t>
  </si>
  <si>
    <t>ante , á D. Bartolomé de Rada y Santander: para la plaza de'Oidor de este, en dicha Chancillería, á D. Joseph Garchíy; y para la de Alcalde del Crimen, que resultará vacante, al supernumerario D. Antonio Guajardo y Faxardo. S. M. se ha servido nombrar para la Vara de Alcalde mayor de la villa de</t>
  </si>
  <si>
    <t>García Aldao y Andeyro, Francisco</t>
  </si>
  <si>
    <t>Francisco García Aldao y Andeyro</t>
  </si>
  <si>
    <t>a en los de Badajoz, Santiago, Betánzos y Castellón de la Plana á D. Manuel María de Toro y Suarez, D. Francisco García Aldao y Andeyro, D. Jacobo Cagiad» D. Antonio Díaz de Ponte, D. Juan Antonio Piñana y IX Ramón María Climent. En América. S. M. se ha servido nombrar para el empleo de Fiel de almacenes y reconoc</t>
  </si>
  <si>
    <t>García Buelta, Pedro</t>
  </si>
  <si>
    <t>Pedro García Buelta</t>
  </si>
  <si>
    <t>de la villa de los Molares, en el arzobispado de,Sevilla, vacante por muerte de D. Miguel Gascón, á D. Pedro García Buelta; y para el Btmñcio de la villa de Pozo Alcoñ, err la diócesis de Toledo, vacante por fallecimiento de D. Juan Francisco García, á D. Alexandro Bernardo Bcltran, con la obligación</t>
  </si>
  <si>
    <t>García Cedrian, Joseph</t>
  </si>
  <si>
    <t>Joseph García Cedrian</t>
  </si>
  <si>
    <t>de Ñapóles á Capitán al Ayudante D. Manuel Xerez. &gt; En atención á las circunstancias y servieios de D. Joseph García Cedrian, Contador de reglamentos en S. Sebastian, se ha servido el Rey concederle honores de Contador de sus Reales exércitos. El Consejo á consulta de la Comisión gubernativa y con aprob</t>
  </si>
  <si>
    <t>García de Araoz, Ramón</t>
  </si>
  <si>
    <t>Ramón García de Araoz</t>
  </si>
  <si>
    <t>nencia de esta clase á D. Nicolás Sarmiento: Subtenencias de fusileros en los de Logroño y Toledo á Don Ramón García de Araoz y D. Pedro Lorenzo Toribio; y Subtenencias de bandera en los de Badajoz, Santiago, Betánzos y Castellón de la Plana á D. Manuel María de Toro y Suarez, D. Francisco García Aldao y And</t>
  </si>
  <si>
    <t>García de Arce, Agustín</t>
  </si>
  <si>
    <t>Agustín García de Arce</t>
  </si>
  <si>
    <t>de Ribera, D. Manuel Estéban de Olivares, D. Gregorio Gómez de Ap iricio, D. Joseph de la Barreda, D. Agustín García de Arce, D. Mirtin Mármol, D. Andrés Vázquez, D. Andrés Ximenez, Don Fernando Antonio del Mármol, D. Joseph María del Toro, D. Antonio Bravo y D. Joseph de Jesús Paderes: últimamente á Su</t>
  </si>
  <si>
    <t>García de la Huerta, Vicente</t>
  </si>
  <si>
    <t>Vicente García de la Huerta</t>
  </si>
  <si>
    <t>alle de las Carretas, y de Castillo, frente á S. Felipe: puede ir por el correo. Teatro Español por D. Vicente García dé la Huerta, ó colección completa de las mas selectas comedias de figurón , capa y espada, heróyeas, tragedias, sayne-* tes y demas dramas de nuestros mejores poetas. El colector ademas de re</t>
  </si>
  <si>
    <t>ipe, en la de la viuda de Cerro, red de S. Luis, y en su puesto, calle de Alcalá. Obras poéticas de D. Vicente García de la Huerta , 3.* edición, que sirve de suplemento á su-Teatro español. Si el nombre del autor no, fuese tan conocido, bastarían estas poesías para darle'celebridad. Entre ellas se halla la R</t>
  </si>
  <si>
    <t>ías de Castillo y de la ¿ viuda de Cerro, red de S. Luis. . ’ ♦ * Agamenón vengado , tragedia , por D. Vicente García de la Huerta. Sofonisba, .tragedia en 8.° marquilla. Raquel, tragedia en 8.° marquilla: esta edición va muy corregida,y lleva una estampa que representa la última escena. Guzman el Bueno, Ltra</t>
  </si>
  <si>
    <t>García de la Madrid, Miguel Joseph</t>
  </si>
  <si>
    <t>Miguel Joseph García de la Madrid</t>
  </si>
  <si>
    <t>providencia del Sr. Alcalde de corte Don Luis Melendez y Bruna, y por la escribanía de provincia de D. Miguel Joseph García de la Madrid , se ha mandado subastar per, 30 días 103 censos perpetuos correspondientes ¿ ciertos mayorazgos sobre'1 solares de esta villa, que producen anualmente 1963 rs,, y otros 280 obscu</t>
  </si>
  <si>
    <t>García de la Plaza, Joseph</t>
  </si>
  <si>
    <t>Joseph García de la Plaza</t>
  </si>
  <si>
    <t>o: para la Ración al Medio-Racionero D. Andrés Martínez Perez de Valencia; y para la Media-Ración á D. Joseph García de la Plaza, Cura de la ciudad de Buga, en dicho obispado. Asimismo ha nombrado S. M. para la primera Ración de las dos vacantes en la metropolitana de Sta. Fe por muerte de X&gt;. Antonio Nicol</t>
  </si>
  <si>
    <t>García de León, Rafael</t>
  </si>
  <si>
    <t>Rafael García de León</t>
  </si>
  <si>
    <t>ientes á los segundos Subtenientes de los de Sabeya, Corona» Mallorca y Extremadura Pon Juan López, D. Rafael García de León, D. Joseph Marques y 0. Júasi Joseph Gómez, y á segundos Subtenientes á los Cadetes de los del Principe, Zaragoza, Toledo, Córdoba y León D. Alonso Suarez, D. Pedro Sagarra , 0. P</t>
  </si>
  <si>
    <t>García de Prado, Joseph</t>
  </si>
  <si>
    <t>Joseph García de Prado</t>
  </si>
  <si>
    <t>Luis González Blanco: para la Canongía, vacante por fallecimiento de D. Pedro Castro, al Racionero D. Joseph García de Prado: para esta Ración á D. Bartolomé Cabello, Cura de Santa María: para la Canongía vacante por fallecimiento de D. Antonio Moreno, á Don JosephRamon Aldama: para la Ración, que este</t>
  </si>
  <si>
    <t>García de Texada, Joseph</t>
  </si>
  <si>
    <t>Joseph García de Texada</t>
  </si>
  <si>
    <t>Capitán de fusileros ; su resulta á D. Pedro López Ontiveros, Teniente de cazadores; esta vacante á D. Joseph García de Texada, Teniente de fusileros; Tenencias de esta clase á los Subtenientes de granaderos y cazadores D. Joseph Ovalle y D. Antonio Bonifacio de Alquer, y sus resultas á los Subtenientes d</t>
  </si>
  <si>
    <t>García Fernan, Domingo</t>
  </si>
  <si>
    <t>Domingo García Fernan</t>
  </si>
  <si>
    <t>francés por Mr. Berthollet, traducidos con Discurso sobre el luxo de las Señoras , y adiciones por D. Domingo García Fernan­ proyecto de un trage nacional. En 8.° á 4 dez. Dos tomos en 8.° marquilla , en papel rs. en rústica. á 23 rs. , y á 32 en pasta. Respuesta á las objeciones que se han heArte del</t>
  </si>
  <si>
    <t>García Fernández, Domingo</t>
  </si>
  <si>
    <t>Domingo García Fernández</t>
  </si>
  <si>
    <t>unta general de Comercio, que resulta vacante por fallecimiento del mismo Robles, nombrado. $. M. í D. Domingo García Fernandez, Inspector general de ’ , 4}. M. s$hadignado conceder honores de Contador de exército i Don fiaítasar Juli ».o de la Jruela, Veedor y Contador del Retí sitio del FárdoJ Para notic</t>
  </si>
  <si>
    <t>García Mancha, Vicente</t>
  </si>
  <si>
    <t>Vicente García Mancha</t>
  </si>
  <si>
    <t>de S. Andrés de Masma, en el obispado de Mondoñedo, vacante per muerte de D. Pablo Mingo Morales, á D. Vicente García Mancha; y para otro simple servidero, llamado Ración, en ja parroquia de la villa de San Felices de los Gallegos, en la diócesis de Ciudad-Rodrigo, vacante por fallecimiento de D. Antoni</t>
  </si>
  <si>
    <t>García Martínez, Juan</t>
  </si>
  <si>
    <t>Juan García Martínez</t>
  </si>
  <si>
    <t>.. .. '* S. M. se ha dignado distinguir con los honores de Comisario’ ordenador de sus cxércitos á D. Juan García Martínez , Administrador general de- toadas rentas en Extremadura , por sus buenos servicios y circunstancias. Por ñuto proveído el día 4 del corriente por el Sr. D. Manuel Perez de Hozas</t>
  </si>
  <si>
    <t>García Moreno, Joseph Blas</t>
  </si>
  <si>
    <t>Joseph Blas García Moreno</t>
  </si>
  <si>
    <t>e Toledo, vacante por promoción de D. Vicente Rodrigo de Mena á una Canongía de la misma iglesia, á D. Joseph Blas García Moreno: para un Beneficio de la villa de Alcaudete, en la diócesis de Jaén, vacante por fallecimiento de D. Miguel Francisco Aldecoa, á D. Juan Joseph Rodrigo de Mena: para otro de.Viila</t>
  </si>
  <si>
    <t>García Nieto, Joseph</t>
  </si>
  <si>
    <t>Joseph García Nieto</t>
  </si>
  <si>
    <t>nombrar para una Canongía de la catédral de Valladolid, vacante por muerte de D. Domingo Escuza, á D. Joseph García Nieto, Racionerode la misma iglesia: para otra Canongía de la catedral de Sigíienza, vacante por la promoción de D. Félix Ximenez á Ja Dignidad de Chantre de la dé Cuenca, á D. Ramón de</t>
  </si>
  <si>
    <t>García Patón, Francisco</t>
  </si>
  <si>
    <t>Francisco García Patón</t>
  </si>
  <si>
    <t>y habiéndose extraviado, quien los haya recibido los remitirá ¿dicha Sra. £ Valladolid , á Zamora £ D. Francisco García Patón, ó en esta corte á D. Felipe Santiago Gallo , Procurador de los Reales Consejos, que vive calle de la Gorguera núm. 16. El Cabildo Eclesiástico de la santa iglesia catedral de Bad</t>
  </si>
  <si>
    <t>García Peneche, Mateo</t>
  </si>
  <si>
    <t>Mateo García Peneche</t>
  </si>
  <si>
    <t>palio, pozo, cocina y otras servidumbres, valuada en 16,Ó93 rs. , pertenecientes á los herederos de D. Mateo García Peneche, que se venden juntas ó separadas. Quien quisiere hacer postura á ellas, acuda ante dicho Señor , y por la escribanía de provincia de D. Joseph Nicasio Beitez, que se admitirán la</t>
  </si>
  <si>
    <t>García Plaza, Isidoro</t>
  </si>
  <si>
    <t>Isidoro García Plaza</t>
  </si>
  <si>
    <t>.......... D. Manuel Escolar y Noriega. En Granada.........D. Francisco de Unzaga. [En QuadaUtxara. D. Isidoro García Plaza. 'Éñjaen.............. D. Pedro Esponera. En León............. . D. Pedro Gil de Tejada. En Málaga........... D. Antonio Mariano. En Murcia....... Sres. Moreda y LadalkL En Oviedo</t>
  </si>
  <si>
    <t>nca........ D. Manuel Escolar y Noriega. En Granada........ D. Francisco de Unzaga. En Guadalaxara. D. Isidoro García Plaza. jfí /z ............... B. Pedro Esponera. En León..... ......... D. Pedro Gil de Tejada. En Malaga....... D. Antonio Mariano. En Murcia........ Sres. Moreda y Ladaiid. En Oviedo.</t>
  </si>
  <si>
    <t>ca......... D. Manuel Escolar y Noriega. Engranada........ D. Francisco de XJnzaga. En Guadalaxara. D. Isidoro García Plaza. En Jaén................D. Pedro Esponera. En León.,.......... . D. Pedro Gil de Tejada. En Malaga,,.,..... D. Antonio Mariano. j En Murcia.,,........ Sres. Moreda y Ladalid. . ,</t>
  </si>
  <si>
    <t>........ D. Manuel Escolar y Noriega. En Granada......... D. Francisco de Unzaga. jEn Guadalaxara.. D. Isidoro García Plaza. En Jaén.................D. Pedro Esponera. En León................ D. Pedro Gil de Tejada. En Malaga............D. Antonio Mariano. En Murcia............. Sres. Moreda y Ladalid.</t>
  </si>
  <si>
    <t>......... D. Manuel Escolar y Noriega. En Granada......... D. Francisco de Uñzaga. En Guadalaxara.. D. Isidoro García Plaza. E11 Jaén.................D. Pedro Esponera. En León................. IX Pedro Gil de Tejada. En Malaga............D. Antonio Mariano. En Murcia..............Sres. Moreda y Ladali</t>
  </si>
  <si>
    <t>........ . D. Manuel Escolar y Noriéga. En Granada........ D. Francisco de Unzaga. En Guadalaxara.. D. Isidoro García Plaza. En Jaén.................. t&gt;. Pedro Esponera. En León.................. D. Pedro Gil de Tejada. En Malaga..............D. Antonio Mariano. En Murcia.......... . Sres. Moreda y La</t>
  </si>
  <si>
    <t>García Pulgar, Juan</t>
  </si>
  <si>
    <t>Juan García Pulgar</t>
  </si>
  <si>
    <t>expensas de la asociación de caridad por encargo de la sala de Sres. Alcaldes. „Juan García Pulgar, natural de Guadix, hijo de padres desconocidos, de edad de 26 años, temperamento melancólico , teniendo 10 años de edad le contagiaron la tiña, y procuraron cortársela con casquetes de pe</t>
  </si>
  <si>
    <t>García Redondo, Antonio</t>
  </si>
  <si>
    <t>Antonio García Redondo</t>
  </si>
  <si>
    <t>idad de Tesore. ro de L mctroooütana de Guatemala, vacante por promoción de D. Ambrosio de Llano,-á D. Antonio García Redondo, Canónigo Magistral de'la inistn? iglési’. " - ,■ . . El Rey se ha dignado nombrar Teniente de fusileros déf batallón de ' milicias disciplinad bS^ie infantería de blancos de Cgrá</t>
  </si>
  <si>
    <t>García Roa, Antonio</t>
  </si>
  <si>
    <t>Antonio García Roa</t>
  </si>
  <si>
    <t>stéban Marbeuf y D.’ Francisco Brevaíy,-Salva chuna..Atendiendo el Rey á ios méritos y servicios de D. Antonio García Roa,* Contador de Rentas de la provincia de Madrid y honorario de exército, se ha servido S. M. nombrarle para la Administración general de la misma provincia, vacante por fallecimien</t>
  </si>
  <si>
    <t>García Seijo, Vicente</t>
  </si>
  <si>
    <t>Vicente García Seijo</t>
  </si>
  <si>
    <t>ete D. Joseph Ramón Islas, al Sargento segundo voluntario D. Manuel Cortes y Obel, y á los paisanos D. Vicente García Seijo, D. Francisco Timoteo de Ribera, D. Manuel Estéban de Olivares, D. Gregorio Gómez de Ap iricio, D. Joseph de la Barreda, D. Agustín García de Arce, D. Mirtin Mármol, D. Andrés Váz</t>
  </si>
  <si>
    <t>García Vailedor</t>
  </si>
  <si>
    <t>ónimo de la Escosura y D. Fernando Valledor, y á los de fusileros el Capitán D. Francisco de Toro y D. García Vailedor; á segundos Tenientes de granaderos á los de fusileros D. Francisco Pardo, D. Antonio Valladares y D. Luis de Rueda; á segundos Tenientes á los Subte</t>
  </si>
  <si>
    <t>García Valdes, Fernando</t>
  </si>
  <si>
    <t>Fernando García Valdes</t>
  </si>
  <si>
    <t>n de cazadores al de fusileros D. Domingo Btrgaño; á Capitán de fusileros al Teniente de granaderos D. Fernando García Valdes; á Teniente de granaderos al de fusileros £). Miguel Murilio; á Teniente de fusileros al Subteniente de granaderos D. Alonso Santos, y á su resulta á D. Joachín de Ayala, Subtenie</t>
  </si>
  <si>
    <t>García y Motos, Ignacio</t>
  </si>
  <si>
    <t>Ignacio García y Motos</t>
  </si>
  <si>
    <t>as de Córps. S. M. se ha servido nombrar para el Corregimiento de letras de la villa de Benávarre á D. Ignacio García y Motos. 1 ' 1 ^ Por orden de a; de Setiembre del año pasado de iSoo se sirvió el Rey Ntro. Sr. conceder &amp; la villa de Baylen, en Andalucía, su Real permiso para qua se celebre en ella un</t>
  </si>
  <si>
    <t>García y Pérez, Marcos</t>
  </si>
  <si>
    <t>Marcos García y Pérez</t>
  </si>
  <si>
    <t>1144 deon, D. Tomas Ruiz de Bustamante» D. Juan Biraonaf y,D. Marcos García y Pérez: para otra Canongía de la catedral de Cuenca, vacante por promoción de,D.,Gaspar de Hacdo y Espina al ^.reedianato de S. Felipe, á p. Ramón de Oñate, Capellán de honor de S. M. :</t>
  </si>
  <si>
    <t>García y Romero, Ramón</t>
  </si>
  <si>
    <t>Ramón García y Romero</t>
  </si>
  <si>
    <t>Plasenzuela, en la diócesis de Piasencia, vacantes por muerte de D. Gabriel Patricio Bettodano , a D. Ramón García y Romero. . ■ . ■* t.&lt; ... ■- / f •■y*'-' En el regimiento de Reales Guardias Walonas se ha servido promover el Réy á Alféreces i los Cadetes D. Domingo Junco, D. Juan de Valcáx</t>
  </si>
  <si>
    <t>García, Andrés</t>
  </si>
  <si>
    <t>Andrés García</t>
  </si>
  <si>
    <t>ee.eé** 7*; Andrés García..... Joachin........ Antonia Ofiate.... Meodigorria.. Pamplona.... . $6. 31. ; Indiyi^uos que'ban tenidosusalida y.y seignora el destino. Sar</t>
  </si>
  <si>
    <t>García, Ángel</t>
  </si>
  <si>
    <t>Ángel García</t>
  </si>
  <si>
    <t>niente de granaderos al de fusileros D. Simón Henrique; á esta resulta al Subteniente de granaderos D. Angel García; á Subteniente de granaderos al primer Subteniente D. Juan González; á primeros Subtenientes á los segundos D. Jacinto Gómez y D. Diego Ponce , y. á segundos Subtenientes al Sarge</t>
  </si>
  <si>
    <t>calles dei Lobo y del Príncipe; y en el Ferrol,, con el aumento del porte, en casa del comerciante D. Angel García. Compendio de la historia de España, escrito en francés por el P. Duehesne* y traducido por el P. Isla: nueva edición , en que se han corregido «roches, yer—</t>
  </si>
  <si>
    <t>García, Antonio</t>
  </si>
  <si>
    <t>Antonio García</t>
  </si>
  <si>
    <t>l fin persuadirlos con sus justas y arregladas reconvenciones. Dispuso llamar á Antonio García , cirujano de Quintana-Manvirgo, quien, una hora después de la muerte de la enferma, practicó la operación á presencia de diferentes personas, extrayendo un niño, que vivió quatro horas desp</t>
  </si>
  <si>
    <t>.......... 414. jg. Antonio García.,. Froylan.. .... LuperciadeCastro.Benavides..... León...... ......... 40. 44. AiexandroSanchez Sebastian ... Feliciana Gómez.. Carmena....... Madrid............</t>
  </si>
  <si>
    <t>... . ai. 6. Antonio García... Alfonso......... Ana Mórgado...... Garrobillas,., Plassncia........ ai. 6. Juan Nobua...... Juan............. . María Rosa Noba. S. Pedro de</t>
  </si>
  <si>
    <t>aiaxara... 142. ig; Antonio García.., Anronip.„,...... María Conde....... Illescás.»...,..., Madrid....;...... 77. 8# Sebastian Burgos. Joáeph&lt;,.,.,.... XiUCia Rodrigue*.. Pozuélo , .del Alcalá de</t>
  </si>
  <si>
    <t>García, Francisco</t>
  </si>
  <si>
    <t>Francisco García</t>
  </si>
  <si>
    <t>rmona, D. Jesualdo de Vea y Murguia y D. Antonio María de Mené, y al Sargento primero de granaderos Don Francisco García: en el de Irlanda á primer Teniente al segundo de granaderos D. Jayme O-Mahony; á esta resulta al segundo Teniente D. Pedro Lacy; á segundo Teniente al Subteniente de granaderos D</t>
  </si>
  <si>
    <t>entes á los distinguidos D. Francisco Iparraguirre, D. Juan Manrique de Lara, D. Joachin del Barco, Don Francisco García y D. Juan Joseph Orejuela; á Alféreces al Sargento primero D: Manuel Rodríguez, y í los paisanos D. Silvestre Adriancen, Don Joseph.María Medina, D. Domingo Peña y D. Joseph Valentín</t>
  </si>
  <si>
    <t>la villa de Esquívias, fcn la diócesis de Toledo,vacante por fallecimiento de D. Francisco Díaz, á D, Francisco García: ’ para el otro de la parroquial de la villa de Santorcaz , en la misma diócesis de Toledo, vacante por muerte de D» Joseph R*mon Sánchez, i D, Fcli</t>
  </si>
  <si>
    <t>de infantería de Asturias se ha servido el Rey promover á segundos Subtenientes al Sargento primero D. Francisco García, y á 3ós Cadetes de los de Africa y Saboya D. Andrés Alarcon y D. Antonio Ordonfez: en el primer batallón de Voluntarios de Aragoti a segundo Ayudante al primer Teniente D. Manuel</t>
  </si>
  <si>
    <t>ta viila t por }y escriba ía del nú ñero de D. Vicente de la Costa en ei término de 30 dias. El Sr. D, Francisco García déla Cruz, que fué del Co-sejo Real de Casri:ta, dexó destinados algunos miles-de rs. páéa el pág^o'de-lOs acróedORe^, qtte- atrédi</t>
  </si>
  <si>
    <t>García, Gregorio</t>
  </si>
  <si>
    <t>Gregorio García</t>
  </si>
  <si>
    <t>via , el Real hospicio .de esta corte en otra caldera que en.'él puso ¡Rueda para los blanqueos , y D. Gregorio García, fabricante de sargas en el Nuevo Bastan, en las de su tinte , colocadas todas por un mismo método y con la asistencia del mismo Rueda, que anuncia al público este descubrimiento</t>
  </si>
  <si>
    <t>García, Hénrique</t>
  </si>
  <si>
    <t>Hénrique García</t>
  </si>
  <si>
    <t>uda ante el Corregidor de dicha villa por la escribanía de su número y A^tn—' taroiento al cargo de D. Hénrique García, que se Je admitirá siendo arreglada , previniéndose que el pago ha de ser precisamente en moneda metálica, que e. [-rematé Ve ha de verificar el dia i.° .de IVIarzo próximo, y qu</t>
  </si>
  <si>
    <t>García, Ignacio</t>
  </si>
  <si>
    <t>Ignacio García</t>
  </si>
  <si>
    <t>l colegió de Ntra. Sra. de Lóreto dé esta villa de Má-’ drid , que resultará Vacante por él pase de D. Ignacio García dél Castillo al de Penitenciário de la Real Capilla, á D. Juan Bautista Emparan , Capellán de Honor de S. M.; y para el de Administrador del colegio de Sta. Isabel de la misma villa,</t>
  </si>
  <si>
    <t>García, Joachín</t>
  </si>
  <si>
    <t>Joachín García</t>
  </si>
  <si>
    <t>ria se ha servido el Rey conferir Compalía de fusileros al Teniente de granaderos graduado de Capi¿ D Joachín García-, Tenencia de granaderos a. de fusneros D Columbario Cabrera : Tenencias de fusileros a los Subtenientes de granaderos Don Francisco Valencia y D. Miguel Gnecco-, Subtenencias de g</t>
  </si>
  <si>
    <t>García, Joseph</t>
  </si>
  <si>
    <t>Joseph García</t>
  </si>
  <si>
    <t>sa, Don Domingo Acevédo y De Antonio Viilafranca; y a segundos Subtenientes^ los Sargentos primeros D. Joseph García, D. Juan Recio y* - n ono Tlkíalge, este v ei primero*de' granaderos, y á los_Cadete* dejos &lt; fanteda de-Voluntarios de Castilla, Extremadura, Zamora, Princesa, Maillorca y León D</t>
  </si>
  <si>
    <t>Garcíá, Joseph</t>
  </si>
  <si>
    <t>Joseph Garcíá</t>
  </si>
  <si>
    <t>a.,..... ...» 71. 3 Joseph Garcíá...... Manuel......... Josepha Bustamante......... . S. Felipe...... Idem......,.......* 4* Miguel Barge..*..*. Francisco..,,*. Isabel .Gómez...... Banon</t>
  </si>
  <si>
    <t>antes se sortearon 8 affirñnó^que obtuvieron la mayor censura después de Moreno, cuya suerte cupo á D. Joseph García f D:;Gabriel García. . ; En la extracción extraordinaria de la Real lotería executada el lunes 13 del corriente, salieron los números' 71, 58,6, jojys5f25,,y‘COftS8lJós,jiárn;gamd</t>
  </si>
  <si>
    <t>García, Joseph Ignacio</t>
  </si>
  <si>
    <t>Joseph Ignacio García</t>
  </si>
  <si>
    <t>. Buenaventura Berrueco, D. Manuel Urruchurtu, D. Joseph María Gómez de Humaran, D. Manuel Pantoja, D. Joseph Ignacio García, D. Cayetano Revueltas, a! Cadete Don Domingo Urqiiijo, y a los paisanos D. Fernando Pineda, D. Juan de Dios Pader^s, D. .Juan Marcelino Casas, D. Casildo Posada y D. Nicolás de L</t>
  </si>
  <si>
    <t>García, Juan</t>
  </si>
  <si>
    <t>Juan García</t>
  </si>
  <si>
    <t>undo Teniente al Alférez D. Francisco de Mena; y en el de dragones de Almansa á Teniente al Alférez D. Juan García. S. M. se ha servido nombrar para una plaza de Oidor de la Real Audiencia de Aragón , vacante por promoción de D. Francisco Xavier de LarrJpa á la Regencia de la Cnancillería de G</t>
  </si>
  <si>
    <t>........... 45. so. Juan García........ Joseph........... Ana González...... Cerezal de Puer</t>
  </si>
  <si>
    <t>García, Juan Agustín</t>
  </si>
  <si>
    <t>Juan Agustín García</t>
  </si>
  <si>
    <t>in, á D. Joseph Brihuega y Ortega: para la Pabordía de la colegial de Manresa, diócesis de Vique, á D. Juan Agustín García: para el Beneficio Préstamo del lugar de Barbolla, en el obispado de Segovía, vacante por fallecimiento de D. Joseph Xavier de Iturriaga, á D. Tomas López: para el Beneficio de la</t>
  </si>
  <si>
    <t>Rey se ha servido nombrar para una Canongía de la catedral de Ta-r razona, vacante por promoción de D. Juan Agustín García á la Pabordía de la colegial de Manresa, á D. Francisco Malíorcas y Zabalo, Racionero de dicha iglesia. En la compañía Americana del Real cuerpo dé Guardias de Corps há nombrado S</t>
  </si>
  <si>
    <t>García, Juan Francisco</t>
  </si>
  <si>
    <t>Juan Francisco García</t>
  </si>
  <si>
    <t>para el Btmñcio de la villa de Pozo Alcoñ, err la diócesis de Toledo, vacante por fallecimiento de D. Juan Francisco García, á D. Alexandro Bernardo Bcltran, con la obligación que tiene anexa. En5. América. S. M. se ha servido promover en el batallón de milicias disciplinadas de infantería de Blancos d</t>
  </si>
  <si>
    <t>García, Manuel</t>
  </si>
  <si>
    <t>Manuel García</t>
  </si>
  <si>
    <t>........... SO. ss. Manuel García....Simón..*;; ..... Tomasa López *... Sta* Marta.... Conso............ 37* 7* Joseph Ibarrola... Juan Pedro... Xaviera Larrea... P</t>
  </si>
  <si>
    <t>García, Pedro</t>
  </si>
  <si>
    <t>Pedro García</t>
  </si>
  <si>
    <t>Juan Bataller; á primer Ayudante al primer Teniente D. Félix Uriundo; á primer Teniente al segundo D. Pedro García; á esta resulta al Subteniente de granaderos D. Juan Granados; á Subteniente de granaderos al de fusileros D. Gaspar Fernandez, y á Subtenientes al Sargento primero D. Gregorio de</t>
  </si>
  <si>
    <t>Garcú, Joseph</t>
  </si>
  <si>
    <t>Joseph Garcú</t>
  </si>
  <si>
    <t>cia;....... 4a. izJ Joseph Garcú..... •JfUa.íi,...Frandsca;;bFron'-. r .4.,'; . „.í.:!,oí¡ .i'-:¡r .</t>
  </si>
  <si>
    <t>Gargarinn, Príncipe</t>
  </si>
  <si>
    <t>Príncipe Gargarinn</t>
  </si>
  <si>
    <t>r de Petersburgo Conde de Pablen, el Consejero privado Príncipe de Lapukin, el Ministro de comercio Príncipe Gargarinn, el Almirante y Vice-Presidente del Consejo de Almirantazgo Conde de Kuchelaw, y el Consejero privado Conde de Trochincki. Tienen estos sugetos por su empleo facultad de pedir en</t>
  </si>
  <si>
    <t>Garin, Manuel</t>
  </si>
  <si>
    <t>Manuel Garin</t>
  </si>
  <si>
    <t>ndo en ella la historia natu-r ral, la mineralogía y metéoros; en segundo lugar y clase de buenos a Don Manuel Garin, D. Manuel Lozano . y D. Francisco Viñau; yen tercer lugar y clase de medianos á D. Joseph Coronas y D. Pedro Sebastian.;—A todos los aíamnos que quedan nombrados en cada una de l</t>
  </si>
  <si>
    <t>Garios, Archiduque</t>
  </si>
  <si>
    <t>Archiduque Garios</t>
  </si>
  <si>
    <t>de los movimientos del exército de Italia, de los que no teníamos noticia alguna. ;El carácter del Archiduque Garios y su-notoria lealtad eran para nosotros garante dél deseo que tenia el Emperador de poner hn á la guer-^ ra: tanto mas que se veiá obligado á ello por el deplorable estado de su exé</t>
  </si>
  <si>
    <t>ión en los términos en que estaba ántes del 14 de Enero de 1801. Viena 2 S dé Junto* H a enviado el Archiduque Garios á Brosélas un apoderado para vender los bienes que posee en las provincias bélgicas. -—Ei General Latour y otras personas de suposición s? transfieren á la misma ciudad. El Duque</t>
  </si>
  <si>
    <t>Garisford</t>
  </si>
  <si>
    <t>e fuertes quejas sobre el embargo de las embarcaciones inglesas en los puertos de Rusia. La nota de Mr. Garisford concluye así: „E1 infrascripto tiene orden de notificar á la corte de Berlin que esta conducta del Emperador de Rusia ha cortado toda correspondencia entre el gabinete de Londres</t>
  </si>
  <si>
    <t>Garlike</t>
  </si>
  <si>
    <t>zostonsiderables.” A- •: '. ’n 1 Apiñas se supó aquí la muerte de Paular, envió el gobierno órden A Mr. Garlike, Secretario de la embazada inglesa cp Berlín , para que már¿ chaselPetersburgo. .jíT ■A-r) &lt; 1-:: ^U»;ñT;.j sóp ■ EI4U ar sé recibió en Londres; el: tratado de tregua ajustado con</t>
  </si>
  <si>
    <t>Gárlos Barona</t>
  </si>
  <si>
    <t>tíenté. . y; Habiendo.fallecido abintestato en esta corte á 20 de Setiembre ¡d^l año último el í)r.|D. Gárlos Barona, presbítero ,cura que fué de la parroquial deSta. iyiaria.de l|i villa.del'Puerto del Príncipe, en el obispado de Cuba, se previno dicho abintes,rato. por el Sr. D. Sebastian de T</t>
  </si>
  <si>
    <t>Garlos de Lorena, Fernando (archiduque)</t>
  </si>
  <si>
    <t>Archiduque Fernando Garlos de Lorena</t>
  </si>
  <si>
    <t>es. Ha dexadó por heredero universal á, su ahijado el Príncipe Maximiliano Joseph, hijo tercero del Archiduque Fernando Garlos de Lorena., , Como la inoculación de la vaccina hará época en la historia de la medicina, se ha formado aquí por orden de S. Al. imperial una junta de médicos para que en común inoculen á 3</t>
  </si>
  <si>
    <t>Garlos y la Reynade Nápoíes, Archiduque</t>
  </si>
  <si>
    <t>Archiduque Garlos y la Reynade Nápoíes</t>
  </si>
  <si>
    <t>día 12 el Duque Alberto de SaxoniaTeschen le dió .un convite, al qual asistiéron el Emperador5, el Archiduque Garlos y la Reynade Nápoíes. Parece que dicho Príncipe se transferirá quanto antes á' Inglaterra.—El Conde de Lila ó de Pro venza se halla1 ahora en Varsovia: habita el palacio de Laxenska, que era una quint</t>
  </si>
  <si>
    <t>Gárlos Yorke</t>
  </si>
  <si>
    <t>azgo 6 Ministro de Marinaseiidugar del Conde Spencer.¿Él Lordüobart,, teeñír plaza á Mr. Dundas , y Mr. Gárlos Yorke á Mr. Windham , Secretario de Guerra. El Lord Arden es Director de las casas de moneda. El Conde dé Liverpool, Presidente del Consejo de comercio. Él Conde Westmoreland está encar</t>
  </si>
  <si>
    <t>Garlos, Archiduque</t>
  </si>
  <si>
    <t>Archiduque Garlos</t>
  </si>
  <si>
    <t>mo mes escrita igualmente en Steyer , informa él General Desoiles abMinistrotdé la; Guerra , que el Archiduque Garlos día;propuestooal tGenéral enl xefe Moreau un armisticio, anunciándole que /el Émperador despachab^un correo á AIrl dé Cííbeutzel con &gt;díden&gt; d¡¿. dt|e drrmase la' pazsffi éaráetef</t>
  </si>
  <si>
    <t>res espedíales, á-saberr el General en xefe Moreaual General Víctor íEaiieau Lahorie: y S. A. R. el Archiduque Garlos, al Sargento mayor Confde de Grima, y ai Coronel Wairother.de Vetái ,*de la plana* mavort los ■ «nales hán convenido en los artículos siguientes: Art. i.°-£a Hnea de demarcación e</t>
  </si>
  <si>
    <t>Gárlos, Archiduque</t>
  </si>
  <si>
    <t>Archiduque Gárlos</t>
  </si>
  <si>
    <t>ellos tome -posesión dé ios éstádós qué le quepan en suerte pórVia deindemnización. “ í &gt; 1 &gt; - El Archiduque Gárlos ha óómprado en 50$ florines uO terreno para éoifvertirlo eu una huerta dé legumbres y hortaliza para la guarnición', la qual la cultivará. . Berlín 14 de Agosto. S e ha despedido</t>
  </si>
  <si>
    <t>Garlos-'se, Archiduque</t>
  </si>
  <si>
    <t>Archiduque Garlos-'se</t>
  </si>
  <si>
    <t>. Entre todos formarán planes de la provincia del Tiroi mas exáctos que los que hay actualmente. El Archiduque Garlos-'se ha encargado ya del gobierno de kis distritos pertenecientes á lá orden Teutónica : en todo este ines se' transferirá á Mergentein, en Frañconia, que es lá residencia del Gran Mae</t>
  </si>
  <si>
    <t>Garnica, Joseph Antonio</t>
  </si>
  <si>
    <t>Joseph Antonio Garnica</t>
  </si>
  <si>
    <t>po de Cádiz, siendo padrino el Exc. Sr. Duque de Medinaceli y Santistéban: consagrante el limo. Sr. D. Joseph Antonio Garnica, Obispo de Osma, por indisposición deí Exc. Sr. D. Ramón Joseph de Arce, Arzobispo de Burgos y electo de Zaragoza, Inquisidor general* y asistentes los limos. Sres. Don Francisco</t>
  </si>
  <si>
    <t>Garrido, Felipe</t>
  </si>
  <si>
    <t>Felipe Garrido</t>
  </si>
  <si>
    <t>iguel Martínez Perez y compañía, id. D. lomas Hierrau ó Herria ,id. B. Manuel García Fernandez, id. Don Felipe Garrido, id. B. Joseph Alvareda, id. B. Juan Romero, id. Bofia María Gordou y compañía, id. D. Pedro Martínez ..Moreno. D. Roberto With , Cádiz. M. BunÜar at Rames BuíF Esq.r , cónsul en</t>
  </si>
  <si>
    <t>Garrido, Gaspar</t>
  </si>
  <si>
    <t>Gaspar Garrido</t>
  </si>
  <si>
    <t>............ ai, 6, Gaspar Garrido... Esteban...... .» Manuela Fernan- - dez.................... Aniezo,.......... La red o............ a$. 14.</t>
  </si>
  <si>
    <t>Garriga, Joseph</t>
  </si>
  <si>
    <t>Joseph Garriga</t>
  </si>
  <si>
    <t>gusanos de seda, por Curso elemental de Meteorología , por D. Juan Lañes y Duval. Un tomo en 8.” á D. Joseph Garriga. Un tomo en 8.° mayor 5 rs. y medio en papel, y 9 en pasta. con estampas á 6 rs. en papel, y loen pasta. Disertación sobre la explicación y uso JLa Meteorología aplicada d la agri</t>
  </si>
  <si>
    <t>Garviso, Vicente</t>
  </si>
  <si>
    <t>Vicente Garviso</t>
  </si>
  <si>
    <t>obre la tragedia del Duque de Viseo: noticia de la Imprenta de música establecida en esta corte por D. Vicente Garviso: Mapamundi ó carta universal de la tierra, dispuesta bazo un nuevo método por D. Juan Antonio Cañaveras: continuación de las noticias literarias sacadas de la gazeta universal de</t>
  </si>
  <si>
    <t>Gascón, Miguel</t>
  </si>
  <si>
    <t>Miguel Gascón</t>
  </si>
  <si>
    <t>Rebollar: para otra de la villa de los Molares, en el arzobispado de,Sevilla, vacante por muerte de D. Miguel Gascón, á D. Pedro García Buelta; y para el Btmñcio de la villa de Pozo Alcoñ, err la diócesis de Toledo, vacante por fallecimiento de D. Juan Francisco García, á D. Alexandro Bernardo B</t>
  </si>
  <si>
    <t>Gasea, Pedro</t>
  </si>
  <si>
    <t>Pedro Gasea</t>
  </si>
  <si>
    <t>Simón Ibarra; á Capitán segundo al primer Teniente Don Joseph Torres; á primer Teniente al segundo D. Pedro Gasea; á segunde Teniente al primer Subteniente D. Justó Racax; á primer Subteniente al segundo D. Miguel Párraga, y á segundo Subteniente al Cadete 1). Manuel Pascual: en el regimiento</t>
  </si>
  <si>
    <t>Gasón, Juan</t>
  </si>
  <si>
    <t>Juan Gasón</t>
  </si>
  <si>
    <t>aduana, y en las provincias á los comisionados siguientes : ' &gt; ■ . - u - - -v — En Alteante..... . D. Juan Gasón y.cohipañía. • - ' ^£lt/Avüa.."».*"»¿¡ifá¿£éfn3snáa'dé Ecbepare. í vi- 'i ¿v.r ^.1</t>
  </si>
  <si>
    <t>Gasset, Manuel</t>
  </si>
  <si>
    <t>Manuel Gasset</t>
  </si>
  <si>
    <t>ntonio Rodríguez Carassa; y en el batallón de Voluntarios de Tarragona á Capitán primero al segundo D. Manuel Gasset, á Capitán segundo al primer Teniente D.Narciso Batlie; á esta resulta al segundo Teniente D. Mariano Colomer; á segundo Teniente al primer Subteniente, graduado de Teniente, D.Ch</t>
  </si>
  <si>
    <t>Gátes, Príncipe</t>
  </si>
  <si>
    <t>Príncipe Gátes</t>
  </si>
  <si>
    <t>rnstorff, Embaxador extraordinario de Dinamarca en esta corte. Hace su navegación en el paquebot el Príncipe Gátes, que lleva bandera parlamentaria. Estos dias se comunicaron en Portsmouthy toda aquella costa repetidos avisos que únicamente decían: los franceses se disponen á salir de Boloña.</t>
  </si>
  <si>
    <t>Gautier, Juan</t>
  </si>
  <si>
    <t>Juan Gautier</t>
  </si>
  <si>
    <t>y i segundos Subtenientes al Sargento primero D. Joseph Cedilio, y á los Cadetec D. Jorge Baregcs, D. Juan Gautier y D. Carlos de Thesan; y ht</t>
  </si>
  <si>
    <t>Gavanilles, Antonio Joseph</t>
  </si>
  <si>
    <t>Antonio Joseph Gavanilles</t>
  </si>
  <si>
    <t>as, Dig.nidad de la metropolitana de Sevilla , vacante por fallecimiento de D. An-*4’Onio Moreno, á D. Antonio Joseph Gavanilles: para una Medía Ración Patrimonial de la catedral de Tarazona, vacante por muerte de D. Bernardo Lamana, á D. Miguel Losfayos: para otra también Patrimonial de dicha catedral, vac</t>
  </si>
  <si>
    <t>Gavarre, Joseph</t>
  </si>
  <si>
    <t>Joseph Gavarre</t>
  </si>
  <si>
    <t>tallones a los Sárgeñtos mayores de los mismos Cúérpós, graduados de Teniente Coronel y-dé Coronel, D. Joseph Gavarre y D. Tomas Moreno. • : ' Asimismo en el regimiento de infantería de Burgos se ha servido promover el Rey á primer Teniente al segundo de granaderos D. Francisco Baraoná; asegundo Teni</t>
  </si>
  <si>
    <t>Gavino de la Cruz, Joseph</t>
  </si>
  <si>
    <t>Joseph Gavino de la Cruz</t>
  </si>
  <si>
    <t>s de los esquadrones sueltos de Milicia# urbanas dé caballería de Guancabamba y Chalaco al Teniente D. Joseph Gavino de la Cruz y al Alférez D. Paulino Aguilar: al empleo de Ayudante al Subteniente de! batallón de Milicias urbanas de infantería de Piura D. Pedro Seminario y Correa; á Tenientes á los distingu</t>
  </si>
  <si>
    <t>Gayangos, Francisco</t>
  </si>
  <si>
    <t>Francisco Gayangos</t>
  </si>
  <si>
    <t>pitán del de caballería de España D. Félix Zurbano: en el de Oalatrava á Alférez ai Portaestandarte D. Francisco Gayangos; y á esta resulta al Cadete D. Joseph Casado: en el de Húsares Españoles á Comandante de esqúadron al Sargento mayor D. Manuel Freyre: en el de la Costa de Granada á Capitán al Ay</t>
  </si>
  <si>
    <t>Gayeta, Francisco</t>
  </si>
  <si>
    <t>Francisco Gayeta</t>
  </si>
  <si>
    <t>da. En el regimiento de caballería del Rey se ha servidoS. M. promover á Alférez al Portaestandarte D. Francisco Gayeta, y á esta resulta al Cadete D. Pedro del Castillo: en el do Borbon á Teniente Coronel al de la propia clase de Carabineros de la Reyna María Luisa Vizconde de Zolina, y á Teniente</t>
  </si>
  <si>
    <t>Gazan, General</t>
  </si>
  <si>
    <t>General Gazan</t>
  </si>
  <si>
    <t>quema ropa; y una gran parte de aquel cuerpo enemigo quedó en el campo de batalla. La división del General Gazan llegó á tiempo muy oportuno; y la de caballería de Davoult hizo gran número de prisioneros. El General Del mas atravesó por Monzanhano; y el Teniente General Moncey pasó después.</t>
  </si>
  <si>
    <t>Gelevert, Bartolomé</t>
  </si>
  <si>
    <t>Bartolomé Gelevert</t>
  </si>
  <si>
    <t>s D. Joseph María Lambí ; á Capitán al Ayudante D. Diego de Vega; á esta resulta al primer Teniente D. Bartolomé Gelevert; á primer Teniente al segundo de granaderos D. Simón Sau</t>
  </si>
  <si>
    <t>Gen</t>
  </si>
  <si>
    <t>guado ai Teniente D. Juan Ulrlco Betérmann : en el de Reding^í Capi±jtan primero al Capitán segundo D. Gen ir o de Kreuth,; á esta resulta al Tejiente D. Juan Lipp, y á Teniente al Subteniente D. Antonio Steeger.: en .él de Betschart á Teniente de granaderos al de fusileros D. Bonifaci</t>
  </si>
  <si>
    <t>Genaro Clemente Rubio</t>
  </si>
  <si>
    <t>quél obispado: para seis Cancengías de la misma colegial á D. Francisco Antonio Martínez de Torres, D. Genaro Clemente Rubio, D, Diego Vap</t>
  </si>
  <si>
    <t>Genaro Martínez de Baños</t>
  </si>
  <si>
    <t>ique Zuluaga; á Ahférez de cazadores al de fusileros D. Rafael de Roxas, y á esta resulta al Cadete D. Genaro Martínez de Baños, El Consejo á consulta de la Comisión gubernativa, y con aprobación dé S. M. ha acordado la decimaséptíma amortización de 289 Vales de 300 pesos de i.° de Julio, 115 de 600 del ca</t>
  </si>
  <si>
    <t>Genaro Navarro</t>
  </si>
  <si>
    <t>go. 16. Genaro Navarro... Manuel... .... Antoniá Moreno.. Madrid.......... Idem................ &lt;55*17. Mames Noy ro...... Pedro.,,... .... Valentina Ter ría.. Vi</t>
  </si>
  <si>
    <t>General Marques de Buscayolo, Capitán</t>
  </si>
  <si>
    <t>Capitán General Marques de Buscayolo</t>
  </si>
  <si>
    <t>Felipe, en la de la viuda de Cerro, red de S. Luis, y en su puesto, calle de Alcalá. Opúsculos del Capitán General Marques de Buscayolo, maestro en el arte mi» litar del Sr. Cárlos II, y un discurso sobre el medio de conquistar el reyno de Portugal. Véndese en la librería de Gómez , calle de las Carretas, á 16 rs,</t>
  </si>
  <si>
    <t>Generale Abercrombie</t>
  </si>
  <si>
    <t>ue fué vigoroso; pero rechazamos á los enemigos. Quedaron heridos levemente los Generales Abercrombie, Moore, Nope, Mr. Sidney-Smith y el Coronel Paget. El Coronel Abercrombie lo fué de mas gravedad.__ El Lord Keith me dice en sus últimos pliegos que todo» los</t>
  </si>
  <si>
    <t>Generale Abererombic</t>
  </si>
  <si>
    <t>rse y Roize: este último mandaba la caballería; y por parte de los ingleses los Generales Abererombic¡, Sidney- Smith y otros dos. En dicha acción mandaba M« nou el cuerpo de tropas francesas, que constaba de unos 7© hombres, inclusos unos 600 de caballería : e</t>
  </si>
  <si>
    <t>Generale agregados á ella</t>
  </si>
  <si>
    <t>8 de julio de 1801</t>
  </si>
  <si>
    <t>65 (extraord.)</t>
  </si>
  <si>
    <t>tado derecho de las líneas salieron i recibir á SS. MM. el Generalísimo con los Generales de la Plana mayor y agregados á ella, Estado mayor y sus Ede? canes. El Rey descendió del coche , y tomó un caballo. A la Reyna nuestra Señora, que no gustaba de correr las líneas en coche, se le</t>
  </si>
  <si>
    <t>Generale al Teniente Coronel Ramón Orell para acometer á Casteldavide</t>
  </si>
  <si>
    <t>ones, muchas armas y 4 carros de municiones. El día 2 se comisionó por aquellos Generales al Teniente Coronel Don Ramón Orell para acometer á Casteldavide con el batallón de Voluntarios de Barbastro de su cargo, y un esquadron de Borbon al mando del Teniente Coronel Vizconde de Zoliná: emprendió su comisión á las</t>
  </si>
  <si>
    <t>generale aplausos</t>
  </si>
  <si>
    <t>de Abril. E 1 Elector de Baviera volvió el dia 13 á Munich, y fué recibido con generales aplausos. Los franceses ocupáron aquella ciudad 9 meses y medio. Los ciud. Lauriston, Edecán del primer Cónsul de Francia, y Berthier, oficial de artillería de la guard</t>
  </si>
  <si>
    <t>r el Rey y la ciudad.” Estos nuevos guardias prestaron su juramento en medio de generales aplausos, ofreciendo defender la patria: y luego depositáron las banderas en casa del Mariscal de corte Hauch, que es xefe de dicho cuerpo. Toda la corte asistió á esta</t>
  </si>
  <si>
    <t>generale aplausos del pueblo en dichos presidios</t>
  </si>
  <si>
    <t>al Rey de Etruria. El acto de cesión y reunión se ha proclamado y celebrado con generales aplausos del pueblo en dichos presidios, y en todos ellos se tremoló la bandera de S. M. El de Telamón, célebre por las victorias que los romanos consiguiéron en sus contornos contra los galos baxo e</t>
  </si>
  <si>
    <t>generale armada</t>
  </si>
  <si>
    <t>lmente, el Conde de Gildenstolpe, su Capitán de Guardias, y los aos : Ayudantes generales del exército y armada, el Generál Barón de Coll y el : Almirante Cronstedt, dexáron también las insignias y distintivos de sus res- '» pectivos grados. El Sr. Conde de Haga fué reci</t>
  </si>
  <si>
    <t>Generale ÁuíFemberg</t>
  </si>
  <si>
    <t>el Ems : 27 batallones se repartirán en el Austria-Superior, mandados1 por lo$ Generales Rosemberg y ÁuíFemberg: 25 batallones ocuparán á Italia, Istria.y Dalmacia, á las ordenes de los Generales Bellegarde, Mitrowsky, Saint-Julien, Laudon , Resemberg y Bukowina: 23 bata</t>
  </si>
  <si>
    <t>Generale austriacos</t>
  </si>
  <si>
    <t>batalla de Hohenlinden. Ya se asegura que se hará,consejo de guerra ,á algunos Generales austriacos, y, que .el Conde dé Kóllówfatfr, que mandaba en xefe baxo las órdenes del Archiduque Juan, ha sido llevado á Vicha escoltado por un oficial de plana niavor. E</t>
  </si>
  <si>
    <t>Generale austríacos enviaron su cadáver al exército francés</t>
  </si>
  <si>
    <t>ió en Altenkirchen el dia 3 complementario año 4 (22 de Setiembre de 1796.) Los Generales austríacos enviaron su cadáver al exército francés» y le mciéron en su campamento los honores fúnebres.” París &lt;f de Octubre. H abiendo sabido este gobierno por un correo que el Rey de Inglaterra ha ratificado</t>
  </si>
  <si>
    <t>Generale austríacos que</t>
  </si>
  <si>
    <t>e atribuye á las siguientes causas : i.a á varias cartas que ha recibido de ios Generales austríacos que -mandan en el Bannato y en Transiivania■; 2.a á otra carta del Cónsul general de Rusia, qne le persuade no turbe ía quietud de las provincias de Valaquia y Mol</t>
  </si>
  <si>
    <t>Generale Bastout</t>
  </si>
  <si>
    <t>nerlas algunas tropas del Genérah Ney y de las divisiones mas. inmediatas., Los Generales Legrand y Bastout; después de rechazar aquellos ataques,' de liabet acometido » los enemigos con el mayor denuedo , y al cabo de muchos esfuerzos, los derrotaron cogiéndoles par</t>
  </si>
  <si>
    <t>Generale Baudot han muerto de sus heridas</t>
  </si>
  <si>
    <t>a caballería, la qual padeció mucho, quedó:;muerto en el campo de batalla : los Generales Lanusse y Baudot han muerto de sus heridas ^y otros varios Oficiales Generales, cuyo nombre ignoro,?fuéron muertos ó heridos. No puedo concluir esta carta sin aseguraros solemnemente ¿pie en - la difíci</t>
  </si>
  <si>
    <t>Generale Bellegarde</t>
  </si>
  <si>
    <t>mberg: 25 batallones ocuparán á Italia, Istria.y Dalmacia, á las ordenes de los Generales Bellegarde, Mitrowsky, Saint-Julien, Laudon , Resemberg y Bukowina: 23 batallones, mandados por el Archiduque Fernando, los Príncipes de HesseHomburgo y I^oraina, y los G</t>
  </si>
  <si>
    <t>Generale Belliard</t>
  </si>
  <si>
    <t>llegar. También ocupaba el exército á Lesbeh y los pasos de Omm-Faregge.__ Los Generales Belliard y Lagrange se hallaban en el Gayro mandando 10® honores. Aquel cuerpo salió el 17 para atacar al Gran Visir en Beibeis. La batalla dvbíó darse el 19; y si de resultas de ella el Gran Visir se viese oblig</t>
  </si>
  <si>
    <t>Generale Bessieres</t>
  </si>
  <si>
    <t>están presos por indicios y . sospechas de sen cjómplices de este delito.. Los Generales Bessieres, Lannes,.y un Ayudante, hijo del tercer Cónsul Lebrun , se hallaban en el coche del primer Cónsul quando jse .vo^ó la máquina infernal. Algunos de los heridos</t>
  </si>
  <si>
    <t>Generale Blucher</t>
  </si>
  <si>
    <t>varios cuerpos de infantería, cazadores, húsares y artillería , al mando de los Generales Blucher, Lestocq y Emest, Frafrcfyvt $ de Noviembre. S e ha divulgado como seguirá b noticia de que el Archiduque Antonio de Austria ha escrito al Cabildo de Munstcr,</t>
  </si>
  <si>
    <t>Generale Blucher se pondrán en marcha el</t>
  </si>
  <si>
    <t>rte de sus estados qut quisieren. /: '• ' Wesel 28 de Marzo. L os cuerpos dedos Generales Schladen y Blucher se pondrán en marcha el 4 de Abril. En Minden se espera mañana, al Duque de .Brunswick , Ge*neral en xefe de todas las tropas que van á campaña. &gt; «No tardarán los franceses en evacua</t>
  </si>
  <si>
    <t>Generale Brune</t>
  </si>
  <si>
    <t>Róchame y a Mdror. salüüuy &gt; respeto. % TxewisO: serhrmb el diario ;entr¡e los Generales Bruñe y * Bellegarde¡ nna suspensión de armasy que dice así: yj Deseando los Generatesaéii «e-ri fe\de lcfe»exdrcitos’francés é imperial» y ¿real enaltaba suspender la</t>
  </si>
  <si>
    <t>Generale Bussy</t>
  </si>
  <si>
    <t>iembre d la tina de la mañana. El dia 17 la vanguardia enemiga, mandada por Jos Generales Hohenzollern y Bussy, atacó á nuestros puestos avanzados, y fue vivamente rechazada. Todo el exército se puso en movimiento, y se apoderó de los principales puestos de la derecha d</t>
  </si>
  <si>
    <t>Generale Calvin quedaron heridos</t>
  </si>
  <si>
    <t>te General Moncey pasó después. Pusimos á los enemigos en derrota completa. Los Generales de brigada Mermet y Calvin quedaron heridos, como también varios oficiales de plana mayor. Al General Delmas le dio una bala en la ropa; y á ios Generales Moncey V Grt les mataron sus caballos. El Genera</t>
  </si>
  <si>
    <t>Generale Colodl</t>
  </si>
  <si>
    <t>llern, irán á la Galitzia-Occidental, y otros 24 á la Oriental, ai mando de los Generales Schellemberg y Colodl: 7 batallones , á las órdenes de los Generales Schlau , Vogelssang y Vukassowich, ocuparán la Transilvania; finalmente, 4 batallones mandados por ¿1 General Qu</t>
  </si>
  <si>
    <t>Generale Conde Subow</t>
  </si>
  <si>
    <t>chan Por ahora estan nombrados el General Feld-Mariscal Conde de Soltickow, los Generales de infantería Príncipe y Conde Subow, el Vice-Canciller Príncipe Kurakin, el Vice-Presidente del Consejo de guerra Lamba, el General de infantería y Procurador general BeklechoíF, el Tesorero de e</t>
  </si>
  <si>
    <t>Generale de artillería é ingenieros</t>
  </si>
  <si>
    <t>os no pueden acercarse á ella sino adelantándose por ramales de trincheras. Los Generales de artillería é ingenieros, en vista de ios obstáculos que presenta el terreno, y de las obras que se han hecho, se creían razonablemente seguros contra todo ataque.” En una aldea de los</t>
  </si>
  <si>
    <t>Generale de brigada</t>
  </si>
  <si>
    <t>edias brigadas, cuyo General,sentará su quartel en S. Pedro de Arena, y los dos Generales de brigada, que mandan baxo sus órdenes, tendrán los suyos en Alvenga y la Spezzia. Estas tropas recibirán sus instrucciones del ministerio de guerra de Francia , y no de</t>
  </si>
  <si>
    <t>Generale de brigada Cassagney Bisson</t>
  </si>
  <si>
    <t>*99 ctonproduxo también el efecto .mas completo. Los Generales de brigada Cassagney Bisson, á quienes Delmas encargó el ataque, sostenidos por la reserva del quartel general, se hicieron du©ños,dc Váiteggio, no obstante la mas obstinada resistencia.</t>
  </si>
  <si>
    <t>Generale de brigada Mermet</t>
  </si>
  <si>
    <t>Generale de división Lagrange</t>
  </si>
  <si>
    <t>órdenes del General ALmeras; y el 15 salí con las demas tropas mandadas por los Generales dé división Lagrange y Robín* Aquel dia hice noche en Elmeneyer, habiendo rechazado algunos destacamentos enemigos que encontramos. El 16 al amanecer me disponía á seguir á Belbeis, quando</t>
  </si>
  <si>
    <t>generale de Espafia de Nicolás Bailleul el jóven</t>
  </si>
  <si>
    <t>Texeira y Jacobo Cantel’i, corregido y añadido por otras noticias de los mapas generales de Espafia de Nicolás Bailleul el jóven: del de Portugal que abrió Gregorio Fosman , y el de Nicolás Fer &amp;c. Se hallad rá á 16 rs. en la librería de Baylo, calle de las Carretas. \ ~ , EN LA IMPRENTA</t>
  </si>
  <si>
    <t>generale de Europa</t>
  </si>
  <si>
    <t>para su mas fácil inteligencia ó pequeños mapas, á saber, el mapa-inundi, los 4 generales de Europa, Asia, Africa y América y el ^particular de España. Elementos de poética, extractados de los mejores autores , é ilustrados con exemplos latinos y castellanos,</t>
  </si>
  <si>
    <t>Generale de infantería Príncipe</t>
  </si>
  <si>
    <t>Generale de Jos exéreitos ingles</t>
  </si>
  <si>
    <t>dar dentro de 5 dLs, para dirigirse á los puntos indicados para el embarco. Los Generales de Jos exéreitos ingles y otomano se obligan, á aprontar á sn costa qúanto se-necesite p.ira transportar desde Gizeh , lo mas pronto que sea dable, las tropas francesas y auxiliares. V, Se arreglará la ma</t>
  </si>
  <si>
    <t>Generale de la guardia servirán por décadas</t>
  </si>
  <si>
    <t>imeros será comandante militar de San-Cloud,y otro de la escuela militar. Los 4 Generales de la guardia servirán por décadas, y asi*</t>
  </si>
  <si>
    <t>Generale de la Plana mayor</t>
  </si>
  <si>
    <t>Generale de la República</t>
  </si>
  <si>
    <t>el General que Amurátes observe fiel: mente el tratado que ha concluido con los Generales de la República, así porque aborrece, á los turcos, que también le aborrecen á el, como porque está bien convencido de la mala fe de los ingleses. Ha dexado en el Cayro á su m</t>
  </si>
  <si>
    <t>Generale de las potencias aliadas para la evacuación de Alexandría</t>
  </si>
  <si>
    <t>efe Abdullahy Jayme Francisco Menou entablara desde luego negociaciones con los Generales de las potencias aliadas para la evacuación de Alexandría, con tal que fuese baxo condiciones honoríficas al exército francés y auxiliar, ventajosas al comercio, y mediante las quales se conservase la vida y hacienda</t>
  </si>
  <si>
    <t>Generale de las trepas apostadas en los campamentos atrincherados</t>
  </si>
  <si>
    <t>uerra celebrado en aquella plaza el 28 de dicho mes, á que asistieron todos los Generales de las trepas apostadas en los campamentos atrincherados' y en la ciudad, el Prefecto marítimo, el xefe militar de la marina, el primer Ayudante en xefe de la plana mayor, y el Comisario ordenador en xefe del exército. Pre</t>
  </si>
  <si>
    <t>generale de los alumnos de la escuela de agricultura</t>
  </si>
  <si>
    <t>Escuelas de agricultura, economía civil, y química. De resulta de los exámenes generales de los alumnos de la escuela de agricultura , baxo la; dirección de su catedrático el Dr. D.Serapio Sinues, hechos en los: dias¡4 y 17 de Marzo, 6 y 7 de Abril, resultáron en la clase-de sobresalientes c</t>
  </si>
  <si>
    <t>Generale de los exéreitos combinados señalarán los dias de marcha</t>
  </si>
  <si>
    <t>espectivos exéreitos, ó por oficiales que estos nombren: bien entendido que los Generales de los exéreitos combinados señalarán los dias de marcha y los que hayan de campar, y que á las tropas francesas y auxiliares acompañarán Comisarios ingleses y turcos para abastecerlas de los víveres que necesiten dura</t>
  </si>
  <si>
    <t>Generale de los respectivos exéreitos</t>
  </si>
  <si>
    <t>s. V, Se arreglará la marcha, lugar y dias de descanso de dichas tropas por los Generales de los respectivos exéreitos, ó por oficiales que estos nombren: bien entendido que los Generales de los exéreitos combinados señalarán los dias de marcha y los que hayan de campar, y que</t>
  </si>
  <si>
    <t>generale de mar</t>
  </si>
  <si>
    <t>icf y 30 de Abril, i.°, 6, 7 y 8 de Mayo se celebraron* los exámenes públicos y generales de mar* temáticas, exercirando tos alumnos de esta ¿sctJela qde'han'concluido el último curso completo de los quatro años,1 baxola dirección del catedrático D. Joseph</t>
  </si>
  <si>
    <t>generale de Suecia</t>
  </si>
  <si>
    <t>ro Hultman, padrino del Rey, que representó al cuerpo de labradores en 4 dietas generales de Suecia. Copenhague 13 de Mayo. E 1;Coronel Stuwart^qus vino de Lóndres en calidad de correó, tnxo al Almirante Parker la orden dé entregar el mando de la esquadra ing</t>
  </si>
  <si>
    <t>generale de sus discípulos</t>
  </si>
  <si>
    <t>n de Campos, cumpliendo con la Real ordenanza, ha dado principio á los exámenes generales de sus discípulos, en la escuela de su cargo colación de Sta. María la Blanca, baxo la dirección del Dr. D. Diego de Vera, su socio facultativo, presentando 18 ñiños, de edad de</t>
  </si>
  <si>
    <t>generale de sus respectivas diócesis</t>
  </si>
  <si>
    <t>.y Racioneros de las Catedrales de España y América ^ los Provisores y Vicarios generales de sus respectivas diócesis; los Inquisidores de las provincias; los superiores generales y. provinciales de las órdenes regulares ; los Emos. Cardenales , Nuncios apostólicos, Patriarcas</t>
  </si>
  <si>
    <t>Generale de tier</t>
  </si>
  <si>
    <t>s; y para elfo se le facilitarán, las proporciones que necesite. 8.° Podrán los Generales de tier-. ra ó de nur;ide las tres potencias reemplazar con oficiales, de marina á los de exército que se señalen por rehenes para el cumplimiento del convenio,* coa ta</t>
  </si>
  <si>
    <t>Generale de todas armas-y cuerpos de tierra</t>
  </si>
  <si>
    <t>os: os recomiendo pues esta difícil empresa: os autorizo para que llaméis á los Generales de todas armas-y cuerpos de tierra y mar que creáis á proposito para que á vuestras ordenes la emprendan y terminen. Atiéndase á la educación é instrucción de la no: bleza que ha de servir: arréglese el exército</t>
  </si>
  <si>
    <t>generale de Tros</t>
  </si>
  <si>
    <t>'ReynO. ‘ vv- * ^ V V1:\;v f&gt; El Archiduque Juan ha escrito desde sus quarteles generales de Tros* burgo, Thejsendorff y ^alzhurgo, con fecha de 9, 10, it y I2X, que el ' dta '9 fes enemigos atacáron la linea del Princtpe.de Conde en los 'contornos de •Neub</t>
  </si>
  <si>
    <t>Generale Decaen</t>
  </si>
  <si>
    <t>denes déí General Grouchí. Las otras dos divisiones del centro, al mando de los Generales Decaen y Richepanse, marcharon por el camino real de "Wasserbnrgo para forzar al enemigo á dexar libre el país que media entre el Inn y el Salzach: y de allí hicieron un movimient</t>
  </si>
  <si>
    <t>Generale Decan tuvieron que vencer en su</t>
  </si>
  <si>
    <t>os granaderos ^enemigos , quienes habían internado rodearle por la derecha. Los Generales Richepanse y Decan tuvieron que vencer en su"marcha los mayores obstáculos: obligados ;á camina* por ve-r redas, y siempre cercados de enemigos, se hálláron separados, y Richepanse'llegó á verse sin mas t</t>
  </si>
  <si>
    <t>Generale dei imperial en Alemania</t>
  </si>
  <si>
    <t>a frdncesa-gfsea qual fuere. íá ¡ res©*tJucion de; sus aliados, y deseando les: Generales en xefe del exército francés y dei imperial en Alemania suspender en quanto está de su parte los males inseparables de h guerra , han. convenido en tratar de un armisticio * y • suspensión;' de armas; y á este efect</t>
  </si>
  <si>
    <t>Generale del Emperador</t>
  </si>
  <si>
    <t>schmeistre. Ha muerto en Badén el Feld-Mariscal Lasoi, que era el decano de los Generales del Emperador. Francfort 8 de Setiembre. A ntes de ayer transitó por aquí el ciud. Caillard &gt; que va á Ratisbona con un encargo del gobierno francés.__ Parece qüe el asunto</t>
  </si>
  <si>
    <t>generale del exército</t>
  </si>
  <si>
    <t>tmopla contrarias á estas, son falsas. Si no hubiese habido desunión entre Ips (generales del exército, la batalla del 21 de Marzq Tiabria destruido enteramente á los ingleses: ni hubieran estos conseguido Ja menQpjyentajia, pues los soldados franceses, llenos d</t>
  </si>
  <si>
    <t>generale del Imperio</t>
  </si>
  <si>
    <t>católica. En dicha orden se expresa que esta medida no es contraria á las leyes generales del Imperio, ni á las particulares del Electorado : que su objeto es fomentar la agricultura, el comercio y las artes, y que se halla autorizada con el exemplo de otros es</t>
  </si>
  <si>
    <t>Generale Dessaix</t>
  </si>
  <si>
    <t>monumento qué ha de erigirse en Parirá* la memoria de los Generales Kleber y Dessaix, ha producido mas de 37,790 libras. Han formado allí los franceses un teatro público con bellas decoraciones , y representan tragedias , comedias y óperas. Una</t>
  </si>
  <si>
    <t>Generale Destaing quédárori heridos</t>
  </si>
  <si>
    <t>iciales de graduación perecieron en ella ; y los ingleses me aseguraron que los Generales Rampon y Destaing quédárori heridos. El General Menou conservaba sus puestos á la derecha del canal de Rahinañieh; y los enemigos consideraban aquella situación tan formidable, que aunque á fines</t>
  </si>
  <si>
    <t>Generale Dumas han vuelto á instar al gobierno helvético</t>
  </si>
  <si>
    <t>de los Grisones dirigiéndose á Chiavenna, de donde entrará en la Valtelina. Los Generales Macdonald y Dumas han vuelto á instar al gobierno helvético para que levante cierto número de tropas destinadas únicamente á * guardar las fronteras de Suiza, en atención á que no quedan en el pais cuerpos franceses par</t>
  </si>
  <si>
    <t>Generale Duponr</t>
  </si>
  <si>
    <t>astrengo y Bussolengot puntos que nos aseguran el paso del Adige. Los Tenientes Generales Duponr y Miéhaüd han colocado puestos de tropas á tiro de cañón de Verona. La dificultad dé los transportes para los víveres ha impedido la pronta llegada de nuestros equipagés de puente.’* „Quartel general de Vero</t>
  </si>
  <si>
    <t>Generale ei</t>
  </si>
  <si>
    <t>te en todas sus partes el armisticio concluido en Foligno entre los respectivos Generales ei 18 de Febrero. 2.0 Qualquier acto, empeño ó convenios anteriores hechos por una ú otra de las partes contratantes , que fuesen contrarios al presente tratado,</t>
  </si>
  <si>
    <t>Generale en</t>
  </si>
  <si>
    <t>generale en esta provincia produxéron los indispensables medios de transporte</t>
  </si>
  <si>
    <t>542 generales en esta provincia produxéron los indispensables medios de transporte, y el dia i o fue el señalado para entrar en Portugal, como lo verifique, con todo el exército. Al Teniente General Marques de Castelar,xefe de la tercera divi</t>
  </si>
  <si>
    <t>Generale en x</t>
  </si>
  <si>
    <t>ea para; las urgencias de los exércitos, sea para beneficio de los pueblos. Los Generales en x-&gt;*fe de los respectivos exércitos se entenderán entre sí sobre estos objetos, d conferirán este derecho á los Generales que mandan las tropas en aquellos puntos</t>
  </si>
  <si>
    <t>Generale en xefe del exército francés</t>
  </si>
  <si>
    <t>Generale en xefe del exército galo-bátavo</t>
  </si>
  <si>
    <t>del exército del Rhin remitirá con la mayor brevedad el presente convenio á los Generales en xefe del exército galo-bátavo, de los Grisones y de Italia: con tas instancias mas eficaces, particularmente al General en xefe del exército de Italia, para que concluya por.su parte una su</t>
  </si>
  <si>
    <t>Generale encargados de los varios ramos militares</t>
  </si>
  <si>
    <t>za de AJexandría. El consejo de guerra antes de dar su dictamen quiso oir á los Generales encargados de los varios ramos militares , de la artillería y de las fortificaciones, y á los xefes de los ramos de víveres y de los hospitales, como también al Prefecto marítimo, y á los médicos y ci</t>
  </si>
  <si>
    <t>Generale Ereelich</t>
  </si>
  <si>
    <t>ivo á muchas conjeturas. La sentencia del Consejo de guerra -en la causa de los Generales Ereelich y Knesowich no ha sido enteramente como se había dicho: pues el primero fué absuelto ; y el segundo, ademas de dos anos de encierro en la cindadela de Brunn, queda para siempre privado de servir; pero S. M. I</t>
  </si>
  <si>
    <t>generale expedidas desde el afio</t>
  </si>
  <si>
    <t>stro actual Monarca, se encuentran insertas literalmente todas las providencias generales expedidas desde el afio de 17Ó0 al de -1800 inclusive: y aunque no es extensiva á las tocantes á rentas reales , aduanas, .militares y otrós puntos de que se da alguna noticia en los pro</t>
  </si>
  <si>
    <t>Generale expusiéron que se esperase hasta el</t>
  </si>
  <si>
    <t>quando fuese contraria al dictamen del mayor número de votes.----En efecto dos Generales expusiéron que se esperase hasta el 23 de Setiembre por si llegaban socorros; y otros declararon que todos los efectos de la marina pertenecientes á hospitales se habían también llevado á tierra.</t>
  </si>
  <si>
    <t>Generale franceses</t>
  </si>
  <si>
    <t>Turquía. Créese que ya ha dado orden para que desde ahora queden libres varios Generales franceses , xefes de brigada y de batallón. Se ha enviado también al General Menou una lista de todos los prisioneros de dicha nación que están en el Imperio otomano, co</t>
  </si>
  <si>
    <t>s de ayer tuvo audiencia privada, acompañándole el General Villeneuve y otros 3 Generales franceses. El Papa le recibió con mucha distinción y demostraciones de amistad. Turin 24 de Abril. E I iS por la tarde, poco después de recibir el General Jourdan un ext</t>
  </si>
  <si>
    <t>personas, entre las quales se hallaban el General Murat con su esposa y varios Generales franceses. Ha concedido S. M. un indulto general 4 todos los toscaaos que hayan .cometido delitos leves antes del dia 11 de este mes. • , Boloña 26 de Agosto. L os ingle</t>
  </si>
  <si>
    <t>Generale franceses de Egipto</t>
  </si>
  <si>
    <t>ió del Cayro el 3 de Noviembre* y de Alexaridría el 6, ha traído pliegos de los Generales franceses de Egipto ; y habiendo llegado el 5 del corriente en ia embarcación nombrada el ppdi a S. Tropés, en donde queda haciendo quarenteíiá con el Brigadier de ingenieros Lazp</t>
  </si>
  <si>
    <t>Generale franceses están determinados á defenderse con todo vigor</t>
  </si>
  <si>
    <t>cup rlo, á fin de cortar la comunicación entre Alexandría y dichas alturas. Los Generales franceses están determinados á defenderse con todo vigor, y en el mismo ánimo está la mayor parte de la guarnición; pero algunos desertores refieren que hay enfermedades en el exército republicano, las quales procede</t>
  </si>
  <si>
    <t>Generale franceses ha sido eh</t>
  </si>
  <si>
    <t>nces se rerfráron tós‘enelni^s.2‘itá*dilc9fyiú0que- se día movido entre algunos Generales franceses ha sido eh -muchasn oéasioWs favorable i los ingleses y «á los turcos^ ;;r&lt;t ' 7 ' J Deralgun tiempo á esta parte son* fré’qüenf eklas quiebr as de comcrcianítes de esta</t>
  </si>
  <si>
    <t>Generale franceses Menant</t>
  </si>
  <si>
    <t>E JULIO DE 1801Constantinopia 2$ de Abril. A caban de conseguir su libertad ios Generales franceses Menant, Casterast y Fleurí, que desde principios de la guerra estaban encerrados en el castillo de ias Siete-Torres. No tardarán en salir para Francia. Ha habido esto</t>
  </si>
  <si>
    <t>Generale Friant</t>
  </si>
  <si>
    <t>to marítimo, y á los médicos y cirujanos. En conseqüencia de ello los Tenientes Generales Friant y Rampon dieron cuenta del estado de ruina casi total en que se hallaban las tropas, la cortedad de su número, y de que no habia mas que 2® bayonetas para defender la grandísima extensión de los atrincherami</t>
  </si>
  <si>
    <t>Generale Gílli-Vieux</t>
  </si>
  <si>
    <t>qué sajir t^iTií^ivpara el mismo garage*, .&gt; - Acaban .d$ llegar de Egipto los; Generales Gílli-Vieux y¡ Devaux, con banderas , estandartes , colas de Baxás y otros trofeos militares- ganados por el exercito de oriente , para presentarlos ál primer Cpnsul. . Xamb</t>
  </si>
  <si>
    <t>Generale Gobert</t>
  </si>
  <si>
    <t>la República cisalpina! ,jrconvidó á comer á los Diputados, como también á los Generales Gobert y Pino. Pqr la noche se iluminó el teatro de Casali y toda ía calle del colegio de España. Á la mañana siguiente visitaron SS. MM. el instituto nacional, y salieron l</t>
  </si>
  <si>
    <t>Generale Grouchi</t>
  </si>
  <si>
    <t>a expedición. Algunas cartas de Alemania refieren que las dos divisiones de los Generales Grouchi y Richepanse están destinadas á marchar por Hungría contra los turcos para obligarles á la cesión del Egipto; pero otros avisos aseguran que las tropas francesas, que habían vuelto á entrar en el Austria-Superior, tien</t>
  </si>
  <si>
    <t>Generale Gulakow</t>
  </si>
  <si>
    <t>grusinianos: entre estos á los Príncipes Juan y Bagrat, y entre aquellos á los Generales Lasarew y Gulakow, y al Teniente Novizkoi, que ganó una bandera enemiga dancío muerte ai oficial que la llevaba. Asimismo ha concedido S. M.I. doble gratificación á la tropa. .</t>
  </si>
  <si>
    <t>Generale Gwyne</t>
  </si>
  <si>
    <t>ncipe Adolfo recien llegado de Alemania, los Duques de Kent y Cumberland, y los Generales Gwyne y Monners. Poco después salieron la Reyna y las Princesas Reales.—El Consejo privado acordó el dia 17 que el Arzobispo de Cantorberi disponga una oración para dar gracia</t>
  </si>
  <si>
    <t>Generale Hardy</t>
  </si>
  <si>
    <t>Douvres obligados por los vientos contrarios. Han salido de aquí para Brest los Generales Hardy y Kervesan, y el Ayudante general Luthier, individuos del estado mayor del exército destinado para Sto. Domingo___ En la misma expedición irá el ciud. Daure en calidad de</t>
  </si>
  <si>
    <t>Generale Hohenzollern</t>
  </si>
  <si>
    <t>Generale Hutchinson</t>
  </si>
  <si>
    <t>a de lena cerca de 4 rs. Según noticias de Egipto del 3 de Mayo, parece que los Generales Hutchinson y Menou se dirigieron á un mismo tiempo hacia Rhatnanieh; y así, será aquella plaza y no la de Alcxandría la que decida la suerte de aquel pais. Una carta de Constantinopla de 11 de Mayo expresa que I31 es</t>
  </si>
  <si>
    <t>Generale Hütchirtson</t>
  </si>
  <si>
    <t>'' io$f bien lo estaban los Generales Hütchirtson, Doyle y Creudlock---- La guarnición de Alexandría ha abierto machos pozos, mediante io qual se provee abundantemente &lt;de agua.' ■ o o ' • ••»•: En Mahon se ha</t>
  </si>
  <si>
    <t>Generale ingleses</t>
  </si>
  <si>
    <t>ida el mismo dia en el campo de las conferencias, y aprobada igualmente por los Generales ingleses y otomanos. Contiene 10 artículos , cuyo extracto es como sigue: i.° la artillería de campaña que el cuerpo, de tropas francesas y auxiliares lleve del Cayro á Francia, c</t>
  </si>
  <si>
    <t>Generale ingleses se han apoderado</t>
  </si>
  <si>
    <t>s en órden á la rendición de Malta , los quaies confirman positivamente que los Generales ingleses se han apoderado, en hombre del Rey de la Gran Bretaña, de la Valerte y de la referida isla, enarbolapdo en ella la bandera inglesa con exclusión de otra alguna, no obstante la</t>
  </si>
  <si>
    <t>Generale Jos de los aliados</t>
  </si>
  <si>
    <t>sus exércitos y de los de sus aliados. 3.0 En atención ai artículo anterior los Generales que manden los exércitos franceses y Jos de los aliados exceptuarán al pais de Solms-Braunfeis de toda contribución, requisición, acanto^namiento de tropas y otras cargas militares. 4.0 En caso que las opera«ione,s</t>
  </si>
  <si>
    <t>Generale Kerpen</t>
  </si>
  <si>
    <t>en la forma siguiente: 47 batallones guarnecerán la Bohemia , mandados por los Generales Kerpen, Milius, Morzin, Reuss y Grodi: 30 batallones irán áMoravia, baxo las ordenes de los Generales Lindenau y Koilowrath: 27 batallones, ai mando de los Generales</t>
  </si>
  <si>
    <t>Generale Kervesan</t>
  </si>
  <si>
    <t>Generale Kleber</t>
  </si>
  <si>
    <t>Generale Knesowich no ha sido enteramente como se había</t>
  </si>
  <si>
    <t>Generale Koilowrath</t>
  </si>
  <si>
    <t>us, Morzin, Reuss y Grodi: 30 batallones irán áMoravia, baxo las ordenes de los Generales Lindenau y Koilowrath: 27 batallones, ai mando de los Generales Lichtenstein, Schwarzemberg, Baillet y Klesch, ocuparán la parte del Austria por donde corre el Ems : 27 batallones s</t>
  </si>
  <si>
    <t>Generale Lagrange</t>
  </si>
  <si>
    <t>dría. El General Belliard mandaba en el Cayro, temen* do baxo sus órdenes á los Generales Lagrange, Doncelat, Bron y otros: st$~ exército era mucho masi crecido que el de Alexandría. El xefe de brigada Dupas'.mandaba en la cindadela del. Gayro, y el General</t>
  </si>
  <si>
    <t>Generale Lagrange se hallaban en el Gayro mandando</t>
  </si>
  <si>
    <t>Generale Lanurse</t>
  </si>
  <si>
    <t>n el campo de batalla-muchos muertos y heridos de ambas partes, entre estos los Generales Lanurse y Roize: este último mandaba la caballería; y por parte de los ingleses los Generales Abererombic¡, Sidney- Smith y otros dos. En dicha acción mandaba M« nou el cuerpo</t>
  </si>
  <si>
    <t>Generale Lanusse</t>
  </si>
  <si>
    <t>Generale Lasarew</t>
  </si>
  <si>
    <t>Generale Legrand</t>
  </si>
  <si>
    <t>Generale Lichtenstein</t>
  </si>
  <si>
    <t>ordenes de los Generales Lindenau y Koilowrath: 27 batallones, ai mando de los Generales Lichtenstein, Schwarzemberg, Baillet y Klesch, ocuparán la parte del Austria por donde corre el Ems : 27 batallones se repartirán en el Austria-Superior, mandados1 por lo$</t>
  </si>
  <si>
    <t>Generale Lindenau</t>
  </si>
  <si>
    <t>Generale los mas hábiles lo sienten á par</t>
  </si>
  <si>
    <t>a; y al fi.it» á fuerza de artificios arranca la capitulación de Ei-Arisch. Los Generales mas valerosos y los mas hábiles lo sienten á par de muerte; y el virtüo-/ s0L^&gt;esaix firma eatre’ sollozos un tratado; que reprueba. Gomo quiera , la hnepa. fe cumple él convenio debido á la astucia. Se, ¡eva</t>
  </si>
  <si>
    <t>generale luego que esté con</t>
  </si>
  <si>
    <t>cida á ello,; y tendrá, el honor ~ er.regaiafeáiVna»iJaeólecciondesufc trabajos generales luego que esté con4 fuida Ja impresión. París 17 de Fructidor año ix.3= Xhouretj director deííi -^sfcsuéla.de.ánediciná.&amp;c.!’. , ■_ ; ,.:í</t>
  </si>
  <si>
    <t>Generale Lusignan</t>
  </si>
  <si>
    <t>iulai y Meerfeld, se repartirán en Hungría: 10 batallones, baxo el mando de los Generales Lusignan, Lattermán y Hohezollern, irán á la Galitzia-Occidental, y otros 24 á la Oriental, ai mando de los Generales Schellemberg y Colodl: 7 batallones , á las órdene</t>
  </si>
  <si>
    <t>Generale Ly cuerpos encargados de la defensa</t>
  </si>
  <si>
    <t>a punto.qué I se presenten los enemigos , tendrán al instante aviso de ello los Generales Ly cuerpos encargados de la defensa,. y con la misino prontitud sabrán el par tiage á que hayan de acudíEl comercio exterior ha recobrado’ activí— p/dad,, sobre todo desde;qué ^ han ofrecido grat</t>
  </si>
  <si>
    <t>Generale M'átíueü</t>
  </si>
  <si>
    <t>s que tqviérÓn.__r JÉe rér tribido Órdéh dé despachar las dosdivisiones de. los Generales M'átíueü y T^íééktl^ í^fúsa'y ToK^b¿ ádbñde llegarán los diaS ij. y 5 dé febrero. La pjrjmera de d¡cha^ divisiones ocupará,á ^pligno, y la segunda t pa‘dfe'JoSéana bétípair</t>
  </si>
  <si>
    <t>Generale Macdonald</t>
  </si>
  <si>
    <t>Generale Mack</t>
  </si>
  <si>
    <t>a el Archiduque Carlos de nombrar individuas del Consejo iulico do guerra á los Generales Mack, Lichtenstein, Schmidt y Schwarzenberg. • Llegan diputados de varias provincias de los dominios austríacos para pedir at Emperador ponga fin á esta dilatada gu</t>
  </si>
  <si>
    <t>Generale mar que creáis</t>
  </si>
  <si>
    <t>Generale mas valerosos</t>
  </si>
  <si>
    <t>Generale Menou</t>
  </si>
  <si>
    <t>Acababa de recibirse en Alexandría la noticia de la capitulación del Cayro. Los Generales Menou, Rampon, Friant, Sóngis, Sansón, Destaing, Ztjonschek, Fantrier &amp;c., y los de mas oíici.les, xefes de cuerpos, y onciales superiores de la guarnición de Alexan</t>
  </si>
  <si>
    <t>Generale Menou se dirigieron á un mismo tiempo hacia</t>
  </si>
  <si>
    <t>Generale Miéhaüd han colocado puestos de tropas á tiro</t>
  </si>
  <si>
    <t>Generale militares</t>
  </si>
  <si>
    <t>dante le presentó una bandera. Comió en casa del Prefecto del Baxo-Rhin con los Generales y otros xefes civiles y militares; y por la noche fué a! teatro, en donde le recibieron con mucho aplauso, á lo qual se mostró sumamente agradecido. Después se le dio un lucido sarao en la casa</t>
  </si>
  <si>
    <t>Generale Moncey V Grt les mataron sus caballos</t>
  </si>
  <si>
    <t>oficiales de plana mayor. Al General Delmas le dio una bala en la ropa; y á ios Generales Moncey V Grt les mataron sus caballos. El General Marmont es digno, de elogios por e! cuidado y esmero con que ha arreglado la artillería del exército, y por el modo con que la hizo servir. El Gene</t>
  </si>
  <si>
    <t>Generale Monners</t>
  </si>
  <si>
    <t>Generale Monnier</t>
  </si>
  <si>
    <t>as de Roma 12® napolitanos siguen marchando hacia las fronteras de Toscana. Los Generales Monnier, Watrin y Pino se dirigen con sus tropas hacia Sena en busca de los enemigos. .. Han llegado 4® franceses cerca de Módena,- y aunque se ereia que iban á Boloni</t>
  </si>
  <si>
    <t>contar 2© prisioneros. Fuéron también parte de las ventajas conseguidas por los Generales Monnier y Watrin 3 piezas de artillería y una bandera. El verdadero ataque se dió el 26 en el puesto de Monzanbano. El General Delmas, que mandaba la vanguardia, d ¡rigió sus t</t>
  </si>
  <si>
    <t>Generale Montrichard</t>
  </si>
  <si>
    <t>han recibido orden de restituirse inmediatamente á ellos; y en consequencia los Generales Montrichard, Gudin y Larochs, que se hallan en esta!, ciudad, emprenderán quanto antes su marcha-----El dia 3 salió de aquí el General en xefe Moreau para el quartel gener</t>
  </si>
  <si>
    <t>Generale muchos oficiales de plana mayor</t>
  </si>
  <si>
    <t>ticias de Westphalia que se espera en Minden al Duque de ílrunswiclc con varios Generales prusianos y muchos oficiales de plana mayor. Tomará el mando en-xefe de las tropas que forman el exército de observación, y también de las que se dirigen »1 Weser y á las fronteras del Electorado de ílan</t>
  </si>
  <si>
    <t>Generale napolitanos Pignatelli Moliterno</t>
  </si>
  <si>
    <t>resolvió en un consejo de guerra celebrado en Florencia, al qual asistiéron los Generales napolitanos Pignatelli Moliterno y PignatelIi-StrongoJi. Para mantener á estas tropas ha impuesto el General Murat dos millones de francos por via d.- contribución militar, pagaderos por las personas acaudaladas de</t>
  </si>
  <si>
    <t>Generale otomano se obligan</t>
  </si>
  <si>
    <t>Generale otomanos</t>
  </si>
  <si>
    <t>generale para reblandecer las costras</t>
  </si>
  <si>
    <t>al Cófnuñ, y 22 íib¥a¿ de agua de cebada, habiendo precedido 5 á 6 baños tibios generales para reblandecer las costras, y facilitar la acción de los remedios sin aumentar la irritabilidad. Siendo muy acreditada Ja eficacia del sublimado y de Ja dulcamara en las erupciones perti</t>
  </si>
  <si>
    <t>Generale PignatelIi-StrongoJi</t>
  </si>
  <si>
    <t>Generale Pino</t>
  </si>
  <si>
    <t>Generale prusianos</t>
  </si>
  <si>
    <t>Generale que luviéroit parte en la rendición de Ancolia</t>
  </si>
  <si>
    <t>de los Está-, dos del Imperio.” El nuevo Consejo de guerra celebrado contra los Generales que luviéroit parte en la rendición de Ancolia, ha sentenciado á Mr. Froelich áprivación; de empleo, y á Mr. Knesowich á dos años de encierro en un castillo. * Ratisbona 28 de Febrero. f Ll Conde de Gortz,</t>
  </si>
  <si>
    <t>Generale que mandaban en</t>
  </si>
  <si>
    <t>12Ó4 sella. Era uno de los Generales que mandaban en"Alejandría, y siempre se porto de un modo conforme á su reputación , haciéndose digno de los votos que le han promovido al Senado----- La guarnición de Alexand</t>
  </si>
  <si>
    <t>Generale que mandan las tropas en aquellos puntos</t>
  </si>
  <si>
    <t>tos se entenderán entre sí sobre estos objetos, d conferirán este derecho á los Generales que mandan las tropas en aquellos puntos. La navegación de los ríos queda libre así para las tropas cotilo para la gente del país. Art. 4.0 El exército francés no solo ocupará exclusivamente todos ios</t>
  </si>
  <si>
    <t>Generale que manden los exércitos franceses</t>
  </si>
  <si>
    <t>Generale que no estaban de facción</t>
  </si>
  <si>
    <t>11 de julio de 1801</t>
  </si>
  <si>
    <t>67 (extraord.)</t>
  </si>
  <si>
    <t>uyó una espaciosa galería dignamente adornada, que ocuparon SS. MM., comitiva y Generales que no estaban de facción. SS. MM. mandaron principiar las maniobras á las cinco y media de la mañana, y al momento se vieron aparecer partidas de guerrilla por el centro y los costados</t>
  </si>
  <si>
    <t>Generale que se hallan aquí</t>
  </si>
  <si>
    <t>s en los contornos de, Luxcmburgo, y asistió á ellas el Emperador con todos los Generales que se hallan aquí. £1 Archiduque Palatino mandó] las maniobras ¿ y las. tropas las executáron con la mayor exactitud y pericia. i ■ ■ Eos diputados de Liuz han abierto en esta c</t>
  </si>
  <si>
    <t>Generale que se hallan en París</t>
  </si>
  <si>
    <t>Senado conservador, los del Tribunado, del Cuerpo legislativo, los Prefectos y Generales que se hallan en París, los Ministros, Consejeros de Estado, los individuos del tribunal de Casación, los Maires y otras muchas personas, comiéroñ en casa del primer Cónsul. En la fi</t>
  </si>
  <si>
    <t>Generale Rampon</t>
  </si>
  <si>
    <t>Generale Rampon dieron cuenta del estado de ruina casi</t>
  </si>
  <si>
    <t>Generale Regnier</t>
  </si>
  <si>
    <t>os particulares que un cuerpo considerable del exército francés al,mando de los Generales Regnier, Lanusse, Rampón , Donzelot y otros, ñó tomó aparte en la acción del 21. Ñuestrastropas , en lugar de internarse y buscar á Menou, se determinen las peligro^ s</t>
  </si>
  <si>
    <t>Generale Richepanse</t>
  </si>
  <si>
    <t>río dudaba yo que los enemigos me atacasen en Hohenlinden, había mandado á los Generales Richepanse .y Decan saliesen par S. Christóbal á Matenpoet, y acometiesen con denuedo por la espalda á los contrarios en; este ataque: lo qual se executó. con tanto arroj</t>
  </si>
  <si>
    <t>Generale Richepanse están destinadas á marchar por Hungría contra</t>
  </si>
  <si>
    <t>Generale Robín</t>
  </si>
  <si>
    <t>Generale Rochambeau</t>
  </si>
  <si>
    <t>e embarcarse. Va mandando las tropas el General Leclerc, y baxo sus órdenes los Generales Rochambeau, Boudet y otros. Extracto del Monitor. „ El célebre diamante conocido con el nombre de el Regente, que se empeñó durante la revolución, se ha desempeñado por e</t>
  </si>
  <si>
    <t>Generale Roize</t>
  </si>
  <si>
    <t>Generale Rosemberg</t>
  </si>
  <si>
    <t>Generale Saint-Cyr</t>
  </si>
  <si>
    <t>abria los parages convenidos en el tratado de paz. Hállañse en esta ciudad, los Generales Soult y Saint-Cyr, y se espera sü ciud.. Cacault, Ministro.-de la República francesa.» De Sinigaglia escriben. haber entrado allí una embarcación griega con noticia de que una,</t>
  </si>
  <si>
    <t>Generale Schellemberg</t>
  </si>
  <si>
    <t>Generale Schladen</t>
  </si>
  <si>
    <t>Generale Schlau</t>
  </si>
  <si>
    <t>ndo de los Generales Schellemberg y Colodl: 7 batallones , á las órdenes de los Generales Schlau , Vogelssang y Vukassowich, ocuparán la Transilvania; finalmente, 4 batallones mandados por ¿1 General Quosdanowich, guardarán las fronteras del Bannato, y otr</t>
  </si>
  <si>
    <t>Generale se portaron como el valeroso Lanusse</t>
  </si>
  <si>
    <t>e Marzo tuviéron los ingleses alguna ventajav fué porque no todos los oficiales Generales se portaron como el valeroso Lanusse, ni acreditaron aquellos sentimientos heroycos que dominan á la victoria. Una bala de cañón le llevó un muslo al principio de la acción: vivió 8 dias, y en est</t>
  </si>
  <si>
    <t>generale siempréiq</t>
  </si>
  <si>
    <t>o y verifieado ép la-Secretaría, tendrá facultad de asistir por sí á las juntas generales siempréiq¡áe acuda á dicha oficina en tiempo hábil, esto es, ántes del término prefixad® para la exhibición de acciones y poderes, á recoger el qae hubiere otorgado, ent</t>
  </si>
  <si>
    <t>Generale Simbschen</t>
  </si>
  <si>
    <t>os por el Archiduque Fernando, los Príncipes de HesseHomburgo y I^oraina, y los Generales Simbschen, Giulai y Meerfeld, se repartirán en Hungría: 10 batallones, baxo el mando de los Generales Lusignan, Lattermán y Hohezollern, irán á la Galitzia-Occidental, y</t>
  </si>
  <si>
    <t>generale sobre las operaciones de Jos partos</t>
  </si>
  <si>
    <t>ntrición* Se dallarán i en lasJibieríxs de Escriban© y de Qui™^ - , . Preceptos generales sobre las operaciones de Jos partos: es una.exposición del. arte obstetricia y en que se explica n eón. claridad las diferentes especias de partos,*¡ adicionado, con advertencias y;notas dequanto</t>
  </si>
  <si>
    <t>Generale Soult</t>
  </si>
  <si>
    <t>Generale Vicenta Kollowrath-Liebsteinsky</t>
  </si>
  <si>
    <t>El Teniente General Príncipe Juan de Lichtenstein filé nombrado gran cruz: los Generales Vicenta Kollowrath-Liebsteinsky, Vaüx, Szeredai y Príncipe Rosenherg, comendadores ; y el Archiduque Fernando y otros 74 oficiales tuviéron la cruz chic&amp;i Se ha divulgado, estos, días que m c</t>
  </si>
  <si>
    <t>Generale Watrin</t>
  </si>
  <si>
    <t>el qual se aumentará hasta 40© hombres. También han pasado por esta ciudad los Generales Watrin, Chabert, Moliterno y Pignatelü, que se dirigen al mismo exército. A fines de Febrero llegaron á Roma los Cardenales Mauri y Mattei._ La mayor parte de los sol</t>
  </si>
  <si>
    <t>generale y</t>
  </si>
  <si>
    <t>de sus respectivas diócesis; los Inquisidores de las provincias; los superiores generales y. provinciales de las órdenes regulares ; los Emos. Cardenales , Nuncios apostólicos, Patriarcas y Obispos de i* christiandad &amp;c., con el retrato de Ntro. M. S.</t>
  </si>
  <si>
    <t>Generale y</t>
  </si>
  <si>
    <t>con mucho aparató; Los eoiocáron emúm carro fúnebre, y toda la guarnición, los Generales y los^empieados dél giobiernp asistieron &lt;al entierrodurante el qual hubo varias descargas de fusilería y artillería. *» París 'ifZ de Agosto. I Id Rey y la Reyna de</t>
  </si>
  <si>
    <t>Generale y Almirantes</t>
  </si>
  <si>
    <t>conducta , valor y disciplina del exército ingles de Egipto , dar gracias á Ips Generales y Almirantes, y perpetuar la memoria del General Abercrombie con un monumento público. . El General Abercrombie tenia 62 años. , Un cuerpo compuesto de varios destacamentos</t>
  </si>
  <si>
    <t>Generale y de sus animosas tropas superaron todos los obstáculos</t>
  </si>
  <si>
    <t>so del exército en esta estación ; pero el valor y la perseverancia de nuestros Generales y de sus animosas tropas superaron todos los obstáculos. El General en xefe mandó que á toda costa se abriese camino. En efecto, hechas las disposiciones para ello se repitió el dia i.° del corriente la tentativa de</t>
  </si>
  <si>
    <t>generale y de una total inapetencia</t>
  </si>
  <si>
    <t>dado gafo, y en breve ie sobrevinieron otras erupciones, acompañadas de sudores generales y de una total inapetencia, las quales ocupaban la misma superficie que anteriormente , degenerando en costras duras muy consistentes y semejantes á la corteza de un árbol que está decad</t>
  </si>
  <si>
    <t>Generale y gran número de oficiales</t>
  </si>
  <si>
    <t>da de los enemigos se regulaba generalmente en mas de 5© hombres, entre ellos 4 Generales y gran número de oficiales. Dícese que se habían valido de todos los medios posibles para aumentar el valor de sus tropas, y moverlas á que hiciesen ios mayores esfuerzos: para ello las</t>
  </si>
  <si>
    <t>Generale y los individuos del cuerpo dqVnmático</t>
  </si>
  <si>
    <t>as de 300 personas: á la comida asistieron todos los Ministros de gabinete, los Generales y los individuos del cuerpo dqVnmático. Mr Eliot, Ministro de Inglaterra, llevó consigo varios oficialas ingleses, á quienes el Embaxador francés obsequió mucho. Francfort 2/ de Noviembre. H an rpre</t>
  </si>
  <si>
    <t>generale y municipales de Castilla</t>
  </si>
  <si>
    <t>n los tres siglos de su monarquía incorporadas en el Fuero Juzgo: de los fueros generales y municipales de Castilla* y León , Navarra Aragón, Valencia y Cataiufía : del Fuero Real , Partidas y fceyés del Estilo : dél Ordenamiento de Alcalá, publicado por D. Alonso xi: de las</t>
  </si>
  <si>
    <t>Generale y Oficiales</t>
  </si>
  <si>
    <t>mocíon general, á los Generales y Oficiales, y aun tropa que han servido á vuestras ordenes,y han contribuido al dichoso éxito de una guerra tan breve como feliz. Pero terminad i esta, y con eil i las ca</t>
  </si>
  <si>
    <t>Generale y oficiales de graduación</t>
  </si>
  <si>
    <t>ales, y cena de 200 cubiertos á que asistió el General en xefe Moreau con otros Generales y oficiales de graduación. Se iluminó la torre de la catedral, que presentaba una vista hermosísima, y se divisaba á 8 leguas de distancia. Parts 17 de Mayo. f E 1 Barón de Molí acaba d</t>
  </si>
  <si>
    <t>Generale y oficiales de Ingenieros</t>
  </si>
  <si>
    <t>abertura del parlamento, que d&amp;bia de hacerse hoy. El Duque de York, con muchos Generales y oficiales de Ingenieros, está visitando los castillos de las costas, y las tropas destinadas á su defensa: pues cada dia son mayores los rezelos de un desembarco de parte de los franc</t>
  </si>
  <si>
    <t>Generale y oficiales de plana mayor</t>
  </si>
  <si>
    <t>planes ‘de campaña :-qué S. A. tendrár plena facultad de elegir á sé -gustó los Generales y oficiales de plana mayor, conferir grados, promover en el campb de oatálla a los oficiales que Sobresalgan, y recompensar á Xs tropas que lo híóreicad 'por-’SúS;buenÓS'^érvicib^^ 0í n^</t>
  </si>
  <si>
    <t>Generale y oficiales del estado mayor</t>
  </si>
  <si>
    <t>luciones; y después hubo en palacio una gran comida, á que asistieron todos los Generales y oficiales del estado mayor. Acaba S. M. de hacer una grande promoción en su exército. Uanau 26" de Mayo. S e ha despachado á Tréveris parte de los archivos del Elector, que se traxéron a</t>
  </si>
  <si>
    <t>Generale y otros xefes civiles</t>
  </si>
  <si>
    <t>Generale y particulares</t>
  </si>
  <si>
    <t>fondos que se juntáron desde la partida del exército , se deben á los Oficiales Generales y particulares, y á los empleados en el exército, que habiéndoselo pedido entregaron su dinero para los gastos de las tropas. Encontrámos también recursos</t>
  </si>
  <si>
    <t>generale y repetidos aplausos del concurso</t>
  </si>
  <si>
    <t>en que el Archiduque Antonio Victo-*' rio fué elegjdo y proclamado Elector con generales y repetidos aplausos del concurso; Por la noche se iluminó toda la ciudad.— Como el Ministro de Prusia ha. protestado nuevamente contra esta elección, hay dudas sobró ai el Príncipe La aceptará</t>
  </si>
  <si>
    <t>Generale y varios individuos del gobierno</t>
  </si>
  <si>
    <t>ro. Hoy le dió el mismo General un gran convite, á que asistiéron los Oficiales Generales y varios individuos del gobierno. Por la noche se iluminó el teatro, á que concurrió di,cho Ministro: al lado de su aposento habia una. bandera rusa: se la preseotáron, la tomó, y jungándola c</t>
  </si>
  <si>
    <t>Genoyeja, Melchor</t>
  </si>
  <si>
    <t>Melchor Genoyeja</t>
  </si>
  <si>
    <t>.... gi. 26. Isidro Rabuser............ Isidro y Cecilia Chinchi........... Sureda en id.... 51* 3&gt; D. Melchor Genoyeja, D. Pedro y Doña Juana AguiMarques de Aguiiar.. jar......................................... . Perpifian.......... . 5o* *{&gt;! D. Baltasar Geno veja, D. Pedro y Dofia Juana AguiBar</t>
  </si>
  <si>
    <t>Georget, Bartolomé</t>
  </si>
  <si>
    <t>Bartolomé Georget</t>
  </si>
  <si>
    <t>al Sub-Brigadier D. Juan Blum; para esta resulta al Cadete D. Bartolomé Georget; para el empleo de Cadete de número, que este dexa, al supernumerario D. Joachín Mexía, y para Cadete supernumerario al Guardia Don Joseph Ecrriol. ; ’J 'v~ V.' " ./ ' ' V En el r</t>
  </si>
  <si>
    <t>Ger</t>
  </si>
  <si>
    <t>arta parte de su remate, acuda ante el Sr. D. Juan Antonio Santa María , y escribanía del número de D. Ger</t>
  </si>
  <si>
    <t>Ger, Antonio</t>
  </si>
  <si>
    <t>Antonio Ger</t>
  </si>
  <si>
    <t>iel Anacleto García, y resultará vacante por su promoción á la Abadía de la colegial de Alabanza, á D. Antonio Ger, Cura de Sarsa Marcuello, en la diócesis de Huesca; para el Arcedianato de la de Solsona, vacante por muerte de D. Agustín de Ausaldo, á D. Francisco de Macia: para una Canongía d</t>
  </si>
  <si>
    <t>Gerbert y Llobet, Domingo</t>
  </si>
  <si>
    <t>Domingo Gerbert y Llobet</t>
  </si>
  <si>
    <t>D. Tomas.Bonafos: del primero del de Guada laxara , á D. Manuel Casals; y del segundo del del Rey á Don Domingo Gerbert y Llobet. En consideración á li antigüedad y lustre de la nobleza por ámbas líneas de la casa y Emilia de D. Buenaventura de March y de Saugmis. caballero y nople del Principado de Cataluñ</t>
  </si>
  <si>
    <t>Germán Bardier</t>
  </si>
  <si>
    <t>fi&lt;n....... go. 1$. Germán Bardier.......... Estéban y María Josepha Bi- San Estéoan tn siera.................... .\.................. el Rosello:.... go. rg. Francisco</t>
  </si>
  <si>
    <t>Germán Martínez</t>
  </si>
  <si>
    <t>de Mallorca y Toledo D. Bernardo Martínez de Artieda y D. Pedro Idermosilla, y al Sargento primero D. Germán Martínez: en el primer batallón de Voluntarios de Aragón á prime/ Teniente al,.segundo D. Ignacio Gil; á segundo Teniente al primer Subteniente Don Hilario Ferrandez; á esta resulta al seg</t>
  </si>
  <si>
    <t>Gerónimo’ Alémauy, Pedro</t>
  </si>
  <si>
    <t>Pedro Gerónimo’ Alémauy</t>
  </si>
  <si>
    <t>ij T§r: niente de granaderos D. Pedro Rodríguez; á primer Teniente de ;giaiiiideros al dé fusileros D. Pedro Gerónimo’ Alémauy:, y á primee. Temén£é al agregado en esta clase al de Valencia D. Francisco Viruesv •?* ' , También se ha servido el Rey conferir la Sargentía mayor del regiiniea»</t>
  </si>
  <si>
    <t>Gertrudis Monroy</t>
  </si>
  <si>
    <t>deberán contarse desde 2 del corriente. Se hace saber 6 Doña Josepha Cabezudo, heredera de su hija Doña Gertrudis Monroy, la qual lo fué de D. Pedro Ramcs, Oidor de la Real Audiencia de Sevilla , á D. Joseph Monroy, Alférez del regimiento de infantería de España , Don Tomas Monroy, D. Estanislao Mon</t>
  </si>
  <si>
    <t>Gervasio Fer</t>
  </si>
  <si>
    <t>e el Sr. D. Juan Antonio Santa María, Teñíénté Corregidor de esta villa, y escribanía del número de D. Gervasio Fer— • nandez Izquierdo, en el término de 30 dias.. ¿ í ■ r l &gt; -v.. El -Lie. D. ManueJ i Angel Carranclo ,, juez, comisionado de orden , de S. M. ¡ para la enagenaqion de fincas.corr</t>
  </si>
  <si>
    <t>Gervasio Fernán</t>
  </si>
  <si>
    <t>. Juan Antonio Santa María , Teniente Corregidor de-esta villa y la propia escribanía del número de D. Gervasio Fernán* dez Izquierdo, se están subastando 3 casas sitas en esta corte: la primera en la cálle de Valvei-de, núm. 31 , mar.z. 346 , que contiene $969 pies, tasada en 18a 6&lt;o rs • la segu</t>
  </si>
  <si>
    <t>Gervasio Fernández</t>
  </si>
  <si>
    <t>. Jüan Antonio Santa María7 Teniente Corregidor de esta Vi! la , y poV la ésoribaníá*-del número de D. Gervasio Fernández^ Izquierdo', sé está subastando úna casa, sita en esta corte én la calle de Mira el Rio, i-úsi. too', ínánz: , que contiene 750 pies de sitio, y está tasada en 1 ¿,584" rs. Quien</t>
  </si>
  <si>
    <t>ra párten&amp;é su éemate, acuda ante el Sr. D. Pedro GorzaJtz Calderón , y escribanía?del niín&amp;J ro de D. Gervasio Fernandez izquierdo en el términode 30 dias contados éctáb ló del corriente ; con arregí oá 1 ornan dad opor él Sr.' InrentíeMéde ésta próvjncíáy El'Sr. D. Juan Antonio Santa María ^Tenient</t>
  </si>
  <si>
    <t>Gervasio Fernández Izquierdo</t>
  </si>
  <si>
    <t>quarta paite de su remate^acüda ante el Sr. D. Fedro González Calderón, y éseribánía del número de D, Gervasio Fernandez Izquierdo en el término-de 3c dias. Quien quisiere hacer postura á varios pedazos de tierra sitos en el término del lugar de Majadahonda, de esta jurisdicción, acuda á Ja audiencia que exerce</t>
  </si>
  <si>
    <t>Antonio Ballester. Por la audiencia del Sr. D. Juan Antonio Santa María, y escribanía del número de D. Gervasio Fernandez Izquierdo, se están subastando dos tierras sitas en el término de Cienpozuelos y sitio que llaman ide la Vega , de caber itffanegas de regadío, tasadas en 10,679 rs. , á las que se ha hecho</t>
  </si>
  <si>
    <t>Antonio Fernandez. Por li audiencia del Sr. D. Juan Antonio Santa María, y escribanía del número de D. Gervasio Fernandez Izquierdo se están subastando 4 casas sitas en esta corte: la 3/ en la calle de Santa Catalina la vieja, núm. 45, manz. 346, que contiene aoigf pies, tasada en 33,372 rs. La 2.3 en la calle</t>
  </si>
  <si>
    <t>del Sr. D. Juan Antonio Santa María, Teniente Corregidor de esta villa, y escribanía del número de D. Gervasio Fernandez Izquierdo, se están subastando 7 casas sitas en esta corte. La primera en la ca le de Santa Catalina la vieja, num. 4$» man*- 346, que contienas 4015* pies, tasada en 33,37a r». La segunda</t>
  </si>
  <si>
    <t>arta parte de su remate, acuda ante el Sr. D. Juan Antonio Santa María , y escribanía del número de D. Gervasio Fernandez Izquierdo, en el término da 30 días contados desde 3 del corriente, con arreglo á lo mandado por el Sr. Intendente de esta provincia. -- -&gt; ,; La casa sita en esta corte en la calle de Hort</t>
  </si>
  <si>
    <t>del Sr. D. Juan Antonio Santa María, Teniente Corregidor ele esta villa, y escribanía del número de D. Gervasio Fernandez Izquierdo, se está subastando una casa en la calle del Pez , núm. 2, manz. 448 , que contiene -2043 pies , tasada en 88,308 rs. 17 mrs. , á la que está hecha postura en 64^ rs. á pagar en p</t>
  </si>
  <si>
    <t>parte de estos remates acuda ante el Sr. Ií). Juan Antonio Santa María, y escribanía del número de D. Gervasio Fernandez Izquierdo, en el término de 30 dias^ con arreglo á lo mandado por el Sr. Intendente de esta provincia* Quien quisiere hacer postura á dos casas sitas en esta corte calle ancha de Sanr Berna</t>
  </si>
  <si>
    <t>iendo arregladas. Por la audiencia de.l Sr. D. Juan Antonio Santa María, y escribanía del número de D. Gervasio Fernandez Izquierdo, se ha mandado sacar á pública subasta un oficio de Procurador de los Reales Consejos perteneciente á la memoria fundada por D. Pedro López de Arana, tasado en s8§’rs. Quien quisi</t>
  </si>
  <si>
    <t>del Sr. D. Juan Antonio Santa María, Teniente Corregidor de esta villa, y escribanía del número de D. Gervasio Fernandez Izquierdo, se está subastando un oficio de Procurador de los Reales Consejos, tasado en ¿89 rs.} al que está hecha postura en .Ja misma cantidad en. vales Reales: y para su remate se ha sef</t>
  </si>
  <si>
    <t>de 30 dias. Por la audiencia del mismo Sr. D. Juan Antonio Santa María, y escribanía del niímeru de D. Gervasio Fernandez Izquierdo, se está subastando una casa sita en f*st;r corte , portal frente i la iglesia de Santa Cruz, num. 3-, manz. 197, que con .'Une pies , tasada en 104,930 rs. Quien quiera hacer pos</t>
  </si>
  <si>
    <t>sor general del exército y Teniente Corregidor de esca villa de Madrid , y escribanía del número de D. Gervasio Fernandez Izquierdo, se está subastando una casa, sita en la calle de los Abades, mim. 7, manz, 64, que contiene píes, tasada en $4,188 1$. Quien quiera hacer</t>
  </si>
  <si>
    <t>$$6 Por la audiencia del mismo Sr. D. Juan Antonio Santa María , y por la escribanía del número de D. Gervasio Fernandez Izquierdo, se está subastando una casa sita en el portal de Santa Cruz, núm. 3 , manz. 197 , tasada eri 104,939 rs. , á la que se ha hecho postura en 114,339 rs. á p-gir los 104*939 en mohe</t>
  </si>
  <si>
    <t>scribanía. ' Per la audiencia del mismo Sr. D. Juan Antonio Santa María, y escribanía del número de D. Gervasio Fernandez Izquierdo , se están subastando $ casas, sitas la primera en la calle de Segovia, nú». 4, naanz. 191, que contiene *8,934}</t>
  </si>
  <si>
    <t>eferida audiencia. Quien quiera hacer postura acuda ante dicho Sr. Juez, y escribanía del número de D. Gervasio Fernandez Izquierdo. D. Joseph Becerra y Uribe, Guardia de Corps que fue de la Compañía Española, falleció intestado el ao de Febrero de.este año; y r.o sabiéndose si tenia1 algunas cuentas pendiente</t>
  </si>
  <si>
    <t>del Sr. D. Juan Antonio Santa María , Teniente Corregidor de esta villa, y escribanía del número de D. Gervasio Fernandez Izquierdo , se e?tá subastando una c?sa sita en la calle de las Beatas, mím. 14, manz. 498, que contiene 2377! pies, tasada en 70.453 rs. Quien quiera hacer postura acuda ante dicho Sr. Jue</t>
  </si>
  <si>
    <t>del Sr. D. Juan Antonio Santa María, Teniente Corregidor de esta villa , y escribanía del número de D. Gervasio Fernandez Izquierdo , se ha mandado sacar á pública subasta una casa sita en esta corte e-n la calle de la Espada, núni. 11 , manz. gg , que contiene por el piso baxo *683^ pies quadrados superficial</t>
  </si>
  <si>
    <t>uarta parte de su remate, acuda ante el Sr. D. Juan Antonio Santa María, y escribanía del número de D. Gervasio Fernandez Izquierdo, en el término de 30 dias. Otra oasa sita en esta corte en la calle de Cantara ñas , núm. 7, manz. ¡13®, tasada en 32,636 rs. , fue rematada en la misma cantidad en papel moneda,</t>
  </si>
  <si>
    <t>á una de su mañana. Quien quiera hacer mejora acuda ante dicho Sr. Juez y escribanía del número de D. Gervasio Fernandez Izquierdo. Por la referida audiencia se subasta otra casa sita en la calle del Luzon, mím. 16 , manz. 417 , que comprehende de area plana 3381 pies superficiales, distribuida en dos ‘quarto</t>
  </si>
  <si>
    <t>e el Sr. D. Juan Antonio-Santa Manía, Teniente Corregidor de esta villa, y escribanía del número de D. Gervasio Fernandez Izquierdo, conforme á lo mandado por el Sr. Intendente de esta provincia. A conseqíiencia de las Reales resoluciones de S. M. relativas á la enagenacion de fincas pertenecientes á estableci</t>
  </si>
  <si>
    <t>Getnüo Ravcrfaf</t>
  </si>
  <si>
    <t>orlasca; á primar Subteniente al segundo D. Henifique Beltran, y á esta resulta al Sargento primero D. Getnüo Ravcrfaf en el regimiento £uizo dé Betsehart ha concedido S. M. Ayudantía á D. Agustín Braans, Teniente del mismo cuerpo; y Tenencia en el de Rutimarn al Subteniente D. Gaspar Diethefm. El R</t>
  </si>
  <si>
    <t>Gfenier, Teniente General</t>
  </si>
  <si>
    <t>Teniente General Gfenier</t>
  </si>
  <si>
    <t>or lá izquierda,! pues el dia anterior habían juntado "muchas tropas en el valle del Isen , dexó el Teniente General Gfenier eñ sus puestos las divisiones de Legrand y Bastout con la reserva de caballerea, las quales al momento mismo de ir á atacar fueron atacadas. Acudiéron á sostenerlas algunas tropas d</t>
  </si>
  <si>
    <t>Ghralib, Príncipe</t>
  </si>
  <si>
    <t>Príncipe Ghralib</t>
  </si>
  <si>
    <t>:*'• ; í*&gt; r-. v'i n.VK-0 í. r.\ rr ^ Remite elt General* Menou copiadé una c&amp;tta quere^criblój al ¿Príncipe Ghralib,igran:Xerife de la Meca, para comunicarleíquei había sido, promoví vido al mando general en propiedad del exércitó francés en Egipto, y-para renovar en nombre ,deL gobierno de Fra</t>
  </si>
  <si>
    <t>Ghristobal Martínez de Mora</t>
  </si>
  <si>
    <t>a npmbrado Capellanes de los regimientos de infantería de Gr nada» Murcia y Jaetl á los presbíteros Don Ghristobal Martínez de Mora, D. Félix de Soto y Melgarejo, D. Chiistoba 1 Antonio de Coptrerus y D. Manuel Flores. En America. El Rsy se ha servido nombrar para la Dignidad de Dean de la metropolitana de Méx</t>
  </si>
  <si>
    <t>Ghristóbal Villalobos</t>
  </si>
  <si>
    <t>cia de fusileros á D. Pedro Mateo de Oloriz y Ganuza; y en el de Bujalance Subtenencia de bandera á D. Ghristóbal Villalobos. ; En América* Se ha servido S. M..conferir, él émpleo de Teniente Coronel del regimiento de Milicias urbanas de caballería de Si Pabio de Chalaquez á D. Valentín del Campo, Sarge</t>
  </si>
  <si>
    <t>Gijon, Francisco</t>
  </si>
  <si>
    <t>Francisco Gijon</t>
  </si>
  <si>
    <t>ros al de fusileros D. Joseph Muñoz; á primeros Tenientes de fusileros á los segundos de granaderos D. Francisco Gijon y D. Manuel Casaus; á segundos Tenientes de granaderos á los de fusileros D. Agustín Fuensalida, D. Pedro Carrion y D.‘Vicente Conty; á segundos Tenientes á los Subtenientes de granad</t>
  </si>
  <si>
    <t>Gil Albornoz, Cardenal</t>
  </si>
  <si>
    <t>Cardenal Gil Albornoz</t>
  </si>
  <si>
    <t>Carpió, D. Antonio Solis, -y D. Nicolás nes ilustres de la nación Española , en 13 Antonio: 2.0 el Cardenal Gil Albornoz, quadernos de á seis , que contienen: x.° Don Gonzalo Fernandez de Córdoba , el Gran Antonio Ley va , Ambrosio Morales , el P. Duque de Alba, Arias Montano, D. FranJuan de Mariana</t>
  </si>
  <si>
    <t>Gil de Ja Torre, Manuel</t>
  </si>
  <si>
    <t>Manuel Gil de Ja Torre</t>
  </si>
  <si>
    <t>os D. Pedro Moreno de Aígarin; á Tenientes de fusileros á los Subtenientes D. Tadeo Ortiz y Moreno, D. Manuel Gil de Ja Torre y D. i'oseph Alvarez de Escovar, y á Subtenientes de granaderos y cazadores á*los de fusileros D. Joachin Tenorio y Giles y D. Francisco de Silva Berlanga; en el de Bujalance á Tenien</t>
  </si>
  <si>
    <t>Gil de la Barrera, Juan</t>
  </si>
  <si>
    <t>Juan Gil de la Barrera</t>
  </si>
  <si>
    <t>de Tuy la Tenencia de cazadores al Teniente de fusileros D. Manuel Araujo; Tenencia de fusileros á D. Juan Gil de la Barrera , Subteniente de cazadores; su resulta á D. Jacinto. Figueroa, Subteniente de fusileros, y Subtenencia de bandera á D. Antonio Joseph Cadabal y Correa ; y Subtenencias'de bandera</t>
  </si>
  <si>
    <t>Gil de Taboada, Francisco</t>
  </si>
  <si>
    <t>Francisco Gil de Taboada</t>
  </si>
  <si>
    <t>o que sigue: ,, Lima 24 de Octubre. Separada de la Orue la corbeta Castor, y resuelto su comandante D. Francisco Gil de Taboada, Teniente de Navio, á pasar á la punta de Sta. Elena, entró en su surgidero el 28 de Setiembre, y tuvo noticias de una fragatilla enemiga que el dia anterior, después de otras pre</t>
  </si>
  <si>
    <t>Gil de Tejada, Pedro</t>
  </si>
  <si>
    <t>Pedro Gil de Tejada</t>
  </si>
  <si>
    <t>adaUtxara. D. Isidoro García Plaza. 'Éñjaen.............. D. Pedro Esponera. En León............. . D. Pedro Gil de Tejada. En Málaga........... D. Antonio Mariano. En Murcia....... Sres. Moreda y LadalkL En Oviedo............. D. Manuel Rubiano. En Falencia......... IX Nicolao CaJonge. En Palma......</t>
  </si>
  <si>
    <t>dalaxara. D. Isidoro García Plaza. jfí /z ............... B. Pedro Esponera. En León..... ......... D. Pedro Gil de Tejada. En Malaga....... D. Antonio Mariano. En Murcia........ Sres. Moreda y Ladaiid. En Oviedo........ . D. Manuel Rumano. En Palenda..........©. Nicolás Calonge. En Palma............</t>
  </si>
  <si>
    <t>adalaxara. D. Isidoro García Plaza. En Jaén................D. Pedro Esponera. En León.,.......... . D. Pedro Gil de Tejada. En Malaga,,.,..... D. Antonio Mariano. j En Murcia.,,........ Sres. Moreda y Ladalid. . , En Oviedo..,,.......D. Manuel Rubiano. En Palenda........D. Nicolás Calonge. En Palma...</t>
  </si>
  <si>
    <t>axara.. D. Isidoro García Plaza. En Jaén.................D. Pedro Esponera. En León................ D. Pedro Gil de Tejada. En Malaga............D. Antonio Mariano. En Murcia............. Sres. Moreda y Ladalid. En Oviedo.............. D. Manuel Rubiano. En Falencia.......... D. Nicolás Calonge. En Pa</t>
  </si>
  <si>
    <t>.. D. Isidoro García Plaza. En Jaén.................. t&gt;. Pedro Esponera. En León.................. D. Pedro Gil de Tejada. En Malaga..............D. Antonio Mariano. En Murcia.......... . Sres. Moreda y Ladalid. En Oviedo.............. D» Manuel Rubiano. Eñ Palenda...... . D. Nicolás Calonge. En Palm</t>
  </si>
  <si>
    <t>Gil y Santbo, Antonio</t>
  </si>
  <si>
    <t>Antonio Gil y Santbo</t>
  </si>
  <si>
    <t>Juan Lozano y D, Joseph Ranero en trigonometría' plana $ esférica, en el álgebra y eñ navegación; y D. Antonio Gil y Santbo, con los'mismos Lozano y Ranero, en cosmografía: todos los quales resolviéron en sus respectivas clases quantos problemas Ies cupiéron en suerte; y se. presentaron al publico vari</t>
  </si>
  <si>
    <t>Gil, Ignacio</t>
  </si>
  <si>
    <t>Ignacio Gil</t>
  </si>
  <si>
    <t>ro D. Germán Martínez: en el primer batallón de Voluntarios de Aragón á prime/ Teniente al,.segundo D. Ignacio Gil; á segundo Teniente al primer Subteniente Don Hilario Ferrandez; á esta resulta al segundo Subteniente D. Joseph Ximeno, y á segundos Subtenientes al Sargento primero D. Bernabé F</t>
  </si>
  <si>
    <t>Gil, Joaquín</t>
  </si>
  <si>
    <t>Joaquín Gil</t>
  </si>
  <si>
    <t>458,544, á los $r&lt; s. Directores de la Real caxa de descuentos de Madrid - de otro, núm. 451,774, i D. Joaquín Gil; de dos, míms. 451,775 y 466,798, i D. Juan de Orellana; de otrcs des, núms. 466,796 y 466,799, á D. Vicente Martínez ; de otro, núm, 466,797, á D. Francisco Gutiérrez, y de otro,</t>
  </si>
  <si>
    <t>Gimbernat, Antonio</t>
  </si>
  <si>
    <t>Antonio Gimbernat</t>
  </si>
  <si>
    <t>ién ha venido S. M. en conceder los honores del Consejo de Hacienda á su prim&lt; r Cirujano de Cámara D. Antonio Gimbernat, en consideración á sus servicios; y honores de Alcalde de su Real casa y corte á D. Simón de Viégas, Secretario de la Presidencia de Castilla. En América. S.*M. se ha servido pro</t>
  </si>
  <si>
    <t>Giner, Joseph</t>
  </si>
  <si>
    <t>Joseph Giner</t>
  </si>
  <si>
    <t>......... 13 1. ic. Joseph Giner....... Manuel.... Rosa Yesa............ Molina..,,...... Al afíiz..... ...... 8&lt;5. 18. Antonio Gómez... Simón...... María Bueno....... Moros</t>
  </si>
  <si>
    <t>Gines Meseguer</t>
  </si>
  <si>
    <t>resulta al Subteniente de fusileros D. Rafael Sopreanis: en el de Murcia la Tenencia de cazadores á D. Gines Meseguer, Teniente de fusileros; Tenencia de esta clase á D. Mateo López, Subteniente de granaderos, y su resulta á D. Aparicio Martínez Corvalan, Subteniente de fusileros: y ha nombrado S</t>
  </si>
  <si>
    <t>Giradely, Rafael María</t>
  </si>
  <si>
    <t>Rafael María Giradely</t>
  </si>
  <si>
    <t>as memorias de Salmerón y ai de W*de Ugena-y quw parece son acreedores á la testamentaría del Con-’ D. Rafael María Giradely , que el domingo 9 del presente se celebra junta* pafrS* ser sa'ti feches de sifi? réspéStivos'fcréditos \ la que se tendrá en la posaría de D. Joseph Léínay re, dalle de la Liber</t>
  </si>
  <si>
    <t>Girbau, Joseph</t>
  </si>
  <si>
    <t>Joseph Girbau</t>
  </si>
  <si>
    <t>en id.... 81. a&lt;5l Joseph Girbau...-........ Crispin y Farriola Ves.... ..... . Prada en id...... 60.. 30I Francisco Roca........... Rafael y Ana María Tuca,........ Villalongaenid. 81. a6, Estéb</t>
  </si>
  <si>
    <t>Girón, Jóseph</t>
  </si>
  <si>
    <t>Jóseph Girón</t>
  </si>
  <si>
    <t>os D. Joseph González y 'Dy Agustín Martínez, y á los primeros Subtenientes D. Francisco Caballero, D. Jóseph Girón, D. Juan Vital, D. Joseph Arevaliilo, D. Luis de Ribera, Don Francisco Orellana, D. Laureano de Salas y D. Tomas dé Cear rote ;• á tenientes de granaderos á los segundos Subtenien</t>
  </si>
  <si>
    <t>Gironda, Felipe</t>
  </si>
  <si>
    <t>Felipe Gironda</t>
  </si>
  <si>
    <t>ros D. Miguel de Leyva;* á segundos Tenientes de granaderos á los de fusileros D. Jo seph Malpica y D. Felipe Gironda; á segundos Tenientes á los Subtenientes de granaderos D. Juan Calderón, Joachín Benitez y D. Nicolás Ortuno, y al-primer Subteniente D. Leonardo Martines; á Subtenientes de grana</t>
  </si>
  <si>
    <t>Giulani</t>
  </si>
  <si>
    <t>ior salió de aquí para Venecia el Conde de Maylath, Comisario imperial en los países de Italia, con Mr. Giulani, Secretario áulico. Lleva encargo de hacer todas las reformas que juzgue convenientes en el gobierno interior de aquellas provincias. Ratisbona 2 de Maya, E 1 conclusum adoptado e</t>
  </si>
  <si>
    <t>Giustiniani, Príncipe</t>
  </si>
  <si>
    <t>Príncipe Giustiniani</t>
  </si>
  <si>
    <t>ron de ella el dia 19 para Ñapóles, con casi todas las personas de su corte. Igualmente salióron el Príncipe Giustiniani y el Duque Odescalchi, como también el Marques Massimi, aunque se hallaba enfermo. Permanecen todavía aquí los dos oficiales franceses que vinieron hace unos dias con pliegos de su go</t>
  </si>
  <si>
    <t>Glarke, General</t>
  </si>
  <si>
    <t>General Glarke</t>
  </si>
  <si>
    <t>lo sirve á indisponer contra él aquellos naturales, cansados ya de los males de la guerra civil. El General Glarke, que había venido de Luneville á París, ha salido para Bruséias. ' CHncJiott,2.4 de Noviembre, s E 1 14 de este, mes fuéron examinados por mañana y tarde en las salas convsistojri</t>
  </si>
  <si>
    <t>Gliver, Joseph</t>
  </si>
  <si>
    <t>Joseph Gliver</t>
  </si>
  <si>
    <t>i los’ Cadetes D. Joachín Albizu, D. Joseph Aballe, D. Juan Francisco Espinosa, delude Górdoha, y á D. Joseph Gliver : í en el de Extremadura £ segundo;Subtenieiite &lt;ahCadete:,D. Joseph Escola :■ en el de las Ordenes Militares a .Sargento.seayor al Capitán de granaderos D. Joachin de Goyeneche ,</t>
  </si>
  <si>
    <t>Go-mez, Luis</t>
  </si>
  <si>
    <t>Luis Go-mez</t>
  </si>
  <si>
    <t>mbos sexos. Los niños, á la. voz de Don Juan Rubio, Visitador dé las escuelas Reales, de su maestro D. Luis Go-mez, y de quantos quisieron preguntarles, cliéron la mas exacta noticia de nuestra santa religión por los catecismos de Ripalda y Fleuri: leyéron efe ron sobre la gramática castellana</t>
  </si>
  <si>
    <t>Gobernador á aquella posesión</t>
  </si>
  <si>
    <t>cos del C tbo de Buena-Esperanza: ya se dice que el Almirante Dewinter irá como Gobernador á aquella posesión. Haya 4 de Noviembre. E ste gobierno ha enviado á Inglaterra los pasaportes destinados para las embarcaciones mercantes inglesas que quieran venir á puertos de</t>
  </si>
  <si>
    <t>Gobernador á la entrega por mas que lo amenazo</t>
  </si>
  <si>
    <t>intimó por el Mariscal de Campo. Duque del Infantado, que no pudo doblegar á su Gobernador á la entrega por mas que lo amenazo: tampoco produxéroo efectos algunas granadas de á 6 qne se arrojaron á la plaza; y Lancáster en. virtud de las órdenes que tenia se replegó hacia el.Gaya aL an</t>
  </si>
  <si>
    <t>Gobernador á la isla del Príncipe de Gáles</t>
  </si>
  <si>
    <t>mento valuado en 600© pesos, ‘y JLcúyo bordo se hallaba Mr. Stockes, que iba de Gobernador á la isla del Príncipe de Gáles. Quedó prisionero, y fue conducido á Tranquebar. ,Los gastos públicos de esta República, durante un año coRt ido desde &gt; de Octubre de 1799 hasta 30. de. Setie</t>
  </si>
  <si>
    <t>Gobernador Bentinck va á Francia</t>
  </si>
  <si>
    <t>nto antes en nuestros puertos. Mr. Hammersley llegó aquí de París el dia 15. El Gobernador Bentinck va á Francia; pero su viage no tiene objeto político. Mr. Smith, secretario particular que ha sido de Mr Pítt, ex-Ministro de Hacienda , acaba de comprar en el Condado de E</t>
  </si>
  <si>
    <t>Gobernador cedió y capituló como el de Cji venza</t>
  </si>
  <si>
    <t>n una próxima escalada , haciendo traer»para ella escaleras de los cortijos. El Gobernador cedió y capituló como el de Cji venza, dexándonos cañones, municiones» fus¿*</t>
  </si>
  <si>
    <t>Gobernador con fuerza amenazándolo de un asalto</t>
  </si>
  <si>
    <t>en el mejor estado, aunque no en el ipismo sus obras accesorias, é intimó á su Gobernador con fuerza amenazándolo de un asalto: las pocas tropas que tenia, no proporcionadas á la extensión de la plaza , lo obligaron á rendirse , entregando la plaza y territorio de ella á estoparte del</t>
  </si>
  <si>
    <t>Gobernador con una próxima escalada</t>
  </si>
  <si>
    <t>comunicación en barcas con Olivenza: se apoderó de dos arrabales, y amenazó al Gobernador con una próxima escalada , haciendo traer»para ella escaleras de los cortijos. El Gobernador cedió y capituló como el de Cji venza, dexándonos cañones, municiones» fus¿*</t>
  </si>
  <si>
    <t>Gobernador Conde de Kalkreutz</t>
  </si>
  <si>
    <t>asa del Príncipe Obispa de Ermehnd, en Oliva: cenaron aquella noche en casa del Gobernador Conde de Kalkreutz; y el 21 siguieron su-viage á Petersburgo. .i;;:, ó ; &gt; ’ Mmden j.° de Junio* . E ■spérase iaiquh x mediados de este mes á S. 'M. Prusiana. % - Las tropas de P</t>
  </si>
  <si>
    <t>Gobernador contestó con bastante firmeza</t>
  </si>
  <si>
    <t>lla el Mayor de la misma plaza, pero que venció Alcega con prudencia y tino. El Gobernador contestó con bastante firmeza, aunque no tanta que no conociese Alcega que á un amago mas enérgico cedería al fin salvando así su compromiso con el vecindario. Informado Orell, se adelantó</t>
  </si>
  <si>
    <t>Gobernador de Adrianópolis</t>
  </si>
  <si>
    <t>esultas se ha oreso á muchos, de ellos, y se ha castigado con pena de muerte al Gobernador de Adrianópolis, que era uno de sus principales parciales. Parece que ahora tomará mejor semblante esta guerra: los rebeldes se hallan ya encerrados en (a fortaleza de Demotic</t>
  </si>
  <si>
    <t>Gobernador de aquel Ducado</t>
  </si>
  <si>
    <t>us haciendas de Curlandia. Uno de los Príncipes de Wartemberg le reemplaza como Gobernador de aquel Ducado, y el Príncipe de Kutusow como Gobernador de esta capital. Stockolmo 14 de Julio. U na división de la esquadra inglesa pasó ayer á vista de Cronemburgo-, retir</t>
  </si>
  <si>
    <t>Gobernador de aquel Electorado</t>
  </si>
  <si>
    <t>ílannóver___Según algunas gazetasse ha intimado en Berlín al Prí ncipe Adolfo, Gobernador de aquel Electorado, que toda resistencia será inútil para defender al-Hannóver, supuesto queda ocupación de aquel pais por tropas prusianas es un asunto irrevocablemente convenid</t>
  </si>
  <si>
    <t>Gobernador de aquel obispado</t>
  </si>
  <si>
    <t>á Canónigo Doc*torgl deja santa iglesia de Almería en 1752; y siendo Provisor y Gobernador de aquel obispado, emprendió varias obras de iglesias, reparó y concluyó otras , y formalizó el establecimiento del convento de monjas de Sta. Clara, cuya protección le encargó</t>
  </si>
  <si>
    <t>Gobernador de aquella colonia</t>
  </si>
  <si>
    <t>franceses. Se han recibido noticias'He la Isla de Francb. El General Malartic, Gobernador de aquella colonia, murió á mediados de Julio del año último; y lo reemplazó en el mando eí General Magallon. La corbeta de guerra de ia República, nombrada la Aurora, que salió</t>
  </si>
  <si>
    <t>enia de la Guadalupe á Burdeos, y en ella se hallaba el General Pelardy, ultimó Gobernador de aquella colonia. ' ' ; : • También se dice que el gobierno ha recibido noticia de que nuestras esquadras se han apoderado de las islas de Sto. Tomas y Sta. Cruz, perteneciente</t>
  </si>
  <si>
    <t>la Guadalupe dos fragatas francesas, ,en una de las quales se hallaba el nuevo Gobernador de aquella colonia. 4 • Desde 3 de Agosto se abrirá para el público, dos dias cada década, lá galería de pinturas de marina , modelos de navios , y obras hidráulicas que está en</t>
  </si>
  <si>
    <t>Gobernador de aquella provincia</t>
  </si>
  <si>
    <t>'-'i Ratiskonac? de Enero. íiscriben de Cracovia que el Conde de Traútmansdorf, Gobernador de aquella provincia, recibió el 29 del mes anterior una carta del Conde de Gaisruga, Comandante de la Galitzia oriental, comunicándole que Mr. de Rbsfen&amp;erg, Gobernador de TCamini</t>
  </si>
  <si>
    <t>Gobernador de Curazao al Coronel Whitam</t>
  </si>
  <si>
    <t>S. Jámes. De resultas se ha restituido á esta capital. Há nombrado el Rey para Gobernador de Curazao al Coronel Whitam. ^ Sin embargo de los muchos granos que se introducen en Inglaterra, volvió á subir ayer el precio del pan., y ahora cuesta 2 rs. la libra. De Hamburgo ha lleg</t>
  </si>
  <si>
    <t>Gobernador de dichos castillos</t>
  </si>
  <si>
    <t>ante del sitio de los castillos de Verona, al Teniente Geneeral Barón de Riese, Gobernador de dichos castillos. Hasta ahpra , Señor General, no habéis visto mas que una parte de mis medios de ataque. Abriré brecha, entraré á viva fuerza, y entonces ya no admitiré ningun</t>
  </si>
  <si>
    <t>Gobernador de ella</t>
  </si>
  <si>
    <t>las fuerzas británicas el Brigadier de: la Real Armada D. Joseph María Chacón, Gobernador de ella , y el incendio que dispuso el Xefe de esquadra D. Sebastian Ruiz de Apodaca de los 4 navios y. una fragata que se hallaban en el puerto de Chaguaramas, son do</t>
  </si>
  <si>
    <t>al de Campo julio César Augusto de Chermont, al servicio de S. M. Fidelísima, y Gobernador de ella. PROPOSICION 1.* CONTESTACION. a guarnición saldrá libre con to­ a guarnición saldrá con honores dos los honores militares* militares, pero prisionera de guerr</t>
  </si>
  <si>
    <t>Gobernador de esta capital</t>
  </si>
  <si>
    <t>De aquí ha salido para Petersburgo el Príncipe Femando de Wurtemberg, Gobernador de esta capital. En Venecia se ha publicado un aviso por el qual se previene que todos -los vasallos de S. M. I. en aquellos^nuevos estados dirijan sus pretensiones y asuntos</t>
  </si>
  <si>
    <t>erg le reemplaza como Gobernador de aquel Ducado, y el Príncipe de Kutusow como Gobernador de esta capital. Stockolmo 14 de Julio. U na división de la esquadra inglesa pasó ayer á vista de Cronemburgo-, retirándose enteramente del Báltico. Como no queda duda de que</t>
  </si>
  <si>
    <t>Gobernador de Guayaquil</t>
  </si>
  <si>
    <t>agata S. Ramón de que aquí se habia salió con destino al Callao sin permiso del Gobernador de Guayaquil. Su Capitán O. Ramón Manzanal , digno de mejor suerte por su arrojo y valor, aunque imprudente en el caso, sin retraerle los avisos que se Je^ comunicaron del</t>
  </si>
  <si>
    <t>Gobernador de Guayaquil comprueba esto mismo</t>
  </si>
  <si>
    <t>no en particular que desempeñaron su deber con aliento y presencia de animo. El Gobernador de Guayaquil comprueba esto mismo, y no acierta á pondtrar la bizarría de dicho comandante: y añade que los beneficios de Ja presa y represa son incalculables por los crecidos intereses que hay</t>
  </si>
  <si>
    <t>Gobernador de Hannóver</t>
  </si>
  <si>
    <t>r cuenta de ingleses* Escriben de Berlin que el. Príncipe Adolfo de Inglaterra, Gobernador de Hannóver, llegó.el.i.° de este mes á aquella capital de Prusía, llamado según dicen por el Rey. ¿-.í r i : : U: . . . íEn!AJtonarse &lt;?stá: disponiendo. alojamiento para</t>
  </si>
  <si>
    <t>Gobernador de la ciudad</t>
  </si>
  <si>
    <t>para gastos de la guerra. S. M. los ha aceptado, mandando al Barón de Carpelan, Gobernador de la ciudad, comunique su Real satisfacción á aquellos habitantes. .</t>
  </si>
  <si>
    <t>Gobernador de la isla para el primer Cónsul</t>
  </si>
  <si>
    <t>Cargamento, se regula en 6 millones de* reales: traía’ ocultos los pliegos del Gobernador de la isla para el primer Cónsul; y habiéndolos descubierto los apretadores, los enviaron .al Almirante-Lord S. jV£icepte. sLátotra presa es ia; Aurora, de 18 cañones y 65 hombres, contando lo</t>
  </si>
  <si>
    <t>Gobernador de la isla previniéndole que no llevaba intenciones hostilesr</t>
  </si>
  <si>
    <t>n á la Madera el 2fde Julio, y el Capitán Bowen envió al instante un mensage al Gobernador de la isla previniéndole que no llevaba intenciones hostilesr 'sino que iba para concurrir á la defensa de aquella colonia en caso que. la atacasen los enemigos. El Gobernador propuso que desembarcasen las tropás: hiciéro</t>
  </si>
  <si>
    <t>Gobernador de la plaza</t>
  </si>
  <si>
    <t>desplegada baxo las demas condiciones estipuladas. = Matías Joseph Díaz Acedo, Gobernador de la plaza. Nota. En gazeta extraordinaria de mañana lunes se publicará la capitulación concedida d la plaza de Ouguella, j&gt; el inventario. EN LA IMPRENTA REAL,</t>
  </si>
  <si>
    <t>e la artillería. Ouguella 6 de Junio de í8o 1.iziFirmadoJóséph Joachín Qüeiros, Gobernador de la plaza. Concedida en todas sus partes, con excepción de que la tropa que guarnece la plaza pueda restituirse á la de Campomayór; pero se le permite- regresar á lo int</t>
  </si>
  <si>
    <t>a que llevaba. Intimó desde luego por su Sargento ma*yor D. Miguel de Alcega al Gobernador de la plaza, prece didas algunas contestaciones, que con repugnancia le hizo desde la muralla el Mayor de la misma plaza, pero que venció Alcega con prudencia y tino. El G</t>
  </si>
  <si>
    <t>Gobernador de las provincias de Italia</t>
  </si>
  <si>
    <t>al Archiduque Juail. ' - ; : El Barón de Thugut ha hecho dexacion del empleo de Gobernador de las provincias de Italia, y se ha retirado de esta capital para residir en Cracovia. t ' :: ’ ;; . / El 17 de .Enero fue quando S. M. I. dio '50 aprobación al proyectó dcr paz enviada</t>
  </si>
  <si>
    <t>Gobernador de Lispuri</t>
  </si>
  <si>
    <t>Cefalonia un barco, por el qual se han recibido las siguientes noticias: ,, El Gobernador de Lispuri, ciudad de aquella isla, publicó una orden prohibiendo que los labradores entrasen armados en el pueblo. Quatro aldeanos de las inmediaciones despreciando ía p</t>
  </si>
  <si>
    <t>Gobernador de Longone</t>
  </si>
  <si>
    <t>s el comandante de la torre entregó «sta á los franceses en fuerza de orden del Gobernador de Longone. Después de apostarse, y de dexar resguardado el convoy, se puso Marioti en marcha para Longone, según las instrucciones que llevaba. Al llegar al primer desfi</t>
  </si>
  <si>
    <t>Gobernador de Longone por su conducta con los franceses</t>
  </si>
  <si>
    <t>Por nuestra parte murió un caraba ñero, y hubo otros heridos. Merece elogios el Gobernador de Longone por su conducta con los franceses, y por la buena fe con que cumplió el tratado.__ El General de división Tharreau por su parte se embarcó en Piombino el dia 2 con un batallón y 300 polacos; ll</t>
  </si>
  <si>
    <t>Gobernador de Morca</t>
  </si>
  <si>
    <t>del 27 de Setiembre que el Baxá Giurgyii-Osman, nombrado por la Sublime Puerta Gobernador de Morca, pero muy descontento con este empleo, en vez de dirigirse á su destino, juntó tropas, y poniéndose á su frente marchó hácia Valaquia para poner contribuciones</t>
  </si>
  <si>
    <t>Gobernador de Oliveñza</t>
  </si>
  <si>
    <t>0 de Mayo de 1801.=Firmado: Julio César Augusto de Chermont, Mariscal de Campo, Gobernador de Oliveñza. Se nombrarán Comisarios y Oficiales de una y otra parte para el re conocimiento de fortificaciones, minas y almacenes. = Frente de Oliveñza á las 9 de la maña</t>
  </si>
  <si>
    <t>Gobernador de palacio queda la distribución de los puestos</t>
  </si>
  <si>
    <t>iran á la parada, revistarán las guardias, y las mandarán desfilar. A cargo del Gobernador de palacio queda la distribución de los puestos , de las centinelas, y de quanto tiene relación con el servicio y la policía de palacio. Madrid 15 de Diciembre. E 1 Rey se ha servido nombrar para el Arcedian</t>
  </si>
  <si>
    <t>Gobernador de Petersburgo</t>
  </si>
  <si>
    <t>n Francia, se apresura á tratar de «st$ importante asunto.” El Conde de Pahlen, Gobernador de Petersburgo, primer vocal del colegio ó junta de negocios extrangeros, é individuo del Consejo, recibió el a8 de Junio por la noche orden de ir á servir el gobierno que ta</t>
  </si>
  <si>
    <t>Gobernador de Porto-Ferrayo</t>
  </si>
  <si>
    <t>rcito francés. Os remito copia de la intimación que el General Tharreau hizo al Gobernador de Porto-Ferrayo, y de la respuesta de este. Aunque parece resuelto á defenderse,**espero comunicaros el correo próximo la rendición de la plaza y la ocupación de toda la isla/</t>
  </si>
  <si>
    <t>Gobernador de Romelia</t>
  </si>
  <si>
    <t>s contornos de Nissa ha habido una batalla entre, las tropas de Oglow y las del Gobernador de Romelia. Al principio de la acción el Baxá de Widin aparento huir, lo qual infundió tal confianza en las tropas del Gran Señor, que se adelantáron imprudentemente hast</t>
  </si>
  <si>
    <t>Gobernador de Semlin comunicó sobre que Baswan-Oglow no había promovido</t>
  </si>
  <si>
    <t>de Director del despacho de negocios extrangeros. Sin embargo del aviso que el Gobernador de Semlin comunicó sobre que Baswan-Oglow no había promovido la insurrección de. los genízaros de Belgrado» escriben de la primera de dichas ciudades que los sublevados han pues to al Baxí en manos de Baswan, y se creé que</t>
  </si>
  <si>
    <t>Gobernador de TCaminiek</t>
  </si>
  <si>
    <t>sruga, Comandante de la Galitzia oriental, comunicándole que Mr. de Rbsfen&amp;erg, Gobernador de TCaminiek, lemvisaba de oficio que tema-orden d» «úe el'exSrcko imperial rusopque sq halla: un das fronteras: de las do*. Gaíitzias, se dispusiese á marchar inmediatamen</t>
  </si>
  <si>
    <t>Gobernador de Upsal</t>
  </si>
  <si>
    <t>l qual comunique el lago de Malare con el mar Báltico. El Barón de Wetterstedt, Gobernador de Upsal, fue á reconocer el terreno, y hacer el tanteo de lo que costara dicha obra: y según los informes que ha dado podrá concluirse en el término de 3 años con tal</t>
  </si>
  <si>
    <t>Gobernador del Cayro</t>
  </si>
  <si>
    <t>xá Mehemet es el que manda la vanguardia del exército turco: fui? anteriormente Gobernador del Cayro, y se asegura que vol-; verá á servir dicho empleo luego que las tropas otomanas se apoderen de aquella ciúdad. : Petersbttrgo 18 de Mayo, P or un ukase del di</t>
  </si>
  <si>
    <t>Gobernador del Consejo</t>
  </si>
  <si>
    <t>la Real?mano.= En él Real Monasterio del Paular á 4&lt; de Setiembre de 1801. = Al Gobernador del Consejo.”/ -■ ' v.; /’ r . v v . '.ri ti En la compañía Italiana del Real cuerpo de Guardias de Corps ha nom^' brado S. M. Exento, de número al supernumerario; D.Joach</t>
  </si>
  <si>
    <t>Gobernador del Consejo Real</t>
  </si>
  <si>
    <t>los distinguidos méritos y ser-vicios del Exc* $r.&lt; D. Joseph Eustaquio Moreno* Gobernador del Consejo Real , ha venido S. M. en conferirle la Colecturía general de Espedios y Vacantes , y darle hoiu&gt;» res de su Consejo de Estado. En el Real cuerpo de artillería se h</t>
  </si>
  <si>
    <t>Gobernador del fuerte que</t>
  </si>
  <si>
    <t>aparentaran una mayor indefinida fuerza; y hecho así intimaron la rendición al Gobernador del fuerte que , después de vacilar poco , la concedió baxo lá capitulación cuya copia acompaño. Apoyaban esta operación y aseguraron su éxito 400 hombres de Saboya y segundo</t>
  </si>
  <si>
    <t>Gobernador del Said</t>
  </si>
  <si>
    <t>ple, exactamente lo estipulado. Seguiv dicho' tratado" no es mas que. Eríncipe. Gobernador del Said, en nombre de la R'ep.iíblica. ’ítaneesá,. y con este título posee las provincias de Girgé y . Assu -:ni___ El. dia 3- de. Noviembre upi cruzaban ingleses ni .</t>
  </si>
  <si>
    <t>Gobernador del Said por ía República francesa</t>
  </si>
  <si>
    <t>que compre carne, legumbres, 6al y leña.”__ Hablando del Bey Amurátes, Príncipe Gobernador del Said por ía República francesa.', añade Mcnou que goza la renta de las provincias de Girgé y Assuan baxo condición de pagar anualmente en dinero y granos por el imparte de 650© francos. No d</t>
  </si>
  <si>
    <t>Gobernador del Said, Príncipe</t>
  </si>
  <si>
    <t>Príncipe Gobernador del Said</t>
  </si>
  <si>
    <t>mente á la tropa dinero para que compre carne, legumbres, 6al y leña.”__ Hablando del Bey Amurátes, Príncipe Gobernador del Said por ía República francesa.', añade Mcnou que goza la renta de las provincias de Girgé y Assuan baxo condición de pagar anualmente en dinero y granos por el imparte de 650© francos</t>
  </si>
  <si>
    <t>Gobernador é Intendente de la isla de Puerto-Rico</t>
  </si>
  <si>
    <t>l Estado mayor, se ha&lt; dignado S. M. conferirle los empleos de Capitin general, Gobernador é Intendente de la isla de Puerto-Rico. En e! cuerpo dé caballería de Blandengues de la frontera de Buenos Ayres se ha servido el Rey promover á Capitanes £ los Tejientes E&gt;. Antonio Valcarce y D. P</t>
  </si>
  <si>
    <t>Gobernador estas disposiciones</t>
  </si>
  <si>
    <t>mandó desde luego se hiciesen preparativos para el ataque; pero advirtiendo el Gobernador estas disposiciones, diputó al Cónsul ingles pidiendo una conferencia con los xefes de la expedición, los qnales baxáron á tierra, y al cabo de tres horas consiguieron que nuestra</t>
  </si>
  <si>
    <t>Gobernador genera</t>
  </si>
  <si>
    <t>ondados i una junta compuesta de los Gondes de Wachtmester, Kurck y Fcrsen, del Gobernador genera! Cande, de Ugglas, de Mr.tde: EÍúbnhmi»V Ministrare Negocios extrangeros, y del Ajiídantfe general Conde íteMorneri c h í a Air. Buys, Ministro de la República</t>
  </si>
  <si>
    <t>Gobernador general de dicho Palatinado</t>
  </si>
  <si>
    <t>caballos: lo manda el Teniente General Conde de Íscmhiírgo&gt; que cstá iiornbrado Gobernador general de dicho Palatinado, y residirá en Manheim. Baxo sus órdenes manda eí General Wreede, el quai sentará su quartel en Heydelberga. Así que se recibió en JMunich la inesperada notici</t>
  </si>
  <si>
    <t>Gobernador general de Egipto</t>
  </si>
  <si>
    <t>do en poder de los ingleses. Se sabe también que el General Menou está nombrado Gobernador general de Egipto, y el .General de división Reynier es comandante de las ti'ópas francesas. ’ En el Divan» se ha aumentado la consternación desde" que el Capitán Baxá ha propue</t>
  </si>
  <si>
    <t>Gobernador holandés</t>
  </si>
  <si>
    <t>ra V ¿ S., y los papeles que* nos hablan quitado, ménos los dos oficios para et Gobernador holandés. Me intimó que saliera inmediatamente; y aunque le expuse que no teníamos agua ni leña, nos hizo levar el ancla remolcándonos con su bote hasta la boca del pue</t>
  </si>
  <si>
    <t>Gobernador Húnteó ha traído de Bahía-Botánica</t>
  </si>
  <si>
    <t>ajustarse los asuntos y dificultades movidas por la confederación del Norte. El Gobernador Húnteó ha traído de Bahía-Botánica 3 cisnes negros, y se espera conservarlos aquí. Ha vuelto de las Indias occidentales la división, de Mr, Calder, y ha ido á reforzar la escuadra grande de la M</t>
  </si>
  <si>
    <t>Gobernador i presencia</t>
  </si>
  <si>
    <t>co Valcárcel; y en ia de Alcántara inoculando del mismo modo á los nietos de su Gobernador i presencia, suya, del médico titular, de varios oficiales y de otras personas-, cuyo virus ha servido después para vacunar á ©tras muchas criaturas de estos pueblos. Dich</t>
  </si>
  <si>
    <t>Gobernador Intendente de la provincia de CHiapa</t>
  </si>
  <si>
    <t>cante de plaza entera en atención átsus méritos y circunstancias. ¡ - "■ ' ; El Gobernador Intendente de la provincia dé CHiapa, en América , Don Agustin de las Cuentas Zayas, promovió e rf stf gobierno la inoculación de viruelas, asistiendo personalmente en varics pueblos del partido d</t>
  </si>
  <si>
    <t>Gobernador interino de la plaza de Melilla</t>
  </si>
  <si>
    <t>do de Cadete de Minadores en. la compañía provincial de la jilñza de Ceuta: fué Gobernador interino de la plaza de Melilla: comandante de la artillería en la expedición de la isla de Menorca, laque conquistada, pasó al sitio de Gibraltar: fué Capitán general de Mallorca: Comandante</t>
  </si>
  <si>
    <t>Gobernador militar de Petersburgo Conde de Pablen</t>
  </si>
  <si>
    <t>ería y Procurador general BeklechoíF, el Tesorero de estado Barón Wazilieff, el Gobernador militar de Petersburgo Conde de Pablen, el Consejero privado Príncipe de Lapukin, el Ministro de comercio Príncipe Gargarinn, el Almirante y Vice-Presidente del Consejo de Almirantazgo Conde de Kuch</t>
  </si>
  <si>
    <t>Gobernador propuso que desembarcasen las tropás</t>
  </si>
  <si>
    <t>urrir á la defensa de aquella colonia en caso que. la atacasen los enemigos. El Gobernador propuso que desembarcasen las tropás: hiciéronlo así; y según noticias posteriores, recibidas por el cúter Halcoíi, guarnecen nuestras tropas los castillos que dominan la bahía de Fonchal: las‘níá</t>
  </si>
  <si>
    <t>Gobernador Riese</t>
  </si>
  <si>
    <t>ndonado enteramente á Italia.” La capitulación propuesta el mismo dia ió por el Gobernador Riese, y</t>
  </si>
  <si>
    <t>Gobernador tienen los abaxo firmados</t>
  </si>
  <si>
    <t>Esta capitulación ha quedado arreglada mediante los poderes que de su General y Gobernador tienen los abaxo firmados. . Campo español en la inmediación de la plaza de Jurumeña á 20 de Mayo de 1801.= D. Antonio la Mota Tello de Fonseca, Teniente Coronel de las Milicias de Crat</t>
  </si>
  <si>
    <t>Gobernador y Capitán general de este exército y reyno</t>
  </si>
  <si>
    <t>a Ntra. Sra. Asistieron á la función el Exc. Sr. D. Jorge Juan cíe Guille Irni, Gobernador y Capitán general de este exército y reyno, y numeroso concurso de la Grandeza, Ministros de la Real Audiencia, Cor-, regidor é Intendente, individuos del Cabiido metropolitano, del Ayuntamiento, y demá</t>
  </si>
  <si>
    <t>Gobernador y Capitán general deF Kéyno de la Florida</t>
  </si>
  <si>
    <t>enas y Cano..=La Florida del Inca, historia dél Adelantado 'Heraandó de Sb¡to,, Gobernador y Capitán general deF Kéyno de la Florida; y de otres heróyeos españoles é indios rescrita por él referido Inca Garcilaso de la Vega: 4 tomoscnfolío.Se hallarán en la librería dé Bayló, calJe d# las Ca</t>
  </si>
  <si>
    <t>Godefua, Pedro</t>
  </si>
  <si>
    <t>Pedro Godefua</t>
  </si>
  <si>
    <t>ña Luisa de Castelnodarryen Grave...................................... id................ 2(5. 28. D. Pedro Godefua....... D. Pedro y Doña Josepha Ebe- Prada en el Roniba............................. ........... sellon............. 26. 17. D. Juan Conde de la Granada en Hite...,................</t>
  </si>
  <si>
    <t>Godino, Vicente</t>
  </si>
  <si>
    <t>Vicente Godino</t>
  </si>
  <si>
    <t>de .Santo Domingo de la Calzada á D. Antonio Uriszar de Alda— ca: para ei de la ciudad de Orense á D. Vicente Godino: para el de las Alpujarras del Reyno de Granada á D. Rafael Aynar y Sala: para el de la villa de Estepona á D. Antonio Joseph Montero y Mira: para el de la vi-* lia de Carrion á D</t>
  </si>
  <si>
    <t>Godoy y ViIches, Antonio</t>
  </si>
  <si>
    <t>Antonio Godoy y ViIches</t>
  </si>
  <si>
    <t>ntonio Joseph de Iribarren y Morales t para la Chati-; tría, que este dexa en la misma catedral , á D. Antonio Godoy y ViIches: para la Tesorería, que resulta vacante por la promoción de este, al Maestrescuela D. Joseph de Suero González de Andrade; y para la Maestrescolía al Canónigo Penitenciario D. Jua</t>
  </si>
  <si>
    <t>Godoy, Diego</t>
  </si>
  <si>
    <t>Diego Godoy</t>
  </si>
  <si>
    <t>10 de junio de 1801</t>
  </si>
  <si>
    <t>51 (extraord.)</t>
  </si>
  <si>
    <t>na, y me avisan del buen resultado de una expedición que ha hecho el General derla primera división D. Diego Godoy; y en conseqiiencia marcho sobre Evora. En una papeleta daré mas circunstanciada la noticia para que pueda ponerse en la gazeta. El último artículo de la capitulación de Campomayo</t>
  </si>
  <si>
    <t>s de Barbastro, primero de Barcelona y cazadores de la Corona. Las que se defendiéron, mandadas por D. Diego Godoy, fuéron tres batallones de Guardias Españolas, tres de Walonas, dos de granaderos provinciales de Castilla la Nueva , tres esquadrones de Carabineros Reales , los regimientos de S</t>
  </si>
  <si>
    <t>Goertz</t>
  </si>
  <si>
    <t>s de aquella ciudad que se hiciéron algunas representaciones á la Dieta sobre que no se admitiese á Mr. Goertz, Ministro prusiano, para votar por Mr. de Rechberg, Enviado del Elector de Baviera, supuesto que como Ministro de un Príncipe protestante, no podía representar á un Príncipe catól</t>
  </si>
  <si>
    <t>Goes</t>
  </si>
  <si>
    <t>que se celebrará con fiestas extraordinarias. Berlín n de Octubre. H a salido de aquí para el Haya Mr. Goes, despachado por el Ministro de Holanda con pliegos para su gobierno. Créese que lleva los artículos definitivos sobre las indemnizaciones que la República bátava tiene que dar al</t>
  </si>
  <si>
    <t>Gógelf, Luis</t>
  </si>
  <si>
    <t>Luis Gógelf</t>
  </si>
  <si>
    <t>al de fusileros D. Llris Richenbach, y á grado de^Cagitan al Ayudante m^s antiguo del mismo cuerpo D. Luis Gógelf./ También en el regimiento de caballería deí Rey se ha servido promover S. M. á Alférez ai Portaestandarte D. Xavier Villanueva, y á Portaestandarte al Cadete D. Baltasar Í3élindn</t>
  </si>
  <si>
    <t>Gomales Calderón, Pedro</t>
  </si>
  <si>
    <t>Pedro Gomales Calderón</t>
  </si>
  <si>
    <t>y'señalado JO' dias de término para la mejora del puerto. Quien quisiese hacerla acuda ante el Sr. D. Pedro Gomales Calderón, y: escribanía del numero de X&gt;.Totoafr de Sancha . dentro de dichoténnoinoqoe cumple en 16 de Abril.=Está señalado el mismo día para el remate de la c-sá núm. 10, mana. 49, endic</t>
  </si>
  <si>
    <t>Gomales, Juan</t>
  </si>
  <si>
    <t>Juan Gomales</t>
  </si>
  <si>
    <t>reación de *S deMarz0&gt; mim. 258,idp y aó»,355; los quites están sin endoso, con r6tulo ó sobre para D. Juan Gomales, vecino de la villa de Covefia, que ¿ su dueBo. Quien los haya encontrado los entregará i D. Domingo Cbavaiíi, del comenció de lienzos, calle de Postas, ó al administrador del Rea</t>
  </si>
  <si>
    <t>Gómez de Ap, Gregorio</t>
  </si>
  <si>
    <t>Gregorio Gómez de Ap</t>
  </si>
  <si>
    <t>os paisanos D. Vicente García Seijo, D. Francisco Timoteo de Ribera, D. Manuel Estéban de Olivares, D. Gregorio Gómez de Ap iricio, D. Joseph de la Barreda, D. Agustín García de Arce, D. Mirtin Mármol, D. Andrés Vázquez, D. Andrés Ximenez, Don Fernando Antonio del Mármol, D. Joseph María del Toro, D. A</t>
  </si>
  <si>
    <t>Gómez de Humaran, Joseph María</t>
  </si>
  <si>
    <t>Joseph María Gómez de Humaran</t>
  </si>
  <si>
    <t>ubtenientes D. Cecilio Calonge, D. Antonio Navarro, D. Buenaventura Berrueco, D. Manuel Urruchurtu, D. Joseph María Gómez de Humaran, D. Manuel Pantoja, D. Joseph Ignacio García, D. Cayetano Revueltas, a! Cadete Don Domingo Urqiiijo, y a los paisanos D. Fernando Pineda, D. Juan de Dios Pader^s, D. .Juan Marceli</t>
  </si>
  <si>
    <t>Gómez de la Vega, Juan</t>
  </si>
  <si>
    <t>Juan Gómez de la Vega</t>
  </si>
  <si>
    <t>ial de Santiago al de la misma clase del de Laredo D. Manuel Quiroga y Cornide: para esta resulta á D. Juan Gómez de la Vega, Capitán del regimiento de infantería de América: para la Sargentía mayor del de Alicante y Orihuela á D. Joseph López Guardamur#, Sargento mayor del de Ecijatpara esta vacante al</t>
  </si>
  <si>
    <t>Gómez de Salazar, Manuel</t>
  </si>
  <si>
    <t>Manuel Gómez de Salazar</t>
  </si>
  <si>
    <t>vacante por traslación del Sr, D. Rafael de Muzquiz y Aidunate al Arzobispado- de Santiago, al Sr» D. Manuel Gómez de Salazar, del Consejo de S. M. en el de la Suprema;, y para el de Vallad ©lid, vacante por fallecimiento del Sr. D. Manuel Joachín Moron, al Sr. D. Juan Antonio Hernández de Larrea, Dean d</t>
  </si>
  <si>
    <t>o de la parroquial de Santa María de la ciudad de Almansa, en la diócesis de Cartagena, que obtiene D. Manuel Gómez de Salazar, y resultará vacante por su promoción al Obispado de Avila, á D. Manuel .de Palacio. El Consejo, á consulta de la Comisión gubernativa de consolidación de Vales, y con aprobación</t>
  </si>
  <si>
    <t>Gómez de Villavedon, Joseph</t>
  </si>
  <si>
    <t>Joseph Gómez de Villavedon</t>
  </si>
  <si>
    <t>la Canongía de la catedral de Valladolid, vacante por fallecimiento de D. Miguel Sigler Campero, á D. Joseph Gómez de Villavedon : para la Ración vacante en la misma catedral por promoción de D. Joseph Gafcía Nieto á una Canongía de la referida . íolesia, á D. Andrea Rom.-n: para el Beneficio ¿implé de Bayl</t>
  </si>
  <si>
    <t>Gómez del Rebollar, Manuel</t>
  </si>
  <si>
    <t>Manuel Gómez del Rebollar</t>
  </si>
  <si>
    <t>blos en Ííorte-Bretaña en Inglaterra , ó en Madrid á D. Patricio Joyes é hijos. Manuel Gómez del Rebollar, natural del lugar de Villa-Carriedo en el valle de Carriedo en las montañas de Santander, de oficio cantero, estatura poco menos que regular, y grueso en proporción , como de gg á 60 años</t>
  </si>
  <si>
    <t>Gómez Delgado, Alonso</t>
  </si>
  <si>
    <t>Alonso Gómez Delgado</t>
  </si>
  <si>
    <t>colegiata del dé Guadalaxara Real sitio de y Canongía de laS. metropohIldefonso, tóba de Toledo, á D. Alonso Gómez Delgado; y para el Beneficio-qüe ■ obtenia Don Joseph de Roxas en la iglesia de las Penas de S. Pedro, obispado de Cartagena, á D. Lorenzo de Roxas. _ .i , „ . Kn el reoimientó de Reales</t>
  </si>
  <si>
    <t>Gómez Falcon, Vicente</t>
  </si>
  <si>
    <t>Vicente Gómez Falcon</t>
  </si>
  <si>
    <t>a de la colegial dé Soria ,* obispado d&lt;?‘ Osma,vacante por .fallecimiento de D., Joseph Sánchez, á D. Vicente Gómez Falcon:.para otra Cánongíá de la colegiata de Guisbna^ diócesis de'Tfrdiócesis de Pamplona, vacante por faiiecimiento.de D. Rámomde Ókzabal, á D. Henriquez Emparan y Orbe, obl%ándose¿á'’</t>
  </si>
  <si>
    <t>Gómez Humaran, Felipe</t>
  </si>
  <si>
    <t>Felipe Gómez Humaran</t>
  </si>
  <si>
    <t>ado de Teniente Coronel, D. Carlos de los Ríos: en el de la Princesa á primer Snbtemente al segundo D. Felipe Gómez Humaran, y i segundo Subteniente al Cadete Dr Jp achín, Signes: en el de Hibernia á primeros rSubtenientes á los segundos Subtenientes de los de Sabeya, Corona» Mallorca y Extremadura Pon</t>
  </si>
  <si>
    <t>Gómez Morcillo, Francisco</t>
  </si>
  <si>
    <t>Francisco Gómez Morcillo</t>
  </si>
  <si>
    <t>omoción de D. Christobal Pascasio Ortuño á la Dignidad .de Maestrescuela de la catedral de Coria, á D. Francisco Gómez Morcillo , con la obligación de servirlo por ú mismo que tiene anexa. Habiéndose verificado el sorteo segundo de la rifa de quinientos millo»es de reales de la Real Caxa de Descuentos, seg</t>
  </si>
  <si>
    <t>a del Rio, en la diócesis de Sevilla, vacante por fallecimiento de D. Francisco Muñoz y Quintana, á D. Francisco Gómez Morcillo; y para el Beneficio simple que en la villa de S. Estéban, diócesis de Jaén, tenia D. Alexo Ramírez, y los dos simples servideros V</t>
  </si>
  <si>
    <t>Gómez Negrete, Francisco</t>
  </si>
  <si>
    <t>Francisco Gómez Negrete</t>
  </si>
  <si>
    <t>misma diócesis de Falencia1, vacante por fallecimiento del référidirD. Jóseph Rodríguez Vélarde, a D. Francisco Gómez Negrete: para el Beneficio dé ía villa de Tamira, en dicha diócesis de Palencia, vacante por muerte dé D. Joseph Rodríguez Velarde, á D. Leoncio Ténáquero: para el empleó de Administrador</t>
  </si>
  <si>
    <t>Gómez Romero, Benito</t>
  </si>
  <si>
    <t>Benito Gómez Romero</t>
  </si>
  <si>
    <t>pson, traducido en ver-* so castellano, y dedicado á S. A. R. el Prjncipe de Asturias Ntro. Sr. por Don Benito Gómez Romero, presbítero. Es harto conocido el mérito de esta obra, y los elogies que ha merecido siempre de los literatos y personas de buen gusto así por la multitud, sublimidad y viveza ¿e</t>
  </si>
  <si>
    <t>Gómez, Antonio</t>
  </si>
  <si>
    <t>Antonio Gómez</t>
  </si>
  <si>
    <t>... ...... 8&lt;5. 18. Antonio Gómez... Simón...... María Bueno....... Moros............... Caiatayud..... 34. 2-5. Sebastian Gómez.. Ramón..... Teresa Arcos....... Fontan</t>
  </si>
  <si>
    <t>Gómez, Domingo</t>
  </si>
  <si>
    <t>Domingo Gómez</t>
  </si>
  <si>
    <t>os D. Joseph Jaldon, D. Joseph Zornóza, D¿ Nicolás, D. Juan y D. Andrés Duran, D. Joseph Gutiérrez, Don Domingo Gómez, D. Domingo Amieba , D. Juan Jaldon , D. Joseph Marín, D. Die,*o Garrido, D. Alonso Romero, D. Antonio Ramírez, Don Francisco Xavier, D. Manuel Maclas y D. Joseph de Aragón. Respo</t>
  </si>
  <si>
    <t>Gómez, Gabriel</t>
  </si>
  <si>
    <t>Gabriel Gómez</t>
  </si>
  <si>
    <t>ra de Gasas de Haro, anexo de Villar de la. Encina, en el obispado dé Cuenca, vacante por muerte de D. Gabriel Gómez de laTorre* á Don Adrián Gómez: para otra de la parroquial de la villa del Castillo/de la» Guardas, en el arzobispado de Sevilla., vacante por fallecimiento de Do» Francisco Buen4.i*&gt; á</t>
  </si>
  <si>
    <t>quilla, á 48 rs. en: pasta y 4» en pergamino. Se hallarán en la librería de D»..Gabriel Gómez , librero del Rey Ntto. Sr., calle de las Carretas, y en el almacén de papel de la calle de los Preciados, pasada la del Candil. I A. Verdadero método/para aprender las lenguasespafiola y f</t>
  </si>
  <si>
    <t>Gómez, Jacinto</t>
  </si>
  <si>
    <t>Jacinto Gómez</t>
  </si>
  <si>
    <t>niente de granaderos al primer Subteniente D. Juan González; á primeros Subtenientes á los segundos D. Jacinto Gómez y D. Diego Ponce , y. á segundos Subtenientes al Sargento primero del mismo cuerpo D. Juan Colorado, al de Granaderos voluntarios de Estado D. Juan Manuel Sigíien7.2, y al Cadete del</t>
  </si>
  <si>
    <t>Gómez, Joachín Joseph</t>
  </si>
  <si>
    <t>Joachín Joseph Gómez</t>
  </si>
  <si>
    <t>tas de Nueva-España se ha servido el Rey conferir la plaza de Contador Ordenador de primera clase á Don Joachín Joseph Gómez : la de Cont ador Ordenador de segunda clase á Don Manuel Fernando Mascato: la de Archivero á D. Joseph María Orañez; !a Oficial de libros á D. Joseph María Teran; y las de Oficia</t>
  </si>
  <si>
    <t>Gómez, Joseph</t>
  </si>
  <si>
    <t>Joseph Gómez</t>
  </si>
  <si>
    <t>e Valenzucla Prado, el Dean de esta santa iglesia D. Joseph Martínez de Mazas, el Arcediano de Jaén D. Joseph Gómez, el Coronel de exército D. Andrés de Viedma, D. Fernando de Aranda Alvarez de Sotomayor y D. Juan Joseph su hermano, caballeros maestrantes, que han franqueado de sus rentas en es</t>
  </si>
  <si>
    <t>Gómez, Joseph Antonio</t>
  </si>
  <si>
    <t>Joseph Antonio Gómez</t>
  </si>
  <si>
    <t>ñía. En Segovia............ Sra. Viuda de D. Joseph Manuel Ramiro y Martin* En Sevilla..... ....... D. Joseph Antonio Gómez é hijo. En Soria................D. Andrés Martínez de Aparicio. En Toledo.............. Sres. Chavarri y Posadilio. En Toro................. D. Joseph Ligero. En Valencia.........</t>
  </si>
  <si>
    <t>compañía. Segovia........... Sra. Viuda de D. Joseph Manuel Ramiro y Marti*. En Sevilla............ D. Joseph Antonio Gómez é hijo. - En Soria.;...*....... D. Andrés Martínez de Aparicio. En Toledo..... ....... Sres. Chavarri y Posadillo. : En Toro.... ....... D. Joseph Ligero. J?» v^/^cnr.í........ ©.</t>
  </si>
  <si>
    <t>, , En Segovia............ Sra. Viuda de D. Joseph Manuel Ramiro y Martin. En Sevilla............. D. Joseph Antonio Gómez é hijo. En Soria................D. Andrés Martínez de Aparicio. En Toledo........ . Sres. Chavara y Posadillo. En Toro...... ...... . D. Joseph Ligero. ' En Valencia....;..... D.</t>
  </si>
  <si>
    <t>ñía. En Segovia.............Sra. viuda de D. Joseph Manuel Ramiro y Martin. En Sevilla..............D. Joseph Antonio Gómez é hijo. En Soria................ D. Andrés Martínez de Aparicio. En Toledo.............. Sres. Chavarri y Posadillo. En Toro..................D. Joseph Ligero. En Valencia. ......</t>
  </si>
  <si>
    <t>ñía. En Segovía............Sra. viuda de D. Joseph Manuel Ramiro y Martin» En Sevilla............ . D. Joseph Antonio Gómez é hijo. ) En Soria.................D. Andrés Martínez de Aparicio. En Toledo.............. Sres. Chavarri y Posadilio. En Toro............... . D. Joseph Ligero. En Valencia......</t>
  </si>
  <si>
    <t>Gómez, Manuel</t>
  </si>
  <si>
    <t>Manuel Gómez</t>
  </si>
  <si>
    <t>49. 24. Manuel Gómez.... Joseph........... FranciscaNobua.. Quexeyro..... Chantada....... 44. 31. Joseph Rueda...... Juan.......... ..... María López.......</t>
  </si>
  <si>
    <t>de Santiago Portaestandarte ai Cadete D. Joseph Cueto: en el de Borbon á Portaestandarte al Cadete D. Manuel Gómez de'Barreda; y en el de dragones de Lusitania á Alférez al Sargento primero de granaderos D. Christóbal Ximene?. En consideración í la actividad y buen desempeño que ha acreditado Fre</t>
  </si>
  <si>
    <t>Gómez, Pablo</t>
  </si>
  <si>
    <t>Pablo Gómez</t>
  </si>
  <si>
    <t>res al de fusileros D. Joseph M«ma Sánchez: en el de Segorve á Teniente de fusileros al Subteniente D. Pablo Gómez; y á Subtenientes de bandera en los de Ecija, Ciudad Rodrigo, Toro, Laredo y Valladoüd á D. Francisco Ruano Calderón, D. Miguel Ruiz Jurado, D. Juan Fermin Mariano Ramírez y Pizar</t>
  </si>
  <si>
    <t>Gómez, Pedro</t>
  </si>
  <si>
    <t>Pedro Gómez</t>
  </si>
  <si>
    <t>s........... 38. 4. Pedro Gómez...... Pedro............. Juana Gómez...... Herrera..........Soria......... ........ si. (5. Francisco San- Juana María Ruchez.....</t>
  </si>
  <si>
    <t>Gómez, Sebastián</t>
  </si>
  <si>
    <t>Sebastián Gómez</t>
  </si>
  <si>
    <t>tayud..... 34. 2-5. Sebastian Gómez.. Ramón..... Teresa Arcos....... Fontanarejo.. ToU d ............ g. *• Calixto González. Tomas..... María Gamarra.., Dura</t>
  </si>
  <si>
    <t>Gómez, Vicente</t>
  </si>
  <si>
    <t>Vicente Gómez</t>
  </si>
  <si>
    <t>........... 46. ia. Vicente Gómez... Francisco..... María Do-.rtinguez.Quinta. Creciente................... 46. ao. Florencio Román. Fernando...... Mariana Berna!,.. Bañobares..... Ciudad Rodr</t>
  </si>
  <si>
    <t>Gon, Francisco</t>
  </si>
  <si>
    <t>Francisco Gon</t>
  </si>
  <si>
    <t>rancés por el C. Daubenton: tra­ Instituciones políticas del liaron de Jiielducida y adicionada por D. Francisco Gon­ feld: tomo 6.° á 18 rs. en rústica, y 24 en. zález. Un tomo en 8.“ 13 rs. en pasta, 11 pasta; en pergamino , 10 en rústica , y 9 en papel. Directorio moral del P. Echarri: 2 to*</t>
  </si>
  <si>
    <t>Gon, Pedro</t>
  </si>
  <si>
    <t>Pedro Gon</t>
  </si>
  <si>
    <t>s y Leyva , Antonio Pé­ varios pensamientos , por D. Ramón Bayeu» rez , y D. Joseph Pellicer : ro.“ D. Pedro Gon­ en 12 rs. zález de Mendoza , D. Melchor de Macanaz, Ocho estampas de diferentes pinturas de Fr. Francisco Ximenez de Cisneros, Vasco Palacio, grabadas por Goya y Castillo , en Nu</t>
  </si>
  <si>
    <t>Gonsalvi, Cardenal</t>
  </si>
  <si>
    <t>Cardenal Gonsalvi</t>
  </si>
  <si>
    <t>ccesión del Rey su amo al tratado de Petersburgo entre Rusia é Inglaterra. • Turin ji de Julio, E f Cardenal Gonsalvi ha pasado por aquí volviendo á Roma desde París, en donde dexó desempeñado el encargo que el Sto. Padre le había dado para el primer Cónsul. Monseñor Spína’permanece en Páris. Flo</t>
  </si>
  <si>
    <t>Monseñor di Pietro. Ignórase lo que se ha impreso en ella con, tanta reserva. Apénas llegó aquí el Cardenal Gonsalvi se expidió un correo á Alba no, en donde se hallaba ei Marques Ghislieri, Ministró-del. Emperador cercá de la santa Sede: y habiéndose de resultas transferido á esta capital-, tuv</t>
  </si>
  <si>
    <t>Gonza, Ana María</t>
  </si>
  <si>
    <t>Ana María Gonza</t>
  </si>
  <si>
    <t>e fué del Consejo de Hacienda: á Doña Luisa Gonzalez.de Torres y sus deí candientes en-, tercero; á Doña Ana María Gonza tz de Torres y los suyos en quarto: á DffiaLmsa González de Ber— meo y sus descendientes en quinto lugar 5 y últimamente á Doña Ana María González de Bermeo y los suyos, hijas est</t>
  </si>
  <si>
    <t>González Aguirre, Manuel Joseph</t>
  </si>
  <si>
    <t>Manuel Joseph González Aguirre</t>
  </si>
  <si>
    <t>para la Canongía al Racionero Di Ber-' nardo Baamonde y Puga; y para la Ración al Cura del Sagrario D. Manuel Joseph González Aguirre. ^ En el esquadron de dragones de Luzon se ha servido S. M. promover á Teniente al Alférez D. Fernando de Mír; á Alférez al Cadete D. Felipe Memije, y á Portaguión al Sargento D.</t>
  </si>
  <si>
    <t>González Arango, Nicolás</t>
  </si>
  <si>
    <t>Nicolás González Arango</t>
  </si>
  <si>
    <t>illo ; y Subtenencias de bandera en los de Oviedo,¿Toledo, Toro, Córdoba, Jaén, Burgos y Valencia á D. Nicolás González Arango, D. Dionisio ie la O Mfigar y Garcisanchez., D. Joseph Trabadillo, D. Joachtn María de Flores Cardero , D. Marcelino García Riofrió, D. Antonio Barriopuevo , D. Ramón Castriílo Ce</t>
  </si>
  <si>
    <t>González Blanco, Luis</t>
  </si>
  <si>
    <t>Luis González Blanco</t>
  </si>
  <si>
    <t>, 1x3 cionero D. Joseph Alvarez Santullano: para la Ración, que este aexa, al Cura de S. Isidoro D. Luis González Blanco: para la Canongía, vacante por fallecimiento de D. Pedro Castro, al Racionero D. Joseph García de Prado: para esta Ración á D. Bartolomé Cabello, Cura de Santa María: para la Cano</t>
  </si>
  <si>
    <t>González Calderón, Pedro</t>
  </si>
  <si>
    <t>Pedro González Calderón</t>
  </si>
  <si>
    <t>84 rs,, se •ha sefíatedovldia líg desde ios doce á ía una de su mañana en la audiencia de dicho Sr. D. Pedro González Calderón, y escribanía del número de D. Tomas de Sancha. Quien quisiere .comprarlas acuda i -la hora y -parage señalado. ; flor providencia del -'mismo Sr. -D. ‘Pedro González Calderón,y p</t>
  </si>
  <si>
    <t>junto ó separado acuda ante dicho Sr. juez y escribanía. _ ,, _ . En virtud de providencias del Sr. D. Pedro González Calderón, Teniente Corregidor de «sta villa, y escribanía del número de D. Juan Antonio de Urraza* se están subastando 4 casas sitas en esta corte: una en 3a cabe de la Comadre de Granada,</t>
  </si>
  <si>
    <t>da en 28,338 rs., se ha señalado eí. dia 28 de este mes, después de las x2, en la audiencia del Sr. D. Pedro González Calderón, Teniente Corregidor de esta villa, ante D* Juan de Repide , escribana de su número. En la villa de Cabeza del Buey, partido de Villanueva de la Serena, se enagenan las fincas sig</t>
  </si>
  <si>
    <t>^poc4af&lt;(jde*&lt;taíi &amp;S,7$o rs. en* vales Reales. Quien quisiere mejorarla acuda ante el Sr. Teniente D. Pedro González Calderón ,, y escribanía ded número de D. Tomas de pancha y Prado: en inteligencia de que se ha de rematar el 23 del presente en laauiiencía de su Señoría. Por la audiencia del Sr. D. Pedr</t>
  </si>
  <si>
    <t>cumplirán en 14 de Marzo. Quien quisiere hacer dicha mejora de la quarta acuda ante el Sr. Teniente D. Pedro González Calderón y escribanía del número de t). Tomas de Sancha y Prado. Quien quisiere comprar unas casas sitas en la calle de la Madalena y vuelven á la de las U rosas, propias de las memorias de la</t>
  </si>
  <si>
    <t>e 1800, para que dentro del preciso último y perentorio término de ó dias acudan al juzgado del Sr. D. Pedro González Calderón, Caballero de la Real y distinguida Orden Española de Cárlos m , del Consejo de S. M., Teniente Corregidor de esta villa, y por la escribanía del número de D. Juan Antonio de Urra</t>
  </si>
  <si>
    <t>a 14 de Agosto próximo entre, doce,,y¡ u.np de ¿su mañana £n la audiencia del,Sr. Teniente dé Villa D. Pedro González Calderón. Qjien quisiere, hacera-postura, á; ellas acudirá ante dicho Sr. Juez y escribanía de í). Tomas de Sancha y pradq. ; Por decreto del Real y Supremo Consejo dé Cíattlíla sé fyan ma</t>
  </si>
  <si>
    <t>e Coronel, D. Diego de Torres. _ El Rey ella servido nombrar para una plaza del Conse,o Real al Sr. D Pedro González Calderón, Teniente de Villa, en atención a sus meritos y servicios, y señaladamente al que acaba de contraer en el exercito. _ l U se h’i dignado nombrar para la Vara de Alca.de mayor de a</t>
  </si>
  <si>
    <t>González Cosío de la Hoz y Catalina Aumenti, Christóbal</t>
  </si>
  <si>
    <t>Christóbal González Cosío de la Hoz y Catalina Aumenti</t>
  </si>
  <si>
    <t>qüencia de haberse declarado por la Comisión gubernativa que la poseedora del mayorazgo fundado por D. Christóbal González Cosío de la Hoz y Doña Catalina Aumenti y VilLarin, puede disponer con arreglo á las órdenes que es</t>
  </si>
  <si>
    <t>González de Barcia, Andrés</t>
  </si>
  <si>
    <t>Andrés González de Barcia</t>
  </si>
  <si>
    <t>ción además de algunas noticias relativas al Inca Inti- Cusi-Titu-Yupangüi. recogidas .par el Señor D. Andrés González de Barcia, de Jos Consejos de Castilla y Guerra , lleva otras adiciones. Se hallará en la librería de Villareal, calle de las Carretas, y en Badajoz en la de Patrón : su precio para ios que</t>
  </si>
  <si>
    <t>a que mandó fundar dicho D. Manuel de la Sierra en la iglesia parroquial del referido lugar; el Sr. D. Andrés González de Barcia, del Consejo de Castilla, por sí y á nombre de Doña Teresa, su tia, y de Doña Felipa y de D. Manuel González de Barcia, sus hermanes; el R. P. Abad del colegio de S. Vicente, orde</t>
  </si>
  <si>
    <t>González de Bermeo, Ana María</t>
  </si>
  <si>
    <t>Ana María González de Bermeo</t>
  </si>
  <si>
    <t>s en quarto: á DffiaLmsa González de Ber— meo y sus descendientes en quinto lugar 5 y últimamente á Doña Ana María González de Bermeo y los suyos, hijas estas dos últimas, de D. 'Juan Antonio Gon— zaíez de Torres í correspondían ciertos derechos dé intereses, para que acudiesen á D. He mete rio Vicente Albizua , quien</t>
  </si>
  <si>
    <t>González de Castejon, Francisco Xavier</t>
  </si>
  <si>
    <t>Francisco Xavier González de Castejon</t>
  </si>
  <si>
    <t>res y medio sueldo de ella; y para esta misma plaza se ha dignado nombrar á D. .Francisco Xavier González de Castejon, Ministro supernumerario del propio Tribunal, con el goce del otro medio sueldo : para la Fiscalía del Crimen de la Audiencia de Sevilla, vacante por muerte ‘de D. Antonio Fernandez Soler,</t>
  </si>
  <si>
    <t>González de Castro, Joachín</t>
  </si>
  <si>
    <t>Joachín González de Castro</t>
  </si>
  <si>
    <t>! pies de sitio , tasada en 126,755 rs. 24 mrs. : se han de rematar por la escribanía del número de D. Joachin González de Castro , en donde se admitirán las pujas y mejoras que se hagan , y no en la de D. Juan Antonio Urraza, según se anunció en las referidas gazetas, por haberse así resuelto por superiores</t>
  </si>
  <si>
    <t>González de Echavarri, Juan Ramón</t>
  </si>
  <si>
    <t>Juan Ramón González de Echavarri</t>
  </si>
  <si>
    <t>: en Logroño á D. Marcial Antonio Martínez; y por íó que mira á las provincias exentas en Vitoria á.D. Juan Ramón González de Echavarri, Tesorero de la misma provincia; pues se les otorgará las correspondientes escrituras de obligación , haciendo responsables todos* ios fondos, caudales, sus pueblos y vecinos.</t>
  </si>
  <si>
    <t>González de Mendoza, Diego</t>
  </si>
  <si>
    <t>Diego González de Mendoza</t>
  </si>
  <si>
    <t>o Castro Marín y á D. Joseph María Marín; y á Subtenientes de bandera en los de Truxillo y Oviedo á D. Diego González de Mendoza y D. Anselmo Suarez Quirós. También ha concedido S. M. agregación de Teniente en el provincial de Betánzos á D. Gabriel Pita Daveyga, Alférez de fragata de la Real armada. En atención</t>
  </si>
  <si>
    <t>González de Reseñada, Joseph Antonio</t>
  </si>
  <si>
    <t>Joseph Antonio González de Reseñada</t>
  </si>
  <si>
    <t>a la Canongía de la catedral de Segov.*a,y acaintepor faUecimientode D.Bernardo Márquez de Prado, á Don Joseph Antonio González de Reseñada; para la que sé halla vacante en da déisébn*/pbrt&amp;^leci mientode,Francisco Ruiz, á D. Ignacio Medina y MorenorparaotradeiadéíVdch* vacante porfaUccimieato de D. Ramón Ro</t>
  </si>
  <si>
    <t>González Esteban, Manuel</t>
  </si>
  <si>
    <t>Manuel González Esteban</t>
  </si>
  <si>
    <t>quieran ha&lt;rer postura' acudirán á su Ayuntamiento . dentro de &lt;0 dias, por medio de su Secretario D. Manuel González Esteban, quien manifestará los planos, condiciones y mas documentos relativos ai asunto. ... . Se hal a vacante Ja p^aza, de Méjico titular de la villa de Comillas, obispa- ' do de Santan</t>
  </si>
  <si>
    <t>González Márcos, Miguel</t>
  </si>
  <si>
    <t>Miguel González Márcos</t>
  </si>
  <si>
    <t>............ ai. 6. Miguel González Márcos... .... Mariana de Vega. CastroGonzaloBenavente....... . 81. 19. Silvestre Díaz...... Alonso..., .... Ines Moral.,........... Barruelo...... Torrelobato.... .89.</t>
  </si>
  <si>
    <t>González Ojea, Manuel</t>
  </si>
  <si>
    <t>Manuel González Ojea</t>
  </si>
  <si>
    <t>ávila, Subteniente de fusileros: en el de Monterey .compañía de fusileros al. Teniente de cazadore» D. Manuel González Ojea; su resulta a D. Antonio Guntin, Teniente de fusileros; Tenencia, de ésta jplasC á D. Joseph ,María Gasanova , Subteriieate de granaderos, y esta resulta al Subteniente D. Francis</t>
  </si>
  <si>
    <t>González Saez, Julián</t>
  </si>
  <si>
    <t>Julián González Saez</t>
  </si>
  <si>
    <t>o , á las 12 de so mañana. Quien quiera hacer postura acuda ante dicho Sr., y escribanía del número D. Julián González Saez; previniéndose que no se ha de rematar en menos del todo de su tasación, y de ello la tercera parteen moneda efectiva metálica. La plaza de Médico de la villa de ia Seca,á«dOf leg</t>
  </si>
  <si>
    <t>ren ante los Escribanos del número de esta villa D. Antonio López Sal azar, D. Luis Perez Peñuelas, D. Julián González Saez y D. Joachin González de Castro. A virtud de las Reales resoluciones de S. M. se venden des tierras correspon*» dientes al patronato Real de legos que fundó D. Bartolomé Corrales, sit</t>
  </si>
  <si>
    <t>González Ycbra, Antonio</t>
  </si>
  <si>
    <t>Antonio González Ycbra</t>
  </si>
  <si>
    <t>D. FéÚx de Tejada en Madrid. A voluntad de su ducho, y en virtud de Real facultad comunicada al Sr. D. Antonio González Ycbra, caballero de la Real orden de Cárlos ni , del Con:ep de S. M. en el supremo de Castilla , se venden las lincas y rentas s5guie;;t s.. Partido de Dcza : 1882Í ferrados de centeno</t>
  </si>
  <si>
    <t>González, Ambrosio</t>
  </si>
  <si>
    <t>Ambrosio González</t>
  </si>
  <si>
    <t>Teniente al Alférez D. Joseph Cerón f á Alféreces á los* Portaestand artes D ¿Baltasar del Corraly D. Ambrosio González y y á Portaestandar tes 4 los Cadetes: de los regimientos de Alcántara y Montesa D: Francisco C és* pedes y D. Rafael Berriz y Guznian : en el de Voluntarios de España i primer Tenien</t>
  </si>
  <si>
    <t>González, Antonio</t>
  </si>
  <si>
    <t>Antonio González</t>
  </si>
  <si>
    <t>gal; á Subtenientes de granaderos á los primeros Subtenientes D. Joseph Isasy, D.Tuan Yustini.ini y D. Antonio González; a primeros Subtenientes á los]segundos Dv-Joseph Alvarez Campana, D. Joseph Conesa, Don Domingo Acevédo y De Antonio Viilafranca; y a segundos Subtenientes^ los Sargentos primero</t>
  </si>
  <si>
    <t>González, Blas</t>
  </si>
  <si>
    <t>Blas González</t>
  </si>
  <si>
    <t>O-Mahony, D. Balvino Cortes y D. Toribio Robles; á. segundos Tenientes al Subteniente de granaderos.D. Blas González, al primer Subteniente D. Gregorio Martinez y al Subteniente de granaderos D. Antonio Bray; á Subteniente» de granaderos á los primeros Subtenientes D. Juan Antonio Monet y Don1 C</t>
  </si>
  <si>
    <t>González, Díégo Benigno</t>
  </si>
  <si>
    <t>Díégo Benigno González</t>
  </si>
  <si>
    <t>onsejo da S. M., primer Teniente Corregidor de esta villa , por la.escribanía deL número que éxérce D. Díégo Benigno González, presentando Jás escrituras y documentos que acrediten Ja legítima pertenencia de los censos perpetuos que les , correspondan sobre las casas de la calle de Tóledo ,núms. 3 y 4, m</t>
  </si>
  <si>
    <t>González, Diego Benigno</t>
  </si>
  <si>
    <t>Diego Benigno González</t>
  </si>
  <si>
    <t>ritos conformes en 614,66o rs* Quien qui-í -siere hacer postura acuda i la escribanía del número de D. Diego Benigno González, donde se dará razón de las cargas á que está afecta dicha casa, y de lo demás de que se quieran h struir los compradores. Asimismo' se subastan dos casas sitas la une en la cálle</t>
  </si>
  <si>
    <t>González, Fernando</t>
  </si>
  <si>
    <t>Fernando González</t>
  </si>
  <si>
    <t>ela del Angel, se vende á 16 rs. un villancico* á dúo al nacimiento del Hijo de Dios, compuesto por D. Fernando González^ 5 Célebre marcha nueva del Exc. Sr. Príncipe de la Paz, para cantar con acóm-&gt; pafiamiento al forte-piano ó guitarra, compuesta por el P. Joachin Asiain í * los dos presos ó pris</t>
  </si>
  <si>
    <t>González, Francisco</t>
  </si>
  <si>
    <t>Francisco González</t>
  </si>
  <si>
    <t>bandera á los plísanos D. Lázaro de Herrera, D. Joseph de Herrera, D. Jo— seph Antonio Verastegui y D. Francisco González. El Rey ha nombrado para la plaza de Oficial segundo mayor de la Contaduría general de tabacos de Sta. Fe á D. Pantaleon de Santa María, Oficial segundo: para este destino á D. Ma</t>
  </si>
  <si>
    <t>González, Francisco Xavier</t>
  </si>
  <si>
    <t>Francisco Xavier González</t>
  </si>
  <si>
    <t>D. Gerónimo de la Escosura; á segundos Tenientes á los Subtenientes de granaderos D. Tomas de Ben, D. Francisco Xavier González y D. Tomas Perez, y á los primeros Subtenientes D. Luis de Rueda, D. Felipe Andrade y D. Cayetano Arjnesto j á Subtenientes de granaderos á los primeros de fusileros D. Matías Retamar</t>
  </si>
  <si>
    <t>González, Joseph</t>
  </si>
  <si>
    <t>Joseph González</t>
  </si>
  <si>
    <t>ez, B¿ Gínes Sánchez y D. Andrés de Salas ; á; segtnddsí^réáiéhtps á los Subtenientes de granaderos D. Joseph González y 'Dy Agustín Martínez, y á los primeros Subtenientes D. Francisco Caballero, D. Jóseph Girón, D. Juan Vital, D. Joseph Arevaliilo, D. Luis de Ribera, Don Francisco Orellana, D. Lau</t>
  </si>
  <si>
    <t>González, Joseph María</t>
  </si>
  <si>
    <t>Joseph María González</t>
  </si>
  <si>
    <t>s de Nueva España se ha dignado el Rey promover á Teniente de la compañía presidial de Horcasitas á D. Joseph María González, Alférez de la misma: á segundo Alférez de la de Mondo va</t>
  </si>
  <si>
    <t>González, Juan</t>
  </si>
  <si>
    <t>Juan González</t>
  </si>
  <si>
    <t>lta al Subteniente de granaderos D. Angel García; á Subteniente de granaderos al primer Subteniente D. Juan González; á primeros Subtenientes á los segundos D. Jacinto Gómez y D. Diego Ponce , y. á segundos Subtenientes al Sargento primero del mismo cuerpo D. Juan Colorado, al de Granaderos volu</t>
  </si>
  <si>
    <t>González, Manuel</t>
  </si>
  <si>
    <t>Manuel González</t>
  </si>
  <si>
    <t>do D. Joachín Cunda.ro.; á segundos Tenientes á los primeros Subtenientes D. Antonio M :rí i Boix y D. Manuel González ; á primeros Subtenientes á los segundos D. Tomas Padrinas y D. Francisco Candías, y á segundos Subtenientes al Sargento primero D. Joseph Algué y á los Cadetes, del primer batall</t>
  </si>
  <si>
    <t>de Sta. María , murió el 5 del corriente hallándose en el quinto mes de su embarazo. El Cura Rector D. Manuel González, en desempeño de sus obligaciones, propuso al marido y al padre de la difunta sq executase en ella la operación cesárea: y no obstante que la resistían por no haberse usado jamas</t>
  </si>
  <si>
    <t>’á casa sita en la calle del Baño, cúm. 10, manz. a:8, perteneciente á unas memorias que administra D. Manuel González, vecino de esta villa: se compone de 447$f pies quadrados superficiales , y está tasada en 1 $9,41 i rs. Quien quisiere hacer postura á ella acuda ante dicho Señor y citada escrib</t>
  </si>
  <si>
    <t>González, Marcos</t>
  </si>
  <si>
    <t>Marcos González</t>
  </si>
  <si>
    <t>envide Alcántara á Alférez al Portaestandarte D* Antonio Avelían, y á Portaestandartes al Sargento. D. Marcos González y al Cadete D. Joseph dé Céspedes ; en el dé España á Portaestandarte al Cadete D. Juan Cruz de Uzirbe: en el de Aígarbe á Alférez al Portaestandarte D. Narciso Manresa,' y á esta r</t>
  </si>
  <si>
    <t>González, Martín</t>
  </si>
  <si>
    <t>Martín González</t>
  </si>
  <si>
    <t>n el de León á Sargento mayor al agregado en esta clase al de Zamora, graduado de Teniente Coronel, D. Martin González; de Menchaca; en: el de .Asturias á Capitán al Ayudante, delide, milicias «te Sevilla^, graduado de Gápitan,, D. 'Féfrmndo Borrajo: en el de Hibernia á segundo, Subteniente al Cad</t>
  </si>
  <si>
    <t>González, Miguel Luis</t>
  </si>
  <si>
    <t>Miguel Luis González</t>
  </si>
  <si>
    <t>¿ Joseph María de Tovar: para otra.de la propia iglesia , que vacó por muerte de D. Juan Machado, á D. Miguel Luis González, Cura de la parroquial de Sta. Catalina de aquella ciudad: para una Prestamera de la Micción de Villaverd.e, diócesis de Córdoba, vacante por fallecimiento de D. Rafael Moyano, á</t>
  </si>
  <si>
    <t>González, Pedro</t>
  </si>
  <si>
    <t>Pedro González</t>
  </si>
  <si>
    <t>l mismo cuerpo Barón de Erruz: en el de Santiago la Tenencia de granaderos al Teniente de fusileros D. Pedro González; Tenencia de fusileros á D. Joseph Colme lo, Subteniente de cazadores; esta resulta á D. Benito de Ponte, Subteniente</t>
  </si>
  <si>
    <t>amor al Real servicio: circunstancias, qqe han. hecho sensible su muerte. Por la audiencia del Sr. D. Pedro González, Calderón ,y es.cribacía del número de I&gt;. Tomas de Sancha y Prado, se han rematado dos casas, sitas en esta corte, calle ancha de S. Bernardo, la una señalada con los mims. * y 3</t>
  </si>
  <si>
    <t>González, Tomás</t>
  </si>
  <si>
    <t>Tomás González</t>
  </si>
  <si>
    <t>n Tealdo: en el de España á segundos Subtenientes al Sargento primero de granaderos del de Mallorca D. Tomas González, y al Alférez de Fragata.de Ja Real armada D. Joseph Valcárcel; y en el batallón de Voluntarios de Gerona á segundo Subteniente al Cadete del primer batallón de Voluntarios de Bar</t>
  </si>
  <si>
    <t>González, Xavier</t>
  </si>
  <si>
    <t>Xavier González</t>
  </si>
  <si>
    <t>menca Don J^|ut5ic|p ;|yépr¿..eii^el^e dragope^ de la Royo* á/A^é^al^icggiitp primero de granaderos D. Xavier Gonzalez; y en el deSaguntojLCQronel ai Teniente Coronel del de la Reyna, graduado de Coronel, D. "Feché ElRey se ha servidonombrar Ayudantes de Ingeniero de sus exórcitds^ plazas y irpnre</t>
  </si>
  <si>
    <t>Gonzalvo, Manuel</t>
  </si>
  <si>
    <t>Manuel Gonzalvo</t>
  </si>
  <si>
    <t>Perez de Agüeros* para otra Ración de. la parroquial de la villa de Pifia, diócesis* de Zaragoza, á D, Manuel Gonzalvo: para el-Beneficio servidero-de la parroquia de S. Pedro de la villa de Sta. Olalla,- en el arzobispado de Toledo, vacante por fallecimiento de D. Eulogio Marín del Campo, á DonDi</t>
  </si>
  <si>
    <t>Gorrictaregui, Juan Ignacio</t>
  </si>
  <si>
    <t>Juan Ignacio Gorrictaregui</t>
  </si>
  <si>
    <t>ar para la Dignidad de Chantre de la catedral de Truxillo, en América, vacante por fallecimiento de D. Juan Ignacio Gorrictaregui, al Canónigo D. Joseph Antome Huerta y Laredo; para la Canongía, que este dexa, al Racionero D. Francisco Xavier Queri; y para Ja Ración de este á D. Antonio Román de Mesones, Cur</t>
  </si>
  <si>
    <t>GorzaJtz Calderón, Pedro</t>
  </si>
  <si>
    <t>Pedro GorzaJtz Calderón</t>
  </si>
  <si>
    <t>Reales. Quien quisiere hacer, mejora á lo ménos en la quarra párten&amp;é su éemate, acuda ante el Sr. D. Pedro GorzaJtz Calderón , y escribanía?del niín&amp;J ro de D. Gervasio Fernandez izquierdo en el términode 30 dias contados éctáb ló del corriente ; con arregí oá 1 ornan dad opor él Sr.' InrentíeMéde ésta</t>
  </si>
  <si>
    <t>Goyena, Joachín</t>
  </si>
  <si>
    <t>Joachín Goyena</t>
  </si>
  <si>
    <t>ios de fusileros D. Joseph Power y D. Angel Fantony; á Tenientes á los Subtenientes D. Juan Dávila, D. Joachin Goyena y D. Bartolomé Lison, los dos primeros de granaderos; á Subtenientes de granaderos á los de fusil, ros D. Pedro BoDrull y D. Sebastian de Arroyo; á Subtenientes a los d~ bandera D. Do</t>
  </si>
  <si>
    <t>Gqspar López del Prado y JD</t>
  </si>
  <si>
    <t>us memoriales al Ayuntamiento*ny junta cé diputación general de ella MMé niedio de sus comisionados D. Gqspar López del Prado y JD. Fé ix Gavino yerdugp, expresando en . el ios su edad , par* tidos ó pueblos, en que. hayan, exercido ..su profesión , y demás circunstancias que contribuyan ■£ formar concepto de</t>
  </si>
  <si>
    <t>Gracia, Pablo</t>
  </si>
  <si>
    <t>Pablo Gracia</t>
  </si>
  <si>
    <t>d.*.;...... 50. ig, Pablo Gracia........Andrés y Mariana^Borel................. . "S. Genis en id.. 8i. ao. Estéban Tisane........... Silvestre y Catalina Pe¿ayre..... Sureda en id.... 81. a&lt;5l Joseph</t>
  </si>
  <si>
    <t>Gracian Casado</t>
  </si>
  <si>
    <t>hér- oara el Beneficio del lugar de Ciguiñuela, en el obispado de VaHadcfikí, vacióte por muerte de D. Gracian Casado, a D Gabriel Ser, rano: para el Beneficio simple servidero de la parroquia de S. Benito de la dudadle Salamanca, vacante por fallecimiento de D. Joseph Lozano, a D. Pedro Ovando-,</t>
  </si>
  <si>
    <t>Gradan, Felipe</t>
  </si>
  <si>
    <t>Felipe Gradan</t>
  </si>
  <si>
    <t>os, se premió con cantidades menores á D. Manuel Franco, D. Guillermo Olleta, D. Francisco Zapater, D. Felipe Gradan, D. Mateo Zapater, D. Narciso LaJana, D. Anselmo Rueda, D. Juan Antonio Lacosta, D. Xavier Echeverría, D. Marcos Antonio Ames, D. Jacinto Aznar y J&gt;. Pascual Grasa. Concluida la d</t>
  </si>
  <si>
    <t>Gran Duque, Archiduque</t>
  </si>
  <si>
    <t>Archiduque Gran Duque</t>
  </si>
  <si>
    <t>en París. El qüe vivían lostEmbaxador et franceses en él anterior gobierno. “ Ha cedido S. M. I; al Archiduque Gran Duque dos regimientos de infanteríá, que componen'6© hombres-i para que con ellos tome -posesión dé ios éstádós qué le quepan en suerte pórVia deindemnización. “ í &gt; 1 &gt; - El Archiduque Gár</t>
  </si>
  <si>
    <t>Palatinado y de Baviera se reunirán con los estados austríacos y con los países que han de darse ál Archiduque Gran Duque por via de indemnización. Al Elector se le cederá en trueque la parte septentrional del Tirol. Manheim o. 6 de Setiembre. V arias gazetas de-Alemania publicaron que Mr. de Traitor</t>
  </si>
  <si>
    <t>scow á. 27 de Setiembre de 1801.*’ r . n -r^; Vtena 20 de Octubre.. Jt'-l Rey de Etruria informó al Archiduque Gran Duque que los vasallos de Toscana que hallándose en su servicio le siguieron ai Austria , podían volver á sus casas y ocupar los mismos empleos, si se presentaban ántes de i.°de-Diciemb</t>
  </si>
  <si>
    <t>de 4 á 5© hombres á la casa de Or; nge; y que el Emperador hará otro tanto á favor de su hermano el Archiduque Gran Duque. ^ Se ha publicado recientemente otra razón dé las pérdidas que de ja última guerra resultan á la Alemania y Holanda. El Austria' pierde ( ¡ocluyendo el Milanesado, los estados de</t>
  </si>
  <si>
    <t>Granado, Antonio Joseph</t>
  </si>
  <si>
    <t>Antonio Joseph Granado</t>
  </si>
  <si>
    <t>e la Frontera, en el dicho arzobispado de Sevilla, vacante por fallecimiento de D. Ignacio Virto, á D, Antonio Joseph Granado, Cura de S. Bartolomé de aquella ciudad. S. M. ha nombrado Exento supernumerario á D. Juan Cerda, Brigadier de la Compañía Italiana del Real cuerpo de Guardias de Corps, En ei reg</t>
  </si>
  <si>
    <t>Granados, Juan</t>
  </si>
  <si>
    <t>Juan Granados</t>
  </si>
  <si>
    <t>Uriundo; á primer Teniente al segundo D. Pedro García; á esta resulta al Subteniente de granaderos D. Juan Granados; á Subteniente de granaderos al de fusileros D. Gaspar Fernandez, y á Subtenientes al Sargento primero D. Gregorio de Arroyo y al Cadete D. Manuel de León y Romero; habiendo nombr</t>
  </si>
  <si>
    <t>Granados, Juan Francisco</t>
  </si>
  <si>
    <t>Juan Francisco Granados</t>
  </si>
  <si>
    <t>l Tucson D. Bernardo UrreaAsimismo se ha servido S. M. conceder el grado de Capitán de Caballéría á D. Juan Francisco Granados, Teniente de la compañía presidul del N° eT Teniente General Marques de S. Simón, Comandante general de las tropas de Galicia, ha dado parte al Exc. Sr. Príncipe de la Paz de las</t>
  </si>
  <si>
    <t>GrandjeaU, General</t>
  </si>
  <si>
    <t>General GrandjeaU</t>
  </si>
  <si>
    <t>. Ayer tarde el cuerpo del General Grenier se reunió entre Hohenlinden y Hartofen. La- división del General GrandjeaU, mandada por el General Grouchí, apoyaba su izquierda en la aldea de Hohenlinden, y las divisiones de Richepanse y Decan en Ebcrsberg. Como río dudaba yo que los enemigos me ataca</t>
  </si>
  <si>
    <t>Granzberg, Joachín</t>
  </si>
  <si>
    <t>Joachín Granzberg</t>
  </si>
  <si>
    <t>ado de Teniente Coronel, D. Julián de Sequera: en el de la Princesa á primer Subteniente al segundo D. Joachín Granzberg, y á segundo Subteniente al Cadete D, Antonio Cano. También se ha servido S. M. nombrar en el regimiento de caballería de Santiago Portaestandarte ai Cadete D. Joseph Cueto: en el</t>
  </si>
  <si>
    <t>Graulier, Joseph</t>
  </si>
  <si>
    <t>Joseph Graulier</t>
  </si>
  <si>
    <t>ento de infantería de Córdoba se ha servido el Rey promover á Capitán de granaderos al de fusileros D. Joseph Graulier; á Capitan al primer Teniente de granaderos D. Antonio Molina;, á esta resulta a¡ primer Teniente D. Manuel Artola; á primer Teniente al segundo Don* Bernardo Sevillana segundo Te</t>
  </si>
  <si>
    <t>Graves</t>
  </si>
  <si>
    <t>40 fragatas y muchas bombardas, cañoneras &amp;c. Parece que el Lord Nelson ha recobrado su salud; pero Mr. Graves está tan enfermo que no tardará en volver á Inglaterra. Acaba el Duque de Yorck de expedir una orden, por la qual permite que cLrto número de soldados de cada regimiento vaya á trab</t>
  </si>
  <si>
    <t>Graves, Almirante</t>
  </si>
  <si>
    <t>Almirante Graves</t>
  </si>
  <si>
    <t>esquadra inglesa de 12 navios de línea, 11 fragatas, 21 cañoneras y 15 barcos armados, al mando del Almirante Graves. Venia del Báltico, y á la mañana inmediata atravesó el Sund con rumbo al mar del Norte. Parte de la esquadea inglesa que que</t>
  </si>
  <si>
    <t>de tierra. El Almirante Dickson se halla en Yarmouth Con los buques de su mando, y la esquadra del Almirante Graves cruza á la altura de Gorea. La que bloquea á la de Brest, se acerca quanto puede á la costa para impedir la salida de la combinada, la qual, según las últimas noticias, consta de</t>
  </si>
  <si>
    <t>á nombrado Exnbaxador de esta República cerca del Duque de Würtembérg. - De los navios que manda el Almirante Graves desembarcó en la isla de Gorea alguna gente, que saqueó unas casas de.labradores situadas en la costa, y robó algún ganado. Llegaron tropas, y entonces Se retiraron á toda .prLsa los</t>
  </si>
  <si>
    <t>la parte de las costas de Holanda, en donde, ocuparán varios campamentos. _ La esquadra inglesa del Almirante Graves consta en el día dé 15 á 20 naves de guerra de todos tamaños, y aun espera refuerzos. Hay ademas avisos de que en Margatte, H rwick y Yarmouth se hacen armamentos considerables ,</t>
  </si>
  <si>
    <t>por las lágrima» que vertió Eva quando la muerte de Abel. Haya 11 de Octubre. P or la esquadra del Almirante Graves se recibió en algunas costas de Holanda el primer aviso de haberse firmado los preliminares de paz. Todos los buques ingleses de las divisiones que cruzan eii los mares de esta Re</t>
  </si>
  <si>
    <t>Gravina, Almirante</t>
  </si>
  <si>
    <t>Almirante Gravina</t>
  </si>
  <si>
    <t>ido con demostraciones de aprecio. Comió aquel dia con el Almirante Víllaret, y al siguiente con el Almirante Gravina. Poco antes de salir de aquel puerto le regaló Madama Vi</t>
  </si>
  <si>
    <t>Grávina, General</t>
  </si>
  <si>
    <t>General Grávina</t>
  </si>
  <si>
    <t>ntidad de mercancías dé Inglaterra que tienen inundada á toda Alemania. Brést $ de Setiembre. E , 1 General Grávina , Comandante en xefe de la esquadra española , llego á ésta ciudad el 3 por la noche : fué recibido con salvas de artillería, y «e le puso al instante una guardia de honor en su a</t>
  </si>
  <si>
    <t>Grefcville, Lord</t>
  </si>
  <si>
    <t>Lord Grefcville</t>
  </si>
  <si>
    <t>arisford, Ministro dé Inglaterra en Berlín, hk{comunicado k aquel gabinete una nota remitida por el Lord Grefcville al Ministro ruso^ la qual contiene fuertes quejas sobre el embargo de las embarcaciones inglesas en los puertos de Rusia. La nota de Mr. Garisford concluye así: „E1 infrascripto t</t>
  </si>
  <si>
    <t>Grego</t>
  </si>
  <si>
    <t>seph Pimienta: «paira; el Arcediano to de la metropolitana de Charca*, vacante por fallecimiento de D. Grego</t>
  </si>
  <si>
    <t>Gregorito Ibpez</t>
  </si>
  <si>
    <t>compañía suelta de Malavares al SubtementeyBd'-Fldi^é^Polhiué^Ly'Ü Subteniente al Sargento primero D. Gregorito Ibpez* i sMWA - Eir cumplimiento: de los Reales decretosycédulas de S. M. de 12 y 1 j de Julio de 1797, y 22 y 29 dé Noviembre del mismo año, se recibirán desde t.° dePpróximo mes de Ju</t>
  </si>
  <si>
    <t>Grem, Lord</t>
  </si>
  <si>
    <t>Lord Grem</t>
  </si>
  <si>
    <t>e el Marques de: Lansdówín será promovido, al .ministerio de Negocios extrangeros como sucesor, del Lord Grem-, ville , y Mr. Grey a GancMlef del Echiquiefi enjugar de Mr.oPjtt.uLo cierto es ,que ha habido grandes disensiofies éntre los ¿Ministros, particularmente entré Mr. Pitt y Mr. Wind</t>
  </si>
  <si>
    <t>Grenier, General</t>
  </si>
  <si>
    <t>General Grenier</t>
  </si>
  <si>
    <t>ey, que pertenece al exército de. Italia, y por la izquierda al del General.Xecourbe. El Teniente;. General Grenier: seguirá por Ja derecha del Danubio con sus tropas y y auxiliárá , según! lo exijan las circuhsta»cias , las ©pé¿;cÍones dd centro, o lasldel General Sainte-Suzanne, que está dest</t>
  </si>
  <si>
    <t>e el exército se reunía , y que yo estaba en ánimo de obrar ofensivamente. Ayer tarde el cuerpo del General Grenier se reunió entre Hohenlinden y Hartofen. La- división del General GrandjeaU, mandada por el General Grouchí, apoyaba su izquierda en la aldea de Hohenlinden, y las divisiones de Ri</t>
  </si>
  <si>
    <t>emigo y hacerle 200 prisioneros, entre los quales hay varios oficiales. Mandó el General en xefe ai General Grenier marcha-; se ¿ Lauden con sus dos divisiones, y la misma orden dio á las de Grouchí y Richepanse. Envió en seguida al propio punto el equipage de puentes para echar uno nuevo miént</t>
  </si>
  <si>
    <t>cupado todavía á Stuttgard.—De esta última plaza ha venido aquí el General Lahorie, y de Manheim el General Grenier. Antes de ayer se celebró con una magnífica fiesta la vuelta victoriosa del cxército del Rhin: hubo bayle en las casas consistoriales, y cena de 200 cubiertos á que asistió el Gen</t>
  </si>
  <si>
    <t>Grenier, Teniente General</t>
  </si>
  <si>
    <t>Teniente General Grenier</t>
  </si>
  <si>
    <t>ón tomará qúárteléS dé invierúb én los( contornos de Luisburgo y de Heilbronn. Lás jdivisiónes: del Teniente General Grenier están en marcha para Baviera: el centró quedará en Austria, y el ala izquierda se acantonará en Stiria* Carinthia, Tiro!y la Alta~Suabia. El Cardenal Arzobispo de Malinas, el Obispo</t>
  </si>
  <si>
    <t>Grenrer, General</t>
  </si>
  <si>
    <t>General Grenrer</t>
  </si>
  <si>
    <t>ta el momento en que reconocí que el General Richepanse empezaba á atacar ; y entonces di orden ;al General Grenrer para que hiciese otro tanto. El Generad Ney acudió con priesa á un desfiladero, y á medio camino de Matenpoet encontró al General Richepanse. Quantos enemigos se habían guarecido</t>
  </si>
  <si>
    <t>Grenviííe, Lord</t>
  </si>
  <si>
    <t>Lord Grenviííe</t>
  </si>
  <si>
    <t>o de la corte de Suecia cerca de S. M. Británica. Después asistió el Rey á un consejo privado, y el Lord Grenviííe le comunicó las últimas noticias recibidas de A íás £ .de la tarde sálíó S. M. para restituirse al palacio de Windsor. " \ {. A' ¡ Sin ‘embalo de ^uánto ha resuelto el Parlamento</t>
  </si>
  <si>
    <t>Grenviile, Lord</t>
  </si>
  <si>
    <t>Lord Grenviile</t>
  </si>
  <si>
    <t>ambTenj han conferenciado con* el mismo Ffíiiclpe herédérb ; Mr. Fitt, él;bu^[ué'd-e Portlarcd y el Lord Grenviile ; y estbí'sagétbs ^cMébi-^^fféquentes juntas éntre siyy con-otros de los Mmís-r tros antiguos,Jy de los\qde estaban nombrados para sucederlcs. -Le.'. El ContradAlmirante Roberto G</t>
  </si>
  <si>
    <t>ia; y esto bastó para que subiesen los fondos públicos, sin embargo de que el ex-Mínistro de Estado Lord Grenviile se explicó en términos muy diferentes; y ademas dio á entender que podría verificarse un rompimiento con Prusia. En un discurso, que el. nuevo Canciller del Eehiquier Mr. Addingto</t>
  </si>
  <si>
    <t>Grenvillc, Lord</t>
  </si>
  <si>
    <t>Lord Grenvillc</t>
  </si>
  <si>
    <t>ete, al Lord Nelson y á Mr. Sidney-Smith. Entre los convidados estaban el Marques de Buckingham, el Lord Grenvillc, Mr. Guillermo Hamilton y Mr. Addington. De Portsmouth ha salido la fragata Macdstone con otros dos buques para el Cabo de Buena-Esperanza. El viernes último se embarcó el Príncip</t>
  </si>
  <si>
    <t>Grenville</t>
  </si>
  <si>
    <t>ecesitan. Contestóle el Lord Pelham, y no ocultó el sentimiento que tenia al ver que un sujeto como Mr. Grenville negase su apoyo á las medidas del gobierno: añadió que daría la explicación que solicitaba quandose examinase el tratado; y que los documentos que pedia sobre las negociaciones, s</t>
  </si>
  <si>
    <t>Grenville, Lord</t>
  </si>
  <si>
    <t>Lord Grenville</t>
  </si>
  <si>
    <t>s, pues se sabe que en el Ferrol apénas había tropas quando Pultney hizo el desembarco. El Ministro Lord Grenville ha dado al cuerpo diplomático un convitef en el qual no se sirvió pan, y en su lugar se hizo uso de pedazos de patatas tostadas. Haya 24 de Enero. E n el discurso del año ultimo f</t>
  </si>
  <si>
    <t>el nuevo fninis-% terio. Hasta ahora solos 31 Ministros de los santiguos .se han retirado^ y son el Lord Grenville, el Conde de Spencer y Mr; Windham. Mr. Pitt, el Lord Canciller y Mr. Dundas debían retirarse.ayer; pero es probable que á lo^iiiénos el primero exerza.yí conservé, las funciones</t>
  </si>
  <si>
    <t>ientos que se habían formado en las costas para hacer señales en caso de acercarse los enemigos. El Lord Grenville reunió en Stokefard el cuerpo de voluntarios de cabalaría que mandaba, y después de alabar su zelo y vigilancia, les comunicó la noticia de la paz, anunciándoles que ya era inútil</t>
  </si>
  <si>
    <t>e Noviembre se examinasen en la Cámara ámbos tratados, convocando para ello á todos los vocales. El Lord Grenville se anticipó á hacer algunas objeciones contra el artículo 6.° de los preliminares; y manifestó inquietud sobre Ja suerte de nuestros aliados, especialmente del Rey río de Portugal</t>
  </si>
  <si>
    <t>racias de uní guerra en que las dos naciones se aniquilaban recíprocamente. A todo esto se opuso el Lord Grenville, quien después de quejarse de la paz según los términos en que se ha hecho, y de decir que es un borron y una deshonra para la nación, añadió que supuesto era ya imposible fundar</t>
  </si>
  <si>
    <t>Grer</t>
  </si>
  <si>
    <t>ente; ¿ Subteniente de granaderos al de fusileros D. Domingo Conde; á primer Subteniente al segundo D. Grer gorio Cosgoya, y i segundo Subteniente al Cadete D. Joseph Cortines; habiendo también nombrado S. M. Capellán del de infantería de Granada al presbítero D. Evaristo Sanz. La villa</t>
  </si>
  <si>
    <t>Grey</t>
  </si>
  <si>
    <t>ówín será promovido, al .ministerio de Negocios extrangeros como sucesor, del Lord Grem-, ville , y Mr. Grey a GancMlef del Echiquiefi enjugar de Mr.oPjtt.uLo cierto es ,que ha habido grandes disensiofies éntre los ¿Ministros, particularmente entré Mr. Pitt y Mr. Windham ,que es Secretar</t>
  </si>
  <si>
    <t>los ingleses; pero tiene esperanza de que la superioridad de la marina británica salvará la patria. Mr. Grey, eri un discurso igualmente dilatado, eloqüente y enérgico, habló de los embarazos en que se halla este -país , y de los peligros que le amenazan. Se opuso á la respuesta de graci</t>
  </si>
  <si>
    <t>sabiduría no le dirige. Acusó á Mr. Pitt cíe haber mudado el punto de la qüestion, representando í Mr. Grey como contrario á los derechos marítimos de Inglaterra. Lo que pide Mr. Grey, dixo, se reduce á saber si la Cámara no debe exigir que se proceda á una averiguación de la conducta d</t>
  </si>
  <si>
    <t>ox y prestó el jurado mentó acostumbrado. :.'■&gt;&amp;■£ : . „ .p *í. , i.- ;. 1 E1 27 de Febrero declaró Mr. Grey en la misma Cámara que á Causade la enfermedad del Rey sdspén'iiia''para más adélahte la proposición quor ténia'anunciada para el2 de^sté mes sobre qüe se ávéfiguhse el estado tactu</t>
  </si>
  <si>
    <t>d alguna para el público.__ En la Cámara baxa hubo también debates con el mismo motivo , quejándose Mr. Grey del perjuicio que la paz podría causar al Portugal; ;ptrp Mr. Ilaw</t>
  </si>
  <si>
    <t>ro que si habla en él algunas cesiones, quizá quedaban anuladas por dichos preliminares. Hizo luego Mr. Grey algunas reconvenciones en orden á la entrada de géneros y mercancías de. Francia en Portugal..</t>
  </si>
  <si>
    <t>Grinda, Pedro</t>
  </si>
  <si>
    <t>Pedro Grinda</t>
  </si>
  <si>
    <t>romovido á Teniente de Infantería é Ingeniero extraordinario de sos exércitos, plazas y fronteras á D. Pedro Grinda, Ayudante de Ingeniero. En Atñérica. S. M. se ha dignado conferir el Gobierno de la Provincia de Guayaquil al Teniente Coronel D. Bartolomé Cucalón. En el regimiento. def infanter</t>
  </si>
  <si>
    <t>Groening</t>
  </si>
  <si>
    <t>nto dél ^onveniro recien ajustado entre lás potencias del Norte. , . Há salido de Bremen para París Mr. Groening concuna comisión del gobierno de aquella ciudad imperial.</t>
  </si>
  <si>
    <t>Grouchí, General</t>
  </si>
  <si>
    <t>General Grouchí</t>
  </si>
  <si>
    <t>Grenier se reunió entre Hohenlinden y Hartofen. La- división del General GrandjeaU, mandada por el General Grouchí, apoyaba su izquierda en la aldea de Hohenlinden, y las divisiones de Richepanse y Decan en Ebcrsberg. Como río dudaba yo que los enemigos me atacasen en Hohenlinden, había mandad</t>
  </si>
  <si>
    <t>unstan, Teissindorf, y-lá¿ orillas do Saal, sosteniéndola una división del centro á las órdenes déí General Grouchí. Las otras dos divisiones del centro, al mando de los Generales Decaen y Richepanse, marcharon por el camino real de "Wasserbnrgo para forzar al enemigo á dexar libre el país que</t>
  </si>
  <si>
    <t>s. Ei dia 20 tomó el General Richepanss el camino de Lambach a K-rom ;.u* munster, sosteniéndole el General Grouchí. El General Decaen, que siguió el alcance de los enemigos por el camino de Lintz, les cogió unes 400 prisioneros. 10 ñeros. El jai ala .tía izquierda, mandada por ei Teniente | *</t>
  </si>
  <si>
    <t>GtialUr, Mateo</t>
  </si>
  <si>
    <t>Mateo GtialUr</t>
  </si>
  <si>
    <t>primer Teniente de grauaderos D. Tomas Santiago; ?á 'prither Teniente de granadero» a) de fusileros D. Mateo GtialUr; á primer. Teniente aisegundo de granaderos D. Francisco de Torres; á segundo:Teniente de, granaderos -al de fusileros D. Pedro Irigoyenc^á segurtdoTeniénto ál Subtenientefde gran</t>
  </si>
  <si>
    <t>Guadaña, Gregorio</t>
  </si>
  <si>
    <t>Gregorio Guadaña</t>
  </si>
  <si>
    <t>de Alcalá, á 8 rs. cada quadernó sin iluminar, y «o ios iiumiliados. EL siglo pitagórico y vida de D. Gregorio Guadaña, por Antonio Henriqucz “Gómez : está obra ápreciable es de mucho gusto y entretenimiento para toda clase dé personas , porque á vuelta de la agudeza y donayre con que reprehende t</t>
  </si>
  <si>
    <t>Guajardo y Faxardo, Antonio</t>
  </si>
  <si>
    <t>Antonio Guajardo y Faxardo</t>
  </si>
  <si>
    <t>ría, á D. Joseph Garchíy; y para la de Alcalde del Crimen, que resultará vacante, al supernumerario D. Antonio Guajardo y Faxardo. S. M. se ha servido nombrar para la Vara de Alcalde mayor de la villa de los Santos, provincia de Extremadura, de nueva creación, de primera clase ó entrad*, á D. Andrés Antonio</t>
  </si>
  <si>
    <t>Guerga, Joseph</t>
  </si>
  <si>
    <t>Joseph Guerga</t>
  </si>
  <si>
    <t>....... ai. 6. Joseph Guerga.... Alvaro,....... . Joseha Charro,..;^ Cimanés. de * Villa...... ...León................ ai.</t>
  </si>
  <si>
    <t>Guericot, Lorenzo</t>
  </si>
  <si>
    <t>Lorenzo Guericot</t>
  </si>
  <si>
    <t>biosa id... 81. a5. Lorenzo Guericot....... Raymundo y Teresa Rui........... S. Lorenzo de la Salanca en id. 71. xr.</t>
  </si>
  <si>
    <t>Guerra, Pedro</t>
  </si>
  <si>
    <t>Pedro Guerra</t>
  </si>
  <si>
    <t>ón , al mando dél segundo Teniente ; y primeros Subtenientes del regimiento de infantería de Saboya D. Pedro Guerra-, D. Vicente López y D. Joseph Serra, y del Cadete del de caballería de Santiago D. Juan Bautista Delgado; estos comandantes jóvenes y activos concertaron entre sí presentar sus pa</t>
  </si>
  <si>
    <t>Guerrero, Joseph María</t>
  </si>
  <si>
    <t>Joseph María Guerrero</t>
  </si>
  <si>
    <t>á segundo Teniente al Agregado en esta Clase D. Gerónimo Aguilar, y á segundo Subteniente al Cadete D. Joseph María Guerrero: en el de Asturias á Sargento mayor al Capitán de granaderos» graduado de Teniente Corone], D. Bruno Barrera); y ha nombrado Capellán del tercer batallón del de Guadalaxara al pre</t>
  </si>
  <si>
    <t>Gugger, Francisco</t>
  </si>
  <si>
    <t>Francisco Gugger</t>
  </si>
  <si>
    <t>entes de granaderos á los de fusileros D. Joseph Sutter y D. Camilo Tiny, y á Subteniente al Cadete D. Francisco Gugger. Eí Conseco, á consulta de la Comisión gubernativa de consolidación de Vales, y con aprobación de S. M., ha acordado la vigesimaoctava amortización de 347 Vales de 600 pesos, y 20</t>
  </si>
  <si>
    <t>Gui, Rafael</t>
  </si>
  <si>
    <t>Rafael Gui</t>
  </si>
  <si>
    <t>Rosellon... go. ig. Rafael Gui............ ....... Jayme y Catalina Carol......... Pullat en id....... go. ig. Juan Bardie...... ........ Guillermo y Antonia Condiox... Totoval en id... 50. ig. juaa Cau</t>
  </si>
  <si>
    <t>Guia, Gerónimo</t>
  </si>
  <si>
    <t>Gerónimo Guia</t>
  </si>
  <si>
    <t>entes al Cadete D. Manuel Quarteraro y O-Donovan y al Siento primero del de infantería de la Corona D. Gerónimo Guia: en el batallón de Voluntarios de Tarragona á Capitán primero al segundo y primer Ayudante D. Gregorio Llañes; á primer Ayudante al Capitán segundo D. Pedro Llavaneraj á Capitán s</t>
  </si>
  <si>
    <t>rdo Alvarez, D. Blas Alvarez y D. Joseph Aguado y Oquendo, y á primeros Subtenientes á los segundos D. Gerónimo Guia y D. Manuel Ouarteraro y O-Donovan: en el de la Princesa á Capitán al primer Teniente de granaderos D. Mateo Monge; á primer Teniente de granaderos al de fusileros D. Rafael de la Pue</t>
  </si>
  <si>
    <t>Guillelmo Xaramillo</t>
  </si>
  <si>
    <t>5 rcnrso de gramática castfcHána qTre regenta D. Guillelmo Xaramillo, ba'xoTa dirección del Sr¿ D. Sebastian de Torres, del Consejo de S. M. , Alcalde de su Real casa y corte: por su ausencia presidió el Exc. Sr. Duque de Híjar, á quien se dedicó e</t>
  </si>
  <si>
    <t>Guillelmq Stanihursto, Joseph</t>
  </si>
  <si>
    <t>Joseph Guillelmq Stanihursto</t>
  </si>
  <si>
    <t>ry Ríos: á 50 rs. en rústica. tal, ¿ ¡a pas¿on de Christo, por el R. P. Tratado de Navegación , por D. Joseph Guillelmq Stanihursto , traducida por el Dr. de Mendoza y Ríos : a tomos en 4.0 regular D. Francisco Patricio de Berguizas. Un tocon 20 estampas , á 51 rs. en rustica; y en mo en 8.° , en pasta á iñ rs</t>
  </si>
  <si>
    <t>Guillen, Manuel</t>
  </si>
  <si>
    <t>Manuel Guillen</t>
  </si>
  <si>
    <t>e al Subteniente de granaderos D. Juan Estéban; á Subteniente de granaderos al primero de fusileros D. Manuel Guillen ; á primer Subteniente al segundo D. Antonio de la Azuela, y á segundo Subteniente al Cadete del de infantería de Mallorca D.Jayrne Sureda y Veri: en el de Soria á segundo Tenient</t>
  </si>
  <si>
    <t>Guillermo</t>
  </si>
  <si>
    <t>e Enero*á favor de D, Gabriel de Vargas y Machuca, de dicha ciudad, y por este con la misma fecha á D. Guillermo vigat en Madrid , á quien los dirigió si 27 de .dicho mes. Los sugetos en cuyo poderse hallen les remitirán al referido D. Guillermo Novigaí en casa de los Sres. Joyes é hijos , d</t>
  </si>
  <si>
    <t>Guillermo Bachvier</t>
  </si>
  <si>
    <t>a Granada en Hite...,.................... . D. Juan y Dofia Juma de Berty. Francia......... 26. 28* D. Guillermo Bachvier. D. Luis y Doña María Basoba... Verie en id...... a8. 7. Sulie en ProvenD. Juan Lacomba........ D. Juan y Doña María Turnie. za id............ . 26. ij. D. Luis Barró.............</t>
  </si>
  <si>
    <t>Guillermo Ball, Capitán</t>
  </si>
  <si>
    <t>Capitán Guillermo Ball</t>
  </si>
  <si>
    <t>Paquebot de Ñapóles, de porte de doce cañones de á 6 y dos obuses. con. 9 5 hombres. La mandaba el Capitán Guillermo Ball: encontró de noche á la nave española, y ésta lo atacó con el mayor denuedo. Pelearon mas ¡de dos horas haciendo fue</t>
  </si>
  <si>
    <t>Guillermo Chichery</t>
  </si>
  <si>
    <t>de Paula Vázquez y D. Juan Pablo Sebastian: en el de España á Capitán de granaderos al de fusileros D. Guillermo Chichery; á Capitán al Ayudante D. Joseph Muñoz; á Ayudante al primer Teniente de granaderos D. Gerónimo Alemany; á primer Teniente de granaderos al de fusileros D. Antonio León; á primer</t>
  </si>
  <si>
    <t>Guillermo de Jau</t>
  </si>
  <si>
    <t>ia en el de infantería de Borbon al segundo Subteniente D. Antonio Noailles: esta resulta al Cadete D. Guillermo de Jau~ lin ; y Subtenencia en el Suizo de Yann al Cadete B. Xavier Zel ge r. . j Asimismo en el regimiento de dragones del Rey ha promovido S. M. á; AlFérez ai Cadete D. Juan Cañeiíasi</t>
  </si>
  <si>
    <t>Guillermo Dubenson</t>
  </si>
  <si>
    <t>on por aquelia ciudad viniendo á París Mr. Otto de Blome, Chambelán de S. M. el Rey de Dinamarca, y Mr. Guillermo Dubenson, vocal de la Cámara de los Comunes de Inglaterra. El ciud. Eymar, Prefecto del departamento del Leman, ha hecho un</t>
  </si>
  <si>
    <t>Guillermo Fons</t>
  </si>
  <si>
    <t>ancia...... 37. a8. Guillermo Fons............ Francisco y Margarita Domenech........................................ Limos en id....... 1. ag. Pedro Sagaloly............. Antonio y N............ .........</t>
  </si>
  <si>
    <t>Guillermo Hamilton y Mr</t>
  </si>
  <si>
    <t>son y á Mr. Sidney-Smith. Entre los convidados estaban el Marques de Buckingham, el Lord Grenvillc, Mr. Guillermo Hamilton y Mr. Addington. De Portsmouth ha salido la fragata Macdstone con otros dos buques para el Cabo de Buena-Esperanza. El viernes último se embarcó el Príncipe de Orange en el paquebot la</t>
  </si>
  <si>
    <t>Guillermo Líons</t>
  </si>
  <si>
    <t>stín Poncerot, D. Bernardo Álvarez, D. Blas Áivarez, D. Joseph Aguado y ÓquenHo , D. Tomas Canten , D. Guillermo Líons, D. Andrés.Agnado y Oou-ndo , D. Joseph Alvarez , D. Pedro Dalesme y D. Juan O-Laugbhn, v á segundos Subtenientes al Cadete D. Manuel Quarteraro y O-Donovan y al Siento primero de</t>
  </si>
  <si>
    <t>Guillermo Minali</t>
  </si>
  <si>
    <t>añola. S. M. ha.nombrado Ingeniero ordinario de sus exércitos, plazas y fronteras al extraordinario D. Guillermo Minali; y para esta resulta al Ayudante de Ingeniero D. Manuel Rodríguez Fito. En América. El Rey se ha servido nombrar para la Dignidad de Dean de la catedral de Popayan, vacante por fa</t>
  </si>
  <si>
    <t>Guillermo Nivedual</t>
  </si>
  <si>
    <t>n Francia... ip. g. Guillermo Nivedual.... B4tran yMargarita David....... Alet en id.......... 38. Francisco Briosa!....,..» Francisco y Ata Cápela............. Mensuag^n en</t>
  </si>
  <si>
    <t>Guillermo Novigaí</t>
  </si>
  <si>
    <t>quien los dirigió si 27 de .dicho mes. Los sugetos en cuyo poderse hallen les remitirán al referido D. Guillermo Novigaí en casa de los Sres. Joyes é hijos , de Madrid. El 9 de Enero último falleció en la ciudad de Padua la Exorna. Sra. Duquesa</t>
  </si>
  <si>
    <t>Guillermo Olleta</t>
  </si>
  <si>
    <t>los discípulos en figura, ca-; betas y brazos, se premió con cantidades menores á D. Manuel Franco, D. Guillermo Olleta, D. Francisco Zapater, D. Felipe Gradan, D. Mateo Zapater, D. Narciso LaJana, D. Anselmo Rueda, D. Juan Antonio Lacosta, D. Xavier Echeverría, D. Marcos Antonio Ames, D. Jacinto A</t>
  </si>
  <si>
    <t>Guillermo Pardiach, Juan</t>
  </si>
  <si>
    <t>Juan Guillermo Pardiach</t>
  </si>
  <si>
    <t>Juan Guillermo Pardiach................ *........ Juan Guillermo y Luisa Subirá. DosenGascuña, go. ig. Estéban Corona........ &gt;• Estéban y Catalina........ ........... Montel en e) Ro-</t>
  </si>
  <si>
    <t>Guillermo, Príncipe</t>
  </si>
  <si>
    <t>Príncipe Guillermo</t>
  </si>
  <si>
    <t>ges de los isleños de Watiu, los de la isla Hervey , los del país de Nutka, y ios de la entrada del Príncipe Guillermo. Se hallará en las librerías de Castillo , de la viuda de Cerro, y en su puesto, calle de Alcalá ,á ao rs. los iluminados , y á 8 sin iluminar. En la librería de Dávila, calle de</t>
  </si>
  <si>
    <t>Güimesaras, Juan</t>
  </si>
  <si>
    <t>Juan Güimesaras</t>
  </si>
  <si>
    <t>da en id.^., gr. g. Juan Güimesaras........ Francisco y María Videta......... Sureda en id.... 81. a6. Andrés Riera.............. Juan y Teresa Denis.................. S. Genis en id.. 81. a6, Aside Fons</t>
  </si>
  <si>
    <t>Guireno</t>
  </si>
  <si>
    <t>Historia natural y á la escrito de orden superior por D. Joseph Mo­ Geografía física de España, por D. Guireno. Un tomo en4.° de marca mayor , ador­ llermo Bowles. Un. tomo, en 4.0 á 14 rs. en nado con viñetas, cabeceras, un mapa gran­ papel regular ¿ y 19 en pasta ; y los de inarde , y 24</t>
  </si>
  <si>
    <t>Guisse, Pedro</t>
  </si>
  <si>
    <t>Pedro Guisse</t>
  </si>
  <si>
    <t>sé............. 37- Pedro Guisse.............. Pedro y Ana María Cupe......... Vitui en Bretafia..... . 37* Nicolás Joseph Bolán' r*.......................;- Pedro y María Limy.................</t>
  </si>
  <si>
    <t>Guiter, Bartolomé</t>
  </si>
  <si>
    <t>Bartolomé Guiter</t>
  </si>
  <si>
    <t>Ri.Mrt. Bartolomé Guiter...,.., Francisco Xavier y María Paulo. San Lorenzo de la Salanca en</t>
  </si>
  <si>
    <t>Guiu y García, Matías</t>
  </si>
  <si>
    <t>Matías Guiu y García</t>
  </si>
  <si>
    <t>sis: para otra Canongia de la catedral de Barbastro, vacante por muerte de D. Fernando Rodríguez, á D. Matías Guiu y García, Canónigo de la colegial de Alcañiz; y para otra de la misma catedral, vacante por fallecimiento de D. Atanasio Perallon, á D. Joacbín Allue y Bendicho; En el sorteo quinto de la</t>
  </si>
  <si>
    <t>Guixá y Planas, Pedro</t>
  </si>
  <si>
    <t>Pedro Guixá y Planas</t>
  </si>
  <si>
    <t>seph de Torres, discipuló del dicho P. Asiain. p.pel pautado con máquina, dispuesto y arreglado por D. Pedro Guixá y Planas á los cinco tamaños de la colección de muestras y arte de escribir de Don Torquato Torio de la Bi-va, mandado establecer y observar en las escuelas del Hevno por orden de Hnvento</t>
  </si>
  <si>
    <t>Guntin, Antonio</t>
  </si>
  <si>
    <t>Antonio Guntin</t>
  </si>
  <si>
    <t>de Monterey .compañía de fusileros al. Teniente de cazadore» D. Manuel González Ojea; su resulta a D. Antonio Guntin, Teniente de fusileros; Tenencia, de ésta jplasC á D. Joseph ,María Gasanova , Subteriieate de granaderos, y esta resulta al Subteniente D. Francisco López Ro«* mero : en el de Ma</t>
  </si>
  <si>
    <t>Gutiérrez Bueno, Pedro</t>
  </si>
  <si>
    <t>Pedro Gutiérrez Bueno</t>
  </si>
  <si>
    <t>en la librería de Revilla. Descripción de los Reales baños de Arcediilo, análisis de sus aguas, por Don Pedro Gutiérrez Bueno, químico en esta corte ; un tomo en 4.0 con dos estampas. Se hallará á 9 rs. en la librería de Tieso , calle de las Carretas , en la de Ranz , ca!!e de ¡a Cruz, y en la nueva, &lt;ca</t>
  </si>
  <si>
    <t>ía de Llera . píazuria dijl Angel, junto á la Nevería. ? Arte de tintoreros de algodón y lino , por D. Pedro Gutiérrez Bueno , químico en esta corte. .Esta obra es el complemento de este arte , y junto con el de lanas y sedas , forma un tomo en 4.0 muy útil para los tintoreros y para el que quiera teñir</t>
  </si>
  <si>
    <t>Gutiérrez de Celis, Luis</t>
  </si>
  <si>
    <t>Luis Gutiérrez de Celis</t>
  </si>
  <si>
    <t>s. También ha conferido $. M. Compañía en el cuerpo veterano de infantería de Maracaybo al Teniente D. Luis Gutiérrez de Celis; y ha nombrado para esta resulta al Subteniente del propio cuerpo D. Félix Carrasqueño. En las provincias internas de Nueva España se ha dignado el Rey promover á Teniente de la c</t>
  </si>
  <si>
    <t>Gutiérrez Monge, Rafael</t>
  </si>
  <si>
    <t>Rafael Gutiérrez Monge</t>
  </si>
  <si>
    <t>er Subteniente al segundo D. Joseph Ximenez Bagues, y á segundo Subteniente al Cadete del de Toledo D. Rafael Gutiérrez Monge: en el de Borbon á Subteniente de granaderos al primer Subteniente I&gt;. Santiago Noguer; á primer Subteniente al segundo D. Joseph Puecli, y á segundo Subteniente al Soldado distin</t>
  </si>
  <si>
    <t>Gutiérrez Rave, Antonio</t>
  </si>
  <si>
    <t>Antonio Gutiérrez Rave</t>
  </si>
  <si>
    <t>regimientos de Milicias provinciales ha conferido el Rey en el de Córdoba Compañía de fusileros á: D. Antonio Gutiérrez Rave, Teniente de cazadores ; su fésulta á D. Francisco León , Teniente del propio cuerpo; Tenencia de fusileros á D. Antonio del Rio, Subteniente de granaderos, y su resulta al Subten</t>
  </si>
  <si>
    <t>Gutiérrez Solana, Vicente</t>
  </si>
  <si>
    <t>Vicente Gutiérrez Solana</t>
  </si>
  <si>
    <t>libia. 135 rs., y á este respectó la media, el quarteron y la onza: se hallan en soló ia tienda de D. Vicente Gutiérrez Solana , puerta del Sol, frente á la fuente, aí lado de la Soledad \ y fe da á )os compradores eí impreso de las virtudes y usos. ^ Voyagc du jeune Anacharsis en Gréce, d^ns le milieu du</t>
  </si>
  <si>
    <t>Gutiérrez, Bartolomé</t>
  </si>
  <si>
    <t>Bartolomé Gutiérrez</t>
  </si>
  <si>
    <t>po de Artillería D. Juan Calixto de Ojeda» 0. Manuel1 de la Puente» D» Francisco Arias 4® Saavedra, D. Bartolomé Gutiérrez» Don Francisco Campo-Redondo » Dr Antonio Rodríguez de Toro» D.. Amadeo Juan de Mora»• D; Matías Muñido, 1&gt;. CayetanoBlengáayD. 'Luis García y Pina, D¿ Migue! María PanesyD.'Ma'nu</t>
  </si>
  <si>
    <t>Gutiérrez, Francisco</t>
  </si>
  <si>
    <t>Francisco Gutiérrez</t>
  </si>
  <si>
    <t>e Orellana; de otrcs des, núms. 466,796 y 466,799, á D. Vicente Martínez ; de otro, núm, 466,797, á D. Francisco Gutiérrez, y de otro, núm. 466,801 , á D. VicenteTor-!res ; ha pedido que para evitar reclamaciones ulteriores que entorpezcan y le detengan la entrega de dichos vales, después de hecha la</t>
  </si>
  <si>
    <t>Gutiérrez, Francisco Antonio</t>
  </si>
  <si>
    <t>Francisco Antonio Gutiérrez</t>
  </si>
  <si>
    <t>punto del P. Marti ni ; traducida del italiano concluida por D. Cándido María Trigueros:' por dicho D. Francisco Antonio Gutiérrez: 4 tomos encuadernados en 2 , á 34 rs. en pasun tomo en 8.° marquilla, á 18 rs. en papel, ta, 30 en rustica, y 24 en papel. y 23 en pasta. Sermones del P. D. Teodoro de Almeyda* C</t>
  </si>
  <si>
    <t>Gutiérrez, Joseph</t>
  </si>
  <si>
    <t>Joseph Gutiérrez</t>
  </si>
  <si>
    <t>qual fuéron examinados D. Joseph Jaldon, D. Joseph Zornóza, D¿ Nicolás, D. Juan y D. Andrés Duran, D. Joseph Gutiérrez, Don Domingo Gómez, D. Domingo Amieba , D. Juan Jaldon , D. Joseph Marín, D. Die,*o Garrido, D. Alonso Romero, D. Antonio Ramírez, Don Francisco Xavier, D. Manuel Maclas y D. Jose</t>
  </si>
  <si>
    <t>Gutiérrez, Joseph Márcos</t>
  </si>
  <si>
    <t>Joseph Márcos Gutiérrez</t>
  </si>
  <si>
    <t>varias notas y adiciones, para lo que se han tenido presentes las Reales órdenes modernas, el Lie. D. Joseph Márcos Gutiérrez: ■tomo a.°, que se hada de venta en la libraría de Castillo , frente á S. Felipe el Real, á ia rs. en pasta y á 18 en pergamino. Con este tomo se completa la primera parte de la o</t>
  </si>
  <si>
    <t>Gutiérrez, Lorenzo</t>
  </si>
  <si>
    <t>Lorenzo Gutiérrez</t>
  </si>
  <si>
    <t>uado de Capitán D. Francisco Mir; á Teniente aí Alférez D. Nicolás Mijares; á Alférez ai Portaguión Don Lorenzo Gutiérrez , y á Portaguión al Cadete D. Felipe Meiaigc.</t>
  </si>
  <si>
    <t>Gutiérrez, Luis</t>
  </si>
  <si>
    <t>Luis Gutiérrez</t>
  </si>
  <si>
    <t>primeros Subtenientes á los segundos D. Nicolás Caonedo, D. Miguel Buergo, D. Bernardino dei Pozo, D. Luis Gutiérrez, D. Christóbal Bolano y D. Andrés jQlarria, y a segundos Subtenientes á.los Sargentos primeros D. Juan Sobrado , ¡ D. Manuel Torregrosa , este de granaderos, y, D. Juan ¡ Gallo ,</t>
  </si>
  <si>
    <t>Gutiérrez, Miguel</t>
  </si>
  <si>
    <t>Miguel Gutiérrez</t>
  </si>
  <si>
    <t>aderos del segundo batallón del regimiento de infantería fixo de Cartagena al Teniente de fusileros D. Miguel Gutiérrez; el empleo, que este dexa, al Subteniente de granaderos D. Mauricio Bolívar; su resulta al Subteniente de fusileros O. Manuel García, y una Subtenencia de bandera al Cadete D. Man</t>
  </si>
  <si>
    <t>Gutiérrez, Ramón</t>
  </si>
  <si>
    <t>Ramón Gutiérrez</t>
  </si>
  <si>
    <t>urieron 2829* personas mas que enlos i! ■ 78' dias de las otras épocas. .‘-I •»&lt; .Y - .l;í : 4 ', 1 D. Ramón Gutiérrez, de Cádiz , remitió el 6. dé Enero un vale Real de 300 pesos, del 10 .de Abril , núm. 441,908, con su endoso á favor de I). Mariano Cortés del Valle; y habiéndose extraviado* quie</t>
  </si>
  <si>
    <t>Guzman, Vicente</t>
  </si>
  <si>
    <t>Vicente Guzman</t>
  </si>
  <si>
    <t>866 cion de la colegial de Santillana, en el obispado de Santander, vacante por renuncia de D. Vicente Guzman, á D. Joseph Perez García, Cura Beneficiado de Queveda y Mijares, en aquel obispado: para ei Beneficio de la parroquia de Xarandilla, en el obispado de Phsencia, vacante por muert</t>
  </si>
  <si>
    <t>H-iraandnz, Pedro</t>
  </si>
  <si>
    <t>Pedro H-iraandnz</t>
  </si>
  <si>
    <t>Príncipe. . ' ' Origen, descubrimiento y progresos de la vacciná: traducido del francés pop el Dr, D. Pedro H-iraandnz, Médico del Real colegio ce esta corte, y de los Excmos. Sres. Duques de Vidahermosa y S. Cárlos &amp;c. Esta obrita, que se halla adornada de estampas perfectamente grabaias alusivas</t>
  </si>
  <si>
    <t>Haas de Basilea</t>
  </si>
  <si>
    <t>ón de los franceses en Egipto; pero no quiso contestar. En breve saldrá de Inglaterra para Francia. Mr. Haas de Basilea ha hecho un descubrimiento curioso: unos alambres de hierro puestos tirantes al ayre durante algunas semanas en la dirección del meridiano, empiezan luego á dar sonidos espontáneo</t>
  </si>
  <si>
    <t>Haivkesbitry, Lord</t>
  </si>
  <si>
    <t>Lord Haivkesbitry</t>
  </si>
  <si>
    <t>a, quanto todas sus heridas son de metralla y artillería.” Extracto de otra carta del Lord Elgin al Lord Haivkesbitry del dra 14 de Abril. „Tengo el gusto de comunicaros que acabo de recibir un expreso despachado de Rhódas el 27 de Marzo, y trae noticias particulares sobre los progresos de nuestras a</t>
  </si>
  <si>
    <t>Hammer</t>
  </si>
  <si>
    <t>ible, llegado allí de Egipto, se sabia que un barco en que se hallaban varios ingleses, entre ellos Mr. Hammer, dragomán ó intérprete de Mr. Sianey-Smith, zozobró en Roseta, ahogándose la mayor parte dé la gente..._El Lord Keith había nombrado al mismo Mr. Smith por comandante de un navio,</t>
  </si>
  <si>
    <t>Hammersley</t>
  </si>
  <si>
    <t>Tomas y de otras inmediatas un convoy de a00 velas, que se espera quanto antes en nuestros puertos. Mr. Hammersley llegó aquí de París el dia 15. El Gobernador Bentinck va á Francia; pero su viage no tiene objeto político. Mr. Smith, secretario particular que ha sido de Mr Pítt, ex-Ministro de</t>
  </si>
  <si>
    <t>Hammond, Capitán</t>
  </si>
  <si>
    <t>Capitán Hammond</t>
  </si>
  <si>
    <t>s embarcaciones suecas. Ehenear 21 de Marzo. U na fragata inglesa de-26 cañones nombrada la Blanca, Capitán Hammond, vino ayer del mar del Norte con bandera parlamentaria, y ancló en esta rada. Un oficial de un cúter dinamarqués apostado aquí pasó al instante á ia fragata, y luego fue á dar su</t>
  </si>
  <si>
    <t>Hamstedt, Capitán</t>
  </si>
  <si>
    <t>Capitán Hamstedt</t>
  </si>
  <si>
    <t>e este año. El 23 de Diciembre llegó al Sund el navio de guerra ingles el Squirrel,; mandado por el Capitán Hamstedt; y el 28 dio la vela sirviendo de escolta á 10 embarcaciones mercantes de su nación. Hámburgo Cde Enero. A ntes de ayer pasó por Aítona un correo de gabinete despachado de Pe-¿ te</t>
  </si>
  <si>
    <t>Hanrique Átayde de Portugal</t>
  </si>
  <si>
    <t>4 sonatas nuevas de Laporta para guitarraVy otras varias de diferentes autores, entre ellas úna de Don Hanrique Átayde de Portugal, publicada por IX Antonio Perez y González : minuetes para bayle, contradanzas &amp;c. Estas obras'y otras muchas, copiadas de buena nota, se venden en Ja librería de Argueta, calle d</t>
  </si>
  <si>
    <t>Haoiclin, Capitán</t>
  </si>
  <si>
    <t>Capitán Haoiclin</t>
  </si>
  <si>
    <t>la mejor ideada, dibuxada y acuñada que se ha hecho enrf rancia desdó la revolución. La esposa del Capitán Haoiclin, comandante de una de las fragatas de la expedición del Capitán Baudin, acaba de recibir una carta de su marido en que le avisa su llegada á la Isla de Francia. Las dos fragatas h</t>
  </si>
  <si>
    <t>Harrisom Recordó</t>
  </si>
  <si>
    <t>:. Siguió Mr. Whitbread -y reconvino á Mr. Pitt de que había trastornado todas las proposiciones de Mr. Harrisom Recordó que los últimos subsidios están señalados hasta mediados de Marzo; y que asi aun queda tiempo para conceder los de este año esperando á que se presenten los nuevos Ministros. Añad</t>
  </si>
  <si>
    <t>Harrison</t>
  </si>
  <si>
    <t>do, diré solo que recae forzosamente sobre los Ministros por quienes corran los gastos. No •dudaría Mr. Harrison aprobar ios subsidios que se piden, si tuviese seguridad de que el nuevo ministerio se apartaba de los principios que ha seguido el anterior. Pero que! si supiésemos ó si tuviésem</t>
  </si>
  <si>
    <t>Harwkesbnry, Lord</t>
  </si>
  <si>
    <t>Lord Harwkesbnry</t>
  </si>
  <si>
    <t>atando como enemigas las banderas del ‘Nortea y en una nota: comunicada por el Secretario de Estado Lord Harwkesbnry: al Enviado dé.Suecia Barón dejEhrensverd con fecha de 7 de: Marzo r ivolvió á exponer ¿sus falsos principios tantas veces refutados: dixo „que ño; podía levantarse él embargo;de</t>
  </si>
  <si>
    <t>Hastfert</t>
  </si>
  <si>
    <t>omanos, quien convino en que ningún turco de sus tripulaciones volviese á tierra. Después dió orden Mr Hastfert para que los habitantes entregasen sus armas; y con estas providencias se restableció el sosiego. Los ingleses empiezan á bloquear este puerto, pues visitan todas las embarcacione</t>
  </si>
  <si>
    <t>Hatvkesbury, Lord</t>
  </si>
  <si>
    <t>Lord Hatvkesbury</t>
  </si>
  <si>
    <t>de Mr. Pict, Presidente del-Consejo. El Duque de Portland, Secretario de Estado dé lo InteríorJ Eli Lord Hatvkesbury, Secretario de Estado y de Negociosextrangeros, como subesordelLord Grenvilje. El Al ñútante Conde de S* Vicente! primer ■ Lord def Almirantazgo 6 Ministro de Marinaseiidugar del</t>
  </si>
  <si>
    <t>Hauch</t>
  </si>
  <si>
    <t>relaciones de comercio con aquella República. En esta Real sociedad de ciencias leyó el 2 de Enero Mr. Hauch, Gran Mariscal de la corte, una,noticia sobre los adelantamientos del galvanismo. A la lectura siguieron varias experiencias que aumentan los conocimientos que había sobre este de</t>
  </si>
  <si>
    <t>ia , escribió al Rector diciéndole que el Rey había nombrado al Gran Mariscal de corte y Ghambeland Mr. Hauch para ponerse á su frente en caso que quisiesen alistarse para .dicho servicio* En efecto, ayer se habían ya presentado 840. 4 ; Elseneur 29 de Marzo. / 1 yer mañana salió de aquí</t>
  </si>
  <si>
    <t>Haw, Lord</t>
  </si>
  <si>
    <t>Lord Haw</t>
  </si>
  <si>
    <t>El ciud. Otto, de resultas de los últimos pliegos que recibió de París, tuvo una conferencia con el Lord Haw kesburi, el qual despachó luego un correo á Mr. Addington , Canciller del Echiquier, que se hallaba en Weymouth, en donde está S. M. Una fragata inglesa y 5 transportes llegaron e</t>
  </si>
  <si>
    <t>Hawker, Capitán</t>
  </si>
  <si>
    <t>Capitán Hawker</t>
  </si>
  <si>
    <t>sirvan mas bien de bayonetas que de armas de fuego contra el enemigo. La esquadrilla mandada por el Capitán Hawker tiene orden de salir inmediatamente de Plimouth para Jersey, en donde parece hay rezelos de un ataque de parte de los franceses. La contribución impuesta sobre los polvos produxo</t>
  </si>
  <si>
    <t>a priesa una esquadrilla de cañoneras para defensa de las islas de Jersey y Guernsey: la mandará el Capitán Hawker. También se han enviado tropis á ias mismas islas. Haya 21 de Mayo. Mr. Murray, Ministro de los Estados-Unidos americanos cerca del Directorio bátavo, ha salido de aquí p ira Pari</t>
  </si>
  <si>
    <t>Hawkesbu, Lord</t>
  </si>
  <si>
    <t>Lord Hawkesbu</t>
  </si>
  <si>
    <t>Conde Elgin, recibida el 19 de Junio en la Secretaría del Lord Hawkesbu.ry, . • t nConstantinomia 2gde Maya. Un oficial despachado por el Capitán Ba%í acaba de llegar con la noticia de que el General Ilutchinson se puso en marcha de Roseta el dia 8 al</t>
  </si>
  <si>
    <t>Hawkesburi, Lord</t>
  </si>
  <si>
    <t>Lord Hawkesburi</t>
  </si>
  <si>
    <t>mer'que el: agente ó comisionado con quien ¿se tratase no tuviera poderes suficientes para ello? El Lord Hawkesburi sostuvo qee Mr. Smitíi no concurrió como’ parte directa al convenio de Egipto. Mr. Tierney dixo que convenia averiguar si el Lord Keith había escrito la mencionada carta por orden</t>
  </si>
  <si>
    <t>Hawkesbury, Lord</t>
  </si>
  <si>
    <t>Lord Hawkesbury</t>
  </si>
  <si>
    <t>n la moneda de oro que circula, y propuso se formase una junta apara averiguar la causa de ello. El Lord Hawkesbury convino en que se tha acuñado este año poca moneda á causa de estar la balanza del comercio contra nosotros con motivo de íá escasez que se padece, especialmente de -granos, pues</t>
  </si>
  <si>
    <t>nte, el Ford Arden y Mr^-Voseto prestáron- juramento como íñdi.vi-&gt; dúos del Consejo privado; yj el Lord Hawkesbury besó la mano’ á S. M. comorSecretariode Estado y*.del despacho des Negocios extrangeros. En la» secretaría del mencionado Lordsejrnitáron ayer todos los Ministros , y piaron consé</t>
  </si>
  <si>
    <t>ue puede casi decirse que. este pais está sinministerioypues únicamente; lpson en toda propiedad el Lord Hawkesbury y el Loj:d;S; 'V-ícente, él priméroipara las dependencias extrangeras, y el segundó para las de marina. Hablase ya de formar umGonsejo de Regencia, de lo qual se tratará quizá en brev</t>
  </si>
  <si>
    <t>s pliegos que el comisario francés Otto ha entregado de parte de su gobierno. E! 21 había tenido el Lord Hawkesbury una larga conferencia con Mr. Otto, en la quaí le comunicó el deseo de los Ministros de S. M. de entablar una negociación para el ajuste de la paz con la República francesa, y le</t>
  </si>
  <si>
    <t>de Ehrensverd , Enviado extraordinario sueco en la corte dé Londres , entregó; el 4 d¿ este mes ar Lord Hawkesbury, Ministro dé Estado de Inglaterra, lina copia del convenio concluido el 16 de Diciembre de 1800 entre S.M. Sueca y el Emperador de Rusia, y otra de un reglamento relativo á la mar</t>
  </si>
  <si>
    <t>na, que iba de S. Martin á Embden cargado de sal. Dícese que se han roto las negociaciones entre el Lord Hawkesbury, Ministro de Estado, y el ciud. Otto; y suponen las gazetas ministeriales que la causa del rompimiento ha sido que el primer Cdnsu! exige por primera condición, y por prueba de la</t>
  </si>
  <si>
    <t>ón ’en este pais. Se sabe no obstante que el ciud. Otto tuvo el dia 19 una larga conferencia con el Lord Hawkesbury, á la qual asistió Mr. Addington; y se asegura que los últimos pliegos del gobierno de Francia están concebidos en términos muy comedidos y pacíficos: pues parece cierto que el pr</t>
  </si>
  <si>
    <t>ales del Almirantazgo, presentó Mr. King,.Ministro' d;e los Estados Unidos en Londres,, una nota al Lord Hawkesbury en que pe--, dia que se pusiese remedio á semejantes violencias, enlasquales incurrían nosolamente los corsarios, sino los buques de la marina Real r pues unos y otros tenían por pr</t>
  </si>
  <si>
    <t>Hawkesbüry, Lord</t>
  </si>
  <si>
    <t>Lord Hawkesbüry</t>
  </si>
  <si>
    <t>se firmaron en Londres los preliminares de la paz entre Francia é Inglarerra por el ciad. Otro y el Lord Hawkesbüry.,* ,, El Príncipe Doígoruski ha traído al General Clarke, de parte de S. M. I. Alexandro i, un sable guarnecido de diamantes valuado en 50© francos, como un testimonio del esmero</t>
  </si>
  <si>
    <t>rd Canciller para que sellase y firmise. Los demás Ministros diéron su consentimiento; y á las 7 el Lord Hawkesbury y el ciud. Otto firmaron los preliminares en Downing-Street. El mención ido Lord Hawkesbury escribió inmediatamente al Lord Corregidor l siguiente carta: „Con la mayor satisfacción os</t>
  </si>
  <si>
    <t>es de paz entre S. M. y la República francesa, fírmalos el i.° de este mes, se cang.áron hoy por el Lord Hawkesbury, uno de los principales Secretarios de Estado de S. M., y por Mr. Otto.’* Ei General trances Lauriston, Edecán de Bonapirte, llegó ayer con la ratificación del primer Cónsul, y fu</t>
  </si>
  <si>
    <t>ió esta noticia á la inmensa ciudad de Londres. El ciud. Lauriston se presentó sin perder tiempo al Lord Hawkesbury, á Mr. Addington y al Lord S. Vicente; y comió con el Lord Hawkesbury. Mr. Addington le dixo: „Esta no es una paz ordinaria: es una reconciliación entre las dos primeras naciones</t>
  </si>
  <si>
    <t>aría bastante la opinión pública. Muchos creen que los puntos principales se han arreglado entre el Lord Hawkesbury y el ciud. Otto; pero otros por el contrario rezelan que se diéron priesa en ajustar los preliminares, dexando varias dificultades pendientes para que se arreglen al tratarse de la pa</t>
  </si>
  <si>
    <t>ués hubo consejo, al que asistieron el Duque de Portland, loe Condes de Westmoreiand y Chatham y el Lord Hawkesbury ; y a las y se restituyó el Rey á Kew con la Real familia. El mismo dia comunicó el Lord Pelham, Secretaria de Estado, á la Cámara de los Pares copia del convenio con las potencia</t>
  </si>
  <si>
    <t>ce 6 meses que no ha baxado á tierra. En la sesión de la Cámara de los Comunes del dia 2 declaró el Lord Hawkesbury que por la palabra integridad del Portugal, de que trata el artículo 6.°*de los preliminares de paz, debe entenderse la integridad-según quedó después del tratado de Badajoz ajust</t>
  </si>
  <si>
    <t>El referido Lord Hawkesbury le respondió: „E1 tratado entre Portugal y Francia aun no se ha ratificado: de consiguiente no hay seguridad de si llegará á cumplirse...... De todos modos , hecha la paz, nadie p</t>
  </si>
  <si>
    <t>sta hizo Mr/ Addíngton en la Cámara de los Comunes, con la diferencia de que par&amp; ello alegó que el Lord Hawkesbury se hallaba indispuesto. Según avisos de los Estados-Unidos se ha manifestado la fiebre amarilla en algunos barrios de la ciudad de Nueva-Yorck. . ? En Amboyne se cogieron el año ú</t>
  </si>
  <si>
    <t>a de ser causa de la,última guerra. Varios Enviados extrangeros confereaciáron antes de ayer con el Lord Hawkesbury, y concluida la conferencia se despacharon correos con pliegos para el gobierno de Francia y para muchas cortes extrangeras. La compañía de levante dió antes de ayer un espléndido</t>
  </si>
  <si>
    <t>embre.^ . &gt;,■ *’*•• ! *■ iil Príncipe de Oran ge án tes de salir de Inglaterra comunicó una nota al Lord Hawkesbury, en la qual después de hacer mención de quanto ha de"biíio á fas bondades de S. M. Británica, y de recordar el empeño solemne que cotitraxo la: Gran Bretaña el año de 1788 de gara</t>
  </si>
  <si>
    <t>tratado concluido entre S. M. y la Sublime Puerta en el mes de Enero de 1799.” Contestó el Ministro Lord Hawkesbury diciendo: „Nada se opone á que se comunique dicho tratado, ni hasta ahora había yo echado de ver que no se había presentado á la Cámara* pero puedo declarar desde luego que en el</t>
  </si>
  <si>
    <t>Hawkins- Whitshed, Almirante</t>
  </si>
  <si>
    <t>Almirante Hawkins- Whitshed</t>
  </si>
  <si>
    <t>tario que lleva pliegos para Mr. Merri, nuestro Agente en París. En dicho barco va como pasagero el Almirante Hawkins- Whitshed con su esposa. La esquadra que á las órdenes de: Mr. Pellew cruza á la altura de J^echefort, ha padecido grandes avería^ en su arboladura y aparejo por un temporal que duró desde</t>
  </si>
  <si>
    <t>Hawktsbury, Lord</t>
  </si>
  <si>
    <t>Lord Hawktsbury</t>
  </si>
  <si>
    <t>urará este congreso hasta que se ajuste la paz general. Londres 4 de Mayo. JQJ■I Ministro de Estado Lord Hawktsbury dirigió el 29 de Abril la si*</t>
  </si>
  <si>
    <t>Hcnriquez, Juan Joseph</t>
  </si>
  <si>
    <t>Juan Joseph Hcnriquez</t>
  </si>
  <si>
    <t>y se ha servido nombrar para la dignidad de Dean de la catedral de Cartagena, vacante por muerte de D. Juan Joseph Hcnriquez, á D. Joseph Vicente de la Barcena y Barragan: para el ArcedianatoV que este dexa^enda misma iglesia;, al Chantre D. Lázaro JosephBianeos para la Chántría al Tesorero D* «Benito J</t>
  </si>
  <si>
    <t>He Pablen, Conde</t>
  </si>
  <si>
    <t>Conde He Pablen</t>
  </si>
  <si>
    <t>ia , Pet€rsbur^&lt;); Lieflar.d, Xfcthuania y Smoíensko BaxÓ "las"'"ordeñes "’déT General'dé cáBálIem "Conde He Pablen; y las de Ukrania, Brzesc y del Niester al mando del General de infantería Golenkschtschew^Kuttisow. Este último está pronto á marchar al primer aviso con süs tropas: las de Brzes</t>
  </si>
  <si>
    <t>Hedpuville, General</t>
  </si>
  <si>
    <t>General Hedpuville</t>
  </si>
  <si>
    <t>arios comerciantes de Alemania y Holanda. Brest 4 de Junio. E 1 dia 28 del mes último llegó aquí el General Hedpuville: fué recibido con salva de artillería y por las tropas que se habían tendido á su paso. Al dia siguiente le visitaron los comandantes de la ciudad y los xefes de los cuerpos milit</t>
  </si>
  <si>
    <t>Hegmann, General</t>
  </si>
  <si>
    <t>General Hegmann</t>
  </si>
  <si>
    <t>o y la respuesta del Elector se han comunicado por órden suya á Mr. Buhler, Ministro de Rusia, y al General Hegmann, Ministro de Prusia cerca de S. A. Electoral. Con esta solicitud del ministerio austríaco se ha aumentado el descontento que había entre los dos gabinetes. / 'W'urtzburgo so de Di</t>
  </si>
  <si>
    <t>Heit, Pedro</t>
  </si>
  <si>
    <t>Pedro Heit</t>
  </si>
  <si>
    <t>...... 47. a8. Pedro Heit.,............... Pedro y Eulalia Fábregas...... Marguisana en id..</t>
  </si>
  <si>
    <t>Helivig Gerónimo Luis Tonnies</t>
  </si>
  <si>
    <t>rcantiles, ya sea para lo interior de la Suiza y . Grisones, yapara lo exterior de aquellos países. Don Helivig Gerónimo Luis Tonnies falleció en Cádiz el dia 11 de Setiembre del año último: su padre D. Juan Federico Tonnies, residente en Hamburgo, aunque no tenia conocimiento del estado de los negocios que giró</t>
  </si>
  <si>
    <t>Henáres, Domingo</t>
  </si>
  <si>
    <t>Domingo Henáres</t>
  </si>
  <si>
    <t>r el Rey á Capitán aí primer Teniente D. Joseph de Misa; á primer Teniente al segundo de granaderos D. Domingo Henáres; á segundo Teniente de granaderos al de fusileros D. Juan Santiago Prast; á segundo Teniente al Agregado en esta Clase D. Gerónimo Aguilar, y á segundo Subteniente al Cadete D. Jo</t>
  </si>
  <si>
    <t>Henifique Beltran</t>
  </si>
  <si>
    <t>Subteniente de granaderos al primer Subteniente D. Joseph Borlasca; á primar Subteniente al segundo D. Henifique Beltran, y á esta resulta al Sargento primero D. Getnüo Ravcrfaf en el regimiento £uizo dé Betsehart ha concedido S. M. Ayudantía á D. Agustín Braans, Teniente del mismo cuerpo; y Tenenci</t>
  </si>
  <si>
    <t>Henito Ruiz de Monsáive</t>
  </si>
  <si>
    <t>chos términos sin bab- r -comparecido se declarará corresponder al mayorazgo que posee el enunciado D. Henito Ruiz de Monsáive. El 11 de Marzo se ausentó de la vi!;a de‘ Daganzo dé Arriba, distante 4 leguas de Madrid y Julián Fernandez Gaseo , de edad de 44 años ; estatura regular , color moreno, ©jos par</t>
  </si>
  <si>
    <t>Henkel</t>
  </si>
  <si>
    <t>: y así no se podrá averiguar la causa de este atentado. Toda la guarnición asistió al entierro de Mr. Henkel, que gozaba aquí el mejor concepto, y le hicieron honores Fúnebres militares. La Duquesa viuda de Saxonia-Memmingen, hija de los Principes de Hesse-Rhinsfeld, falleció el 20 de es</t>
  </si>
  <si>
    <t>Henktl</t>
  </si>
  <si>
    <t>de la guerra solamente se cuentan 13 habitables. Francfort a 8 de Setiembre. A unque el asesino de Mr. Henktl, Enviado de Dinamarca, se hirió de muirte y vivió pocos instantes, no dexáron de formarle causa. Ademas de la notori d *d del hecho, tuvo el judío tiempo de confesar su delito: y</t>
  </si>
  <si>
    <t>Henriqtfé EduápdéFÓx, General</t>
  </si>
  <si>
    <t>General Henriqtfé EduápdéFÓx</t>
  </si>
  <si>
    <t>de Algecíras, ha vuelto aquí éii calidad dé píisioneró dé' gdéírr?. &gt;lJ ; Está nombrado eLTéniente General Henriqtfé EduápdéFÓx poir Conian? ¿ dante: general enPXéfe de todas las trópáfi inglesas qtié hay- en efMeditérézneo, excepto las que forman la guarnición de Gibraltarr. [ ; 't\' !'y t -ü-En ¿los navi</t>
  </si>
  <si>
    <t>Henrique, Príncipe</t>
  </si>
  <si>
    <t>Príncipe Henrique</t>
  </si>
  <si>
    <t>, que ha ocultado su nombre, los ha socorrido también con 500 escudos. Ha llegado á esta capital el Príncipe Henrique, y se detendrá algunos dias en ella. La Princesa heredera de Orange se ha trasladado á Schonhausen. Francfort 20 de Junio. P arece que se ha suspendido levantar el seqüestro de lo</t>
  </si>
  <si>
    <t>Henriquer CJirke</t>
  </si>
  <si>
    <t>que enviaban con el ptopi.o objeto, i El mismo. Cónsul dio, ppsteriorinente &gt; aviso, desde Malta á Mr. Henriquer CJirke;, Encargado de .Negocios de Inglaterríi en Jónez,.. de que el 21 de .Diciembre habían salido de Malta ; el Lord Keith y Mr. Abercromhie coa buques de .guerra y-,muchas tropas: que</t>
  </si>
  <si>
    <t>Henriquez Emparan y Orbe</t>
  </si>
  <si>
    <t>de Guisbna^ diócesis de'Tfrdiócesis de Pamplona, vacante por faiiecimiento.de D. Rámomde Ókzabal, á D. Henriquez Emparan y Orbe, obl%ándose¿á'’servido -pasar» por lo que se depusiere en el plan beneficia! de aquella parroqüiaí^que se En América. En él reghnieiíto de infantería del ReyV^xo 'ele l'a de Manil</t>
  </si>
  <si>
    <t>Her</t>
  </si>
  <si>
    <t>sintaxis D. Vicente Cantón, D. Lucas de la Fuente y D, Francisco Munguia. En la prosodia sobresalió D. Her^ menegiído Toraya* Pmgcerdd i&lt;&gt; de X&gt;iciembre. E 1 Dr. D. Francisco Piguillem, socio de varios cuerpos literarios y Médico de esta villa, deseando verificar las calidades de la va</t>
  </si>
  <si>
    <t>Her, Manuel</t>
  </si>
  <si>
    <t>Manuel Her</t>
  </si>
  <si>
    <t>erna á las principales operaciones Curso de humanidades , por D. Cayetano de la Farmacia : su autor D. Manuel Her­ Sixto: tomo x.° á 10 rs. en papel. nández de Gregorio : dos tomos en 4.0 á 24 . Adiciones al Diccionario geográfico de rs. en rústica, y 22 en papel. Echará: 3 tomos en 4.a á 2?</t>
  </si>
  <si>
    <t>Heraciio de Alaiz</t>
  </si>
  <si>
    <t>niente de granaderos al primer Subteniente D. Antonio Fortun; á esta resulta al segundo Subteniente D. Heraciio de Alaiz, y á segundo Subteniente al Sargento primero de granaderos D, Joseph Barrera; y en el de cazadores Voluntarios de la Corona á Subteniente al segundo Subteniente del batallón de Vo</t>
  </si>
  <si>
    <t>Hermand, Miguel</t>
  </si>
  <si>
    <t>Miguel Hermand</t>
  </si>
  <si>
    <t>eniente al segundo D. Pedro Terrene, y á segundo Subteniente al Teniente del provincial de Mallorca D. Miguel Hermand: en el de Mallorca á primer Teniente ai segundo de granaderos D. Joachín Armendariz</t>
  </si>
  <si>
    <t>Hermann</t>
  </si>
  <si>
    <t>. 79. GAZETA DE MADRID DEL MARTES 18 DE AGOSTO DE x8ot. Riga £ de Julio. H; a muerto en Petersburgo Mr. Hermann, General de caballería é infantería, y caballero de varias órdenes del Imperio. Fué el que mandó la expedición de Holanda contra los franceses, y en la última guerra contra los tu</t>
  </si>
  <si>
    <t>Hermeaegil</t>
  </si>
  <si>
    <t>, Córdoba y León D. Alonso Suarez, D. Pedro Sagarra , 0. Pedro Refojos Pardmas, 0, Gerónimo Pogio y D. Hermeaegil—' do Ceva]los;,á los Sargentos primeros del de Murcia 0. Francisco Román del Llano,-del de Navarra 0. Tomas Serrano,■ del de Ñápeles y de grana-. 4Urps 1&gt;. Juan Antonio Vi liase-ñ</t>
  </si>
  <si>
    <t>Hermelin</t>
  </si>
  <si>
    <t>bradores. De parte ác sus conciudadanos y amigos. iSoo,” En la segunda se ve por un Ldo el busto de Mr. Hermelin, y por otro una corona de encina y estas palabras* „Porque propagó las luces en su patria, y contribuyó á los progresos de las artes útiles y á la población en parages desiertos.</t>
  </si>
  <si>
    <t>Hermenegildo Mancebo</t>
  </si>
  <si>
    <t>rvido promover S. M. ¿ segundos Subtenientes al Sargento primero D. Antonio Sánchez y i los Cadetes D. Hermenegildo Mancebo y D. Andrés Romero: en el de suizos de Schwaller á Subtenientes á los Cadetes D. Andrés Bonencij, D. Jayme Franzonij y D. Antonio Riva; y en el de Betschart á Subtenientes de granader</t>
  </si>
  <si>
    <t>Hernández de Gregorio, Manuel</t>
  </si>
  <si>
    <t>Manuel Hernández de Gregorio</t>
  </si>
  <si>
    <t>fundamentos de la chÍJiuca moderna á las principales operaciones de esta facultad : su autor el Dr.D. Manuel Hernández de Gregorio, Boticario de Cámara de S. M. y miembro de varias academias. Esta obra contiene la definición de todas las medicinas usuales en la materia médica con arreglo al sistema moderno,.y</t>
  </si>
  <si>
    <t>Hernández de Larrea, Juan Antonio</t>
  </si>
  <si>
    <t>Juan Antonio Hernández de Larrea</t>
  </si>
  <si>
    <t>el Real colegio de r esta ciudad; habiendo la sociedad nombrado examinadores á su primer cen- * sor D. Juan Antonio Hernández de Larrea, Desnude la santa iglesia metropolitana, y-á Jos socios D. Antonio Romero,'Gánónigo de la misma, y : tesorero de la sociedad, Dr. D. Jokchín-Gomeá^ Abogádo' de lo$ Reales 1 Gonsej</t>
  </si>
  <si>
    <t>y actividad. Se concluyó este acto con un razonamiento que hizo á las educandas el primer director Don Juan Antonio Hernández de Larrea, Dean de la santa iglesia metropolitana, inspirándoles los mas tiernos sentimientos de piedad, y excitándolas al mayor aprovechamiento y aplicación. Madrid 9 de Octubre. E I márte</t>
  </si>
  <si>
    <t>prema;, y para el de Vallad ©lid, vacante por fallecimiento del Sr. D. Manuel Joachín Moron, al Sr. D. Juan Antonio Hernández de Larrea, Dean de la iglesia de Zaragoza. En e¿ fegimknto de infantería de Zamora se ha servido el Rey promover á primer Subteniente al segundo D. Juan López; y á esta resulta al Cadete de</t>
  </si>
  <si>
    <t>Hernández de Madrid, Francisco Xavier</t>
  </si>
  <si>
    <t>Francisco Xavier Hernández de Madrid</t>
  </si>
  <si>
    <t>an de la catedral de Popayan, vacante por fallecimiento de D. Melchor de Valencia, al Maestrescuela D. Francisco Xavier Hernández de Madrid: para la Maestrescoiía al Tesorero D. Manuel Ventura Hurtado de Arboleda: para la Tesorería al Racionero D. Gerónimo Boniila y Hurtado: para la Ración al Medio-Racionero D. Andrés</t>
  </si>
  <si>
    <t>Hernández de Tejada, Joseph</t>
  </si>
  <si>
    <t>Joseph Hernández de Tejada</t>
  </si>
  <si>
    <t>a i D. Joseph de Celaya y Ordules : en el de Badajoz Tenencia de fusileros i P. Joseph Hernández de Tejada, Teniente agregado ál propio;cuerpo: en el de Santiago Tenencia de fusileros á D. Severo Cardesid » Subteniente de granaderos ; su resulta al Subteniente D. Ramón Ribaduila , y Subtenencia</t>
  </si>
  <si>
    <t>Hernández Milanes, Santiago</t>
  </si>
  <si>
    <t>Santiago Hernández Milanes</t>
  </si>
  <si>
    <t>el arzobispado de Burgos : para otra Canongía de la catedral de Falencia, vacante por promoción de D. Santiago Hernández Milanes al Obispado de Mérida de Maracaybo , á D. Antonio Aguado: para;otra de la de Mondoñédo ¿¿vacante por muerte de'Di Bernardo Pardo, á D. Joseph Morales Carrero: para la Ración de la</t>
  </si>
  <si>
    <t>Hernández, Antonio</t>
  </si>
  <si>
    <t>Antonio Hernández</t>
  </si>
  <si>
    <t>Encarnación de esta villa, vacante por fallecimiento de D. Manuel Alonso, á D.^ Antonio Hernández, Presbítero;. Cantor de la.mi.sma cuerda de eontrab oco en el propio conv nto. En el regimiento de infantería de Nápples se ha servido S. M. promover á segundo Teniente al Subteniente*de gran</t>
  </si>
  <si>
    <t>Hernández, Gabriel</t>
  </si>
  <si>
    <t>Gabriel Hernández</t>
  </si>
  <si>
    <t>á Capitanes £ los Tejientes E&gt;. Antonio Valcarce y D. Pedro Espinosa; á Temientes,i los .Alféreces D. Gabriel Hernández y D. Gabriel Casado, y á Alféreces al Cadete D. Nicolás Rodríguez Peña y al Sargento D. Juan Barragan. S. M. se ha servido nombrar para la plaza.de Agente Fiscal del Consejo de Indias</t>
  </si>
  <si>
    <t>Hernández, Ignacio</t>
  </si>
  <si>
    <t>Ignacio Hernández</t>
  </si>
  <si>
    <t>usa, quien le dará razori , qqé vive en la calle de las tres Cruces, junto al Cárroen calzado. , &gt;, Don Ignacio Hernández ;dq.Padilla, vepinp de Alicante, remitió por el correo jel ai de Diciembre último í D. Antonio de Dueñas, contador principal de Jas rentas dei Exc. Sr. Duque de Medinaccli , resid</t>
  </si>
  <si>
    <t>Hernández, Joseph Julián</t>
  </si>
  <si>
    <t>Joseph Julián Hernández</t>
  </si>
  <si>
    <t>Benito Muñoz : para el de Ministro Contador de las Reales Caxas de Comayagua, vacante por muerte de D. Joseph Julián Hernández, á D. Juan Ortiz de Letona, Ministro principal de Real Hacienda de Truxillo: para esta resulta á D, Gaspar Pilona, Interventor de la administración de alcabalas de León de Nicarag</t>
  </si>
  <si>
    <t>Hernández, Juan</t>
  </si>
  <si>
    <t>Juan Hernández</t>
  </si>
  <si>
    <t>os........ 46. a 8. Juan Hernández.. Valero.,......... Rita; Benedicto.... Belchite........ Zaragoza.......... 337* 1. Fernando García. Diego............ Petronila Alonso.. Santibafiez de</t>
  </si>
  <si>
    <t>Hernández, Santiago</t>
  </si>
  <si>
    <t>Santiago Hernández</t>
  </si>
  <si>
    <t>el Obispado die Mérida de Mar acaybo» vacantfcpor fallecimiento de D. Fr.'Antonio Espinosa , al Sr. D. Santiago Hernández» Canónigo de la Catedral de Palehcia. D, Juan López r geógráfo'de 'S. MH ha solicitadó elReal permisopara poder dedicar al Serenísimo1 Señor Príncipe de Asturias ün nuevo Mapamund</t>
  </si>
  <si>
    <t>Hernández, Victoriano</t>
  </si>
  <si>
    <t>Victoriano Hernández</t>
  </si>
  <si>
    <t>arroquial de S. Chidrían, en lá diócesis de Avila, vp.caníe por muerte de D. Pedro Martin Cabeza, á Don Victoriano Hernández, con la carga que tiene anexa: para otro Beneficio de la parroquia de Montejo de la Vega, en la misma diócesis de Avila, vacante por fallecimiento de D. Juan Antonio de Castro y S</t>
  </si>
  <si>
    <t>Hernando, Juan</t>
  </si>
  <si>
    <t>Juan Hernando</t>
  </si>
  <si>
    <t>de la misma Contaduría á D. Juan Nepomuceno Urquiz; y para la de Escribiente de la misma oficina á D. Juan Hernando.</t>
  </si>
  <si>
    <t>Herran y Salcedo, Gerónimo</t>
  </si>
  <si>
    <t>Gerónimo Herran y Salcedo</t>
  </si>
  <si>
    <t>l Sil, Dignidad de la catedral dé Astorga, vacante por fallecimiento de D. Joseph Caballero Díaz, á D. Gerónimo Herran y Salcedo , Cura del lugar dei Castrilhrdé los Pólvazáres, era el obispado de Astorga; para la Canongía de la catedral de Orense, vacante'por muerte de D. Francisco 'Méndez de la Fuente y á</t>
  </si>
  <si>
    <t>Herrera de Pi Ximenez, Manuel</t>
  </si>
  <si>
    <t>Manuel Herrera de Pi Ximenez</t>
  </si>
  <si>
    <t>rra....... 977. 14» Cabo !i.° Manuel Herrera de Pi Ximenez.......... Miguel...... Manuela Calvo....suerga. Idem.....V. lÓp. 14. Tomas López...... Domingo...... Escolástica Gil.</t>
  </si>
  <si>
    <t>Herrera Ladrón y Joseph B-día, Joseph</t>
  </si>
  <si>
    <t>Joseph Herrera Ladrón y Joseph B-día</t>
  </si>
  <si>
    <t>Flores Cardero , D. Marcelino García Riofrió, D. Antonio Barriopuevo , D. Ramón Castriílo Cevallos, D. Joseph Herrera Ladrón y Don Joseph B-día. .. En consideración á los servicios y méritos de D, Juan de Uribarri, Oficial mayor del Parte de esta Cortea se ha servido eLRey concederle hnnrvres .de Comisario Ordenador los R</t>
  </si>
  <si>
    <t>Herrera Ladrón, Joseph</t>
  </si>
  <si>
    <t>Joseph Herrera Ladrón</t>
  </si>
  <si>
    <t>agacete: en el de Burgos las Subtenencias de granaderos y cazadores á los Subtenientes de fusileros D. Joseph Herrera Ladrón y D. Ramón Castriilo Cevallos: en el de Momerey la Subtenencia de cazadores á D. Pedro Teodoro Bríngss , Subteniente de fusileros, y Subtenencia de esta clase á D. Nicolás Sarmiento:</t>
  </si>
  <si>
    <t>Herrera, Manuel</t>
  </si>
  <si>
    <t>Manuel Herrera</t>
  </si>
  <si>
    <t>n la partida de milicianos que guarnece este punto; y 20 soldados de artillería; que con su Alférez D. Manuel Herrera y el. Sargento. D. Tomas López se hallaban de tránsito para la Coruña, se encargaron del servicio de la batería: lo que observado por los ingleses de la lancha se intimidiron y no osa</t>
  </si>
  <si>
    <t>Herrero, Joseph María</t>
  </si>
  <si>
    <t>Joseph María Herrero</t>
  </si>
  <si>
    <t>Subteniente al segundo D. Alfonso Herrero y Diaz, y á segundo Subteniente al Cadete del de Mallorca D. Joseph María Herrero: en el de Navarra á Teniente Coronel al Comandante del tercer batallón, graduado de Coronel, D. Cayetano Esparza: en el de las Ordenes Militares á Capitán de granaderos al de fusi</t>
  </si>
  <si>
    <t>Herschel</t>
  </si>
  <si>
    <t>los sabios que tienen la honra de tratarle.” Concluí yóse la sesión con la lectura de uña carta del.Dr. Herschel sobre la estructura del sol; cree qué el núcleo solar está envuelto ó rodeado, con dqs capas «Je nubes luminosas, y que se ven manchas en dicho astro quando la explosión de .unífl</t>
  </si>
  <si>
    <t>Hervás y Pahduro, Lorenzo</t>
  </si>
  <si>
    <t>Lorenzo Hervás y Pahduro</t>
  </si>
  <si>
    <t>ei Ferrol en la de Jayme. *. El hombre físico, ó anatomía humana físico»-filosófica : por el Abate D. Lorenzo Hervás y Pahduro. Ésta obra se dirige á presentar filosóficamente á la con-» sideración-humana-la estructura y fábrica del hombre: descríbense sus partes principales, se demuestran^sus? oficios y</t>
  </si>
  <si>
    <t>Hervey, Almirante</t>
  </si>
  <si>
    <t>Almirante Hervey</t>
  </si>
  <si>
    <t>volvió al mar el dia 8 compuesta de 18 navios de línea, 2 fragatas y un brulote. La va mandando el Almirante Hervey. í Parece cierto que Mr. Home~Popham ha ido á relevar al Contra- Almirante Blanquet en el mando de las fuerzas británicas del mar Roxo, en cuya navegación está muy impuesto, por h</t>
  </si>
  <si>
    <t>qué se reentable su comunicación con Petersburgo hasta veriácada la restitución de Malta. - a ** El Almirante Hervey. destacó de la esquadra de la plancha el 9 de Febrero Una división de 8 navios de línea:par-a alcanzar á iá- francesa:que 'saltó de Brést mas de 15 días ántes; y así? es probable</t>
  </si>
  <si>
    <t>Hesse</t>
  </si>
  <si>
    <t>a vaccina; y Mr, Scott, médico dwl Embaxador ingles, ha enviado á la India dicho virus. El referido Mr. Hesse se propone irá Rusia para practicar en aquel Imperio esta nueva inoculación; la qual, según apariencias, no tardará en extenderse por /todas las partes del mundo. Berlín 7 de Octu</t>
  </si>
  <si>
    <t>HetscheL</t>
  </si>
  <si>
    <t>neh las cteüoriaj* que sobrenadan e‘n’ aquél océano de fuegé. JÜtohno'iftetoeucrdá con h idea? de* Mr. HetscheL; ptffo exte* cdlebre bbfevuáorresímti di ¿no de* admimcio¿ por’sus observáeiones qut por shs Jií^ótesisi’' r : r- . ' . 1</t>
  </si>
  <si>
    <t>Heudcrson</t>
  </si>
  <si>
    <t>ahora cuesta 2 rs. la libra. De Hamburgo ha llegado á Newcastle el paquebot Gosfiarth, cuyo Capitan Mr. Heudcrson refiere que Mr.Crawfort, nuestro Ministra en aqu AI t</t>
  </si>
  <si>
    <t>Heurique Arayde de Portugal</t>
  </si>
  <si>
    <t>contradanzas inglesas galopadas á solo para guitarra: célebre y grande sonata de guitarra sola por D. Heurique Arayde de Portugal, y dada al publico por D. Autonio Perez y González: 4 céíebrestrios para guitarra, vio in y b:.xo por D. Antonio Xioieitez, músico de la Real colegiata de Alicante: 6 quai tetes d</t>
  </si>
  <si>
    <t>Hevia, Fernando</t>
  </si>
  <si>
    <t>Fernando Hevia</t>
  </si>
  <si>
    <t>Perez , concediéndole al mismo tiempo el grado de Capitán: en el de la Reyna á Teniente al Alférez Don Fernando Hevia , y á Alféreces al Cadete D. Juan de Mata Ximenez y al Sargento primero de granaderos D. Alexandro Menor: en el de Alpiansa á Capitán al Ayudante graduado de Capitán D. Pedro Muño</t>
  </si>
  <si>
    <t>Hidalgo, Francisco</t>
  </si>
  <si>
    <t>Francisco Hidalgo</t>
  </si>
  <si>
    <t>zo, le sobrevino una terciana maligna, con afectos epilépticos, que al quarto dia le quitó la vida. Don Francisco Hidalgo, Cura párroco de esta villa, zeloso de que el feto recibiese agua devsocorro, previno á D. Luis Andrés Bucelli, Cirujano latino titular, á fin que hiciese la operación cesárea des</t>
  </si>
  <si>
    <t>Hidalgo, Juan</t>
  </si>
  <si>
    <t>Juan Hidalgo</t>
  </si>
  <si>
    <t>tian, una donde dicen los Mesoncillos, por baxo el monte de Moraleja, que labra Juan Hidalgo , vecino de Alccbendas , su caber 3 fanegas y ,6 celemines , .casada,,en 900 rs, ; y la otra donde dicen la dehesilla de Alcobendas , inmediata' al camino de Fuencatral , que labra Manuel</t>
  </si>
  <si>
    <t>Hide Parker</t>
  </si>
  <si>
    <t>res fragatas, nueve buques menores, otros ocho entre bombardas y brulotes, y diez barcas cañoneras. Mr. Hide Parker y el Lord Neison van mandando estas respetables fuerzas, que se creen destinadas para el BUtico, mayor-, mente sabiéndose que Mr. Parker lleva 10 pilotos muy impuestos en la navegació</t>
  </si>
  <si>
    <t>Hide- Parker</t>
  </si>
  <si>
    <t>Paulo I; y esta mañana Mr. Otway, segundo Capitán de Mr. Hide- Parker, traxo al Almirantazgo pliegos, en que avisa aquel Almirante que el 2 de este mes hubo delante de Copenhague un combate muy sangriento entre nuestra esquadra y los dinamarqueses,</t>
  </si>
  <si>
    <t>Hide-Parker</t>
  </si>
  <si>
    <t>ue de parte de otra qualquiera esquadra que S. M. Británica pudiese enviar á estos mares. 4.0 La de Mr. Hide-Parker podrá abastecerse de quanto necesite para la manutención de sus tripulaciones. 5.0 Se obliga^el Almirante Parker á enviar ; á tierra todos los vasallos de S. M. Dinamarquesa que a</t>
  </si>
  <si>
    <t>rsburgo. De aquella capital de Rusia ha vuelto á la esquadra inglesa el Capitán Freemantle, á quien Mr. Hide-Parker habia despachado para tratar con los Ministros rusos. Otros avisos posteriores añaden que la esquadra británica se alejó de Revel temiendo indisponer á la corte de Rusia si perman</t>
  </si>
  <si>
    <t>Hide-Párker, Almirante</t>
  </si>
  <si>
    <t>Almirante Hide-Párker</t>
  </si>
  <si>
    <t>la vigilancia de loscomandantes de nuestras fuerzas navales apostadas en las.costas de Francia.; El Almirante Hide-Párker está nombrado Comandante en xéfé de la ,esr¿ quadra destinada'para el mar del Norte: se asegura que lleva .por, segundo.: comandante al V ice-AI mirante Lord Nelson, que debía ir. a</t>
  </si>
  <si>
    <t>Hide-Parker, Almirante</t>
  </si>
  <si>
    <t>Almirante Hide-Parker</t>
  </si>
  <si>
    <t>los siguienr tes: „ i.° Así que se firme esta tregua cesarán las hostilidades entre la esquadra del Almirante Hide-Parker, y la ciudad de Copenhague y los navios de S. M. Dinamarquesa que se hallan en la rada y en el puerto, como también centra las islas y provincias de Dinamarca. 2.° Los navios dina</t>
  </si>
  <si>
    <t>Hiiler, General</t>
  </si>
  <si>
    <t>General Hiiler</t>
  </si>
  <si>
    <t>eneral Quosdanowich, guardarán las fronteras del Bannato, y otros 7 las de Esclavonia, al mando del General Hiiler. No se comprehenden las tropas que ha de haber en el Tirol y en algunas otras provincias. Berlín 28 de Abril. L os regimientos de Voss, Lestocq y Gravenitz han entrado hoy en esta</t>
  </si>
  <si>
    <t>Hijosa, Manuel</t>
  </si>
  <si>
    <t>Manuel Hijosa</t>
  </si>
  <si>
    <t>o en papel, y 20 efl pasta; los i úF» Compendio de Geometría práctica , por timos quedan en prensa. D. Manuel Hijosa. Un tomo en 8.°'á 9 rs. Compendio histórico de la Religión. Dos en papel, y 13 en pasta. tomos en 8.® á 12 rs. el juego en papel, 14 en La Orictognásia , escrita en Alemán por per</t>
  </si>
  <si>
    <t>Hilario del Mueute</t>
  </si>
  <si>
    <t>gena á Capitanes á los Tenientes D. Joseph María Berrueco, D. Mateo Nuñez, D. Antonio Flor y Olmos, D. Hilario del Mueute, D. Domingo Verastegui y D. Ildefonso de la Barreda; á Tenientes de granaderos á los de fusileros D, Antonio Urruchurtu y D. Esréban Ximenez; á Tenientes de fusileros á los Subten</t>
  </si>
  <si>
    <t>Hilario Ferrandez</t>
  </si>
  <si>
    <t>os de Aragón á prime/ Teniente al,.segundo D. Ignacio Gil; á segundo Teniente al primer Subteniente Don Hilario Ferrandez; á esta resulta al segundo Subteniente D. Joseph Ximeno, y á segundos Subtenientes al Sargento primero D. Bernabé Frex y al Cadete D. Francisco Castañera: en el de la princesa á s</t>
  </si>
  <si>
    <t>Hipólito Gregorio</t>
  </si>
  <si>
    <t>rado en igual graduación: 20 pesos á D. Mariano Dordal en la segunda clase de pintura, y 10 pesos á D. Hipólito Gregorio en la tercera clase de la misma. Ncf hubo opositor en la primera clase de escultura. A D. Diego Vidiella;20 pesos por el premio de segunda clase, y 10 pesos á D. Xavier Estrada por</t>
  </si>
  <si>
    <t>Hipólito Manuel de Quanda</t>
  </si>
  <si>
    <t>rio* papeles, entre ellos un vale Real de igo pesos, creación de Setiembre, número dado á nombre de D. Hipólito Manuel de Quanda, y endosado por este á favor del D. Domingo. Se da este aviso para que ninguna persona admita dicho vale, y quién lo tuviere ó supiere de él, lo remita ó avise al referido Don Dom</t>
  </si>
  <si>
    <t>Hipólito Rui</t>
  </si>
  <si>
    <t>ussíéu sobre los géneros del Pródromo dé la Flora dél Perú y Chile ; pori. R)s autores de ésta obra D. Hipólito Rui* y Di Joseph Pavón. Véndese en la librería de Castillo, frente 4 las gradas de S. Felipe , donde se ha%r£ también lá} Quinologia y las disertaciones de la Rátanhja, remedio especi</t>
  </si>
  <si>
    <t>Hipotito de Quanda</t>
  </si>
  <si>
    <t>ién lo tuviere ó supiere de él, lo remita ó avise al referido Don Domingo de Hoyos, ó al mencionado D. Hipotito de Quanda, su apoderado en Madrid, calle de la Ahnudena, núm. 3, quarto baxo. Por el Sr. D. Juan Antonio Santa María, caballero de la Real distinguida orden española de Cárlos 111, del Cons</t>
  </si>
  <si>
    <t>Hmchirison, General</t>
  </si>
  <si>
    <t>General Hmchirison</t>
  </si>
  <si>
    <t>a suspensión de armas, á fin de arreglar los* artículos para-évaciiár ; la plaza. Accedió á ello el General Hmchirison con previo consentimiento del Gran Visir y del Capit.ni Baxá. Empezó la suspensión el 27; y él mismo día expidió dicho General ingles un correo á Londres para informar de ello á s</t>
  </si>
  <si>
    <t>Hntchinson, General</t>
  </si>
  <si>
    <t>General Hntchinson</t>
  </si>
  <si>
    <t>de Noviembre. E 1 lunes por la tarde llegó de Egipto á Portsmouth el General Moaré con1 pliegos del General Hntchinson; y el Capitán Olter llegó también con cartas del Lord Keith. Contienen la noticia de oficio de haber los ingleses tomado posesión de Alexandría. Una hora después fondeó en Spithea</t>
  </si>
  <si>
    <t>Hobart, Lord</t>
  </si>
  <si>
    <t>Lord Hobart</t>
  </si>
  <si>
    <t>r las resultas de las expediciones de Egipto y el Báltico ántes de resolverse á tratar de paz. ~ El Lord Hobart, nuevo Ministró de Guerra, ha proferido en el Parlamento algunas expresiones sobre la posibilidad de la reconciliación con Francia; y esto bastó para que subiesen los fondos públi</t>
  </si>
  <si>
    <t>co Montágue irá quanto antes á tomar el mando de una, división de tropas.del exército de Egipto^ El Lord Hobart en la Cámara de los Pares , y Mr, Addington en la de los Comunes, presentaron ayer un mensage def Rey pidiendo un nuevo ¿rédito de 2 millones de libras esterlinas para atender á los</t>
  </si>
  <si>
    <t>que lé remite una relación de Mr. Carlos Holloway, y •tra carta del General Hutchinson.dirigida.al Lord Hobart.La del Teniente Coronel Holloway dice así y i Del campamento de ¡Gran Visir en BénalJiaser ázodeMayo* Milord. Tuve la honra de escribiros el 2 de este mes desde Balahieh.El Gran V</t>
  </si>
  <si>
    <t>inuación de las noticias de Londres del 21 de Julio. Lxtracto de la carta del General Hutchinson al Lord Hobart, inserta en la gazeta extraordinaria de la corte de este dia: „Quartel general del campamentos cerca de Alkam, i.° de Junio de 1801. Los franceses abandonáron el 7 de Mayo el pues</t>
  </si>
  <si>
    <t>General Hutchinson, del Gran Visir y del Capitán Baxá.” Siguen dos cartas del General Hutchinson al Lord Hobart, que dicen así: „Qtiartel general del campo sobre Gizeh 21 de Junio. Aunque no tengo noticia importante que comunicaros, me aprovecho de un correo que va á Constimtinopla para inf</t>
  </si>
  <si>
    <t>e entre las dos potencias, y entre ellas y sus respectivos aliados : avisándonos al mismo tiempo el Lord Hobart ser voluntad de S. M. que se expidan órdenes á los oficiales en xefe, capitanes y comandantes de buques de guerra , para que desde luego se abstengan de todo acto de hostilidad co</t>
  </si>
  <si>
    <t>Hobatt, Lord</t>
  </si>
  <si>
    <t>Lord Hobatt</t>
  </si>
  <si>
    <t>á luz el siguiente extracto: „Tengo la satisfacción de comunicaros que las cartas adjuntas para el Lord Hobatt contienen la noticia de haberse entregado el gran Cayro á las fuerzas combinad s del General Hutchinson, del Gran Visir y del Capitán Baxá.” Siguen dos cartas del General Hutchins</t>
  </si>
  <si>
    <t>Hobhouse</t>
  </si>
  <si>
    <t>to en que se, requiere que la prudencia se hermane con la energía para salvar á la patria.”—También Mr. Hobhouse hizo la censura de la conducta de Mr. Pitt. Y después de defender Mr. Dundas á los Ministros* tomó Mr. Nichols la palabra, y ha* bló con ménos comedimiento contra el ministerio: o</t>
  </si>
  <si>
    <t>Hodgman</t>
  </si>
  <si>
    <t>o en un consejo de guerra, el qual privó de su empleo al oficial, y declaró libre ai contramaestre. Mr. Hodgman, ingeniero en Folkstone, ha inventado una máquina paca sumergirse y permanecer bastante tiempo debaxo del agua. En una experiencia que ha hecho, se paseó durante 18 minutos á otro</t>
  </si>
  <si>
    <t>Holloway</t>
  </si>
  <si>
    <t>que tienen en Egipto”__ El resto de la carta contiene los mismos hechos referidos en la relación de Mr. Holloway. Al fin añade que. los mamelucos, mandados por ei Bey Osman, sucesor de Amurites, se habían juntado con los aliados en número de 500 hombres de excelente caballería; Incluye el Ge</t>
  </si>
  <si>
    <t>Holloway, Carlos</t>
  </si>
  <si>
    <t>Carlos Holloway</t>
  </si>
  <si>
    <t>británico en Gonstantinopla , al Secretario de Estado Hawkesbury, en que lé remite una relación de Mr. Carlos Holloway, y •tra carta del General Hutchinson.dirigida.al Lord Hobart.La del Teniente Coronel Holloway dice así y i Del campamento de ¡Gran Visir en BénalJiaser ázodeMayo* Milord. Tuve la</t>
  </si>
  <si>
    <t>Holloway, Coronel</t>
  </si>
  <si>
    <t>Coronel Holloway</t>
  </si>
  <si>
    <t>ses en Egipto no pasan de 8© hombres. Sin embargo:, el mención ¡do Almirante Blankett ha escrito al Coronel Holloway (que sirve en el exérpb to de! Gran Visir) diciéndole que al cabo de una penosa y arriesgada navegación había entrado en Suez con el único navio de su mando nombra</t>
  </si>
  <si>
    <t>de Mr. Carlos Holloway, y •tra carta del General Hutchinson.dirigida.al Lord Hobart.La del Teniente Coronel Holloway dice así y i Del campamento de ¡Gran Visir en BénalJiaser ázodeMayo* Milord. Tuve la honra de escribiros el 2 de este mes desde Balahieh.El Gran Visir salió de allí el 7 , y llegó</t>
  </si>
  <si>
    <t>ones y esfuerzos de ios oficiales ingleses que qued.&lt;n hombrados&gt; y mas particularmente ai Teniente Coronel Holloway, todo e! fruto de ia acción que se refiere. Aunque se ha concluido en Pet.Tsburgo el convenio de que estaba encargado el Lord Samt-Hcicns, no se publicará hasta que los dos gobier</t>
  </si>
  <si>
    <t>Home</t>
  </si>
  <si>
    <t>Roxo socorros al exército de ^Egipto. Éñ ftierza Celeste'aviso se ha despachado , según parece , á Mr. Home^Popham, mandando unacUvUion de fragatas con destino al már Roxo. j Se sabe que Mr. Ábercrpmbie salid de íetüan para las islas de Malta y Chipre, de donde seguirá a Egipto. Al mism</t>
  </si>
  <si>
    <t>8 navios de línea, 2 fragatas y un brulote. La va mandando el Almirante Hervey. í Parece cierto que Mr. Home~Popham ha ido á relevar al Contra- Almirante Blanquet en el mando de las fuerzas británicas del mar Roxo, en cuya navegación está muy impuesto, por haberlo'recorrido muchas veces</t>
  </si>
  <si>
    <t>Home-Popham</t>
  </si>
  <si>
    <t>no queda duda de su llegada á aquella ciudad. No consta del mismo modo haber llegado la esquadra de Mr. Home-Popham, que también se espera en ei mismo puerto.—_Delante de Alexandría quedaban 40 naves de guerra entre inglesas y turcas. ‘ Él dia 29 á las 6 de la mañana salieron SS. MM. y las Prin</t>
  </si>
  <si>
    <t>Hompesch</t>
  </si>
  <si>
    <t>si una carta en que protestaba contra un escrito que le habian atribuido, y en ei-qual se acusaba á Mr. Hompesch de traición é inteligencia con los franceses. Semlin 18 de Abril. Aseguran que Baswcan-Oglo^v se ha reconciliado con el Baxá de Belgrado, y que se ha sometido á la obediencia del Gra</t>
  </si>
  <si>
    <t>Hongberg</t>
  </si>
  <si>
    <t>rtillería y muchos marineros están ya en marcha para el mismo destino. ^ El Emperador ha nombrado á Mr. Hongberg por su Encargado de Negocios en la República bátava, miéntras que nombra á otro sugeto que vaya á residir en el Haya con el carácter de Enviado. Viena jo de Julio. T odos los ofic</t>
  </si>
  <si>
    <t>Honorato Finesta</t>
  </si>
  <si>
    <t>,.......... 8r. sé. Honorato Finesta........ Honorato y Mariana Dafíach.... Sureda en id.... 36. a&lt;S. Francisco Bocami....... Juan y Ines Roca...................... Santandreu en</t>
  </si>
  <si>
    <t>Hope, General</t>
  </si>
  <si>
    <t>General Hope</t>
  </si>
  <si>
    <t>Después de uña negociación de varios dias, seguida con mucha habilidad y d strezi per ei Brigadier General Hope, se entregaron la plaza y los castillos, con Es condicione* que tengo la honra de remitiros. Ayer á las 5 de la tarde tora mos posesión de.la puerta de Gizeh, como también del cas</t>
  </si>
  <si>
    <t>Hops, General</t>
  </si>
  <si>
    <t>General Hops</t>
  </si>
  <si>
    <t>s francesas y «auxiliares del mando del General de división Belliard, ajustado entre él « Brigadier General Hops por parte del comandante en xefe del exército «británico en Egipto, Osmam-Bey por parte de S, A. el Gran Visir, é «Isaac Bey por la de S. A. el Capitán Baxá; y los ciudadanos Donz</t>
  </si>
  <si>
    <t>Hoyos González, Alonso</t>
  </si>
  <si>
    <t>Alonso Hoyos González</t>
  </si>
  <si>
    <t>ción de la colegial de Santiilana, obispado de Santander, vacante por renuncia que ha hecho de ella D. Alonso Hoyos González, á D. Francisco. Tagle y Velarde. Asimismo se ha servido S. M. nombrar á D. Luis Melendez Bruna, Alcalde de su Real casa y corte, para la plaza de Ministro del Consejo do las Orde</t>
  </si>
  <si>
    <t>Hqllowayi Una, General</t>
  </si>
  <si>
    <t>General Hqllowayi Una</t>
  </si>
  <si>
    <t>emplazar al General-Koehler, que hav muerto en el campamento dehGran Visir fi ha ¡nombrado ;S“M* al General Hqllowayi Una corbeta de 14 cañones, nombrada la Sans-Pareille, que salía de Tolon con medicamentos para Egipto, ha sido apresada por los ingleses. Los accionistas de la compañía oriental han a</t>
  </si>
  <si>
    <t>Hsnrique Larminal</t>
  </si>
  <si>
    <t>les en el término de 30 dias al Alcalde mayor de la mencionada villa. Se desea saber el paradero de D. Hsnrique Larminal, Guardia que fue de la compañía Flamenca , y en el año de 1778 tuvo salida con grado y agregación de Alférez á la plaza de Zaragoza j y por Real despacho de z$ de Agosto de 1783 s</t>
  </si>
  <si>
    <t>Huarte, Francisco</t>
  </si>
  <si>
    <t>Francisco Huarte</t>
  </si>
  <si>
    <t>is^ Vprihibr, Sübrenienüd al -segundo Jóseph .Basv,y » segundo Subteniente al Cadete del de Granada D. Francisco Huarte j y ea el de :León á prhnqr: Tedíente deqgrafn(aderos al de fusileros; EX. Francisco Albanel, y *&lt;ádprimere-Te niente!-'ai“segundo*-Juan; González Ruiz.-.-ni También en el&gt;de drag</t>
  </si>
  <si>
    <t>Hudenist</t>
  </si>
  <si>
    <t>limentar á Alexandro 1 con motivo de su exáltacion al tro*no. Asimismo se ha despachado un correo á Mr. Hudenist, Encargado de Negocios de Austria en Berlín, con orden de qué inmediatamente se trans** fiera á la capital de Rusia, en donde residirá con el mismo carácter hasta la llegada del E</t>
  </si>
  <si>
    <t>Huertos García, Santiago</t>
  </si>
  <si>
    <t>Santiago Huertos García</t>
  </si>
  <si>
    <t>Pedro Juaa Barre, Abogado de los Reales Consejos y Alcalde mayor de aquella villa, por el oficio de D. Santiago Huertos García: previniéndose que su remate está señalado para el dia g de Octubre en las casas consistoriales de dicha villa, " Nuevo licor fragante de xabon, ó xabon hidrocarbonoso oxigenado,</t>
  </si>
  <si>
    <t>Hugo de Moncada</t>
  </si>
  <si>
    <t>mayor Juan Urbina , y el P. D. Tomas Vicente de los caballos de Velazquez, grabadas por Tosca: Q.° D. Hugo de Moneada, el Car­ Goya al agua fuerte , en 42 rs. denal Silíceo , Bartolomé de Carranza, Don Trece estampas grabadas al agua fuerte, de Antonio Covarrubias y Leyva , Antonio Pé­ varios pen</t>
  </si>
  <si>
    <t>Hugo Seymour, Lord</t>
  </si>
  <si>
    <t>Lord Hugo Seymour</t>
  </si>
  <si>
    <t>sición, y también quedáron triunfantes los Ministros. Esta sesión duró hasta las 4 de la mañana. El Lord Hugo Seymour, Vice-Almirante de la bandera azul, y Comandante en xefe en las islas de Sotavento, murió á bordo de la fragata Tísífone, que cruzaba en las aguas de Jamayca: su cadáver fué lleva</t>
  </si>
  <si>
    <t>Hugtíet, Pedro</t>
  </si>
  <si>
    <t>Pedro Hugtíet</t>
  </si>
  <si>
    <t>.....D. Vicente Perez de Tejada. En Zaragoza........ D. Tomas de la Madrid. En Z¿uta................D. Pedro Hugtíet, comisionado subalterno del dé Cádiz. El Consejo á consulta de la Comisión gubernativa, y con aprobación dé S. M., ha acordado la amortización veinte y siete de 447 Vales de 600 p</t>
  </si>
  <si>
    <t>Huguet, Pedro</t>
  </si>
  <si>
    <t>Pedro Huguet</t>
  </si>
  <si>
    <t>........D. Vicente Perez de Tejada. En Zaragoza........ D. Tomas de la Madrid. EnZeuta..............D. Pedro Huguet , comisionado subalterno del de Cádiz. El Consejo á consulta de la. Comisión gubernativa, y con aprobación de</t>
  </si>
  <si>
    <t>.......D. Vicente Perez de Tejada. En Zaragoza........ D. Tomas de la Madrid. En Zeuta... ......... D. Pedro Huguet , comisionadosubalterno del de Cádiz.' ; El Cabildo de la iglesia colegial de la ciudad de Manresa, deseoso de subvenir en quanto le sea posible á las urgencias de la monarquía, r</t>
  </si>
  <si>
    <t>... D. Vicente Perez de Tejada. En Zaragoza......... D. Tomas de la Madrid. En Zeuta............... D. Pedro Huguet, comisionado subalterno . del deCádiz. El Consejo á consulta de la Comisión gubernativa, y con aprobación de S. M., ha acordado la amortización veinte y siete de 447 Vales de 600</t>
  </si>
  <si>
    <t>..... D. Vicente Perez de Tejada. En Zaragoza......... D. Tomas de la Madrid. * EnZeuta.......... . D. Pedro Huguet, comisionadosubalterno del de Cádiz. El Consejo á consulta de la Comisión gubernativa, y con aprobación de S. M., ha acordado la amortización veinte y siete de 447 Vales de 600 pe</t>
  </si>
  <si>
    <t>Hulot, Capitán</t>
  </si>
  <si>
    <t>Capitán Hulot</t>
  </si>
  <si>
    <t>puerto del Havre ha salido para la Isla de Francia la corbeta de la República nombrada el Arietes, Capitán Hulot. Se sabe que han llegado á Mesina algunos transportes con parte de la guarnición francesa del Cayro. Desde Tréveris ha escrito el ciud. J. M. Clotten, célebre antiquario, diciendo</t>
  </si>
  <si>
    <t>Húlse, Teniente General</t>
  </si>
  <si>
    <t>Teniente General Húlse</t>
  </si>
  <si>
    <t>se ha disminuido la mitad de las patrullas que había. Por orden del Duque de Yorck ha comunicado el Teniente General Húlse á las tropas apostadas en las provincias meridionales, que por ahora se suspendían los rigurosos reglamentos hechos recientemente sobre las licenciis, y que se dará cierto número</t>
  </si>
  <si>
    <t>Hultmann</t>
  </si>
  <si>
    <t>90 millones de florines: suipa crecidísima para la República en las actuales circunstancias. Pidió Mr. Hultmann alguna modificación; pero se le negó; y se dice que hay pocas esperanzas de que desistan del todo de dicha suma. Créese en fuerza de esto que el referido comisionado se restituirá</t>
  </si>
  <si>
    <t>Humber, General</t>
  </si>
  <si>
    <t>General Humber</t>
  </si>
  <si>
    <t>turcas.” Se asegura que en Cherburgo se juntan 3© hombres de tropas francesa , y quilas mandará el General Humber, quien tiene baxo sus órdenes la mayor parte de los oficiales irlandeses que le acompañaren quando su primer expedición a Irlanda. Ha expedido el gobierno nueva orden para que se</t>
  </si>
  <si>
    <t>Humphreys</t>
  </si>
  <si>
    <t>cen froqii en teniente sin embargo de los tratados de amistad que hay entre las dos poten* leías. f Mr. Humphreys, nuestro Ministro en la corte de España, se retira de aquel ministerio, y no tardará en volver aquí, en atención á que ningún Enviado americano puede estar ausente de su patria ma</t>
  </si>
  <si>
    <t>Hungo de Velasco, Juan</t>
  </si>
  <si>
    <t>Juan Hungo de Velasco</t>
  </si>
  <si>
    <t>Sargento primero distinguido del de ’Saboya D. Tomas Esteban: en el de Aragón á Capitán al Ayudante D. Juan Hungo de Velasco; á esita ¿resulta al primor Teniente D. Antonio Ortega,; á primer Teniente al segundo de granaderos D. Imiis de Soto; á-se.gnndo Teniente de granaderos al de fusileros D. Pedro -Z</t>
  </si>
  <si>
    <t>Hurtado de Arboleda, Manuel Ventura</t>
  </si>
  <si>
    <t>Manuel Ventura Hurtado de Arboleda</t>
  </si>
  <si>
    <t>lencia, al Maestrescuela D. Francisco Xavier Hernández de Madrid: para la Maestrescoiía al Tesorero D. Manuel Ventura Hurtado de Arboleda: para la Tesorería al Racionero D. Gerónimo Boniila y Hurtado: para la Ración al Medio-Racionero D. Andrés Martínez Perez de Valencia; y para la Media-Ración á D. Joseph García de</t>
  </si>
  <si>
    <t>Hurtado Zapata, Agustín</t>
  </si>
  <si>
    <t>Agustín Hurtado Zapata</t>
  </si>
  <si>
    <t>isco Nandin: Tenencia en el esquadron de Milicias urbanas de caballería de Moquegtia al Subteniente D. Agustín Hurtado Zapata: empleo de Portaguión del regimiento de Milicias urbanas de dragones de Chota al Cadete D. Joseph Manuel Tafur: Compañía de granaderos en el de Milicias urbanas de infantería de A</t>
  </si>
  <si>
    <t>Hutchinson</t>
  </si>
  <si>
    <t>e á formar y exccutar. El Capitán Baxá no llegó á tiempo de ver á Mr. Abercrombie ; pero parece que Mr. Hutchinson, siguiendo las intenciones del difunto General, se valió de las tropas turcas en la expedición contra Roseta , cuya guarnición compuesta de 368 hombres se entregó el 19 del mes úl</t>
  </si>
  <si>
    <t>Hutchinsón</t>
  </si>
  <si>
    <t>ferencia á cartas de Rhódas: suponen que el General Menou salió de Ale— xandría con 3® hombres; que Mr. Hutchinsón. emprendió su alcance á la. frente dé 5© ingleses, y que el General Braith quedaba en marcha de Suez al Cayro con las tropas que habían desembarcado en aquel puerto: finalmente ,</t>
  </si>
  <si>
    <t>os importantes , que le própórcionaban comunicaciones, y por ellos recibía víveres y otros objetos. Mr. Hutchinson, dueño de aquellos puestos, intimó á Menou se-entregase prisionero de guerra con teda su guarnición, si no queria exponerse á todos los riesgos de Un asalto general dado por los t</t>
  </si>
  <si>
    <t>Hutchinson y del Almirante Keith, General</t>
  </si>
  <si>
    <t>General Hutchinson y del Almirante Keith</t>
  </si>
  <si>
    <t>brada el Mondoví, procedente de Egipto: tardó en su navegación 8 semanas y 3 dias. Trae pliegos.del General Hutchinson y del Almirante Keith, que según se dice’ no contienen noticias importantes. El dia 8 de Julio concluyó el plazo señalado ál General Meóeu pata que aceptase la capitulación del Cayro, y no la había adm</t>
  </si>
  <si>
    <t>Hutchinson y del Capitán Baxi, General</t>
  </si>
  <si>
    <t>General Hutchinson y del Capitán Baxi</t>
  </si>
  <si>
    <t>ría Leake con el Baxá Tahir, á fin de servirles en quanto pudiésemos.__ Las fuerzas, combinadas del General Hutchinson y del Capitán Baxi quedan á 5 leguas en el Delta, y las esperamos aquí pasado mm na ó el otro día. Hoy recibí una carta del General; me avisa que ha cogido una partida de 5^0 camellos-y, 600 .france</t>
  </si>
  <si>
    <t>Hutchínson, General</t>
  </si>
  <si>
    <t>General Hutchínson</t>
  </si>
  <si>
    <t>El General Abercrombie de resultas de su herida se retiró al navio Fóudroyani, dexando el mando al General Hutchínson, Fasta que se restablezca. El dia 2 llegó aquí de Bombay ei General Mackenzie, quien asegura!que será imposible enviar tropas de la India al mar Roxo , porque la compañía carece d</t>
  </si>
  <si>
    <t>Hutchinson, General</t>
  </si>
  <si>
    <t>General Hutchinson</t>
  </si>
  <si>
    <t>para Munich¿ Londres 6" de Junio. A yer se publicó en gazeta extraordinaria la siguiente ¿arta del General Hutchinson, dirigida al Ministro de S. M. ,,Campamento sobre Alexandria jo de Abril de 1801. Os participo con gusto las ventajas que ha conseguido un cuerpo de ingleses y turcos mandado por</t>
  </si>
  <si>
    <t>parte superior del Delta y con el Alto Egipto, de donde reciben sus víveres.; En atención á esto el General Hutchinson ha reforzado sus puestos entre Abukir y Alexandría, no solo con una línea de baterías de frente, sino también abriendo las exclusas que detenían las aguas del lago por su izquierd</t>
  </si>
  <si>
    <t>Egipto que el Lord Eigin recibió antes de ayer» y cuya fecha no pasa del 22 de Abril» parece que el General Hutchinson, después de obligar á los enemigos á retirarse á sus lineas de Alejandría, aguarda refuerzos para seguir sus empresas. El correo portador de estos pliegos asegura que á su partida</t>
  </si>
  <si>
    <t>á en el puerto de Alexandría. En conseqüencia de estas disposiciones de los enemigos ha resuelto el General Hutchinson onerse también en campaña : y así en vez de mantenerse en sus puestos S elante de Álexandría, y aguardar allí ios refuerzos, hi determinado atacar d ios franceses er&gt;Rhámanieh, da</t>
  </si>
  <si>
    <t>de tierra: de forma que la guarnición fr.ncesa time pocas esperanzas de recibir socorros. Ademas el General Hutchinson ln mandado abrir fosos profundos y tirar una línea de circunvalación guarnecida de reductos para impedir las salidas de los sitiados; y por el mar "una línea de navios y fragatas</t>
  </si>
  <si>
    <t>rp de Junio. E 1 Lord Minto ha recibido un correo con cartas del Lord Keith, quien le avisa que el General Hutchinson atacó el 9 de Mayo á los franceses cerca de Rhamanieh: hiciéron los enemigos alguna resistencia y se retiraron. Poco después se entregó la guarnición de aquella fortaleza. Minden</t>
  </si>
  <si>
    <t>ue un refuerzo de 3® ingleses llegó á Abukir el 6 de Mayo. Firmado. Elgin.” Extrañan^algunos.que el General Hutchinson no haya despachado directamente avisos de esta victoria al gobierno, y que la carta del Lord Elgin nó contenga mas circunstancias sobre aquel suceso» Otras gazetas añaden que se h</t>
  </si>
  <si>
    <t>etario de Estado Hawkesbury, en que lé remite una relación de Mr. Carlos Holloway, y •tra carta del General Hutchinson.dirigida.al Lord Hobart.La del Teniente Coronel Holloway dice así y i Del campamento de ¡Gran Visir en BénalJiaser ázodeMayo* Milord. Tuve la honra de escribiros el 2 de este mes</t>
  </si>
  <si>
    <t>ado de Luneville. Continuación de las noticias de Londres del 21 de Julio. Lxtracto de la carta del General Hutchinson al Lord Hobart, inserta en la gazeta extraordinaria de la corte de este dia: „Quartel general del campamentos cerca de Alkam, i.° de Junio de 1801. Los franceses abandonáron el 7</t>
  </si>
  <si>
    <t>ndaba en la cindadela del. Gayro, y el General de brigada Almeyrás en Gizeh. El exército ingles del General Hutchinson se hallaba ett {Terrahnée, y el ¿Capitán Baxá con su esquadrilla en elNilo, á la altura de Terrannée, apoyando al exército1 ingles. El Gran Visir, que estaba enBek beis, se habia</t>
  </si>
  <si>
    <t>s de Egipto que se había enviado contra los castillos del Cayro mucha artillería de batir, y que el General Hutchínson había recibido por varias partes refuerzos crecidos de tropas inglesas. De Constantjnopla han calido 2 fragatas turcas para aumentar la esqúadra del Almirante Warren ; &lt;y el Gran</t>
  </si>
  <si>
    <t>el Lord Hobatt contienen la noticia de haberse entregado el gran Cayro á las fuerzas combinad s del General Hutchinson, del Gran Visir y del Capitán Baxá.” Siguen dos cartas del General Hutchinson al Lord Hobart, que dicen así: „Qtiartel general del campo sobre Gizeh 21 de Junio. Aunque no tengo n</t>
  </si>
  <si>
    <t>, y no.de 15,. coma/se imprimió. Algunas cartas particulares de Egipto de fecha posterior á las del General Hutchinson expresan que había empezado áJ cumplirse el convenio dtl Cayro: los exércitos ingles y francés iban marchando hacia Roseta en dos líneas paralelas; pero nada dicen en orden á la det</t>
  </si>
  <si>
    <t>opla, que c~rca de El-Hanca habían hecho gr;-n destrozó en el exército otomano. Por la relación del General Hutchinson se ve que 53. franceses bastaron para detcnaer cerca de dos meses las cercanías del Cay-, ro en ambas Otilias del Nilo contra las fuerzas del Gran Visir, que constaban de 12 á 15®</t>
  </si>
  <si>
    <t>General Baird y las tropas de su mando que desembarcáron en Suez, se habían incorporado con 1 s dd General Hutchinson, y el exército combinado qued ba en marcha para Alejandría.__ De Portsmouth zarparon el dia 29 la chalupa de guerra el Mondoví y.la fragata Aretusa: esta va á la Madera, y aquell.</t>
  </si>
  <si>
    <t>a Inglaterra por los preliminares de paz. Londres 20 de Noviembre. E n sus últimos pliegos avisa el General Hutchinson que acababa de hacerse el embarco de las últimas tropas de la guarnición del Cayro, cuyo total ascendía á 13© hombres, de los quales 10® son franceses. Se han repartido entre ingl</t>
  </si>
  <si>
    <t>Hutchinson, Teniente General</t>
  </si>
  <si>
    <t>Teniente General Hutchinson</t>
  </si>
  <si>
    <t>Agosto. _¿n gazeta extraordinaña-de hoy ha,publicado la corte pliegos recibidos por duplicados del Teniente General Hutchinson, inclusos en una carta del Conde Elgin, fecha en Constantinopla á 18 de Julio, y dirigida al Lord LJaukesburi, de la qual se ha dado á luz el siguiente extracto: „Tengo la satisfa</t>
  </si>
  <si>
    <t>Hutehinson, General</t>
  </si>
  <si>
    <t>General Hutehinson</t>
  </si>
  <si>
    <t>causa terrible mortandad en Egipto, y también en los campa* mentos de los ingleses y los turcos. El General Hutehinson intimó la rendición de la plaza de Alexandría: el General Menou le envió á decir que no responderla á semejante proposición denigrativa sino á cañonazos. Por un correo de Augsburg</t>
  </si>
  <si>
    <t>I Ll General Beurnonviile</t>
  </si>
  <si>
    <t>y consiguió satisfacer y apaciguar á las tropas. . . j» Berlín jg&gt; de Agosto. &gt; I Ll General Beurnonviile, Ministro de la República francesada repetido sus instancias sobre la cesión del Ducado de Cleves. No solamente se dice que se dará en resarcimiento al Rey de Prusia los. obispado* de Múnst</t>
  </si>
  <si>
    <t>Ibáñez Falomir, Joseph</t>
  </si>
  <si>
    <t>Joseph Ibáñez Falomir</t>
  </si>
  <si>
    <t>y para el Beneficio Préstamo de la parroquial de Cinco Alquerías, en la misma diócesis, que obtenia D. Joseph Ibañez Falomir, á D. Joseph Trigueros. • Atendiendo él Rey á los méritos y servicios del presbítero D. Dionisio Señan y Pastor, ha venido en nombrarle para el Curato del Real sitio de S. Fernand</t>
  </si>
  <si>
    <t>rancisco de Macia: para una Canongía de la metropolitana de Tarragona, vacante por fallecimiento de D. Joseph Ibañez Falomir, á D. Pedro Ramón de Juárez, Cura de la parroquial de Santiago de la ciudad de Darocar para una Canongía de la catedral de Tudela, vacante por muerte de Don Benito Eslava, á D. Ju</t>
  </si>
  <si>
    <t>Ibáñez, Gaspar</t>
  </si>
  <si>
    <t>Gaspar Ibáñez</t>
  </si>
  <si>
    <t>ero de la Administracioa y Tesorería de la Renta del Tabaco de Honda á D. Joseph María de la Rocha, D. Gaspar Ibañez y D. Tomas Goinez de Cos; y para la plaza de Portero de ia Administración de la aduana de Guayaquil á I). Francisco de Cora. A conseqiiencia de haberse dignado S. M. mandar en Real cé</t>
  </si>
  <si>
    <t>Ibáñez, Vicente</t>
  </si>
  <si>
    <t>Vicente Ibáñez</t>
  </si>
  <si>
    <t>enientes D. Medardo Ximenez de Bagues y D. Francisco Vileta; á primeros Subtenientes á los segundos D. Vicente Ibañez y D. Ildefonso Orta;y á segundos Subtenientes á los agregados en esta clase á los de Mallorca y Toledo D. Bernardo Martínez de Artieda y D. Pedro Idermosilla, y al Sargento primero D.</t>
  </si>
  <si>
    <t>Ibarra, Joseph Vicente</t>
  </si>
  <si>
    <t>Joseph Vicente Ibarra</t>
  </si>
  <si>
    <t>or Don Manuel de Velasco, 4 por D. Juan Antonio Martínez de Hermosilla, y t : por el yice-archivero D. Joseph Vicente Ibarra. Otros prémiós dé 100 rs.t recibieron quatro discípulos de la Real academia de S. Cáflos , artesanos áü fabricantes* ofrecidos 2 porj la socíedad y 1’ por el dibho contador. A to^</t>
  </si>
  <si>
    <t>Ibarra, Simón</t>
  </si>
  <si>
    <t>Simón Ibarra</t>
  </si>
  <si>
    <t>de Aragón á Capitán primero aí primer Ayudante D. Gerónimo Moreo; á esta resulta al Capítan segundo D. Simón Ibarra; á Capitán segundo al primer Teniente Don Joseph Torres; á primer Teniente al segundo D. Pedro Gasea; á segunde Teniente al primer Subteniente D. Justó Racax; á primer Subteniente</t>
  </si>
  <si>
    <t>Ibarrola, Joseph</t>
  </si>
  <si>
    <t>Joseph Ibarrola</t>
  </si>
  <si>
    <t>37* 7* Joseph Ibarrola... Juan Pedro... Xaviera Larrea... Puente la Reyna.</t>
  </si>
  <si>
    <t>Iberti, Joseph</t>
  </si>
  <si>
    <t>Joseph Iberti</t>
  </si>
  <si>
    <t>ue pueden servir para el uso de las Escuelas de primeras letras : trapapel, y 10 en pasta. Su autor D. Joseph Iberti. Discurso sobre las ventajas que puede ducidos por D. Juan de Escoiquiz. conseguir la industria de Aragón con la Noticia instructiva del uso y operaciones nueva ampliación de puer</t>
  </si>
  <si>
    <t>Ico-doro Eringes, Pedro</t>
  </si>
  <si>
    <t>Pedro Ico-doro Eringes</t>
  </si>
  <si>
    <t>a y D, Vicente de León; y en el de Móntete;/ a Suht: nientes de bandera á D» Joseph Domínguez Gil y D. Pedro Ico-doro Eringes. El Rey se ha servido nombrar á D. Antonio de Gamiz, Oiicial mayor primero de la Secretaría de Estado y del despacho de Marina, para Ja plaza;</t>
  </si>
  <si>
    <t>Igcacio Lacaba</t>
  </si>
  <si>
    <t>ompleto de anatomía del cuerpo humano , dedicado al Rey Ntro. Sr. por el Dr. D. Jayme Bonells y por D. Igcacio Lacaba» en g tomos en 8.° francés. En este curso, completo en todas sus partes, se da en el discurso preliminar una breve historia de la anatomía desde su origen hasta el siglo xvm. En l</t>
  </si>
  <si>
    <t>Igelxno, Manuel</t>
  </si>
  <si>
    <t>Manuel Igelxno</t>
  </si>
  <si>
    <t>........... 46. so. Manuel Igelxno.... Manuel......... María Delgado.... Castro Mocho. Valladolid...... 41. xs. Antonio Jarea..... Andrés.......... María Vázquez.... S. Pablo de</t>
  </si>
  <si>
    <t>Iglesias, Joseph</t>
  </si>
  <si>
    <t>Joseph Iglesias</t>
  </si>
  <si>
    <t>para la de Guarda mayor Visitador de la lienta de tabacos de Pore, en la provincia de los Llanos, á D. Joseph Iglesias: para las plazas de Oficiales pi-itnero, segundo y tercero de la Administracioa y Tesorería de la Renta del Tabaco de Honda á D. Joseph María de la Rocha, D. Gaspar Ibañez y D. To</t>
  </si>
  <si>
    <t>Ignacia</t>
  </si>
  <si>
    <t>^sacár^. 4iPÚl?i|fK^ubasta. Jos bienes y efectos perteue&lt;áentes á la memoria qué en Esquivias fundó Doña Ignacia de ia Higuera, que se compo—. nen de unas c¿is^ principales , . un .molino de acey te contiguo á ellas con su almacén , vasijas y pertrechos * bodega y cueva con 8 cubas , sus tinaja</t>
  </si>
  <si>
    <t>IgnacioGoz</t>
  </si>
  <si>
    <t>del de Málaga:: en el batallen de Voluntarios de Valencia á segundo Teniente al primer Subteniente D. IgnacioGoz ivez;. á primeros Subtenientes á los segundos D. Antonio Martin y D. Francisco Pueiles, y á segundos Subtenientes á D. Joseph Letamendí,, Cadete del regimiento de infantería de la</t>
  </si>
  <si>
    <t>Igunos</t>
  </si>
  <si>
    <t>era‘parte. De los hueblico los juegos se venderán á la rústica, sos del esqueleto de un adulto. Por D. Igunos con láminas, otros sin ellas. Todos lle­ nacio Lacaba y D. Isidoro de Isaura. Este privarán á lo menos el retrato del Rey , y el mer quaderno contiene nueve estampas, cuyas de Cés</t>
  </si>
  <si>
    <t>II, Carlos</t>
  </si>
  <si>
    <t>Carlos II</t>
  </si>
  <si>
    <t>del Capitán General Marques de Buscayolo, maestro en el arte mi» litar del Sr. Cárlos II, y un discurso sobre el medio de conquistar el reyno de Portugal. Véndese en la librería de Gómez , calle de las Carret</t>
  </si>
  <si>
    <t>III, Carlos</t>
  </si>
  <si>
    <t>Carlos III</t>
  </si>
  <si>
    <t>:. r Por providencia del Sr. D. Manuel Pérez de Rozas, Caballero dé la orden de Cárlos III, del Consejo de SI M. , Alcalde de su Real casa y corte , y á cónse.qüencia de Reales órdenes ? por la escribanía de pr</t>
  </si>
  <si>
    <t>. Por providencia del. Sr. D. Manuel Perez de Rozas , caballero de la orden ,de Cárlos III, del Consejo de S. M. , Alcalde de su Real casa y corte , á conseqiieneia de las Reales órdenes, y por la escribanía de</t>
  </si>
  <si>
    <t>En esta obra, que ya se compone de «j tomos; á saber, a del reynado del Sr. D. Cárlos III, y 3 de nuestro actual Monarca, se encuentran insertas literalmente todas las providencias generales expedidas desde el</t>
  </si>
  <si>
    <t>III, Felipe</t>
  </si>
  <si>
    <t>Felipe III</t>
  </si>
  <si>
    <t>que comprehende la Corona de Aragón i aprobadas por el Rey desde el reynado de Felipe III hasta el de D. Pedro IV en 1353. ¡ traducidas con inserCarlos II, por D. Jo$éph Antonio de Abreü ción de los textos ori</t>
  </si>
  <si>
    <t>Ilaw</t>
  </si>
  <si>
    <t>con el mismo motivo , quejándose Mr. Grey del perjuicio que la paz podría causar al Portugal; ;ptrp Mr. Ilaw</t>
  </si>
  <si>
    <t>Ildefonso</t>
  </si>
  <si>
    <t>r Rengel; á. segundo Teniente al Alférez D. .Francisco Serrano; .á Alféreces á los Portaestandartes D, Ildefonso.Quintana y Lafita y.i D. Carlos Lanzarote,y á Portaestandartes al Sargento-D.Franci'ÍsepfOv*M*í do y á los Cadetes D. Joseph Cerón y D. Manuel Arjona : en ei dei Itífaii-, te á Al</t>
  </si>
  <si>
    <t>Ildefonso Crespo Manjon</t>
  </si>
  <si>
    <t>illería de Granada, al Alcalde mas antiguo de ella D. Ignacio de Guzman y Lecaroz; y esta resulta á D. Ildefonso Crespo Manjon. - Ultimamente se ha servido S.M. nombrar para el Corregimiento deLetras déla ciudeíd de Toro á Joseph Joachín Fernandez de Ocampo: para el de la ciudad de .Santo Domingo de la Ca</t>
  </si>
  <si>
    <t>Ildefonso Gómez Ramírez Liman</t>
  </si>
  <si>
    <t>uela Don Manaho Titñqteo.de Escandon y Llera; y para la Maestrescolía al Canónigo Magistral de ella D. Ildefonso Gómez Ramírez Liman. S. M. ha nombrado Ayudante primero del batallón de milicias disciplinadas de blancos de Caracas al Cap.itan D. Luis Santinely. - El Mercurio histórico y político de Julio se hall</t>
  </si>
  <si>
    <t>Ildefonso González</t>
  </si>
  <si>
    <t>enos D. Ramón Salazar, Doft Joachín Royo, D. Antonio' Capilla,\D. Isidoro Capilla, D. Vicente Royo, D. Ildefonso González, D. Francisco Rimont, D, Joseph Latasa Hernández de Larrea y D.: Salyador Sobrevillahabiendo este demostrado prácticamente Jas diferentes maneras de inxerir á-entera satisfacción</t>
  </si>
  <si>
    <t>Ildefonso Llop</t>
  </si>
  <si>
    <t>llar de coches de las Vistillas , por Tomas Modino, WajkeJia y Jerry. Se desea saber el paradero de D. Ildefonso Llop, que en tiempo de U «oer*ra con Francia estaba empleado en las oficinas de cuenta y razón de artillen* del exército de operaciones de Navarra , y uo ha habido noticia de él desde</t>
  </si>
  <si>
    <t>Ildefonso Quintana</t>
  </si>
  <si>
    <t>el Príncipe se ha servido el Rey promover á segundos Tenientes á los Alféreces D. Cirios Lanzarote, Don Ildefonso Quintana y D. Francisco Oviedo; á Alféreces á los Portaestandartes D. Joseph Lináres y D. León de León, y á Portaestandartes al Sargento D. Valeriano García, y á los Cadetes del de caballería</t>
  </si>
  <si>
    <t>Ildefonso Suárez</t>
  </si>
  <si>
    <t>iente de granaderos ai primer Subteniente D. Andrés Federic y Auge; á primer Subteniente al segundo D. Ildefonso Suarez, y á segundo Subteniente al Sargento primero de granaderos D. Esteban Alvarez: en el de Borbon á segundo Subteniente al Sargento primero de granaderos D. Lorenzo Laborié: en el de</t>
  </si>
  <si>
    <t>Ilutchinson, General</t>
  </si>
  <si>
    <t>General Ilutchinson</t>
  </si>
  <si>
    <t>nomia 2gde Maya. Un oficial despachado por el Capitán Ba%í acaba de llegar con la noticia de que el General Ilutchinson se puso en marcha de Roseta el dia 8 al frente de 4® hombres de tropas inglesas, y un cuerpo otomano de igual fuerza mandado por el Capitán Baxá. El 9 Jos franceses atacados en Rh</t>
  </si>
  <si>
    <t>ublicado todavía. Un correo que salió de Constantinopla el 26 de Agosto ha traído también cartas dd General Ilutchinson , que alcanzan hasta 25 de Julio. Quedaba delante del Cayro con 20© ingleses. Un cuerpo de los mismos y de otomanos de mas de 12© hombres acompañó hasta Roseta al exército del Gen</t>
  </si>
  <si>
    <t>IMefonso de Yóldi y Uclés</t>
  </si>
  <si>
    <t>D, Ma«*ei Méndez&gt; y á segtmdo^ Subtenientes al Gadete dd regimiento de infantería fixo de Guatemala D. IMefonso de Yóldi y Uclés i D. Buenaventura Tomasa , á este en calidad de agregado. En atencion á las circunstancias de Dv Joseph de Masdévall, primer Médico de Cámara de S.M. ,se haservidoconcederlelos ho</t>
  </si>
  <si>
    <t>Imiis de Soto</t>
  </si>
  <si>
    <t>á esita ¿resulta al primor Teniente D. Antonio Ortega,; á primer Teniente al segundo de granaderos D. Imiis de Soto; á-se.gnndo Teniente de granaderos al de fusileros D. Pedro -Zmoz; á segundo Teniente al Subteniente de granaderos D. Medardo Ximenez de Bagues-,; á Subteniente de granaderos al p</t>
  </si>
  <si>
    <t>Indiano, Pablo</t>
  </si>
  <si>
    <t>Pablo Indiano</t>
  </si>
  <si>
    <t>de Buenaventura: para el de Administrador subalterno de las Rentas de tabacos y pólvora de Neyba á D. Pablo Indiano: para la plaza de Oficial mayor de la Contaduría de la Administración de tabacos</t>
  </si>
  <si>
    <t>Iñigo López de Mendoza</t>
  </si>
  <si>
    <t>s. Se hallará en la librería de Hurtado ,'calle de las Carretas. Nueva edición de los Proverbios de D. Iñigo López de Mendoza , y las Coplas de D. Jorge Manrique, todo con sus glosas: estas dos obritas tan apreciadas de los sabios , ya por su gran mérito la doctrina y erudición , ya por ser clásicas en ó</t>
  </si>
  <si>
    <t>s. so Cano , Bartolomé de Murillo, y Juan de Quatro estampas de devoción , en quarto, Herrera: 13." D. Iñigo López de Mendoza, grabadas por.Carmona y Ballester , en 8 rs. Juan Gines de Sepúlveda , Francisco de Sa­ Retrato del Rey nuestro Señor , en medio linas, Fr. Benito Gerónimo Feixoo, D. Alon­ pliego</t>
  </si>
  <si>
    <t>Inquisidor, Arzobispo</t>
  </si>
  <si>
    <t>Arzobispo Inquisidor</t>
  </si>
  <si>
    <t>de Santa María de Escala D„ Luis d§ Borbon, y ios Excmos. Sres. Duque de Ribas, Duque de S. Cárlos, Arzobispo Inquisidor general, D. Juan de Lángara, D. Joseph Alvarez de Faria, y Marques de Paredes. Después celebró de pontifical el mismo Emo. Sr. Cardenal de Santa Alaría de Escala D. Luis de Borbon</t>
  </si>
  <si>
    <t>Instrucción</t>
  </si>
  <si>
    <t>ra escribir á todas las ciu­ en pergamino , y 9 en papel. : dades, villas Jkc. : 2 tomos en 4.0 por Don Instrucción. para la recaudación de los Bernardo Espinalt y García , á 40 rs. en pas­ bienes mostrencos , vacantes y abintestatos ta, 34 en pergamino , y 30 en papel. con inserción del Real D</t>
  </si>
  <si>
    <t>Intendente Corregidor</t>
  </si>
  <si>
    <t>Julio de este año en las casas consistoriales, i presencia del Capitán general, Intendente Corregidor, caballeros Ventiquatros, y otras personas del primer respeto y distinción del pueblo por su empleo, nobleza y literatura, un exámen público, en que se produxé</t>
  </si>
  <si>
    <t>Intendente de</t>
  </si>
  <si>
    <t>.de'' Prado, Cabalíero de la Real y distia-* guida órdénespañóla de Cárlos lII, Intendente de ‘ los Reales ejércitos y general de Toiedopcptóííforfátíó^ór p. M.^á¡ta.Ia éXeéücioii de los1 Reales^decretos de ijgr Setfcmbrc i*de[ ;i 7^^ corisqlidaciali de</t>
  </si>
  <si>
    <t>s Términos perentorios, que de Real orden se les señaló.por la circular del Sr. Intendente de ¿6 de'Marzo;de x8qo, se han mandado subastar las 'fincas propias de los establecimientos píos de Mas villas siguientes. rrr Alamo. Memoria de D. 'Nicolás Delga</t>
  </si>
  <si>
    <t>Intendente de aó de Mar</t>
  </si>
  <si>
    <t>términos peremorjkjs,rque de Rpal órd§ n se* íes señaló por la circular del Sr. Intendente de aó de Mar^o de *8oo, se han rnan-v dado sqbastar las fincas, propias de los establecimientos píos ?de las villas, siguientes.=rAlmonacid dc Zorita. Cofradíade la sacrame</t>
  </si>
  <si>
    <t>Intendente de dicha ciudad en</t>
  </si>
  <si>
    <t>en 431 &amp; rs. á pagar en vales Reales, cuyo remate se halla aprobado por el Sr. Intendente de dicha ciudad en 2 de Diciembre de 1801; y por si hubiese quien hr.ga la mejora del quarto se ha mandado por el mismo Intendente , en virtud de órden de la Comisión gubernativa</t>
  </si>
  <si>
    <t>Intendente de esta</t>
  </si>
  <si>
    <t>llos en metálico y lo demas en vales reales; y para la mejora del quarto el Sr. Intendente de esta, provincia ha señalado el término de 3a días, contados desde 11 de este mes. A voluntad de su poseedor se venden fas tierras y viñas qué se expresan;, existent</t>
  </si>
  <si>
    <t>Intendente de esta provincia</t>
  </si>
  <si>
    <t>239 rs. 19 mrs;, por el mismo precio en papel moneda, se ha aprobado por ei br. Intendente de esta provincia, y señalado para la mejora de su quarta parte el término de 30 dias, que cumplirán en ob del presente mes Quien quisiere hacerla acuda á ia escribanía dei núme</t>
  </si>
  <si>
    <t>r providencia del Sr. D. Juan de Moráles Guzman y Tovar, del Consejo de S. M. é Intendente de esta provincia, por su auto de ai de Febrero último , se ha señalado el término perentorio de 30 dias para la mejora del quarto á todas las fincas de las obras pias erigidas</t>
  </si>
  <si>
    <t>da 30 días contados desde 3 del corriente, con arreglo á lo mandado por el Sr. Intendente de esta provincia. -- -&gt; ,; La casa sita en esta corte en la calle de Hortaleza , núm. 17,-manz. 317 , tasada en 67,472 rs, , se remató en la misma cantidad á pagar en papel mon</t>
  </si>
  <si>
    <t>nandez Izquierdo, en el término de 30 dias^ con arreglo á lo mandado por el Sr. Intendente de esta provincia* Quien quisiere hacer postura á dos casas sitas en esta corte calle ancha de Sanr Bernardo, la una señalada con los núms. a- y 3 de la manz. 491 , propias del</t>
  </si>
  <si>
    <t>Intendente de ésta provincia</t>
  </si>
  <si>
    <t>30 dias contados desde Í3'deIcorr Tientv;, con arreglo á lo mandado per el Sr. Intendente de ésta provincia» Está sefi t^ado para el remate de una casa sita en lá calle de ¡a Madaléna, qué *h'ace esquina y vustve á la del Olivar, núm* 9, manz. 9, tasada en 98,940 rs.</t>
  </si>
  <si>
    <t>que fué tasada,á pagar en vales Reales, cuyo remate' se ha aprobado por el Sr. Intendente de esta provincia, y señalado para la mejora del quarto 30 días que corren desde 14 del corriente. Quien quisiere hacerla acuda ante el Sr. D. Juan Antonio Santa María por la es</t>
  </si>
  <si>
    <t>de 30 dias contados desde ai de Setiembre, con arreglo á lo mandado por el Sr. Intendente de esta provincia. Por el Lie. D. Manuel Angel Carranclo, Juez comisionado en virtud de orden de S. M. para la enagenacion de fiuc&amp;sde los establecimientos piadosos existentes e</t>
  </si>
  <si>
    <t>mino de 30 dias para la mejora de su quarta, conforme á lo manda&gt; do por el Sr. Intendente de esta provincia. Quien quisiere hacer dicha mejora acuda ante el Sr. D. Juan Antonio Santa María, y escribanía del número de Don Gervasio Fernandez Izquierdo. A conseqüencia d</t>
  </si>
  <si>
    <t>del número de D. Gervasio Fernandez Izquierdo, conforme á lo mandado por el Sr. Intendente de esta provincia. A conseqíiencia de las Reales resoluciones de S. M. relativas á la enagenacion de fincas pertenecientes á establecimientos piadosos , se venden ¿n el Real sit</t>
  </si>
  <si>
    <t>que por lo ménos no llegue á su quarta parte, conforme á lo mandado por el Sr. Intendente de esta provincia. Por el juzgado del Sr. D. Juan Antonio Santa María, del Consejo de S. M., primer Teniente Corregidor de esta villa , se están subastando dos casas sitas en lo</t>
  </si>
  <si>
    <t>Intendente de esta provincia el término</t>
  </si>
  <si>
    <t>9 rs., y rematada en 191^, pagaderos en papel moneda, se ha señalado por el Sr. Intendente de esta provincia el término de 30 diss, que cumplirán en 13 del próximo mes de Mayo. Quien quisiere hacerla, acudirá ante, el referido.Sr. D. Juan Antonio Santa María, por la escribanía del</t>
  </si>
  <si>
    <t>Intendente de esta provincia en</t>
  </si>
  <si>
    <t>ntregar la quinta parte en metálico; y habiéndose aprobado el remate por el Sp. Intendente de esta provincia en 26 de Mayo, stiia-ó S. S. para la mejora del quarto 30 dias de término, que deberán contarse desde aquella fecha. Quien quiera executarla acuda á la citada aud</t>
  </si>
  <si>
    <t>Intendente de esta provincia ha aprobado el remate celebrado en</t>
  </si>
  <si>
    <t>""El Sr. Intendente de esta provincia ha aprobado el remate celebrado en 4 de Marzo , de la casa, calle de Jacometrezo, con vuelta á la del Horno de la Mata.,¡núm* 16 , manz.. 373, tasada en &lt;57,476 rs., por la cantidad de 114,300 r</t>
  </si>
  <si>
    <t>Intendente de esta provincia por decretos</t>
  </si>
  <si>
    <t>egará en la calle del Príncipe, inmediato á la de la Visitación, num. 3, *E? sí Intendente de esta provincia por decretos de .7 del corriente ha se-1 Balado el término de 30 días contados desde aquel, para la mejora defquarto í lis las ca'as siguientes: una en. la plaza ca^as siguí „</t>
  </si>
  <si>
    <t>Intendente de esta provincia por su decreto de ó</t>
  </si>
  <si>
    <t>en la cantidad de 32,341 rs. en vales Reales, el qual se ha aprobado por el Sr. Intendente de esta provincia por su decreto de ó&gt;del corriente, y señalado 30 dias para la mejora del quarto, contados desde el mismo dia. Igualmente, se ha ^rematado otra casa sita en la calle Real de dicha</t>
  </si>
  <si>
    <t>Intendente de esta provincia por sus decretos</t>
  </si>
  <si>
    <t>del Duque de Alba, ó en Burgos •al referido D. Ambrosio Valdivielso. - . El Sr. Intendente de esta provincia por sus decretos de 27 de Mayo último y 5 de este mes ha señalado el término de 30 di as contados desde dichas fechas para la admisión de la puja del quarto á las fincas siguiente</t>
  </si>
  <si>
    <t>Intendente de este dicho sitio</t>
  </si>
  <si>
    <t>de Infantes , en 138^. Quien quisiere hacer postura á ellas, acuda ante el Sr. Intendente de este dicho sitio, por la escribanía principal de él y en el término de 30 dias , en inteligencia de que cumplidos, al tercero siguiente , concurriendo postores con proposicione</t>
  </si>
  <si>
    <t>intendente de ia a</t>
  </si>
  <si>
    <t>íase los empleados en das ^¿ficióas de víveres» los panaderos» los cirujanospel¿intendente de ia a¿me</t>
  </si>
  <si>
    <t>Intendente de la misma provincia</t>
  </si>
  <si>
    <t>andante general de las armas del Cuzco, Presidente de aquella Real Audiencia, é Intendente de la misma provincia. Por ei juzgado- del Sr. D; Miguel Munarriz:, del Consejo de S. M.,. su Alcalde de casa y corte* y escribanía de provincia de D. Juan Antonio Díaz Nariega, est</t>
  </si>
  <si>
    <t>Intendente de los Reates exércitós</t>
  </si>
  <si>
    <t>■’J' Pér él ®r/£B^¿iJnan ^d© ;Md?áfés'&gt;^dénMn?'yrirb^Íé ^dél-Gdfiseji dé S. M., Intendente de los Reates exércitós, y de la provincia dé Madrid;, y Jdéz de sus ababos fec*v ée é?tá ¿ llamáí 3^ énsplaza á todos los duéfiosdelos cien oficios de fteceptoéde&lt;- iba'Reales Consej</t>
  </si>
  <si>
    <t>intendente de marina</t>
  </si>
  <si>
    <t>JKrcRid^^egec^x^fe,,de administracióno intendente de marina, de Brest día el 22 de este mes &gt; en celebridad de la paz, un espléndido banquete á que.- asistieron los Generales^ demas xcfes; y por la noche una lucidísima</t>
  </si>
  <si>
    <t>Intendente de Palencia</t>
  </si>
  <si>
    <t>. M. por espacio de 60 años en los empleos dé Comisario de Guerra, Ordenador, é Intendente de Palencia, Jaén, Burgos y Zamora. Siendo Comisario de Guerra se halló en la última expedición de Portugal, y exerció las funciones ^Ministro de Hacienda en las plazas de</t>
  </si>
  <si>
    <t>Intendente de provincia</t>
  </si>
  <si>
    <t>aContador de exército en Mallorca, se ha dignado .el, Rey concederle honores de Intendente de provincia: **.“• f f 1 ; i En América. El Rey ha nombrado para el Obispado de la. Luisiana al Rmo. P. D. Francisco Porro , General de los Clérigos menores. El domingo 10</t>
  </si>
  <si>
    <t>Intendente de Toledo</t>
  </si>
  <si>
    <t>e la Llave Valdés, de aque.lla vecindad^ y habiéndose aprobado el remete por el Intendente de Toledo, se ha mandado sacar nuevamente por término de 69 4$?» que princjpiáron á correr el 15 del corriente. Quien quiftere hacer mejor# del quarto acudirá á verifica</t>
  </si>
  <si>
    <t>Intendente de Toledo al Corregidor de Ja villa de lUéstas</t>
  </si>
  <si>
    <t>678 ferida por el Intendente de Toledo al Corregidor de Ja villa de lUéstas, S2 sac;in á pública subasta ios bienes y í.f-cros pertenecientes á Ja ^memoria que en laViJJa de Esquívias fundó p&lt; ñ'. Ignacia de la Higuera, que se componen</t>
  </si>
  <si>
    <t>Intendente el dia</t>
  </si>
  <si>
    <t>to en ia, cantidad de su tasa á vales Reales , cuyo remate se aprobó por el Sr. Intendente el dia 30 , mandando se vuelvan ¿ publicar por 30 dias mas para la mejora del quarto-,.Que empeeáron á correr desde el de la aprobación. Quien quisiere hacer dicha me</t>
  </si>
  <si>
    <t>Intendente el i</t>
  </si>
  <si>
    <t>n vales Reales, que se hallaba valúa la en 331,078 rs. , ios ha aprobado el Sr. Intendente el i.° de este mes , señalando 30 dias para la mejora dei quarto. Quien quisiere hacerlt acuda á la escribanía del niimero de D. J uan López Fando. Por providencia</t>
  </si>
  <si>
    <t>Intendente en</t>
  </si>
  <si>
    <t>© restantes en intereses de ellos * el que también se ha aprobado por dicho Sr, Intendente en 6 de este mes, y señalado 30 dias para la mejora del quarto , contados desde aquel dia. Y asimismo 17 fanegas de tierra,; io celemines y 59 estadales con 3$ pi</t>
  </si>
  <si>
    <t>Intendente en auto</t>
  </si>
  <si>
    <t>$39,634 rs. 6 mrs., y quedado el remate en $31^ rs., se ha aprobado por el Sr. Intendente en auto de 9 de este mes, señalando para &lt;a puja del ouarto el término de 30 dias, que corren desde dicho dia : quien quisiere hacerla acudirá á la escribanía del número</t>
  </si>
  <si>
    <t>Intendente sacar á pública subasta por-término</t>
  </si>
  <si>
    <t>asa., y la 2.a en la cantidad de 7rs. en7 viles Reales , se mandaron por el Sr. Intendente sacar á pública subasta por-término de 60'diaS-para la méjora. del quarto; lo que se ha ejecutado ¡á la segunda ^poc4af&lt;(jde*&lt;taíi &amp;S,7$o rs. en* vales Reales. Quien quisiere mejorarla acuda ante el</t>
  </si>
  <si>
    <t>Intendente Sara-la mejora deldequarto</t>
  </si>
  <si>
    <t>¿nacía de la Higuera,en rs. á pagar en.valcs; cuyo remyte esta aprobado por el Intendente Sara-la mejora deldequarto, la ciudad que de Toledo áycorrer principió se ha en señalado íp ne el termino Agosto de 30 ydías ultimo; se admitirá en el juzgado del Corregidor de dicha vib</t>
  </si>
  <si>
    <t>Intendente y Real junta del hospicio de esta capital</t>
  </si>
  <si>
    <t>pobres. Así por este medio como por las acertadas disposiciones del Corregidor, Intendente y Real junta del hospicio de esta capital, se ha extinguido la mendicidad perjudicial. El mismo benéfico Dean ha socorrido á los jornaleros en dias de lluvias, ocupándolos á beneficio público: motivos</t>
  </si>
  <si>
    <t>InteríorJ Eli Lord Hatvkesbury</t>
  </si>
  <si>
    <t>Pict, Presidente del-Consejo. El Duque de Portland, Secretario de Estado dé lo InteríorJ Eli Lord Hatvkesbury, Secretario de Estado y de Negociosextrangeros, como subesordelLord Grenvilje. El Al ñútante Conde de S* Vicente! primer ■ Lord def Almirantazgo 6 Ministro de Marinaseiidugar del Conde Spence</t>
  </si>
  <si>
    <t>Iparraguirre, Francisco</t>
  </si>
  <si>
    <t>Francisco Iparraguirre</t>
  </si>
  <si>
    <t>Milicias urbanas de infantería de Piura D. Pedro Seminario y Correa; á Tenientes á los distinguidos D. Francisco Iparraguirre, D. Juan Manrique de Lara, D. Joachin del Barco, Don Francisco García y D. Juan Joseph Orejuela; á Alféreces al Sargento primero D: Manuel Rodríguez, y í los paisanos D. Silvestre</t>
  </si>
  <si>
    <t>Ipsilanti, Príncipe</t>
  </si>
  <si>
    <t>Príncipe Ipsilanti</t>
  </si>
  <si>
    <t>ado al Embaxador de España y ál de Rusia. Ha llegado á esta capital con toda su familia el Hespodar Príncipe Ipsilanti. Su sucesor el Príncipe Suzzo sé halla ya en su nuevo destino. Todo indica que no tardará en ajustarse la paz con Francia, cuya alian** za es la mas antigua de las que han contraí</t>
  </si>
  <si>
    <t>Irigoyenc, Pedro</t>
  </si>
  <si>
    <t>Pedro Irigoyenc</t>
  </si>
  <si>
    <t>aisegundo de granaderos D. Francisco de Torres; á segundo:Teniente de, granaderos -al de fusileros D. Pedro Irigoyenc^á segurtdoTeniénto ál Subtenientefde granaderos D.; «Lorenzo WiiUez# 4 estárésultaxU ípanmerSubteniente D.Josteph Moa¿‘ tero; a pcimarf Subrehioatp ál segtmdo D. Manuel de d al ít</t>
  </si>
  <si>
    <t>Isabel</t>
  </si>
  <si>
    <t>omprehende todo el rey nado de la casa de .Austria en España, desde la muerte de la Rey na Católica Doña Isabel año de 1^04 hasta la de Cárlos 11 en el de 1700, período de ip&lt;5 años, y sin duda el mas interesante de nuestra historia. Estenografía ó Arte de escribir con tanta velocidad como</t>
  </si>
  <si>
    <t>Isabel Fernández Molinillo</t>
  </si>
  <si>
    <t>C*v&lt;:lina Martin : una tierra’ál cerro dé las Vacas, de 4 fanegas , tasada en 2,100 ts. Memoria de Doña Isabel Fernandez Molinillo: una tierra al can ino del-Espino, de 4 fanegas, tasadaen $9 rs, Memoria de Ana,Rodríguez : una tierra í ia cañada de Sacedon, de 3 fanegas, tasada en 4500 rs. Vínculo del Lie. D.</t>
  </si>
  <si>
    <t>Isabel Ramírez</t>
  </si>
  <si>
    <t>mpo de S. Roque : dibuxada con toda exactitud por D. Francisco de Francia , y grabada en Málaga por Doña Isabel Ramírez. Véndese en la librería de Escribano , calle de las Carretas, y en la de .Perez y compañía, calle ¡de los Preciados , frente á las •tapias de las Descalzas. Tres intentos con un c</t>
  </si>
  <si>
    <t>Isabel, María</t>
  </si>
  <si>
    <t>María Isabel</t>
  </si>
  <si>
    <t>imismo se vistió ayer de gala con motivo del cumpleaños de la Reyna de Toscana, y de la Sra.Infanta Doña María Isabel su hermana. En América. El Rey se ha servido nombrar para la Chantría de la catedral de Comayagua, vacante por fallecimiento ae D. Eugenio Recuenco, á D. Pedro Albino Mexía: para</t>
  </si>
  <si>
    <t>se vistió la corte de gala en el Real sitio de S. Lorenzo con motivo de los dias de la Sra. Infanta Doña María Isabel. El Rey se ha servido expedir el Real decreto que sigue: „ Mandé castigar con la fuerza de justicia al delinqiiente y atrevido, que sin respeto á las leyes ni amor al próximo, tra</t>
  </si>
  <si>
    <t>concurriendo desde el coro toda la música de la Real capilla. La Reyna Ntra. Sra, y la Sra, Infanta Doña María Isabel asistiéron desde las tribunas; y concluida la función se restituyó el Rey á su quarto con el mismo acompañamiento. El dia 8 del presente á las 10 de la noche falleció en el Real s</t>
  </si>
  <si>
    <t>Isasy, Joseph</t>
  </si>
  <si>
    <t>Joseph Isasy</t>
  </si>
  <si>
    <t>imer Subteniente D. Joseph Solana Cagigal; á Subtenientes de granaderos á los primeros Subtenientes D. Joseph Isasy, D.Tuan Yustini.ini y D. Antonio González; a primeros Subtenientes á los]segundos Dv-Joseph Alvarez Campana, D. Joseph Conesa, Don Domingo Acevédo y De Antonio Viilafranca; y a se</t>
  </si>
  <si>
    <t>granaderos ai de .fusileros D. Christóbai Artola; á segundo Teniente ai Subteniente de- granaderos D. Joseph Isasy; á esta resulta al primer Subteniente D. Lorenzo Cervera; 4 primer Subteniente al segundo D. Agustín Wan-herck, y á segundos Subtenientes á los Cadetes del de infantería de Burgos</t>
  </si>
  <si>
    <t>Isidro Álvarez de Lara</t>
  </si>
  <si>
    <t>ubtenientes de bandera en ios regimientos de Alcázar de S. Juan, Pontevedra, Badajoz, Toro y Lugo á D. Isidro Alvarez de Lara, D. Joseph Gabriel Santa Marina, 1). Manuel Muñoz y-Cevallos, D. Miguel Santiilana, D. Victoriano Sau.ca y D. Marcos Romero. En consideración á la actividad y buen desempeño que h</t>
  </si>
  <si>
    <t>Isidro Bastida</t>
  </si>
  <si>
    <t>n de granaderos al de fusileros D. Cárlos Meyner; al empleo que este dexa al Teniente dé granaderos D. Isidro Bastida; al de Ayudante al Teniente D. Manuel Yüste; á Teniente de granaderos al de fusileros D. Joseph Antonio Remon; á las dos Tenencias que : estos dexan al Subtenieñtede granaderos D.</t>
  </si>
  <si>
    <t>Isidro Candioti</t>
  </si>
  <si>
    <t>Luis;Pomareda : empleos de Alféreces en ti de cab-lkrí i de i íu. nta á D. Pedro Joseph Fernandez., D. Isidro Candioti y D. Tomas Pedrero, Cadetes y Sargento primero del mismo regimiento, y empltos de Portaestandartes á los Sargentos primeros D. Mariano Quixada, D. Rafael Victoria y D. Joseph Vivancos</t>
  </si>
  <si>
    <t>Isidro de Rueda y Amaya</t>
  </si>
  <si>
    <t>á Portaestandarte al Sargento D. Seb-sri -n de Torres: en el de Borbon á Alférez al Portaestandarte Don Isidro de Rueda y Amaya, y á Portaestandarte al Cadete D. Joachin de Mera y Peivyra: en el de Santiago á segundo Teniente al Alférez D. Jo:tcMn Solis; á Alférez al Portaestandarte D. Antonio Melgarejo, y</t>
  </si>
  <si>
    <t>Isidro del Campo, Manuel</t>
  </si>
  <si>
    <t>Manuel Isidro del Campo</t>
  </si>
  <si>
    <t>ara que ios citados interesados ocurran ante el mismo Sr. Juta por la. escribania.de Pro vi mú a de Don Manuel Isidro del Campo,* usar de las acciones que contemp vn asistirles : en la inteligencia de ser el derecho por la línea de os González de Torres y con la calidad que pasados dichos términos sin bab-</t>
  </si>
  <si>
    <t>Isidro Delso</t>
  </si>
  <si>
    <t>a Calle y D. Felipe Acosta, y á los paisanos D. Mauricio Villafuerte, D. Vicente Ladrón de Guevara, D. Isidro Delso y D.* Mariano Calatayud; al empleo de Ayudante á D. Nicolás Loayza; al de Teniente de granaderos á D. Manuel Ximenez Lobaton; á Tenientes de fusilerós á los Subtenientes D. Mariano Go</t>
  </si>
  <si>
    <t>Isidro Rabuser</t>
  </si>
  <si>
    <t>........... gi. 26. Isidro Rabuser............ Isidro y Cecilia Chinchi........... Sureda en id.... 51* 3&gt; D. Melchor Genoyeja, D. Pedro y Doña Juana Agui­ Marques de Aguiiar.. jar.........</t>
  </si>
  <si>
    <t>Isidro Valverde</t>
  </si>
  <si>
    <t>ba; .4 Subteniente de granaderos al de fusileros D. Domingo Tierra; á primer Subteniente al segundo D, Isidro Valverde, y á segundo Subteniwate al Cadete del de Africa D. Antonio deVizmes: habiendo nombrado también Capellán del tercer batallón del de infantería de Mallorca al presbítero D. Joseph</t>
  </si>
  <si>
    <t>Isidro, Carlos María</t>
  </si>
  <si>
    <t>Carlos María Isidro</t>
  </si>
  <si>
    <t>se vistió la corte de gala en el Real sitio de Aran juez con motivo del cumpleaños del £r. Xnfalite D. Carlos María Isidro» hijo segúndOaékRey. - ■- noi.-'U ui&gt; •= '..•■u; r::./;--'?:- ,/ r.,-&gt; .«v ^ - En atención 4 las pruebas que han dado ¿en su aprovechamiento» apli-f cacion y conducta en el colegi</t>
  </si>
  <si>
    <t>Islas, Joseph Ramón</t>
  </si>
  <si>
    <t>Joseph Ramón Islas</t>
  </si>
  <si>
    <t>mé Gallardo y ai Sargento segundo voluntario D. Pedro Moreno: á Subtenientes de fusileros al Cadete D. Joseph Ramón Islas, al Sargento segundo voluntario D. Manuel Cortes y Obel, y á los paisanos D. Vicente García Seijo, D. Francisco Timoteo de Ribera, D. Manuel Estéban de Olivares, D. Gregorio Gómez</t>
  </si>
  <si>
    <t>ÍSturt</t>
  </si>
  <si>
    <t>rán en Yarmouth, y las mandará el Almiran¿i te Parker. - \‘ . t,. ¿ En la Cámara de Comunes propuso Mr. ÍSturt el dia f9 se hiciese úna. ibformáékihP sobré la&gt; desgraciada ■ expedición «del Férrol ,i y apoyó su pro* puesta -Cotí las siguientes razones ri,,La Inglatería hábia hecho un armamen</t>
  </si>
  <si>
    <t>Iturri, Francisco</t>
  </si>
  <si>
    <t>Francisco Iturri</t>
  </si>
  <si>
    <t>arretas. Carta crítica sobre la Historia de América de D. Juan Bautista Muñoz , escrita de Roma por D. Francisco Iturri, presbítero español. Se hallará á 4 rs. en la librería de Castillo, y en la de la. viuda de Cerro, red de S. Luis. • Vida christiana, ó práctica fácil de entablarla con medios y v</t>
  </si>
  <si>
    <t>IV, Felipe</t>
  </si>
  <si>
    <t>Felipe IV</t>
  </si>
  <si>
    <t>parten con su frontera, delineada por D, Pedro Teyxeira, dedicada al Sr. Rey D. Felipe IV por D. Joseph Lendinez de Guevara. Véndese en casa-de Sotos á 20 r*. Teatro nuevo español, ó colección de las piezas dr</t>
  </si>
  <si>
    <t>IV, Pedro</t>
  </si>
  <si>
    <t>Pedro IV</t>
  </si>
  <si>
    <t>de Aragón i aprobadas por el Rey desde el reynado de Felipe III hasta el de D. Pedro IV en 1353. ¡ traducidas con inserCarlos II, por D. Jo$éph Antonio de Abreü ción de los textos originales. Un tomo en 4.*</t>
  </si>
  <si>
    <t>IX Francisco Xavier de Negrefe, Teniente General</t>
  </si>
  <si>
    <t>Teniente General IX Francisco Xavier de Negrefe</t>
  </si>
  <si>
    <t>leza de Ouguella b Orendida d un destacamento de armas españolas de ía misma división ‘que manda el Teniente General IX Francisco Xavier de Negrefe. Cañones de hierro montados, con sus juegos dé armas, del calibre de á 9 5</t>
  </si>
  <si>
    <t>Izquierdo y Uclés, Juan</t>
  </si>
  <si>
    <t>Juan Izquierdo y Uclés</t>
  </si>
  <si>
    <t>ial de Xerez de la Frontera, diócesis de Sevilla, vacante por fallecimiento de Don Ignacio Virto, á D. Juan Izquierdo y Uclés, Capellán de la casa de-misericordia de la ciudad de Cádiz: para otra Ración de la metropolitana de Toledo, vacante por promoción de D. Andrés de León á una Canongía de la misma i</t>
  </si>
  <si>
    <t>Jackson</t>
  </si>
  <si>
    <t>ra que el Lord Witworth irá á residir en calidad de Emhaxador ingles cerca del gobierno de Francia. Mr. Jackson, que ha ido á París, reemplazará allí á Mr. Merri, que va á Amiens en calidad de secretario de Mr. Cornwallis. Son muchos los ingleses de todas clases que se embarcan en nuestros</t>
  </si>
  <si>
    <t>Jacobo Cagiad</t>
  </si>
  <si>
    <t>os y Castellón de la Plana á D. Manuel María de Toro y Suarez, D. Francisco García Aldao y Andeyro, D. Jacobo Cagiad» D. Antonio Díaz de Ponte, D. Juan Antonio Piñana y IX Ramón María Climent. En América. S. M. se ha servido nombrar para el empleo de Fiel de almacenes y reconocedor de la factorí</t>
  </si>
  <si>
    <t>Jacobo Casal</t>
  </si>
  <si>
    <t>er Teniente de granaderos D. Santiago Miguel; á primeros Tenientes de granaderos á los de fusileros D. Jacobo Casal, D. Juan de Torres y D. Ramón de Santiago; á primeros Tenientes a los segundos de granaderos D. Gerónimo de la Escosura y D. Fernando Valledor, y á los de fusileros el Capitán D.</t>
  </si>
  <si>
    <t>Jacobo Echegaraya</t>
  </si>
  <si>
    <t>y á segundo Subteniente ai Cadete D.. Jbsépb‘María l&gt;ma : en el de Java á prím* Teniente al segundo D. Jacobo Echegaraya; á símindoTeni-nte al Subteniente de granaderos D. Ramón Muñoz de Ai&gt; tacho; á Subteniente de granaderos' al primer Subtemeóte D Rafael MI— • rauda; á primer Subteniente al segund</t>
  </si>
  <si>
    <t>Jacobo Lorenzo</t>
  </si>
  <si>
    <t>lona....... 33* *4- Jacobo Lorenzo..; Casimiro.......María AntoniaRo- Sto. Tomé de •" ••- driguez.......... Ames....... Maya...............</t>
  </si>
  <si>
    <t>Jacpba Castilla Xarava, María</t>
  </si>
  <si>
    <t>María Jacpba Castilla Xarava</t>
  </si>
  <si>
    <t>Mallen. ' ’ Ade’ayda ó el triunfo del amor : escrito en francés por Madama Gen1is,y tra-ducldp por Doña María Jacpba Castilla Xarava. Esta obrita es una de las mas. pellas producciones de Madama; óenlis, cuyo mériíp^es conocido entre los literatps. La lectura de ísta graciosa novela,'laí paso &lt;fbf Interesay da</t>
  </si>
  <si>
    <t>Jakson</t>
  </si>
  <si>
    <t>adrid á París el ciud. Luciano Bonaparte, Embaxador que ha sido de Francia cerca de S. M. Católica. Mr. Jakson, Ministro plenipotenciario de la Gran Bretaña en la República francesa, llegó el 22 á Calais, de donde siguió su viage á esta capital. También ha venido de Italia'el General Monce</t>
  </si>
  <si>
    <t>paquebotes con pasageros, entre los quales se cuentan el Lord Clanwilliam y Mr. Heil, secretario de Mr. Jakson en el congreso de Amiens. En el paquebot Swift se envía á Madama Bona parte'una preciosa colección de aves y otros objetos de historia natura!. Ha llegado de Halifax un paquebot en</t>
  </si>
  <si>
    <t>Jaldon, Joseph</t>
  </si>
  <si>
    <t>Joseph Jaldon</t>
  </si>
  <si>
    <t>ico D. Juan Sánchez, presbítero , señaló dia para un cértámen público, en el qual fuéron examinados D. Joseph Jaldon, D. Joseph Zornóza, D¿ Nicolás, D. Juan y D. Andrés Duran, D. Joseph Gutiérrez, Don Domingo Gómez, D. Domingo Amieba , D. Juan Jaldon , D. Joseph Marín, D. Die,*o Garrido, D. Alon</t>
  </si>
  <si>
    <t>Jaldon, Juan</t>
  </si>
  <si>
    <t>Juan Jaldon</t>
  </si>
  <si>
    <t>D¿ Nicolás, D. Juan y D. Andrés Duran, D. Joseph Gutiérrez, Don Domingo Gómez, D. Domingo Amieba , D. Juan Jaldon , D. Joseph Marín, D. Die,*o Garrido, D. Alonso Romero, D. Antonio Ramírez, Don Francisco Xavier, D. Manuel Maclas y D. Joseph de Aragón. Respondiáron todos con oportunidad y expe</t>
  </si>
  <si>
    <t>ientos, y recibieron por parte del Ayuntamiento los premios señalados; sobresalieron en ei certamen D. Juan Jaldon , D. Andrés Duran y D. Joseph Gutiérrez (vecinos de esta villa) sin embargo de su tierna, edad, y dé 1 ■corto espacio.de msiestudios. - Madrid jo de Marzo. / E n el regimiento de</t>
  </si>
  <si>
    <t>James Pultney, General</t>
  </si>
  <si>
    <t>General James Pultney</t>
  </si>
  <si>
    <t>rcunstancia poca sabida de que 400 hombres pereciéron cerca del Ferrol con el barco en que iban. El General James Pultney tomó la palabra» y habló así: »&gt;Doy gracias á mi acusador por haber- ’ me proporcionado ocasión de dar á conocer los motivos dé mi conducta. Sin embargo de lo mucho que me interes</t>
  </si>
  <si>
    <t>Janer, Joseph</t>
  </si>
  <si>
    <t>Joseph Janer</t>
  </si>
  <si>
    <t>. Juan Bautista Robi : en el batallón de Volantarios de Gerona á Capitán primero al Capitán segundo D. Joseph Janer; á Capitán segundó al segundo Ayudante graduado de Capitán D. Pedro Angel Marcó del Pont; á segundo Ayudante aL primer Teniente D. Joachin Bilbao; á primer Teniente al segundo D.</t>
  </si>
  <si>
    <t>Jarea, Antonio</t>
  </si>
  <si>
    <t>Antonio Jarea</t>
  </si>
  <si>
    <t>dolid...... 41. xs. Antonio Jarea..... Andrés.......... María Vázquez.... S. Pablo de Paraleda... S. Antolin...... 38</t>
  </si>
  <si>
    <t>Javier Racmy, Francisco</t>
  </si>
  <si>
    <t>Francisco Javier Racmy</t>
  </si>
  <si>
    <t>ileros al Subteniente de granaderos Don Joseph Abhospital ; y en el de Yann á Subteniente al Cadete D. Francisco Javier Racmy. 2SI Consejo á consulta de la Com*sio'n gubernativa, y con aprobación dé !S. M., ha resuelto la amortización veinte y dos de 150 Vales de 609 pesos: [220 de 300; y 733 de 150, tol</t>
  </si>
  <si>
    <t>Jayme Altamisa</t>
  </si>
  <si>
    <t>72. Jayme Altamisa,. Joseph.......... María Artes...... Barcelona.,... Idem............. 6a» a8. Miguel González . Antonio........ AntoniaMedrano. Falces..-......... Navarra.......</t>
  </si>
  <si>
    <t>Jayme Argüer</t>
  </si>
  <si>
    <t>en id...... 7g. 21. Jayme Argüer.............. Fjancisco y Mana Puv&amp;s... Id. en id........... *¡6. 24. Pedro Vaílisons........... Pedro y Catarina Rcgeras.</t>
  </si>
  <si>
    <t>Jayme Batine, Juan</t>
  </si>
  <si>
    <t>Juan Jayme Batine</t>
  </si>
  <si>
    <t>a.®.................... senach................................. . Id......... ............ 2(5. 28. D. Juan Jayme Batine. D. Juan Pedro y Doña Luisa Libabre.......... ........................ Id..................... 2(5. 28. D. Pedro Duran de la D. Pedro y Dofia María de CéCapela....................</t>
  </si>
  <si>
    <t>Jayme Boneils</t>
  </si>
  <si>
    <t>dres que rehúsan criar á sus hijos, y medios para contener el abuso de ponerlos en ama : por el Dr, D. Jayme Boneils: obra muy útil á todos los que se interesan en la buena crianza de los niños , en la felicidad de los padres, en la prosperidad del estado y en la tranquilidad de las familias: un</t>
  </si>
  <si>
    <t>Jayme Cavalle</t>
  </si>
  <si>
    <t>en Francia, aó. a7. Jayme Cavalle..... Juan y Teresa Costa.... Villalonga de Muns en el</t>
  </si>
  <si>
    <t>Jayme Cook, Capitán</t>
  </si>
  <si>
    <t>Capitán Jayme Cook</t>
  </si>
  <si>
    <t>os vasos linfáticos. Se bailará e» la librería de Barco, carrera de San Gerónimo. Vida y viages del Capitán Jayme Cook; obra escrita en ingles por Andrés Kipis, de la Real sociedad de Londres y de la de antigüedades, y traducida por D. Cesáreo de Nava Palacio. Comprehende la historia de este inmor</t>
  </si>
  <si>
    <t>Jayme Costa</t>
  </si>
  <si>
    <t>llon....... 31. a8. Jayme Costa........ Jayme y Marta Felipa Eluza en id.. Antonio Genobois. Nicolás y N....,........... Lion en Francia, aó. a7. Jayme Cavalle..... Ju</t>
  </si>
  <si>
    <t>Jayme Faupt</t>
  </si>
  <si>
    <t>l’on....... 37. 3*. Jayme Faupt............... Guillermo y Ana Laporta. Salsas en id...... 33. 8. Joseph Brunet.............. Altxar.dro y Ana Ruano...</t>
  </si>
  <si>
    <t>Jayme Franzonij</t>
  </si>
  <si>
    <t>o y D. Andrés Romero: en el de suizos de Schwaller á Subtenientes á los Cadetes D. Andrés Bonencij, D. Jayme Franzonij y D. Antonio Riva; y en el de Betschart á Subtenientes de granaderos á los de fusileros D. Joseph Sutter y D. Camilo Tiny, y á Subteniente al Cadete D. Francisco Gugger. Eí Conseco, á</t>
  </si>
  <si>
    <t>Jayme Madison</t>
  </si>
  <si>
    <t>podrán reunirse y formar un exército provisto de quanto pueda necesitar. Escriben de Filadelfia que Mr. Jayme Madison ha sido elegido para Secretario de Estado de aquella República. Léese en algunas gazetas de Londres que el ministerio de Rusta ha avisado al Lord Nelson que ningún navio de línea</t>
  </si>
  <si>
    <t>Jayme March</t>
  </si>
  <si>
    <t>es en Id.... ap. p. Jayme March...... ,...... Pedro y Catalina Tecla............. Conat en el Rosellon............ 1a. 17. Juan Tune..................* Pedro y Teresa........................... Tol</t>
  </si>
  <si>
    <t>Jayme O-Mahony</t>
  </si>
  <si>
    <t>s D. Antonio Barellas, D. Isidoro Díaz y D. Lúeas Savage; á estas resultas á los segundos Tenientes D. Jayme O-Mahony, D. Balvino Cortes y D. Toribio Robles; á. segundos Tenientes al Subteniente de granaderos.D. Blas González, al primer Subteniente D. Gregorio Martinez y al Subteniente de granade</t>
  </si>
  <si>
    <t>ero de granaderos Don Francisco García: en el de Irlanda á primer Teniente al segundo de granaderos D. Jayme O-Mahony; á esta resulta al segundo Teniente D. Pedro Lacy; á segundo Teniente al Subteniente de granaderos D. Joseph Parody; á Subteniente de granaderos al primer Subteniente D. Joseph Ra</t>
  </si>
  <si>
    <t>Jayme Oliva</t>
  </si>
  <si>
    <t>........... 5°* 1$. Jayme Oliva................ Joseph y Gracia..................... . Py en id.......... bi. ad’. Joseph San Germán». Jay me y Teresa................ ......... Id. en id.......... bi. 96. Pe</t>
  </si>
  <si>
    <t>Jayme Ollivert</t>
  </si>
  <si>
    <t>rancia......... 41. Jayme Ollivert......... . Luis y María...................... ....... Mompeller........ 41* Jorge Viu................ . Antonio y Ana Blane......... ....... Perpifian........... 41. Sa</t>
  </si>
  <si>
    <t>Jayme Ribo</t>
  </si>
  <si>
    <t>audinjá esta resulta ai segundo Subtetóente D. Joseph Fernandez, y á segundo. Subteniente al Cadete D. Jayme Ribo!): en el de España á Capitán al primer 1 emente de granaderos D. Juan de Valen zada; á Ayudante al primer. remente D. Juan de Francia*; a primer Teniente de granaderos al de^ fusi</t>
  </si>
  <si>
    <t>Jayme Ricart</t>
  </si>
  <si>
    <t>alongaenid. 81. ad. Jayme Ricart.............. Silvestre y María Villanova.... . Roca en id....... 8í. 26. Joseph Mas................. Pedro y María Medens............... Murallas en id., gi. g, Abdon Baxes</t>
  </si>
  <si>
    <t>Jayme Sáumarez</t>
  </si>
  <si>
    <t>en la bahía de Lawsand y Torbay, excepto una división que queda en l is aguas de Brest al mando de Mr. Jayme Sáumarez. De Yarmout.h escriben que el dia 14 al amanecer dieron la vela dos navios de 98 cañones, ocho de 74, cinco de 64-, uno de 54, otro de 50, tres fragatas, nueve buques menores, otr</t>
  </si>
  <si>
    <t>Jayme Saumarez</t>
  </si>
  <si>
    <t>os comandantes-', oficiales, soldadbs y marinaros del exército y esqu dra de Egipto, como también á Mr. Jayme Saumarez, de quien el Lord Nelson hizo un pomposo elogio. Desde la abertura del parlamento han baxado los fondos públicos i por ico. Parece que d empréstito que abrirá este año el gobierno</t>
  </si>
  <si>
    <t>Jayme Vales</t>
  </si>
  <si>
    <t>e.......... 28. 31» Jayme Vales............... Juan y Teresak Estebe............... Perpifian.......... 22. 10* D. Luis Cornellau....... D. Antonio y Dofia Juana........ S. Pedro de Irivise............... 3</t>
  </si>
  <si>
    <t>Jayme y Dofia Isabel Palernion</t>
  </si>
  <si>
    <t>... . Francisco y Claudina Nicolás.... S. Licier en Francia..... . ao. 30. D. Luis Casteras........ D. Jayme y Dofia Isabel Palernion....... ............ ......... .. Tuxi.... ........... 19. g. D. Pedro Laborde....... D. Juan y Doña María Negre.... Castel Sanasin en Francia... ip. g. Guillermo Nivedual.... B4tr</t>
  </si>
  <si>
    <t>Jaytne Goig</t>
  </si>
  <si>
    <t>mbién ha'promovido S. M. en el regimiento de caballería del Príncipe á segundo T eniente al Alférez D. Jaytne Goig; á Alféreces á los Portaestandartes D. Manuel Arjona, D. Juan de Aguilar y D. Vicente López de San Román, y á Portaestandartes al Cadete D. Joseph Linares y</t>
  </si>
  <si>
    <t>Jblian Anguila</t>
  </si>
  <si>
    <t>l de infantería de la Corona a segundo Subteniente al Sargento primero^ distinguido del de Gfariada D. Jblian Anguila : en este úiiimQ cuerpo á- segundos Subtenientes áf los Cadetes?D; Joseph González de Aíe¡o y. P. Santiaga Escudero; y en d de Suizos de Sehwailér á Sargento mayor al Capitán prim</t>
  </si>
  <si>
    <t>Jcflerson</t>
  </si>
  <si>
    <t>es, y esperamos de dia en dia un convoy con mayor porción de ellos, el qual en fuerza de órdenes de Mr. Jcflerson, Presidente del Congreso, viene escoltado por dos fragatas anglo-americanas.” Guatemala 12 de Febrero. S c ha publicado en Lima la continuación del crucero marítimo de la corbeta</t>
  </si>
  <si>
    <t>Jcseph María del Barrio</t>
  </si>
  <si>
    <t>l obispado, del Cuzco; y para la Media-Ración de la metropolitana de México, Vacante por ascenso de D. Jcseph María del Barrio, á D. Joseph Mariano Ramírez de la Torre, Cura de S. Miguel de.aquella capital. En ,el regimiento de infantería de la Havana se ha servido S. M. projnover á Ayudante al Teniente D</t>
  </si>
  <si>
    <t>Jcsepha, María</t>
  </si>
  <si>
    <t>María Jcsepha</t>
  </si>
  <si>
    <t>el Real sitio de Aranjuez se vistió ayer la corte de gala con motivo de los dias de la Sra. Infanta Doña María Jcsepha. En consideración á los buenos servicios del Administrador de Correos én Sevilla D. Manuel dé la. Rocha r ha tenido á bien S. M. concederle honores de Comisario Ordenador de sus R</t>
  </si>
  <si>
    <t>Jdan López Kandoí</t>
  </si>
  <si>
    <t>iencia que exaree «1 dicho Sr. Tenieace Corregidor de esta villa, y citada escribanía del número de D. Jdan López Kandoí las quales, coa expresión de su cabida, sitio y tasa,' son. las siguientes. ViHaverde: una tier r* en el sitio Haíafride déi la Cifiada/deuoafanega, 3 celemines y 30 estadales, tasada</t>
  </si>
  <si>
    <t>JdsepH María ArqueBada</t>
  </si>
  <si>
    <t>niente dé cazadores D. Félix Trapero; lis Subtenencias de granaderos y cazadores á los Subtenientes D. JdsepH María ArqueBada y D. Juan Gómez, y Subtenencia de bandera á D-. Juan de Dios Angulo y Astorga; y en el de Tol do Subtenencia de fusileros á D. Felipe de Oviedo ,1 Cadete del mismo cueifpo. r 'í En Am</t>
  </si>
  <si>
    <t>Jefferson</t>
  </si>
  <si>
    <t>ue estaban retirados vuelven á servir. Ha recibido este gobierno la noticia de oficio de haber sido Mr. Jefferson elegido Presidente del Congreso de los Estados-Unidos americanos en competencia de Mr. Adams, que lo era. Mr. Jefferson pasa por partidario do la Francia, así como su antecesor pasa</t>
  </si>
  <si>
    <t>a Francia, será el que los Estados americanos nombren por su Ministro, en París. El nombramiento de Mr. Jefferson para Presidente de loe Estados-Unidos ha da* do una nueva dirección á ios; asuntos públicos de aquel pais &gt; en donde el partido ingles va perdiendo su crédito y su iiifluxo. Habla</t>
  </si>
  <si>
    <t>Jekyll</t>
  </si>
  <si>
    <t>quadrá se hubiese opuesto‘á la retirada, y que la hubiese mandado el General en xefe del exercito._ Mr. Jekyll dixo que por lo que había oido juzgaba que solo los Ministros eran ios culpados, y que debían dar cuenta de sft .c$$diícfá. Le replicó Mr. Dundas» y dio en su discurso algunas luc</t>
  </si>
  <si>
    <t>Jellachich, General</t>
  </si>
  <si>
    <t>General Jellachich</t>
  </si>
  <si>
    <t>Io83 El General Jellachich, que manda en las fronteras de Turquía, ha despachado un extraordinario á esta corte para inform arla de que los genízaros le piden granos. El Consejo privado le ha mandado que no</t>
  </si>
  <si>
    <t>Jellachich, Mariscal</t>
  </si>
  <si>
    <t>Mariscal Jellachich</t>
  </si>
  <si>
    <t>acion, si^ no se restablece quanto ántes el sosiego en ' Turquía. A est &gt; ciudad ha llegado el Feíd Mariscal Jellachich, que parece ’ viene á ene &gt;rgárse d ók s dper, c i o m- s- mi 1i t a re s en caso dé haberlas. Se asesur. que l,s tropis turcas conseguirán el paso por este territorio, si lo sofl</t>
  </si>
  <si>
    <t>Jen</t>
  </si>
  <si>
    <t>o nombrar para h Dignidad de Arcediano de la catedral de Buenos-Ayres, vacante por fallecimiento de D. Jen seph Román y Cabezales, á D, Antonio Basilio Rodríguez do Vida, Dignidad de Chantre de la misma iglesia: para esta Chantría al Maestrescuela I&gt;. Francisco Xavier de Dicido y Zarau</t>
  </si>
  <si>
    <t>Jenner</t>
  </si>
  <si>
    <t>as y una corbeta. Los médicos y cirujanos del cuerpo de Marina han presentado una medalla de oro al Dr. Jenner, autor de la inoculación de la vaccina. Por un lado de esta medalla se ve á Apolo, como dios de la medicina, presentando á la Gran Bretaña un marinero joven recien curado por la n</t>
  </si>
  <si>
    <t>e esta plaza, animado del singular beneficio que promete al género humano el sin igual hallazgo dei Dr. Jenner, Médico ingles, en la inoculación de la vaccina (como preservativo de.las.viruelas comunes, cuyo furor ha sido el azote de las poblaciones), ha introducido en esta ciudad la citad</t>
  </si>
  <si>
    <t>ceñidor con dos pistolas. ‘ La universidad de Gotinga ha nombrado por individuo de aquel cuerpo al Dr. Jenner, que se ha hecho célebre por el descubrimiento dé la vacuna. Se asegura que el Ministro Addíngton ha recibido noticias de mucha satisfacción de parte del Marques de Cornwallis, qu</t>
  </si>
  <si>
    <t>fectos que ha producido en varias capitales y ciudades de Europa donde se hallan establecidas, y el Dr. Jenner, descubridor de la inoculación de la vaccina, reconocida como preservativo contra la feroz epidemia de las viruelas, les ha.recibido:en su seno, condecorándolos con el título de s</t>
  </si>
  <si>
    <t>Jesualdo de Vea y Murguia</t>
  </si>
  <si>
    <t>Lúeas Ortega, y á segundos Subtenientes á los Cadetes D. Joachín Palacios, D. Juan Manuel Carmona, D. Jesualdo de Vea y Murguia y D. Antonio María de Mené, y al Sargento primero de granaderos Don Francisco García: en el de Irlanda á primer Teniente al segundo de granaderos D. Jayme O-Mahony; á esta resulta al</t>
  </si>
  <si>
    <t>JLgnacio Rodríguez de Soto</t>
  </si>
  <si>
    <t>l de América á primer Subteniente al segundo D. Antonio Panadero, y á segundo Subteniente al Cadete D. JLgnacio Rodríguez de Soto: en el batallón de Voluntarios de Tarragona á Capí tan segundo al primer Teniente, graduado de Capitán, 0. Manuel'Gasset,; á.primer Teniente al segundo D. Joseph Mallcnt; á secund</t>
  </si>
  <si>
    <t>JlOlJiO, Manuel</t>
  </si>
  <si>
    <t>Manuel JlOlJiO</t>
  </si>
  <si>
    <t>*95 .-jo Capellán en el de las Ordenes Militares al presbítero D. Manuel JlOlJiO» l ' j « -&gt;cr Agustni Gorrero a e^ * servido promover S. M. á Judo Teniente ai Alférez D. Antonio Vaienzu-.h : en el de boreon a Afférez al Portaestandarte D. Joseph de Castro; y</t>
  </si>
  <si>
    <t>JLord Carisford</t>
  </si>
  <si>
    <t>sta que suponen hecha por el Ministro de Estado prusiano, Conde de Haugwitz, al JLord Carisford, Ministro británico, quando la ocupación dé Cuxhaven por las tropas de Prusia. Dixo entonces el Conde de Haugwitz que el único,objeto que el gabinete de Berlín se proponía en dicha ociipácí</t>
  </si>
  <si>
    <t>Jnan López Fando</t>
  </si>
  <si>
    <t>nta María. Quien quisiere hacer mejora acuda á dicha audiencia y escribanía del número del cargo de D. Jnan López Fando. En la villa de Cangas de Tineo y Concejo , en el Principado de Asturias, que se compone de 2500 vecinos, se halla vacante la plaza de Cirujano, cuya dotación será de 300 ducados</t>
  </si>
  <si>
    <t>Jo, Antonio</t>
  </si>
  <si>
    <t>Antonio Jo</t>
  </si>
  <si>
    <t>eografía , agricultura , población y frutos El tomo 4. 0 está en prensa. del Reyno de Valencia, por D. Antonio Jo­ Tratados de Matemática, compuestos paseph Cavanilles. Dos tomos , á 84 rs. en rús­ ra la instrucción teórica de artífices de instrutica , y á 7?en papel cada tomo. mentos astronó</t>
  </si>
  <si>
    <t>Jo, Joseph</t>
  </si>
  <si>
    <t>Joseph Jo</t>
  </si>
  <si>
    <t>ro, en el Nuevo Reyno de Granada, con la administración de tributos del partido, ha nombrado S. M.á D. Joseph Jo ver, Corregidor que ha sido de la provincia dé Tunja en el mismo Reyno; y se ha servido nombrar á D. Francisco de Medina para eí empleo de Contador general de la Renta de Tabacos</t>
  </si>
  <si>
    <t>Jo, Juan</t>
  </si>
  <si>
    <t>Juan Jo</t>
  </si>
  <si>
    <t>7'8é cuerpo: en el de Sevilla ha conferido compañías de fusileros á D. Juan Jo£uíph de Neyra y D. Juan de la Fuente,Tenientes del propio regimiento, el primero de granaderos; la resulta de este á D. Carlos Diez de Bulnes, Teniente de fusileros; Tenencias de</t>
  </si>
  <si>
    <t>Joacbín Allue y Bendicho</t>
  </si>
  <si>
    <t>de Alcañiz; y para otra de la misma catedral, vacante por fallecimiento de D. Atanasio Perallon, á D. Joacbín Allue y Bendicho; En el sorteo quinto de la rifa de la Real Caxa' dc Descuentos de esta corte, executado en los dias 6 y 8 del corriente, ganaron los quatro premios de renta vitalicia y pico de ot</t>
  </si>
  <si>
    <t>Joacbin Iraola</t>
  </si>
  <si>
    <t>s........ 39. 1 &lt;f. Joacbin Iraola..... Joseph........... Josepha González. Pamplona..... Idem..,..,......... 7a. Marcos Preciado;. Manuel......,,. María Risror....... . Zarzalejo...... Segovia.,....</t>
  </si>
  <si>
    <t>Joacbin Móles</t>
  </si>
  <si>
    <t>l pátrocinio deu S. Antonio Abad para guardar la salud de los animales; traducida én castellanq por D. Joacbin Móles, presbítero. Se hallará en casa de Blanques , calle de las ' Carr^tas^ niim. : ; ^r.'y.y--.. . Mapa, .ó descripción -del Reyno y fronteras de Portugal en dos pltégoa dé ! marcan g</t>
  </si>
  <si>
    <t>Joachím López</t>
  </si>
  <si>
    <t>dexa, al supernumerario D. Juan Cerda; ypor Exento supernumerario al Brigadier de la misma compañía D. Joachím López. . En el regimiento de infantería de Córdoba se ha servido el Rey promover á Capitán de granaderos al de fusileros D. Joseph Graulier; á Capitan al primer Teniente de granaderos D</t>
  </si>
  <si>
    <t>Joachiq Váides</t>
  </si>
  <si>
    <t>h Viljena, y Subtenencia de bandera, á P. LuísEseuder: en el de Cuenca Subtenencias dé .fusileros á D. Joachiq Váides y-D; Juan Antonio Escalante : en: el de Betánzosfa Subtenencia de cazadores á IX Antonio Tomaseo, Subteniente de fusileros r en el de Lo— .groño Subtenencia de fusileros á D. Pedro</t>
  </si>
  <si>
    <t>Joachirt Chacón, Joseph</t>
  </si>
  <si>
    <t>Joseph Joachirt Chacón</t>
  </si>
  <si>
    <t>D. Pedro Faustino Branet: para la Chántrtíi qtié esté dexa en la misma iglesia al Maestrescuela D. Joseph Joachirt Chacón : para la Maestfescolia? al Canónigo D. Manuel de Salazar: para la Canongía al Racionero Di Ber-' nardo Baamonde y Puga; y para la Ración al Cura del Sagrario D. Manuel Joseph Gon</t>
  </si>
  <si>
    <t>Joachirt Espátóleró</t>
  </si>
  <si>
    <t>o &gt;QagO;* áesta 'nsülta al primer Subteniente i -IX Rafael ©allano priméis Subée^ niente a! segundo D. Joachirt Espátóleró * ‘y^á segundó Subtéñiéfíté dí CÍá^ dete D. Roque San Martin : en el de cazadores Voluntarios de la Córóna1 á* Capí tan de ti ra d ores al! de cazadores D.Jo achín Égaña; á Capitá</t>
  </si>
  <si>
    <t>Joachiti Jasanada</t>
  </si>
  <si>
    <t>expedido el oportuno Real despadho *en ia de Abril de (táíc*. En atención á los buenos servicios de D. Joachiti Jasanada , Archivero de la Contaduría principal de propios y rentas del lleyno de Aragón, *e ha dignado el Rey concederle ios honores de Oñcial primero de la misma Contaduría. En América.</t>
  </si>
  <si>
    <t>Joachln Castellot</t>
  </si>
  <si>
    <t>óstoles &amp;c.: van puestas también las que son de precepto en toda España : traducida del francés por D. Joachln Castellot, presbítero : un tomo en 4.0 Se hallará en la librería de Ramos, carrera de S. Gerónimo, y en Barcelona en la de Sastres. . Verdadero maná del alma, ó Mes eucarístico, preparacion</t>
  </si>
  <si>
    <t>Joachtn de la Rocha</t>
  </si>
  <si>
    <t>iento que corresponde á los Sres. Infantes: se hizo de órden de S. M. la entrega del cadáver al Sr. D, Joachtn de la Rocha, Mayordomo de semana de S. M., nombrado para dirigir la comitiva funeral, que se encaminó por la carrera acostumbrada á esta corte haciendo las correspondientes paradas en las jur</t>
  </si>
  <si>
    <t>Joachtn María de Flores Cardero</t>
  </si>
  <si>
    <t>cia á D. Nicolás González Arango, D. Dionisio ie la O Mfigar y Garcisanchez., D. Joseph Trabadillo, D. Joachtn María de Flores Cardero , D. Marcelino García Riofrió, D. Antonio Barriopuevo , D. Ramón Castriílo Cevallos, D. Joseph Herrera Ladrón y Don Joseph B-día. .. En consideración á los servicios y méritos de</t>
  </si>
  <si>
    <t>Joachtn Marín, Antonio</t>
  </si>
  <si>
    <t>Antonio Joachtn Marín</t>
  </si>
  <si>
    <t>o-, pez y Lorca, Canónigo de ella: para una Canongia de la de Segovia, vacante por fallecimiento de D. Antonio Joachtn Marín, á D. Sebastian de la Vega y Rébolledá, Cura Párroco del lugar de Torrescarcela, en la misma diócesis: para otra Canongia de la catedral de Barbastro, vacante por muerte de D. Fer</t>
  </si>
  <si>
    <t>Joachtn Miguel de Almansa</t>
  </si>
  <si>
    <t>D. Andrés de León, Racionero de ella: para otra Canongía de la de Santiago,' vacante por muerte de D. Joachtn Miguel de Almansa, á D. Rafael Francisco de Unquera y Cobian, Racionero de la misma metropolitana : para*</t>
  </si>
  <si>
    <t>JoacLín Muñoz</t>
  </si>
  <si>
    <t>la Española al supernumerario D. Francisco de Paula Bernui; y por Cadete supernumerario al Guardia D. JoacLín Muñoz. El Rey ha conferido el Gobierno militar y político de la plaza de Peñíscola al Brigadier de la Armada D. Josepn Salazar y Miranda : el del Fuerte del Condestable de la de Gerona</t>
  </si>
  <si>
    <t>JoacMn Rióles</t>
  </si>
  <si>
    <t>regación del Oratorio: muy útiles para las personas de todos es” lados; traducidis del italiano por D. JoacMn Rióles, presbítero: añadida el Comí pendió de la vida del Santo det Breviario romano, y el exercicio qisotidiano de los cinc# actos necesarios para salvarse, é indulgencias oue le estau</t>
  </si>
  <si>
    <t>Joan Gerard</t>
  </si>
  <si>
    <t>í28 píos, por D. Joan Gerard, presbítero, ex-catedrático de matemáticas en París: un torno en 4.0 á 11 rs. en pasta, 9 en pergamino y 7 en rústica. Esta obra es útil á toda clase de personas, cón especialidad</t>
  </si>
  <si>
    <t>Joe, Lorenzo</t>
  </si>
  <si>
    <t>Lorenzo Joe</t>
  </si>
  <si>
    <t>aitaen id. (jó. ai. Lorenzo Joe................. Rafael y María Porcada..., S. Lorenzo de la</t>
  </si>
  <si>
    <t>Jóeeph Daza</t>
  </si>
  <si>
    <t>uyo virus ha servido después para vacunar á ©tras muchas criaturas de estos pueblos. Dicho profesor D. Jóeeph Daza, anhelando por el bien delaJiusnanidad, y no contento</t>
  </si>
  <si>
    <t>JoÍ</t>
  </si>
  <si>
    <t>ucidos del italiano* resente'. 3 tomos en folio á 48 rs. en papel, é ¡lustrados con notas por dicho D. JoÍ en pasta regular , y á 70 en pasta fina. seph Ortiz y Sanz , tomo primero en folio Tratados de Paces y Alianzas, entre,va­ mñyor. Lleva 96 láminas. Contiene este torios Reyes de Ara</t>
  </si>
  <si>
    <t>Jóly, Capitán</t>
  </si>
  <si>
    <t>Capitán Jóly</t>
  </si>
  <si>
    <t>de la luiente carta, que le escribió el c.ud, Dupouy „de Dunkerque, coa fecha de 4 de este mes. „El Capitán Jóly del corsario llamado el Pequeno-Dun, kerque, que armé yo en este.puerto, ha cogido 4barcos, pescadores angleses ? de fos quales el uno ha entrado en Flesmga; pero ignoro todavía el mi</t>
  </si>
  <si>
    <t>Joly, Capitán</t>
  </si>
  <si>
    <t>Capitán Joly</t>
  </si>
  <si>
    <t>no alteraba su determinación de no inquietar á la pesca de los enemigos; y en vista de todo esto el Capitán Joly se creyó con facultad de apoderarse de los 4 pescadores ingleses» Quedo &amp;c.”-—Al insertarse esta carta en ti Monitor &gt;$e añade lo siguiente: «Se han expedido órdenes para que ios</t>
  </si>
  <si>
    <t>Jones</t>
  </si>
  <si>
    <t>ece^ cierto que los ingleses han vuelto á apoderarse de aquella posesión holán-, des a. ' , ' . ' , Mr. Jones ha renovado en la Cámara de los Comunes Ja preposición de que se suplique al Rey mande presentar copia de la carta que el comandante dé las fuerzas británicas en el Mediterráneo e</t>
  </si>
  <si>
    <t>lsedad á todo el mundo.”__ Sin embargo de estos y ©tros, argumentos, se desaprobó la proposición de Mr. Jones por una mayoria.de 68 votos*. ; ¿ [ En los pasaportes que se'dan á los franceses que se restituyen á su patria y-se incluye la condición expresa de que no volverán á poner los pie</t>
  </si>
  <si>
    <t>nes de almas.---- Apoyaron otros vocales su proposición, la qual se aprobó. También se adoptó la de Mr. Jones sobre que se' presente el estado de las tropas extrangeras pagadas por la Gran Bretaña* Mr. Pitt, sin oponerse directamente á ella, dixo que era indecoroso para hr Cámara tratar d</t>
  </si>
  <si>
    <t>u opinión, fue desechada su propuesta por casi toda la Cámara. Igual suerte tuvo la proposición que Mr. Jones hizo el día i.° de este mes sobre que se pidiese á Sr M. el retiro de los actuales Ministros, cuya conducta censuró con todo esfuerzo. Le apoyaron Mrs. Nichols y Robson: pero sin</t>
  </si>
  <si>
    <t>orte y á otros objetos políticos; pero se desechó su proposición. Igual suerte tuvo la propuesta de Mr. Jones sobre que se examinasen las causas de haberse roto el tratado de El-Arisch: intentó probar que su violación por parte de los ingleses había sido una v infracción al derecho de las</t>
  </si>
  <si>
    <t>gastos de las provincias del Bengala, Benares, Bombay &amp;c. relativos á los 3 anos últimos. Preguntó Mr. Jones si en estos documentos se hallaría el importe de los gastos hechos para la expedición contra Manila, la qual costó cerca de 800© libras esterlinas, sin embargo de que nuestra esqu</t>
  </si>
  <si>
    <t>rancia , siendo así que en breve {^concluirán las actuales sesiones. En los propios .términos habló Mr. Jones en la Cámara baxa. „ Deseo saber, dixo, si el Canciller delEchíquier está en ánimo de darnos algún informe, ántes que se cierre el Parlamento y sóbre los progresos de las negociacio</t>
  </si>
  <si>
    <t>sla. La deuda de la compañía de la India asciende á 20 millones de libras esterlinas, según aseguró Mr. Jones en una de las últimas sesiones de la Cámara baxa. Trieste jo de Junio. E spérase en breve aquí á las tropas suizas destinadas por los Ministros ingleses para Egipto. El comandante d</t>
  </si>
  <si>
    <t>Jonrdan, General</t>
  </si>
  <si>
    <t>General Jonrdan</t>
  </si>
  <si>
    <t>ba&gt; Hería austríaca. 4:' y ^ ;— 'r r \A T- -a- s.r.:¿.L Sq1 ' ■ * : Tz/rítt 2 de Eneros - \ rr; .El General Jonrdan, Ministro extraordinario de la República francesa, ha comunicado en carta del 2 5 á; da Junta executiva del‘gobierno interior de Piamonte haberle escrito el Ministró de Relaciones</t>
  </si>
  <si>
    <t>Jooclnn Diez de Tejada</t>
  </si>
  <si>
    <t>D. Joseph San Milian: en d de Aragón a primeros Tenientes á los segundos de granaderos y fusileros Don Jooclnn Diez de Tejada y D. Joseph Serra,este graduado de Capitán; á segundo Teniente de granaderos al de fusileros D. Antonio Zazurca; á según-, dos Tenientes á los Subtenientes de granaderos D. Juan de Di</t>
  </si>
  <si>
    <t>Jordán, Joseph</t>
  </si>
  <si>
    <t>Joseph Jordán</t>
  </si>
  <si>
    <t>nte al Alférez D. Fernando de Mír; á Alférez al Cadete D. Felipe Memije, y á Portaguión al Sargento D. Joseph Jordán. . El Rey se ha dignado coriferir el Gobierno rñilitar y político de la provincia de Texas, en las Internas del Rey no de Nueva España, ál Teniente Coronel D. Juan Bautista Elguez</t>
  </si>
  <si>
    <t>Jorge Juan</t>
  </si>
  <si>
    <t>9¿B de la Reyna Ntra. Sra. Asistieron á la función el Exc. Sr. D. Jorge Juan cíe Guille Irni, Gobernador y Capitán general de este exército y reyno, y numeroso concurso de la Grandeza, Ministros de la Real Audiencia, Cor-, regidor é Intendente, individuos</t>
  </si>
  <si>
    <t>Joscoh Morales Postigo</t>
  </si>
  <si>
    <t>vido nombrar para la dignidad de Maestrescuela de la catedral de Jaén, vacante por fallecimiento de D. Joscoh Morales Postigo, á D. Juan Bautista de Montes, Maestro principal del Real seminario de Versara : para la Canongn de la de León, vacante por muerte de Don Francisco Valbuena, y no haber sacado D.</t>
  </si>
  <si>
    <t>Josepb Antonio Gómez</t>
  </si>
  <si>
    <t>ñía. En Segovia............ Sra. viuda-de D. Joseph Manuel Ramiro y Martin. En Sevilla*.*.......... D. Josepb Antonio Gómez é hijo. ' En Soria................ D. Andrés Martínez dé Aparicio. ¡ En Toledo.............. Sres. Chavarri y Posad itlo. En Toro................... D. Joseph Ligero. En Valencia.</t>
  </si>
  <si>
    <t>Josepb Ur, General</t>
  </si>
  <si>
    <t>General Josepb Ur</t>
  </si>
  <si>
    <t>; ble , bien artillada ,y con numerosa guarnición, en medio del día : después de mandar al Ayudante General D Josepb Ur- bina para que intimase al Gobernador, que respondió con honor , di orden para que se retirasen las tropas avanzadas, en cuyo movimiento rezelé que los enemigos, nos cargasen; en f</t>
  </si>
  <si>
    <t>Joseph Esteban</t>
  </si>
  <si>
    <t>a primara clase de arquitectura: 20 pesos á D. Ambrosio Lanzaco por el de segunda ciase: 15 pesos á D. Joseph Esteban: 12 pesos á D. Maauel Barta; y 10 pesos á D. Miguel Ferruz por la aproximación: 10 pesos á ü. Francisco Alastuey por el premio de la tercera clase de arquitectura; y 20 pesos á D.</t>
  </si>
  <si>
    <t>Joseph Marcos</t>
  </si>
  <si>
    <t>........ . a 5. 14. Joseph Marcos.... Agustín..,...... Juana Recio...... . ParadadeRu- FranclscoDomin- bialés......... Salamanca..... 39</t>
  </si>
  <si>
    <t>Joseph-Luis de Moíliuedo y la Quadra</t>
  </si>
  <si>
    <t>ltimo&gt; falleció en- la ciudad ■ de, Palencia á lós 8,5 año$ dé edad y 2Ó:de ponHftcado el limo. Sr. D. Joseph-Luis de Moíliuedo y la Quadra , caballera de la Real distinguida ordehudé Carlos m, del Consejo de $. MvEué colegial mayor en «1 Üe Santa Cruz de Valladolid, Abad dé S. Bartolomé‘de la catedral de Osma, Inquis</t>
  </si>
  <si>
    <t>Josepha Cabezudo</t>
  </si>
  <si>
    <t>aprobación por el término de 30 dias , que deberán contarse desde 2 del corriente. Se hace saber 6 Doña Josepha Cabezudo, heredera de su hija Doña Gertrudis Monroy, la qual lo fué de D. Pedro Ramcs, Oidor de la Real Audiencia de Sevilla , á D. Joseph Monroy, Alférez del regimiento de infantería de E</t>
  </si>
  <si>
    <t>Josepha Pisón y Dalmases, María</t>
  </si>
  <si>
    <t>María Josepha Pisón y Dalmases</t>
  </si>
  <si>
    <t>udadano Juan Balkenaérv..... . 823,902. , \ Doña Manuela Andreago....................... . 746,565, Doña María Josepha Pisón y Dalmases con Ios J 1 f* v r J 4504,518. D. Joseph Tajonera y Vidal............................ 522,591. D. LuisPuig............... 523,729.</t>
  </si>
  <si>
    <t>Josepha, María</t>
  </si>
  <si>
    <t>María Josepha</t>
  </si>
  <si>
    <t>eció en el Real sitio de San Lorenzo del Escunal á los 57 años cumplidos de su edad la Sra. Infanta Doña María Josepha, hermana de S. M. el Rey Ntro. Sr., de resultas de una penosa enfermedad, que habiéndose ido agravando gradualmente triunfó de la debilidad de S. A., quien ya se había dispuesto p</t>
  </si>
  <si>
    <t>JosephCirilo Martín</t>
  </si>
  <si>
    <t>Capellanía de Coro de la santa iglesia primada de Toledo, vacante por muerte de D. (Domingo Bode, á D. JosephCirilo Martin, Maestro, lector de coro de la misma santa iglesia-: para el Beneficio simple de h villa de Árgete, en la diócesis de Toledo,, vacante puf fallecimiento de D. Joseph Bruno Ximenez</t>
  </si>
  <si>
    <t>JosephMaría</t>
  </si>
  <si>
    <t>ro Izquierdo: para un Benenciode la villa de Álgora, diócesis de Sigüenza, vacante ; por ascenso de D. JosephMaría. Alvarez Palma ¿ una Canongía de Xerez de la Frontera, á D. Joseph de ja Vega yBqteñó: para-otroBcpoficio de la villa de Valls , d iócesis de Tarragona, á Pí Simón Tomas-. para ot</t>
  </si>
  <si>
    <t>JosephPetr, Príncipe</t>
  </si>
  <si>
    <t>Príncipe JosephPetr</t>
  </si>
  <si>
    <t>nce* 18 ahanócheder. llégo^á? esta ciudad el General ruso Barón de Spreng-b porten: iqacopipañán él Príncipe JosephPetr ovvitz de Olgorouki, el Consejero de corte Hongberg, Secretario oé legación en Dresde, y Comisario djer rdaciqnes mercantiles1‘(idrCoñsul)_ en Dantziék * el Capitán Conde de ¡sigu</t>
  </si>
  <si>
    <t>JosephRamon Aldama</t>
  </si>
  <si>
    <t>mé Cabello, Cura de Santa María: para la Canongía vacante por fallecimiento de D. Antonio Moreno, á Don JosephRamon Aldama: para la Ración, que este de*a,á D. Nicolás Maestre: para la Media-Ración de este á D. Francisco Armenta y Godoy: para la Ración vacante por fallecimiento de D. Francisco Vilbreal</t>
  </si>
  <si>
    <t>JosepK Cavanilles, Antonio</t>
  </si>
  <si>
    <t>Antonio JosepK Cavanilles</t>
  </si>
  <si>
    <t>tánico y astrónomo de; S. M. Católica , y director de la expedición botánica de Sta. Pede Bogotá; á D. Antonio JosepK Cavanilles, director del jardín botánicoí de Madrid; y al profesor Barthez de Mompeller, que era ya individuo corresponsal de dicha sociedad. El Almirante Nelson, después del ataque. de la e</t>
  </si>
  <si>
    <t>Josepn Murzo</t>
  </si>
  <si>
    <t>s primeros Subtenientes D. Joachín Rodríguez y D. Joseph Fransoy, y á/primer Subteniente al segundo D. Josepn Murzo: en el batallón de cazadores 7Voluntarios de Barbastro á segundo Subteniente al Cadete D. Joseph ViUaespesa; y en el regimiento de infantería de Borbori á primer Teniente al segun</t>
  </si>
  <si>
    <t>Josepn Salazar y Miranda</t>
  </si>
  <si>
    <t>Rey ha conferido el Gobierno militar y político de la plaza de Peñíscola al Brigadier de la Armada D. Josepn Salazar y Miranda : el del Fuerte del Condestable de la de Gerona al Teniente Coronel D. Miguel de Ugarte, Sargento mayor de la de Hostalrich; y la Sargentía mayor de la de Pamplona á D. Juan Peiay</t>
  </si>
  <si>
    <t>Josrph Masarnau</t>
  </si>
  <si>
    <t>allará desde mañana en el despacho de la imprenta Real; y en el Real sitio de S. Lorenzo en casa de Don Josrph Masarnau. Por auto proveído en 16 del corriente por el Sr. D. Manuel Perez de Rozos, caballero de la Real distinguida órden española de Carlos m, del Consejo de S. 1YI., Alcalde de la Real</t>
  </si>
  <si>
    <t>Josué Dixon</t>
  </si>
  <si>
    <t>y se temía que el resto de aquel cuerpo padeciese mucho ál hacer el mismo viage. Ha fallecido aquí Mr. Josué Dixon á los .103 años de edad: fue dos veces casado, y tuvo varios hijos. Su hija mayor tiene 70 años, y su hijo menor 18. En Seaford murió estos días un niño de 3 á 4 años, á quien su</t>
  </si>
  <si>
    <t>Jouin, Pedro</t>
  </si>
  <si>
    <t>Pedro Jouin</t>
  </si>
  <si>
    <t>de granaderos D. Pedro de St, Cricq de Classun, y á segundo Teniente de granaderos al de fusileros Don Pedro Jouin. Asimismo se ha servido S. M. nombrar para una plaza de Oidor de la Real Audiencia del Reyno de Aragón á D. Santiago Piñuela; y para la plaza del Crimen, que este dexa en la de Ex</t>
  </si>
  <si>
    <t>Jourdan, General</t>
  </si>
  <si>
    <t>General Jourdan</t>
  </si>
  <si>
    <t>iones hasta nueva orden baxo la dirección del Administrador general de Pismonte (quo lo es el mismo General Jourdan). 4.0 Todos los empleados públicos, así en los tribunales como en los demas ramos, continuarán igualmente exerciendo sus funciones respectivas hasta el punto que se verifique el n</t>
  </si>
  <si>
    <t>ión y demostraciones de amistad. Turin 24 de Abril. E I iS por la tarde, poco después de recibir el General Jourdan un extraordinario de París, se anunció en todos los teatros y concurrencias públicas la noticia de que el Piamonte queda reunido con Francia. Al dia siguiente hubo muchos festines</t>
  </si>
  <si>
    <t>o bastante para reconocer las baterías de las costas y aun el castillo Kisban. Turin g de Mayo. E I General Jourdan, Administrador general del Piamonte, ha dirigido á los Prefectos, Subprefectos y Consejeros de Prefectura recien establecidos en este país una circular, en la qual entre otras adv</t>
  </si>
  <si>
    <t>Jourdañding, General</t>
  </si>
  <si>
    <t>General Jourdañding</t>
  </si>
  <si>
    <t>497 Turin 21 de Abril, A^ntés de ayer se publicó aquí uná proclama del'General Jourdañding?da al pueblo subalpino, comunicándole las últimas disposiciones del gobierno Frunces para él nuevo arreglo del Piamontc. Al fin previene Fo contenido en los siguientes artículos:</t>
  </si>
  <si>
    <t>Jover, Joseph</t>
  </si>
  <si>
    <t>Joseph Jover</t>
  </si>
  <si>
    <t>el Corre pimiento de la provincia de Tunja,enel Nuevo Reyno de Grenadn , vacante por traslación* de D. Joseph Jover , ha nombrado S. M. á IX Manuel de Pozo y Pico, Contador de la Real Armada, con el sueldo de su dotación y la administración de tributos chl partido: para el de Quesaltenango, en</t>
  </si>
  <si>
    <t>Jpan Pérez Falla</t>
  </si>
  <si>
    <t>les , núm. 17, .manz. 43 i y en el año de 1662 parece correspondía á Doña Juana de Ilivas, viuda ds D. Jpan Perez Falla , caballero de la orden de Santiago , y Regidor de est* villa , en quien había recaído como hijo y heredero de Doña Luisa de Avila , pa-, (ra. que en el termine de 15 dias compare</t>
  </si>
  <si>
    <t>JPano, Agustín</t>
  </si>
  <si>
    <t>Agustín JPano</t>
  </si>
  <si>
    <t>........... 7$. 34, Agustín JPano...... Agustín......... Antonia Pueyo.... Barbastro....... Idem........ ....... 79. 3a. Pedro Salvador.,. Juan............. Tomasa Campos.. Valencia....... Idem.</t>
  </si>
  <si>
    <t>Jpsepli Arena</t>
  </si>
  <si>
    <t>d pública: Joseph Ceracchi, escultor romano, refugiado ¿n Francia, de 47 años : Jpsepli Arena, natural de Córcega-, y exr-legislador ^ de.39. años.; y Juan Topinó Le.briin, de Marsella, pintor;qp historia,.de.34 años, convencidos?de hahqr intentado el iode Octubre quitar la vida al</t>
  </si>
  <si>
    <t>Jtí, General</t>
  </si>
  <si>
    <t>General Jtí</t>
  </si>
  <si>
    <t>$feín^defásíicoÍ|!pt^%d^ ííurqpía iai corbeta A^pesaiim^radíi Hph? pdlis * ci»/Aléx Tndm, myq. jai; General Jtí^npq Ja dr^en qUKrjrésipnc^mrase todns sus trppas,.y formaje con ellas solo cuerpo; éa'&gt;Q*,jis^Tqitvrcja el:Qenvf4'.’3pl%/4. eya/cu&lt;5 Cayro,. á 4iv tegAb/is^«trepas, dvi í«¿i»e ndc</t>
  </si>
  <si>
    <t>Jtíferson, Tomás</t>
  </si>
  <si>
    <t>Tomás Jtíferson</t>
  </si>
  <si>
    <t>ados-Unidos americanos , en junta de 17 de Febrero, proclamaron por nuevo Presidente, por 4 años, á Mr. Tomas Jtíferson, en quien se reunieron los votos de 10 estados. Mr. Burr, que tuvo los de 4, es V ice-Presidente: otros 2 estados enviaron sus votos en blanco. El nuevo Presidente prestó jurament</t>
  </si>
  <si>
    <t>Juaa Barre, Pedro</t>
  </si>
  <si>
    <t>Pedro Juaa Barre</t>
  </si>
  <si>
    <t>es cada fanega. Quien quisiere hacer postura á dichas.fincas ó- a qualquiera de ellas acuda ai Lie. D. Pedro Juaa Barre, Abogado de los Reales Consejos y Alcalde mayor de aquella villa, por el oficio de D. Santiago Huertos García: previniéndose que su remate está señalado para el dia g de Octubre e</t>
  </si>
  <si>
    <t>JUad</t>
  </si>
  <si>
    <t>todo el mesdeFébYéro, dén^rúdel qúal lós qtié as piren ál referido* magisterio acudirán al rmsirto D. JUad;TftúÍii&amp;^ que ^dispondrá los correspondientes exámenes én la forma expresada! : • Colección dé las mejores poesías espirituales del ¿iL M:¡Fr. líuísdeLeon,&gt;d&amp; plegó Alfonso Velazq</t>
  </si>
  <si>
    <t>JüagerbreUse</t>
  </si>
  <si>
    <t>e GarlSctona1 el . 31 de Marzos y que la ponía én* teramente á' disposición, dcrSi M. Dinamarquesa. Mr. JüagerbreUse tuvo ayet tarde audiencia dbl Prmcipé Réal : /eúa mañanaicbnfrirenci ó con el' Ministro de Ecancia y con el Gonde dé Bernstorff;Jy hoy-salióde aquí» para Landscrona.” • r;, ,¿r^-</t>
  </si>
  <si>
    <t>Juah Joseph Gómez Ribera</t>
  </si>
  <si>
    <t>itos con los bienes y re.ntas .de la mesa capitular, acudirán en derechura á D&lt; Juah Joseph Gómez Ribera, Secretario capitular de dicho Cabildo. En el lugar de. Casas de Benitez, correspondiente á la jurisdicción de la villa de Vara de Rey, ha acontecido que en la mañana del dia 17 del pa-. sado</t>
  </si>
  <si>
    <t>Juail, Archiduque</t>
  </si>
  <si>
    <t>Archiduque Juail</t>
  </si>
  <si>
    <t>ero* ' ['■'■■■ •'V; A caba. el Emperador de nombrar Director general del cuerpo de irigeP nieros al Archiduque Juail. ' - ; : El Barón de Thugut ha hecho dexacion del empleo de Gobernador de las provincias de Italia, y se ha retirado de esta capital para residir en Cracovia. t ' :: ’ ;; . / El 1</t>
  </si>
  <si>
    <t>Juaiv Nepomuc</t>
  </si>
  <si>
    <t>ballería de Mo'nfesa á Portaestandarte-al Sargento D. Joseph Moreno. (■ Atéñdiendo á los méritos de D. Juaiv Nepomuc^no Guerra, Subdelegado de rentas de TalaYera’yse há servido el Réy concederle los honores de -Conríísario de guerra.•' 1 4 -Lés acreedores del A yod a a te de Plaza de Málaga D: J</t>
  </si>
  <si>
    <t>Juan Andrés</t>
  </si>
  <si>
    <t>Castillo, frente á S. Felipe; y en la de Escribano, calle de las Carretas. . Carta quinta del Abate D. Juan Andrés á su hermano í). Cárlos , en que le da noticia de las memorias de la sociedad italiana de Verona,de los opúsculos de Milán , de las efemérides y la antología de Roma , de otras ob</t>
  </si>
  <si>
    <t>Juan Antonio</t>
  </si>
  <si>
    <t>vU referida escribanía de D. Juan López Fando. Por el Juzgado del Sr. Teniente prime» de Coraqgvdor D. Juan Antonio «*»T v Tfi-io de D. Francisco Antonio Suaiez, se -subasta *ina escribanía 4e número y perteneciente Á la ocurrencia de acsudores Llanada A ios</t>
  </si>
  <si>
    <t>Juan Estéban</t>
  </si>
  <si>
    <t>de granaderos al de fusileros D. Leonardo Sicilia ; á segundo Teniente al Subteniente de granaderos D. Juan Estéban; á Subteniente de granaderos al primero de fusileros D. Manuel Guillen ; á primer Subteniente al segundo D. Antonio de la Azuela, y á segundo Subteniente al Cadete del de infanter</t>
  </si>
  <si>
    <t>Juan Francisco Ángel</t>
  </si>
  <si>
    <t>de D. Estépan Mipgo,,i D. Bernardo Sánchez: para otra, vacante por muerte de D. Antonio Morales, á D. Juan Francisco Angel: para otra, vacante por fallecimiento de D. Manuel Medina, á D. Bruno Francisco López y Pascual : para el oficio regular de Sacristán menor y Prior de Santo Tomas del Real monaste</t>
  </si>
  <si>
    <t>Juan José</t>
  </si>
  <si>
    <t>io de 1801 á Francisco García » ft«Has Perucho), primera espada, con el tercer toro de la vacada de D. Juan José pH Bequer: murió á las ao horas. Se hallará en la librttft de Tieso, calle de las Carretas , su precio * rs. Una pieza de música con 4 seguidillas y una canción, de Moral, con «co</t>
  </si>
  <si>
    <t>Juan Joseph</t>
  </si>
  <si>
    <t>nzález, D. Bernardo Flores, D. Feliciano Candía, D. Bernardino Fañola, D. Pedro Moralesy al paisano D. Juan Joseph de, OJaneta; á Subteniente de granaderos á.D. Buenaventura Morales ;.á Subtenientes de fusileros á los Sargentos primeros D. Juan Calvo y Antequera, D. Fernando Rodríguez, D. Mariano</t>
  </si>
  <si>
    <t>Juan María Miguel</t>
  </si>
  <si>
    <t>o de Soria D. Manuel de San Martin: en el de Córdoba á segundo Subteniente al Cadete del de Sevilla D. Juan María Miguel; y en el de Jaén á segundos Subtenientes á los Cadetes D. Joseph de la Puebla y D. Joseph Muñoz de la Torre: y á Capellán de este cuerpo al presbítero D. Francisco Farré y Quares.</t>
  </si>
  <si>
    <t>Juan Mateo</t>
  </si>
  <si>
    <t>............ 31. 0* Sargento i.° Juan Mateo..........Juana de la Toba. Cendejas de Cezoh......... Padrastro.. Jadraque......... 177. *.</t>
  </si>
  <si>
    <t>Juan Pablo</t>
  </si>
  <si>
    <t>har las paxareras de canarios y curar sus enfermedades: *.* impresión. Véndese á 4 rs. en casa de , D. Juan Pablo, calle de Atocha, frente á la casa de los gremios , en Aranjuez en • el puesto de libros, al esquinazo de la Cavar en Valencia-en casa de Burgete, en Zamora en la de Baljferizo ,</t>
  </si>
  <si>
    <t>Juan, Archiduque</t>
  </si>
  <si>
    <t>Archiduque Juan</t>
  </si>
  <si>
    <t>y que Moreau pidió entre otras cosas que los austríacos se retir ten al otro lado dei Ems; pero el Archiduque Juan no $©ñsiñtió ea ello, y envió no obstante un correo á Viena. El día 5 pi só por aquí un oficial austríaco, que va á Luneville ,y \% acompaña otro oficial francés; ■ El Ministro de</t>
  </si>
  <si>
    <t>’ del exército grande austriaco que se extiende desde las fronteras de Italia hasta Bohemia: que el Archiduque Juan mandará el ala derecha, y el Emperador el céntiroh jdfl¿-í¡.-.s ■ yrr:. &lt; u:ri-v;r: ;&gt;■ V' - v; j^ué lo^4^s^)^óí "dt*iti«i; todo * encuentro* ^L-iDesde que’te france«es fécobrárof</t>
  </si>
  <si>
    <t>S e ha publicado en la gazeta de esta capital el siguiente artículo: „ Según avisos dé S. A. R. el Archiduque Juan, dados el 3 del corriente desde su quartel general, se puso el exército en marcha aquel mismo dia, 3’ se adelantó contra el enemigo, que se hallaba en las inmediaciones de Anzing.</t>
  </si>
  <si>
    <t>nos Generales austriacos, y, que .el Conde dé Kóllówfatfr, que mandaba en xefe baxo las órdenes del Archiduque Juan, ha sido llevado á Vicha escoltado por un oficial de plana niavor. Entre los 20 Wállories qué forman la legión de Bohemia hay uno compuesto enteramente de estudiantes; se llama el</t>
  </si>
  <si>
    <t>á las operaciones militares, son las siguientes: ,, Desde el quartel general de Erosburgo avisa el Archiduque Juan con fecha del 8, que todo el exército se hallaba reunido en la línea de defensa á orillas del Inn: que las cabezas de puente de Muhldorñ', Krayburgo y Waserburgo estaban guarnecid</t>
  </si>
  <si>
    <t>onde el Emperador pasó revista al cxércrto del armamento: dé aquel 'ReynO. ‘ vv- * ^ V V1:\;v f&gt; El Archiduque Juan ha escrito desde sus quarteles generales de Tros* burgo, Thejsendorff y ^alzhurgo, con fecha de 9, 10, it y I2X, que el ' dta '9 fes enemigos atacáron la linea del Princtpe.de Con</t>
  </si>
  <si>
    <t>soh dos palacios y ca-sa&amp; de campó. del Emperador. El Archiduque Carlos», que se halla aquí cén el Archiduque Juan, conferencia y trabaja mucho con ei Feid-Mariscaf Laf¿cy y con otros Generales. * d.* y.-.i -vJ.</t>
  </si>
  <si>
    <t>; y no ha sido posible transferirlo á Viena, domo se había pensado. Durante su enfermedad exerce el Archiduque Juan, su hermano, las funciones de Presidente del Consejo áulico de guerra-----Añaden dichos avisos que la Puerta otomana ha pedido al gabinete austríaco explicaciones sobre los prepar</t>
  </si>
  <si>
    <t>a guerra dando la mano á la Diosa de la Paz en señal de reconciliación. De Inspruck escriben que el Archiduque Juan llegará á aquella ciudad ea todo este mes. Como dicho Príncipe es Director del cuerpo de ingenieros, se presume que su viage tiene por objeto señalar las fortificaciones que han d</t>
  </si>
  <si>
    <t>d¿l Electorado de Hannóver se incorporarán con la monarquía prusiana. Salzburgo a de Setiembre. E 1 Archiduque Juan, después de visitar esta ciudad y sus cercanías, salid de aquí el 27 del mes último para el Tirol, en donde residirá como Director general de Ingenieros: reconocerá las plazas y c</t>
  </si>
  <si>
    <t>Barón de Frauenberg por su Ministro en la corte de Roma. ' ' De Inspruck salió el 7 de este mes el Archiduque Juan para Ruff&lt;feiní El mismo dia el Marques de Ghateler entregó las insignias de la orden de María Teresa á y oficiales , ¿ quienes el Emperador ha premiado con este distintivo. Toda</t>
  </si>
  <si>
    <t>Juan- Antonio de TJrraza</t>
  </si>
  <si>
    <t>796 . . mero de D. Juan- Antonio de TJrraza,se ha mandado sacar á pública subasta po» ' término de 30 dias 5 casns sitas en esta corte: una en la calie de la Encomienda ._c#n accesorias 4 la de rías dos He.rtóai?.?t$.&gt; nüm.</t>
  </si>
  <si>
    <t>Juana de Berry</t>
  </si>
  <si>
    <t>.................................... cia................ 47. 17. D. Joseph Barón de la D. Antonio y Doña Juana de Berry....................... Bullach...................................... Sarlachenid..... ip. g, Juan Mas..................... Gerónimo y Gertrudis Mas........ Monferrer en ti Rosello</t>
  </si>
  <si>
    <t>Juana de Ilivas</t>
  </si>
  <si>
    <t>, con. vuelta á la de Ministriles , núm. 17, .manz. 43 i y en el año de 1662 parece correspondía á Doña Juana de Ilivas, viuda ds D. Jpan Perez Falla , caballero de la orden de Santiago , y Regidor de est* villa , en quien había recaído como hijo y heredero de Doña Luisa de Avila , pa-, (ra. que en</t>
  </si>
  <si>
    <t>JuanChrisóstomo</t>
  </si>
  <si>
    <t>ato humano, declaradas con reflexiones políticas y moraless* bre la sociedad d si hombre, por el P. D. JuanChrisóstomo deOloftz. Sehal Jarán en un tomo en 9.° en las librarías de Castillo , y en is dé la viuda de Cerro, y en su puesto, calle de Álcali," / . . Discursos de D- v.Toseoh a A trust i a Ib</t>
  </si>
  <si>
    <t>JuanDomiago</t>
  </si>
  <si>
    <t>n el de Avila Tenencia de fusileros á D. Joachín Portero, Subteniente de cazadores; esta: resulta á D. JuanDomiago, Subtenientede fusileros , y Subtenencia de bandera á D. Mariano Bccerríl, Cadete del mis</t>
  </si>
  <si>
    <t>Juano, Joachín</t>
  </si>
  <si>
    <t>Joachín Juano</t>
  </si>
  <si>
    <t>aderos D. Joseph Malpica y D. Felipe Gironda; á segundos Tenientes de granaderos á ios de fusileros D. Joachín Juano y D. Gabriel Rubio; á segundos Tenientes á los Subtenientes de granaderos D. Joseph Galludo y D. Joseph Callava; á estas resultas á los primeros Subtenientes D. Joachín Rodríguez y D.</t>
  </si>
  <si>
    <t>Teniente de granaderos al de fusileros D. Antonio León; á primer Teniente al segundo de granaderos D. Joachín Juano; á esta resulta al segundo Teniente D. Joseph Casous; á segundo Teniente al Subteniente de granaderos D. Rafael Ramiro; á Subteniente de granaderos al primer Subteniente D. Franci</t>
  </si>
  <si>
    <t>Juano, Joseph</t>
  </si>
  <si>
    <t>Joseph Juano</t>
  </si>
  <si>
    <t>udo, D. Joseph Calíava y D. Rafael Ramiro; á primeros Subtenientes á los segundos D. Antonio Merlo, D. Joseph Juano, D. Joseph Rodríguez, D. Miguel Márquez y D. Joseph Casaus, y a segundos Subtenientes á los Cadetes D. Joseph Joachín Muzo,'1 D. Joseph Losada, D. Andrés Rodríguez, D. Manuel Gall</t>
  </si>
  <si>
    <t>Juapv, Joseph</t>
  </si>
  <si>
    <t>Joseph Juapv</t>
  </si>
  <si>
    <t>^..v..u. i^5x. iz.1 Joseph Juapv..,, Antonia Antón.... Villa deiCasar.Guadaiaxara... 142. ig; Antonio García.., Anronip.„,...... María Conde....... Illescás.»...,..., Madrid....;...... 77. 8# Seba</t>
  </si>
  <si>
    <t>JuarF de Torr</t>
  </si>
  <si>
    <t>á los Cadetes D. Joseph Joachín Muzo,'1 D. Joseph Losada, D. Andrés Rodríguez, D. Manuel Gallardo, D. JuarF de Torr.es Coca, D-Joseph Martinez y D. Joachín Casaus , y á los Sargen-r tos primeros Di Poiicarpo de Frías, D. Francisco Barrera, de granaderos, D. Narciso Lafuente y D, Joseph Cembrano</t>
  </si>
  <si>
    <t>Judas Navarro</t>
  </si>
  <si>
    <t>ha conseguido en lá •villa de Brozas, vacunando á dos niños en presencia del médico titular de ella D. Judas Navarro: en la de Garroviilas vacunó una niña del profesor de medicina D. Francisco Valcárcel; y en ia de Alcántara inoculando del mismo modo á los nietos de su Gobernador i presencia, su</t>
  </si>
  <si>
    <t>Juez Sarmiento, Antonio</t>
  </si>
  <si>
    <t>Antonio Juez Sarmiento</t>
  </si>
  <si>
    <t>eniente al segundo de granaderos D. Joachín Arredondo: á segundo Ayudante mayor al segundo Teniente D. Antonio Juez Sarmiento, y á segundo Teniente al Alférez de granaderos D. Ramón Cañedo Valdés: en el de Reales .Guardias Wálonas á Alféreces de granaderos á los de fusileros D. Joseph de Zaldivaí y D. Be</t>
  </si>
  <si>
    <t>Juiian González SaeKr</t>
  </si>
  <si>
    <t>'nion^' y’Me* jorada, á la escribanía de D. Antonio López deSalazar; y á la de^Canillejis*, i la dé D. Juiian González SaeKr -V’i6í-v i i En la ciudad de Sevilla, en la calle de los Tintes, junto i la puerta, dé Cáf-. mona, se halla establecida con permiso superior una fábrica de loza dé pedernal, que r</t>
  </si>
  <si>
    <t>Julia, Francisco</t>
  </si>
  <si>
    <t>Francisco Julia</t>
  </si>
  <si>
    <t>........... go. ig. Francisco Julia............ Joseph y Ana Benet.................... Perpifian.......... 71. n# Crispía Manseró.......... Crispió y Teresa Astruca.......... Id........................ 81. a</t>
  </si>
  <si>
    <t>Jun Antonio de Almagro</t>
  </si>
  <si>
    <t>medalfa. de plat3 de 4 onzks, y conc dido derecho á la jubilación, á su individuo actual de número D. Jun Antonio de Almagro, por h¿ber desempeñado dignamente en sus disertaciones el encargo que se le confió de comentar el libro 7.0 de la Corrupción de las artes del célebre Juan Luis Vives. En el sorteo</t>
  </si>
  <si>
    <t>Junco, Domingo</t>
  </si>
  <si>
    <t>Domingo Junco</t>
  </si>
  <si>
    <t>En el regimiento de Reales Guardias Walonas se ha servido promover el Réy á Alféreces i los Cadetes D. Domingo Junco, D. Juan de Valcáx</t>
  </si>
  <si>
    <t>Junco, Pedro</t>
  </si>
  <si>
    <t>Pedro Junco</t>
  </si>
  <si>
    <t>l segundo Ayudante D. Juan de Arguelles, y á segundo Ayudante, con grado de Subteniente , al Cadete D. Pedro Junco: en el de Valdivia á Capitán al Teniente D. Joseph Carvallo; á Teniente al Subteniente D. Diego Adriasola, y á Subteniente al Cadete D. Juan Angel Cosío. Eí Consejo á consulta de</t>
  </si>
  <si>
    <t>Junot, General</t>
  </si>
  <si>
    <t>General Junot</t>
  </si>
  <si>
    <t>e Oriente, queriendo dar un testimonio de satisfacción á los 300 valerosos soldados mandados por el General Junot, que en el combate de Nazareth rechazáron á 3© hombres de caballería , ganaron 5 banderas, y cubrieron de cadáveres el campo de batalla, acordó que se ofrecería una medalla de val</t>
  </si>
  <si>
    <t>Junquera, Rafael Francisco</t>
  </si>
  <si>
    <t>Rafael Francisco Junquera</t>
  </si>
  <si>
    <t>ph Benito Blanco de Salcedo: para otra que se halla vacante en la referida iglesia por promoción de D. Rafael Francisco Junquera á una Canongía de la propia iglesia, á D. Manuel Martínez del Campo y Guerra de la. Vega: para otra Ración de la catedral de Orense, vacante por ascenso de p. Jossph Antonio Riber</t>
  </si>
  <si>
    <t>Junquitu, Antonio</t>
  </si>
  <si>
    <t>Antonio Junquitu</t>
  </si>
  <si>
    <t>, al primer Teniente de granaderos D. Luis Bacilo; á primer Teniente de grañach rps ál de fusileros D. Antonio Junquitu ; á primer Te-, nLnteféf gupdo de granaderos, .graduado, AeaCapitan * jj¡&gt;. Ántpnió J.a$a«-.. la; átseguudo Teniente, de granaderos al de fusileros í). Joachin'San CWi mente; á se</t>
  </si>
  <si>
    <t>Just, Juan</t>
  </si>
  <si>
    <t>Juan Just</t>
  </si>
  <si>
    <t>alongaenid. 81. a6, Juan Just................. Francisco y Isabel Lluveras....... Sureda en id.^., gr. g. Juan Güimesaras........ Francisco y María Videta......... Sureda en id.... 81. a6. Andrés Riera.....</t>
  </si>
  <si>
    <t>Justó Racax</t>
  </si>
  <si>
    <t>oseph Torres; á primer Teniente al segundo D. Pedro Gasea; á segunde Teniente al primer Subteniente D. Justó Racax; á primer Subteniente al segundo D. Miguel Párraga, y á segundo Subteniente al Cadete 1). Manuel Pascual: en el regimiento de infantería de Borbon á primer Teniente de granaderos</t>
  </si>
  <si>
    <t>Justo Sorogastua</t>
  </si>
  <si>
    <t>isco Rodríguez Frce; y para el de Interventor de la Factoría de Quesaltenango, en el propio Reyno,á D. Justo Sorogastua. En la extracción de la Real lotería executada el martes 3 del corriente* sáliéron los números 20, 83,4, 28 y 15; y con ellos han ganado los jugadores 67 2,880 rs. '■ . El Mercuri</t>
  </si>
  <si>
    <t>JVfo, General</t>
  </si>
  <si>
    <t>General JVfo</t>
  </si>
  <si>
    <t>timo es Mifiístro del Emperador en Londres. Está el Archiduque Carlos enteramente restablecido. Iil General JVfo-: reau le ha escrito que no puede ir á Viena como lo habia resuelto, porque t\ene que asistir fen su exércitó , el qual: ha empezado su marcha para volver á Francia. . Londres 16 d</t>
  </si>
  <si>
    <t>Kalitchew</t>
  </si>
  <si>
    <t>concluida la audiencia pública, la tuvo el Conde de Marcow, enviado por Alexandro 1 para suceder á Mr. Kalitchew. Carta del General en xefe Murat al Ministro de Guerra. ,, Afilan rj&gt; de Setiembre. Hace varios dias que se está bombardeando á Porto-Ferrayo. Nuestras baterías impiden la entrada</t>
  </si>
  <si>
    <t>Kalitschew</t>
  </si>
  <si>
    <t>nviado ruso en la corte de Prusia, quien comunicó al Ministro Beurnonvilie que Paulo I despachaba á Mr. Kalitschew en calidad de Embaxador á París. Lleva de sueldo anual 100® rublos, y el Emperador le ha dado .50© para gastos del viage. ;■ , . Aseguran varias gazetas que Paulo I ha insinuado al</t>
  </si>
  <si>
    <t>s barcos pescadores , hasta que pueda consultar á S. sobre el particular.” &gt; El día 6 llegó á París Mr. Kalitschew, y se apeó en el alojamiento que el Ministro de lo Interior había mandado disponerle. Por todo su camino en territorio francés fue recibido con los honores debidos á su carácter,</t>
  </si>
  <si>
    <t>Kamer, Antonio</t>
  </si>
  <si>
    <t>Antonio Kamer</t>
  </si>
  <si>
    <t>distinguido D. Carlos de Massia; y en el Suizo de Betschart á segundos Tenientes á los Subtenientes D. Antonio Kamer y D. Juan Hediger. El Consejo á consulta de la Comisión gubernativa, y con aprobación de S. M., ha acordado la veinte y seis amortización de 85 Vales de 600 pesos, 700 de 300, y 45 de</t>
  </si>
  <si>
    <t>Kamp, Pedro (capitán)</t>
  </si>
  <si>
    <t>Capitán Pedro Kamp</t>
  </si>
  <si>
    <t>Refieren los últimos avisos de Bengala que el navio holandés nombrado1 lá Constancia, al mando del Capitán Pedro Kamp, naufragó en las costas de Madagascar el 18de Diciembre. De 150 personas que habia á bordo, no se salvaron mas que un marinero holandés, dos españoles y dos portugueses. Según cár</t>
  </si>
  <si>
    <t>Kayser, Antonio</t>
  </si>
  <si>
    <t>Antonio Kayser</t>
  </si>
  <si>
    <t>ng a Capitán primero al de granaderos D. Juan Christkno Bagníoud; á esta resulta al Capitán segundó D. Antonio Kayser; i Capitán segúado al Teniente de granaderos 0. Alexandro de Korb; á Teniente, de granaderos al de fusileros 0. Ignacio Preux, y á Teniente al Subteniente D. Jorge Prenx. S- M. ha</t>
  </si>
  <si>
    <t>Kcyth, Lord</t>
  </si>
  <si>
    <t>Lord Kcyth</t>
  </si>
  <si>
    <t>ial que acaba de saiir por orden del gobier4 no para embarcarse en Venecia con pliegos dirigidos al Lord Kcyth y al</t>
  </si>
  <si>
    <t>Kdesoed, Capitán</t>
  </si>
  <si>
    <t>Capitán Kdesoed</t>
  </si>
  <si>
    <t>ue de Junio. E 1 día ,2o de este mes aprobó S. M- Dinamarquesa el tratado de paz ajos-" tado por el Capitán Kdesoed con la Regencia dé Túnez. ' Se han distribuido 19 medallas de honor á otros tantos trabajadores de 1 los astilleros que han sobresalido por su zelo y destreza Vhízose está ceremon</t>
  </si>
  <si>
    <t>Kei-th, Almirante</t>
  </si>
  <si>
    <t>Almirante Kei-th</t>
  </si>
  <si>
    <t>enfermedad de su augusto padre. -*. Anoche llegó ai Almirantazgo el Capitán Dorney con pliegos del Almirante Kei-th, y al misino tiempo ha llegado el Capitán Aüsten con cartas del General Abercrombie. Nada se ha publicado de lo que avisan estos Generales; pero se dice que un oficial superior em</t>
  </si>
  <si>
    <t>Keith y del General Abercrombie, Lord</t>
  </si>
  <si>
    <t>Lord Keith y del General Abercrombie</t>
  </si>
  <si>
    <t>n de S. M. I." Londres 10 de Mayo* E l paquebot la Luisa, de 14 cañones, ha llegado con pliegos del Lord Keith y del General Abercrombie. Salió de Alexandría hace 7 semanas; y así las noticias que trae no pasan del 18 de Marzo. Ayer se publicaron en gazetade la corte las cartas del Lord Keith: la mas importante es</t>
  </si>
  <si>
    <t>Keith y Mr, Lord</t>
  </si>
  <si>
    <t>Lord Keith y Mr</t>
  </si>
  <si>
    <t>gado de .Negocios de Inglaterríi en Jónez,.. de que el 21 de .Diciembre habían salido de Malta ; el Lord Keith y Mr. Abercromhie coa buques de .guerra y-,muchas tropas: que poco:ántes se~. avisto desde Malt-votra.división mandada por Mr. Ricardo Bickerton, ha-, ciendo rumbo al mismo,,parage:• q</t>
  </si>
  <si>
    <t>han alistado unos 100 barcos para subir por el Nilo entrando por las bocas de Roseta y Damieta. El Lord Keith y Mr. Abercrombie han confiado á Mr. Sidney-Smith el mando de esta vanguardia. Hay gran desunión entre el referido Almirante Keith y el Lord Elginr Ministro británico cerca del Gran Se</t>
  </si>
  <si>
    <t>ipes Adolfo y Augusto han sido creados Duques, el primero de Sussex, y el segundo de Cambrige; y el Lord Keith y Mr. Plutchinson han sido promovidos á Pares de la Gran Bretaña. El Consejo de la ciudad de Londres ha votado gracias á estos dos Generales por los importantes servicios que han hecho</t>
  </si>
  <si>
    <t>Keith, Almirante</t>
  </si>
  <si>
    <t>Almirante Keith</t>
  </si>
  <si>
    <t>n escriben de Roma; sentarán su quartel general en Viterbo.__ De Nápoles avisan que la esquadra del Almirante Keith ha llevado refuerzos á Malta. Niza 14 de Enero. L as tropas que se detuviéron algún tiempo en esta ciudad han salido t&gt;ara reforzar el exército de Italia. j - * Extracto de una ca</t>
  </si>
  <si>
    <t>eró el General Gantheaúme de un cúter ingles, nom&gt;bradó Sprlghtiyj de 14 cañones, despachado por el Almirante Keith.w—Ál amanecer del 13 se acercó con mucha confianza una fragata inglesa para observar á la esquadra. El Contra-Almirante mandó dar caza general, y la fragata quedó cortada y apresa</t>
  </si>
  <si>
    <t>uerto de la Goleta un número muy crecido de embarcaciones francesas. No obstante,, las amenazas del Almirante Keith, y los esfuerzos de los Agentes ingleses*, hay seguridad de qué el Bey de Túnez y el de Trípoli conservarán buena^ inteligencia con la República de Francia; y en efecto .acaban di</t>
  </si>
  <si>
    <t>za? Me desdeño de manifestaros aquí la indignación que excitó en nuestras almas la carta de vuestro Almirante Keith. Nuestros sol-í dados decían: quieren los ingleses nuestras armas,pues que vengan ¿ tomarlas ; pero esta empresa, Señor mió, es harto mas difícil que la de componer discursos. Dec</t>
  </si>
  <si>
    <t>ie han confiado á Mr. Sidney-Smith el mando de esta vanguardia. Hay gran desunión entre el referido Almirante Keith y el Lord Elginr Ministro británico cerca del Gran Señor. Envió este á Mr. Morrier, su secretarioal cámpotdel Gran V^ para proponer una nueva capitulación á los franceses; y al volver</t>
  </si>
  <si>
    <t>de Abril. D ícese que han entrado en Cagliari una fragata y un bergantín ingles despachados por el Almirante Keith con aviso de que su esquadra llegará en breve á aquellas costas. _Las fragatas francesas nombradas Egipciaca y Justicia , que han entrado en Alejandría de Egipto, se apoderáron du</t>
  </si>
  <si>
    <t>JUNIO DE 1801. Constantino]}!a jz de Marzo. M. je. Elgin, Embaxador ingles, ha recibido cartas del Almirante Keith, en que le remite noticias circunstanciadas del desembarco en Egipto. Los franceses dieron las mayores pruebas de valor y heroísmo para detener á los enemigos: la caballería y la</t>
  </si>
  <si>
    <t>teriormente algunos. , Esta mañana llegó de la costa de Egipto el Teniente Corbett, con pliegos del Almirante Keith, escritos el i.° de Abril abordo del Fourdroyant en la bahía de Abukir, dirigidos al Secretario del Almirantazgo, y de ellos se ha publicado lo siguiente. „Con el mas profundo dol</t>
  </si>
  <si>
    <t>enientes, 6 Subrenienrtes,y 664 soldados. ; Él Teniente Corbett, que tr*xo&gt; los últimos pliegos deí Almirante Keith, salió de Egipto el 8 de Abril, y asegura que entonces las fuerzas inglesas y francesas' eran ¡guates, y Alexandría quedaba aun en poder de los republicanos. Añade que poco déspue</t>
  </si>
  <si>
    <t>risioneros de guerra, inclusos 12 oficiales, y fuéron embarcados en dicha embarcación por orden del Almirante Keith. Declara que los franceses gozaban la mejor salud, y que ignoraba que en los contornos de Aíexandría se padeciese enfermedad contagiosa; pero en el Cayro-hubo algunas señales de p</t>
  </si>
  <si>
    <t>cial dixo que se esperaba quanto ántes al Lord Warren, que con 8 navios de línea va á reemplazar al Almirante Keith. Llegó Viliemet el 23 á Malta, en donde posteriormente entró la fragata inglesa Flora con el cadáver del General Abercrombie, al qual se dio sepultura con mucha ostentación. Mient</t>
  </si>
  <si>
    <t>de 15,400 hombres de infantería, 300 de artillería y 300 dragones. Las fuerzas navales que manda el Almirante Keith consisten en tres navios de So cañones, quatro de 74, .seis fragatas de 36 á 44, ochQ navios y 39 fragatas armadas en urca, nna corbeta y 3 bergantines armados en guerra. Hay que</t>
  </si>
  <si>
    <t>legó un extraordinario de Londres, que va áConstantinopia con instrucciones para el Lord Elgin y el Almirante Keith, á quien se previene que la Inglaterra no trata ya á los rusos'como á euemigos, y que respeta su bandera. El dia 27 saldrá de aquí el Emperador con la Emperatriz y los Archiduques</t>
  </si>
  <si>
    <t>recibido el gobierno cartas del Tord Eíginy Embaxador británico en Constantinopla, con noticias del Almirante Keith, que alcanzan al 3 de Mayo. Parece que Mr; Blanket había'llegado al mar Roxo con un cuerpo de c i payos; pero no expfesá el Lord Keith el puerto éd qué ha entrado aquel Almirante,</t>
  </si>
  <si>
    <t>ncluido por el General Belliard el 27 de Junio es enteramente lo mismo que el de El-Arisch; y si el Almirante Keith no obrase de buena fe* é impidiese el paso por mar, como lo hizo despues^del tratado de'El-Arisch , no tardaría en haber otra batalla de Heliópolis___ Si en la jornada de 21 de Ma</t>
  </si>
  <si>
    <t>n, que solo consiste en 3 navios, incluso el nombrado Tigre, se incorporó el 18 de Junio con la del Almirante Keith delante de Alexandría. Mr. Ferris, Capitán del Aníbal, y los demas oficiales de aquel navio apresado en Algecíras, han sido juzgados y absueltos en un consejo de guerra celebrado en P</t>
  </si>
  <si>
    <t>Keith, Lord</t>
  </si>
  <si>
    <t>Lord Keith</t>
  </si>
  <si>
    <t>concurrió como’ parte directa al convenio de Egipto. Mr. Tierney dixo que convenia averiguar si el Lord Keith había escrito la mencionada carta por orden de ios. Ministros. „£í hecho de que se, trata es muy grave: si sale cierto, será un.</t>
  </si>
  <si>
    <t>edido un extraordinario con pliegos á Viena y otro ai exército austríaco.----Asimismo ha enviado al Lord Keith instrucciones relativas á la esquadra rusa que se halla en los Dardanelos. Dícese que la mitrAt* •rvivt'í» ríe» lo mrrlt /5P ^ «nú, &gt; v/i uai tv uw id i u ij'Kíi. |/ai IV UW 1A UJ</t>
  </si>
  <si>
    <t>de Plimouth el LordNelson para el Mediterráneo, éa donde Téemplazarácen el mando de la ésquadra ¿1 Lord Keith, que.¿seguirán se’ restituye á Londres, por exigirlo así la falta de unión y de intelir fgencia entre aquel comandante de mar y los de las tropas terrestres. Suponen algunos que e</t>
  </si>
  <si>
    <t>el auxilio de los turcos, a lo ménos para tener abundancia de víveres y municiones. La esquadra del Lord Keith destinada para Egipto ha padecido una fuerte tempestad: También la padeciéron 6 navios de guerra turcos que se hallaban en las aguas de Rhódas, los quales han quedado desarbolados. E</t>
  </si>
  <si>
    <t>glesas mandadas por el General Abercrombie han llegado á las costas de Caramania; y la esquadra del Lord Keith queda surta en Marmarisa. A lgunas embarcaciones,.que saliéron de Alexaudríá con enfermos, han caído en poder de los ingleses. Se sabe también que el General Menou está nombrado G</t>
  </si>
  <si>
    <t>dra y el convoy ingles destinados contra Egipto, habría ya esta expedición llegado á su destino. El Lord Keith ha entrado en Macri (puerto muy capaz de Natolia en Caromania , frente á Rhódas) con parte de su esqu.dra, y 52 transportes; desembarcó allí la primer división de sus tropas, y so</t>
  </si>
  <si>
    <t>^de-?a Hnés ide dJÍTcMióJirl1 séCiháll .b.n ^n 1 a'bahía de Macri. Por otra parte sj asegura que el Lord Keith ha recibido crden de su.Sobiefno g^r^|¿tjj^arconJa^^es&lt;ju.idra_jf exército a Portugal, y quizá de ala volverá á Inglaterra.' 4 Berlín ¡y de Febrero. Í ! 1 15 por la noche maffó‘*f</t>
  </si>
  <si>
    <t>es próximo sabremos si los franceses quieren capitular ó exponerse á la suerte de una batalla. El ’ Lord Keith y todo el cuerpo de marina obrará de acuerdo con nosotros. Nuestras tropas disfrutan la mejor salud. No falta entre nosotros quien espera hallarse de vuelta en Inglaterra antes del</t>
  </si>
  <si>
    <t>cartas del Lord Eigin fechas en Constantinopla á 31 de Marzo» parece que había recibido pliegos del Lord Keith con el aviso de que las tropas del mando de Mr. Abercrombie hiciéron el 8 de Marzo un .desembarco en la península de Abukir expuestas al fuego de la artillería formidable jf de la</t>
  </si>
  <si>
    <t>los franceses hubo 143 heridos y 200 muertos. El oficial que llegó al Almirantazgo con pliegos del Lord Keith tardó dos meses en su navegación: y así no ha traído mas noticia que la de haber salido para Egipto los buques de guerra y los transportes con las tropas británicas. La 3.a parte</t>
  </si>
  <si>
    <t>ore, Nope, Mr. Sidney-Smith y el Coronel Paget. El Coronel Abercrombie lo fué de mas gravedad.__ El Lord Keith me dice en sus últimos pliegos que todo» los heridos se restablecen: cosa tanto mas extraña, quanto todas sus heridas son de metralla y artillería.” Extracto de otra carta del Lor</t>
  </si>
  <si>
    <t>noticias que trae no pasan del 18 de Marzo. Ayer se publicaron en gazetade la corte las cartas del Lord Keith: la mas importante es la siguien</t>
  </si>
  <si>
    <t>dra turca liego el 19 de Marzo á las costas de Egipto; pero aun se esperaba al Capitán Baxá. La del Lord Keith se ha reforzado con 3 navios ingleses. Las tropas británicas desembarcaron la artillería de sitio el día 23, y se preparaban á cercar á Alexandría, en donde parece qne se halla ac</t>
  </si>
  <si>
    <t>fuerzas de su mando se han aumentado con algunos buques de guerra y transportes de la esquadra del Lord Keith: de modo que forma la vanguardia de las fuerzas navales inglesas que cruzan delante de Alexandría. Uno de los últimos correos de París, que han llegado aquí, traía encargo de comp</t>
  </si>
  <si>
    <t>o en nombre del Gran Señor una garzota de brillantes á cada uno de los oficiales de la-esquadra del Lord Keith, como señal del aprecio que aquel Soberano Hace de su valor. En la gazeta de la corte dei dia 2 se ha publicado la capitulación de las islas de S. Eustaquio y de Saba. Un destacam</t>
  </si>
  <si>
    <t>yo. Parece que Mr; Blanket había'llegado al mar Roxo con un cuerpo de c i payos; pero no expfesá el Lord Keith el puerto éd qué ha entrado aquel Almirante, ni «abe á punto fixo:el número de tropas que lleva: bien que lo supone de x 200 hombres. Como el Lord Keith perdió,</t>
  </si>
  <si>
    <t>o con pliegos para Londres. Vierta rp de Junio. E 1 Lord Minto ha recibido un correo con cartas del Lord Keith, quien le avisa que el General Hutchinson atacó el 9 de Mayo á los franceses cerca de Rhamanieh: hiciéron los enemigos alguna resistencia y se retiraron. Poco después se entregó l</t>
  </si>
  <si>
    <t>Keíth, Lord</t>
  </si>
  <si>
    <t>Lord Keíth</t>
  </si>
  <si>
    <t>10® hombres. Dice también que el Almirante W *rren se ha reunido en las aguas de Alejandría con el Lord Keíth y con e« Capitán Bax i; y que Mr. Sidney Smith ha subido por el Niio, obligando á Jas cañoneras francesas á acogerse al Cayro. Según la referid 1 gazeta las fuerzas délos franceses</t>
  </si>
  <si>
    <t>navio ingles que rendirse. Llámase el Swifsture, y era uno de. los mas hermosos de la esquadra del Lord Keith. Los nuestros padecieron poco daño. En el Diez-de-Agosto hubo 6 muertos y 23 heridos, y en el Indivisible 4 en todo. Con partidas de matineros de su esquadra tripuló Gantheaume al</t>
  </si>
  <si>
    <t>án ó intérprete de Mr. Sianey-Smith, zozobró en Roseta, ahogándose la mayor parte dé la gente..._El Lord Keith había nombrado al mismo Mr. Smith por comandante de un navio, 5 fragatas y otros buques destinados á una expedición secreta. Durante unos dias hubo embargo general en los puertos</t>
  </si>
  <si>
    <t>, y no de 2 como se dixo en la capitulación publicada en Londres. Al fin se halla la aprobación del Lord Keith. Incluye también el General Belliard una nota explicativa y adicional al referido convenio de 27 de Junio, concluida el mismo dia en el campo de las conferencias, y aprobada igual</t>
  </si>
  <si>
    <t>nombrada Sidney-Ssnith de 14 cañones, procedente de Egipto, ha fondeado en Falmouth con pliegos del Lord Keith.,Tardó 12 semanas en su navegación de Egipto á Gibraltar, y otras dos de Gibraltar aquí. ■ ; ■'' - * Uaya ij de Octubre. S e ha suspendido el armamento de los 4 navios que se cons</t>
  </si>
  <si>
    <t>General Moaré con1 pliegos del General Hntchinson; y el Capitán Olter llegó también con cartas del Lord Keith. Contienen la noticia de oficio de haber los ingleses tomado posesión de Alexandría. Una hora después fondeó en Spithead la fragata Carmen, á cuyo bordo venían el Coronel Abercrom</t>
  </si>
  <si>
    <t>án Baxá le tocó Lacause de 6j , la Justicia de 46, y otra corbeta veneciana de 26. También avisa el Lord Keith que el navio de S. M. el Fénix apresó uní fragata nombrada la Carrcre: y que se recobró el navio inghs el Suceso, y la chalupa Bulldog; y que las fragatas Minerva y Pomom dcstruyé</t>
  </si>
  <si>
    <t>Keitli, Almirante</t>
  </si>
  <si>
    <t>Almirante Keitli</t>
  </si>
  <si>
    <t>1 sñerfó; dél Egipto con ana batalla genferal. Por el Ni lo debían subir 35 cañoneras al-, mándod^l Almirante Keitli pata"sóstener:!laS operaciones militar^.^2¿^l-mi^0¿Alfhírante ha envfaéO' al^Adtiático atíá^di^isioñ^de^Suj’esqaádra pariá que pl¿#Siga/á los francwesert aquelrfiarvy defiéndante</t>
  </si>
  <si>
    <t>KeitU, Lord</t>
  </si>
  <si>
    <t>Lord KeitU</t>
  </si>
  <si>
    <t>chas cartas de.correspondencia inglesa; y. de elias&gt; se han publicado algunosextractos. En iiuadel .Lord KeitU, de 17 de Diciembre, , dirigida' á. Mr* Perkin Ma- , g$a.,; Cónsul &gt; británico ea Túnez,,. le encargaba ¿informase al Bey de que dos puertos de ,Huella, Tolon y, Niza continúan-bl</t>
  </si>
  <si>
    <t>Kersech, Carlos</t>
  </si>
  <si>
    <t>Carlos Kersech</t>
  </si>
  <si>
    <t>sieres y D. Francisco Requesens; á segundos Tenientes al primer Subteniente,, graduado de Teniente, D. Carlos Kersech y al Subteniente de granaderos D. Juan Antonio Monet; á Subteniente de granaderos al primer Subteniente D. Ramón de Lara; á primeros Subtenientes á los segundos D. Juan Vázquez y D;</t>
  </si>
  <si>
    <t>Keyth</t>
  </si>
  <si>
    <t>rco francés en que volvía de Egipto á Francia el ciud. Tallien, ha sido apresado por la esquadra de Mr. Keyth. « Al Lord Loughborough, último Canciller del Reyno, le han señalado mía pensión anual dé 4$ libras esterlinas. . . No léjos de Jamayca se apodero un corsario francés él 2 de Dici</t>
  </si>
  <si>
    <t>Keyth, Almirante</t>
  </si>
  <si>
    <t>Almirante Keyth</t>
  </si>
  <si>
    <t>illones de libras esterlinas. Espérase aquí á Mr. Sidney-Smith, que viene de Egipto con pliegos del Almirante Keyth. &gt; En las últimas noticias del Asia se refiere que el primer Ministro del Emperador de la China Lu-Mo-Sing, que era igualmente su valido,-y contribuyó mucho á la calda del Ministr</t>
  </si>
  <si>
    <t>Kíeber, General</t>
  </si>
  <si>
    <t>General Kíeber</t>
  </si>
  <si>
    <t>ba que un oficial ingles había intervenido ■en el convenio que se ajustaba entre el Gran Visir y el General Kíeber ? A mí me parece que debían haberos comunicado un acontecimiento tan* importante; y resulta de ello, 6 que habéis mentido á la faz de Euro-' pa, 6 que vuestros agentes y comisiona</t>
  </si>
  <si>
    <t>Kíeist, General</t>
  </si>
  <si>
    <t>General Kíeist</t>
  </si>
  <si>
    <t>entre ios quales hay dos Obispos, varios eclesiásticos, abogados y médicos. Berlín 30 de Marzo. E 1 General Kíeist es el que manda las tropas destinadas á tomar posesión de Hannóver. El regimiento de BJucher ha ocupado á Meppen, que es por donde los ingleses introducían sus géneros en Westphalia</t>
  </si>
  <si>
    <t>King</t>
  </si>
  <si>
    <t>ndias occidentales, y sancionadas, por decirlo así,, por. los tribunales del Almirantazgo, presentó Mr. King,.Ministro' d;e los Estados Unidos en Londres,, una nota al Lord Hawkesbury en que pe--, dia que se pusiese remedio á semejantes violencias, enlasquales incurrían nosolamente los c</t>
  </si>
  <si>
    <t>KJeist, Teniente General</t>
  </si>
  <si>
    <t>Teniente General KJeist</t>
  </si>
  <si>
    <t>demas parages, incluso el castillo de Hameln , se entregarán á las tropas prusianas mandadas por el Teniente General KJeist. Anuncia al mismo tiempo S. M, que la manutención de dichas tropas correrá por cuenta del país electoral desde fines del mes de Abril. Despacha el Rey á su Mi-¿ nistro de gabinete</t>
  </si>
  <si>
    <t>Klcnau</t>
  </si>
  <si>
    <t>tiempo la ciudad. Había sabido Augercau por un aviso del General Moreau que el cuerpo austríaco de Mr. Klcnau se reunía en Neumack, en donde debía reforzarse con parte de las tropas del General Meerfelu ; y supo también que los enemigos habían reunido de 12 á 13© hombres en el puesto de B</t>
  </si>
  <si>
    <t>Kléber, General</t>
  </si>
  <si>
    <t>General Kléber</t>
  </si>
  <si>
    <t>mera acción de vanguardia.** ,,Después del convenio de El-Arisch ajustado entre el Gran Visir y él General Kleber, se preguntaba qual de los dos exércitos era el victorioso: la batalla de Heliópolis, verificada de allí á dos meses, resolvió aquellas dudas. El convenio concluido por el General</t>
  </si>
  <si>
    <t>Kleist, General</t>
  </si>
  <si>
    <t>General Kleist</t>
  </si>
  <si>
    <t>a división de estas tropas se dirige al Elba para ocupar á F rey burgo y la isla de Kraut? sand. EL General Kleist sentará su quartel en Stade, y el Príncipe Luis de Prusia, que está baxo sus órdenes, mandará el ala izquierda en el ElbaInferior. Varios regimientos han pasado ya por Ottersberg.</t>
  </si>
  <si>
    <t>país: pues en vano aquella Regencia y el General Walmoden dirigiéron repetidas r- presentaciones al General Kleist y al gabinete de Berlín para que se reduxesen á 12© hombres ó i5©quando mas. Avisan de Minden que quando los prusianos se presentaron para entrar en la fortaleza de Hatneln, les int</t>
  </si>
  <si>
    <t>te se reunirá entre. Berlín y Potsdam: el Rey les pasará revista, y luego seguirán á su destino. £1 General Kleist, comandante en xefe chí exercito de observación, ha dado orden para que entren y circulen como antes los géneros ingleses en Wesrphalia: algunas mercancías que se habían cogido, s</t>
  </si>
  <si>
    <t>e proponía hacer á sus estados de Franconia y Westphalia. El ejército de observación mandado por el General Kleist permanece en los mismos puestos que ocupaba hasta ahora, y nada indica que trate de evacuar el Electorado de Hannóver. Por el contrario, se asegura que des- pues de las revistas d</t>
  </si>
  <si>
    <t>rar de acuerdo en los asuntos políticos del dia. Wessel 14 de Junio. A .1paso que se asegura que el General Kleist ha recibido orden de disponerse á evacuar con las tropas de su mando la ciudad imperial y anseática de Bremen, y la parte que ocupa del Hannóver, se dice que ios franceses ocupará</t>
  </si>
  <si>
    <t>entregó la guarnición de aquella fortaleza. Minden 22 de Junio. E n fuerza de instrucciones que el General Kleist ha recibido de Berlin# se han suspendido las disposiciones que el exército de observación hacia para evacuar Ja ciudad de Bremen y su territorio, como también el Electorado de Han</t>
  </si>
  <si>
    <t>tropas prusianas evacuarán quanto antes esta ciudad y su territorio: pues ántes de ayer comunicó el General Kleist al Senado una orden que recibió el dia 27 para que despache de Ncustadt él batallón de Tschamer, que está allí acantonado, y traslade su quartei general á Hoya. ; Ratisbona 4 de J</t>
  </si>
  <si>
    <t>po de tropas prusianas ocupará quanto antes el obispado de Munster. Por lo que hace al exórcito del General Kleist, en vez de pensar en evacuar el Haunóver, como se había dicho, hace quantas disposiciones se requieren para tomar quarteles de invierno en aquel Electorado. Manheim jo de Agosto.</t>
  </si>
  <si>
    <t>hó un correo á su corte. Después se retiró de aquí á Ham, y desde allí expidió un extraordinario ai General Kleist, comandante del exército de demarcación. De resultas de todo esto, un cuerpo de caballería prusiana ha recibido orden de ocupar este obispado*** Londres 1$ de Setiembre. S e ha su</t>
  </si>
  <si>
    <t>1211 orden á sus tropas para que se retiren de Hannóver; y el General Kleist, que las manda, las conducirá á sus antiguos acantonamientos. Atribuyese también esta resolución del gabinete de Berlín al ajuste de los preliminares de paz. Ratisbona de Octubre.</t>
  </si>
  <si>
    <t>Klenau, General</t>
  </si>
  <si>
    <t>General Klenau</t>
  </si>
  <si>
    <t>a en ánimo de salir el dia 24 para el exército, acompañándole el mencionado Príncipe.—Parece que el General Klenau juntará sus tropas con las del General Simbschen y otras del Imperio para formar en los contornos de Eichstoedt la vanguardia del exército que ha de mandar el referido Archiduque.</t>
  </si>
  <si>
    <t>Inn para continuar sus operaciones. Se han destacado tropas francesas contra el cuerpo que manda el General Klenau, el qual acaba de pasar por Ratisbona dirigiéndose á la derecha del Danubio. Una partida de franceses, que quedaba en aquella ciudad , se retiró al acercarse los austríacos. Atend</t>
  </si>
  <si>
    <t>Moreau se propone atacarlo quanto ánt--s. Un cuerpo de ulítanos austríaco destacado del cuerpo del General Klenau entró la noche ó A 2 al 3 en la ciudad de Freysingen , y sorprehendió á algunos franceses que había en ella: unos 300 quedáron prisioneros, y los demas se retiraron á Munich. Londre</t>
  </si>
  <si>
    <t>Klingpoor, Conde</t>
  </si>
  <si>
    <t>Conde Klingpoor</t>
  </si>
  <si>
    <t>^su ausencia está el Duque de Sudermania encargado del mando militar / teniendo baxo sus órdenes al Conde Klingpoor. Parece que Paulo I propuso á S. M. Sueca hace algún tiempo una conferencia en Finlandia; pero posteriormente le avisó que le esperaba en su capital, y que ya estaban dadas las ór</t>
  </si>
  <si>
    <t>Klitsf Teniente Geherál</t>
  </si>
  <si>
    <t>ento qúe sirve á la Gran Bretaña ; y és uno de los qué se han embarcado en Trieste para Malta.- ; . Mr. Klitsf Teniente Geherál de los ejércitos'-de S. M. Prusiana, y un correo francés de gabinete pasaron per Nancí él 2p 'dé Jufiio yendo á París. El dia anterior pasó por la misma ciudad el Principé de HohenzoJlérn,</t>
  </si>
  <si>
    <t>Knapp, Gerónimo</t>
  </si>
  <si>
    <t>Gerónimo Knapp</t>
  </si>
  <si>
    <t>compañía Flamenca del Real cuerpo de Guardias de Corps ha nombrado el Rey Brigadier al Subrigadier D. Gerónimo Knapp; y para esta resulta al Cadete D. Pedro Duboys. El Rey se ha servido conferir el Gobierno militar y político de la ciudad de Salamanca y su distrito, que ha resuelto establecer, a</t>
  </si>
  <si>
    <t>Knesowich</t>
  </si>
  <si>
    <t>uviéroit parte en la rendición de Ancolia, ha sentenciado á Mr. Froelich áprivación; de empleo, y á Mr. Knesowich á dos años de encierro en un castillo. * Ratisbona 28 de Febrero. f Ll Conde de Gortz, Ministro de Prusia, ha comunicado á la Dieta una dilatada nota sobre la necesidad de ratific</t>
  </si>
  <si>
    <t>Kobcl</t>
  </si>
  <si>
    <t>asusqendido la demolición dé las fortificaciones de Ulm. ‘ Extractó de carta de Munich del dia 1$. „Mr. Kobcl, Consejero íntimo de! Elector,' ha vuelto aquí de Amberg, adonde lo había llamado S. A-. 'Electoral, y ha declarado que la paz de Baviera era cierta , y que en coñseqiitmcia no ta</t>
  </si>
  <si>
    <t>Koeler, General</t>
  </si>
  <si>
    <t>General Koeler</t>
  </si>
  <si>
    <t>pone camprar jtsuhbien cierto número de caballos: parael exército ingles destioado contra Egipto^El General Koeler, que sé halla en el • campea del $rrah; Visir i dirigirá la$ope¿a4 ciones del exército otomano, á fin de que concurra al ataque de lp$ éánceses con la exnedíción^¿el Generalingies</t>
  </si>
  <si>
    <t>Koops</t>
  </si>
  <si>
    <t>ta familia. En la sesión de la Cámara de los Comunes del dia 16 presentó Mr. EIford una petición de Mr. Koops, inventor del papel hecho con paja, ea que solicita que el privilegio que se le ha dado para usar de este descubrimiento se extienda á otras varias personas ademas de las 4 que pr</t>
  </si>
  <si>
    <t>Kuiz, Ignacio</t>
  </si>
  <si>
    <t>Ignacio Kuiz</t>
  </si>
  <si>
    <t>ias urbanas de dragones de Quispicanchi al Capitán D. Hermenegildo Delgado, y á Capitán al Ayudante D. Ignacio Kuiz: á Teniente Coronel del de Milicias urbanas de iiífantería de Moyobamba al Capitán D. Pedro María Vázquez, y á Sargento mayor al Capitán D. Joseph Mariano Reátegui: á Tenientes de</t>
  </si>
  <si>
    <t>Kurakin, Príncipe</t>
  </si>
  <si>
    <t>Príncipe Kurakin</t>
  </si>
  <si>
    <t>-Mariscal Conde de Soltickow, los Generales de infantería Príncipe y Conde Subow, el Vice-Canciller Príncipe Kurakin, el Vice-Presidente del Consejo de guerra Lamba, el General de infantería y Procurador general BeklechoíF, el Tesorero de estado Barón Wazilieff, el Gobernador militar de Petersbu</t>
  </si>
  <si>
    <t>avo m. Salió ya de aquí para París, de donde seguirá su viage á España; traía un pasaporte ruso del Príncipe Kurakin, Ministro de Estado de Alexandro i, y otro del Embaxador de S. M. Católica en la corte de Viena. Según gazetas de Alemania tuvo Mr. Paget en París dos conferencias con el Ministro</t>
  </si>
  <si>
    <t>Kutoissow, Conde</t>
  </si>
  <si>
    <t>Conde Kutoissow</t>
  </si>
  <si>
    <t>eros, seda y otros géneros y frutos. El Conde de Subow está nombrado Caballerizo mayor en lugar del Conde Kutoissow, que acaba de morir.</t>
  </si>
  <si>
    <t>la Mota Tello de Fonseca, Antonio</t>
  </si>
  <si>
    <t>Antonio la Mota Tello de Fonseca</t>
  </si>
  <si>
    <t>os abaxo firmados. . Campo español en la inmediación de la plaza de Jurumeña á 20 de Mayo de 1801.= D. Antonio la Mota Tello de Fonseca, Teniente Coronel de las Milicias de Crato.=Mariano Fernandez de Folgueras, segundo Ayudante general adicto al Estado mayor.</t>
  </si>
  <si>
    <t>La Rocque, Luis</t>
  </si>
  <si>
    <t>Luis La Rocque</t>
  </si>
  <si>
    <t>pri-i 'merrSübténrenté áí segundo i?. Ramón Rafael-Gutiérrez; y á segundo Sub¿ teniente- ah Cadete D. Luis La Rocque. . r Emél régiiñiénto de caballería del Príncipe sé ha servido el Rey promover ¿ primeros Tenientes á los segundos D. Alonso Máriii y D. Ventura Pando ; Á Alférez al Portaestandar</t>
  </si>
  <si>
    <t>La, Príncipe</t>
  </si>
  <si>
    <t>Príncipe La</t>
  </si>
  <si>
    <t>.— Como el Ministro de Prusia ha. protestado nuevamente contra esta elección, hay dudas sobró ai el Príncipe La aceptará. ... Acaba el Archiduque^ Fernando de enviar á los cabildos de Munster y Colonia las mandas d legados que les hizo el difunto Elector Maximiliano.’ Ene! país de Odenwald</t>
  </si>
  <si>
    <t>Laball, Juan</t>
  </si>
  <si>
    <t>Juan Laball</t>
  </si>
  <si>
    <t>llon....... 44* 2g; Juan Laball............. Miguel y Rosa Melleta........ Corsebi en id... 5^. &lt;?• Manuel Pujol............. Ponce y María Dalilla.......,</t>
  </si>
  <si>
    <t>Laboissiere, General</t>
  </si>
  <si>
    <t>General Laboissiere</t>
  </si>
  <si>
    <t>so del Splugen, por el valle superior del Rhin: el 27 de Noviembre la primera coluna mandada por el General Laboissiere, emprendió pasar la montaña, quando la detuviéron montes de nieve que desprendiéndose de una eminencia arrastraron al precipicio 42 dragón, s con sus caballos, los quales en gran</t>
  </si>
  <si>
    <t>en esta coluna. El tiempo era pésimo: el viento azotaba,}7 todas las dificultades se aumentaban; El General Laboissiere, que hacia ya 3 dias estaba encerrado eu el hospedage de la montaña, viendo el riesgo que corrían las tropas, envió orden á la caballería para que retrocediese; pero el General Du</t>
  </si>
  <si>
    <t>Laborde, Pedro</t>
  </si>
  <si>
    <t>Pedro Laborde</t>
  </si>
  <si>
    <t>.... D. Jayme y Dofia Isabel Palernion....... ............ ......... .. Tuxi.... ........... 19. g. D. Pedro Laborde....... D. Juan y Doña María Negre.... Castel Sanasin en Francia... ip. g. Guillermo Nivedual.... B4tran yMargarita David....... Alet en id.......... 38. Francisco Briosa!....,..»</t>
  </si>
  <si>
    <t>Laborié, Lorenzo</t>
  </si>
  <si>
    <t>Lorenzo Laborié</t>
  </si>
  <si>
    <t>naderos D. Esteban Alvarez: en el de Borbon á segundo Subteniente al Sargento primero de granaderos D. Lorenzo Laborié: en el de Suizos de Reding á Subteniente ai Cadete D. Bonifacio Yütz; y ha concedido grado</t>
  </si>
  <si>
    <t>Labroche, Antonio</t>
  </si>
  <si>
    <t>Antonio Labroche</t>
  </si>
  <si>
    <t>as y Sortsr..... ........... 5143602* rrt v D, Francisco Bprja Earreandi................ 244*270. . D. Antonio Labroche......... ................ 244,258. D. Alfonso Rolan de Tordesillas.............. ........ 182,283. r D. Luis Seoane Ibero..;............ ................... *82,313. D. Pedro de C</t>
  </si>
  <si>
    <t>Lachambre, Joseph</t>
  </si>
  <si>
    <t>Joseph Lachambre</t>
  </si>
  <si>
    <t>número de la Real Armada: para la Média-Ración de la catedral-- de Málaga, vacante por promoción de D. Joseph Lachambre á una. Canongía &lt;Bé la: mismra.catedral, á D. Juan de Castañeda y Quijano: para; la Capellanía.del Real Patronato, titulada de i a Herran, sita en da colegial de SaritíUanapén el</t>
  </si>
  <si>
    <t>Lacomba, Juan</t>
  </si>
  <si>
    <t>Juan Lacomba</t>
  </si>
  <si>
    <t>Sulie en Proven- D. Juan Lacomba........ D. Juan y Doña María Turnie. za id............ . 26. ij. D. Luis Barró............. D. Pedro y Doña Belírana Esgovera.......................... .</t>
  </si>
  <si>
    <t>Lacosta, Juan Antonio</t>
  </si>
  <si>
    <t>Juan Antonio Lacosta</t>
  </si>
  <si>
    <t>eta, D. Francisco Zapater, D. Felipe Gradan, D. Mateo Zapater, D. Narciso LaJana, D. Anselmo Rueda, D. Juan Antonio Lacosta, D. Xavier Echeverría, D. Marcos Antonio Ames, D. Jacinto Aznar y J&gt;. Pascual Grasa. Concluida la distribución, el Exc. Sr. Capitán general hizo á ios premiados un eloqiiente razo</t>
  </si>
  <si>
    <t>Lacostaf, Bernardo</t>
  </si>
  <si>
    <t>Bernardo Lacostaf</t>
  </si>
  <si>
    <t>ulturas, dibuxos &amp;c. que hayan executado, acudiendo después á recogerlas. El dia 2 de Junio remitió D. Bernardo Lacostaf, del comercio de Cádiz, £ J)oa Manuel Florit, de Barcelona , dos vales Reales de i 300 pesos, creación de Mayo , núms. 491,847 y 491,830; y habiéndose extraviado, quien supiere de</t>
  </si>
  <si>
    <t>Lacy, Pedro</t>
  </si>
  <si>
    <t>Pedro Lacy</t>
  </si>
  <si>
    <t>da á primer Teniente al segundo de granaderos D. Jayme O-Mahony; á esta resulta al segundo Teniente D. Pedro Lacy; á segundo Teniente al Subteniente de granaderos D. Joseph Parody; á Subteniente de granaderos al primer Subteniente D. Joseph Ramón Mackenna, y á primer Subteniente al segundo D.</t>
  </si>
  <si>
    <t>Ladrón de Guevara, Vicente</t>
  </si>
  <si>
    <t>Vicente Ladrón de Guevara</t>
  </si>
  <si>
    <t>oseph Santos, D. Santiago de la Calle y D. Felipe Acosta, y á los paisanos D. Mauricio Villafuerte, D. Vicente Ladrón de Guevara, D. Isidro Delso y D.* Mariano Calatayud; al empleo de Ayudante á D. Nicolás Loayza; al de Teniente de granaderos á D. Manuel Ximenez Lobaton; á Tenientes de fusilerós á los Subte</t>
  </si>
  <si>
    <t>Ladrón, Joseph</t>
  </si>
  <si>
    <t>Joseph Ladrón</t>
  </si>
  <si>
    <t>reedores censualistas é hipotecarios fueron: D. Francisco Velez Cachupín, vecino de Granada; el Sr. D. Joseph Ladrón, Teniente General de los Reales exércitos , vecino de Madrid, y la Sra. Doña María Faustina Ladrón de Guevara, su muger; el Sr. D. Gaspar de Bardales, del Consejo de S. M. en el d</t>
  </si>
  <si>
    <t>Lafon, Francisco</t>
  </si>
  <si>
    <t>Francisco Lafon</t>
  </si>
  <si>
    <t>lon......... 43. g. Francisco Lafon........... Vicente y Basilisa Puch.......... . Perpifian............ 11. 4. Joseph Monteliu,........ Lúeas y Aosa Pena Antoni......... Caín.ellas en el</t>
  </si>
  <si>
    <t>Lafuente, Juan</t>
  </si>
  <si>
    <t>Juan Lafuente</t>
  </si>
  <si>
    <t>. Ramón Garcés; á esta resulta al primer Subteniente D. Pío Ambrós; á primer Subteniente al segundo D. Juan Lafuente,y á segundo Subteniente al Sargento primero D. Joseph Aznar. El Rey ha conferido el empleo de Coronel deí regimiento de caballería de Santiago al Coronel agregado al de Algarbe Ma</t>
  </si>
  <si>
    <t>Lagarda, Joseph</t>
  </si>
  <si>
    <t>Joseph Lagarda</t>
  </si>
  <si>
    <t>mover en el regimiento de infantería de Guadalaxara á segundo Teniente al Subteniente de granaderos D. Joseph Lagarda; á Subteniente de granaderos al primer Subteniente D. Juan de España; á primer Subteniente al segundo D. Pedro Arcicolla ; y á segundo Subteniente al Cadete D. Joseph Salinas y Gu</t>
  </si>
  <si>
    <t>Lagasca, Martín</t>
  </si>
  <si>
    <t>Martín Lagasca</t>
  </si>
  <si>
    <t>ñía al de bandera D. Joseph Portocarrero , al Cadete D. Manuel Fermín García y al Sargf nto primero Don Martin Lagasca;y á Subtenientes de bandera á los Cadetes D. Placido Duro y D. Vicente Abad, y ál Sargento primero D. Joachín lima. Igu Imente, para el Corre pimiento de la provincia de Tunja,ene</t>
  </si>
  <si>
    <t>Lagrange, General</t>
  </si>
  <si>
    <t>General Lagrange</t>
  </si>
  <si>
    <t>un convoy numeroso dzgermes ó barcos del pais, que estaban en el Nilo. Parece que ignoraban que el General Lagrange se liabia retirado de Rhamanieh. Cogimos unos 150 prisioneros y varios cañones, de los quales algunos estaban destinados para la defensa de Alexandría. En dicho convoy, cuya pérdi</t>
  </si>
  <si>
    <t>es que hubiera podido arreglar sus tropas, cobr¡a? influxo en el pais, y moverlo contra él; pero el General Lagrange tenia* orden de cubrir á Ramanieh; y solamente lo abandonó forzado por el exéfo cito ingles y el cuerpo del Capitán Baxá en una acción muy reñida, que duró todo el dia 9 de Mayo;</t>
  </si>
  <si>
    <t>Laharpe</t>
  </si>
  <si>
    <t>los servicios que ha hecho durante su mansión en París, adonde fué con un encargo de este Soberano. Mr. Laharpe, de nación suizo, que ha sido preceptor de Alexandro 1» y durante las revoluciones de su patria fué uno de los Directores helvéticos, vino recientemente aquí llamado por el Empera</t>
  </si>
  <si>
    <t>Lahorie, General</t>
  </si>
  <si>
    <t>General Lahorie</t>
  </si>
  <si>
    <t>ualmente á su pais, pero no han ocupado todavía á Stuttgard.—De esta última plaza ha venido aquí el General Lahorie, y de Manheim el General Grenier. Antes de ayer se celebró con una magnífica fiesta la vuelta victoriosa del cxército del Rhin: hubo bayle en las casas consistoriales, y cena de 2</t>
  </si>
  <si>
    <t>Lalane y Joseph Ainsa, Pedro</t>
  </si>
  <si>
    <t>Pedro Lalane y Joseph Ainsa</t>
  </si>
  <si>
    <t>sirve de escuela, fueron graduados en primer lugar por sobresaliente exercicio D. Francisco Olivas, D. Pedro Lalane y Don Joseph Ainsa; el primero dio principio al acto por una disertacion'de las utilidades y progresos de la química, incluyendo en ella la historia natu-r ral, la mineralogía y metéoros; en segundo</t>
  </si>
  <si>
    <t>Lamadrid, Joseph</t>
  </si>
  <si>
    <t>Joseph Lamadrid</t>
  </si>
  <si>
    <t>. ......... 64«. 3» Cabo i.° Joseph Lamadrid........ Tomas........ ... Francisca Ruiz..,. Precencio..... Burgos............. 131. 10. Juan Bej jranó...... Ramón....... ... RitaMaríaAlfonso.Cafiamero.,... Truxilio</t>
  </si>
  <si>
    <t>Lamana, Bernardo</t>
  </si>
  <si>
    <t>Bernardo Lamana</t>
  </si>
  <si>
    <t>eph Gavanilles: para una Medía Ración Patrimonial de la catedral de Tarazona, vacante por muerte de D. Bernardo Lamana, á D. Miguel Losfayos: para otra también Patrimonial de dicha catedral, vacante por promoción de D. Lorenzo Ruiz á una entera de Ja propia iglesia, á D. Pedro Xiinenez de Novallas</t>
  </si>
  <si>
    <t>Lamarca, Manuel</t>
  </si>
  <si>
    <t>Manuel Lamarca</t>
  </si>
  <si>
    <t>dete graduado de Alférez D. Joseph Chirac y Tirado*, en ei de BorboiV 4 primer. Teniente al segundo D. Manuel Lamarca,y k segundos Tenientes' áTos Alféreces D. Nicolás Delgado y Monroy y D. Antonio González: envide Alcántara á Alférez al Portaestandarte D* Antonio Avelían, y á Portaestandartes al</t>
  </si>
  <si>
    <t>Lambí, Joseph María</t>
  </si>
  <si>
    <t>Joseph María Lambí</t>
  </si>
  <si>
    <t>e D. Juan Fernando de Blende: en ei de infantería de Saboya á Capitán de granaderos al de fusileros D. Joseph María Lambí ; á Capitán al Ayudante D. Diego de Vega; á esta resulta al primer Teniente D. Bartolomé Gelevert; á primer Teniente al segundo de granaderos D. Simón Sau</t>
  </si>
  <si>
    <t>Lameyro y García Preceptor, Manuel</t>
  </si>
  <si>
    <t>Manuel Lameyro y García Preceptor</t>
  </si>
  <si>
    <t>y método de educación , dispuesto , realizado y publicado con aprobación del supremo Consejo , por D. Manuel Lameyro y García Preceptor de nobles educandos en la ciudad de Santiago. Yé¡niese á 4 rs. en la librería de Dáviia ; y *a Santiago en la imprenta de Aguayo* Historia del Duque de Ripérdá , primer Ministro de E</t>
  </si>
  <si>
    <t>Lamourete</t>
  </si>
  <si>
    <t>christiana, ó el pcd-r del evangelio para hacernos felices : obra escrita en francés por el célebre Mr. Lamourete, y de la qual se ha servido y aprovechado el autor del Evangelio en triunfo. Su sabio autor , convencido de que el medio mas eficaz para hacer á los hombres religiosos y 'buenós e</t>
  </si>
  <si>
    <t>Lampa, Francisco Xavier</t>
  </si>
  <si>
    <t>Francisco Xavier Lampa</t>
  </si>
  <si>
    <t>ola á D. Joseph Salaz-at y Miranda, Brigadier de la Real armada1. Por convenir al Real servicio que D. Francisco Xavier Lampa continué en Aragón desempeñando las comisiones que el Rey tiene puestas á su cuidado, ha venido S. M. en nombrar para la Regencia de la Chancillería de Granada, que le estaba conf</t>
  </si>
  <si>
    <t>Lanao, Antonio</t>
  </si>
  <si>
    <t>Antonio Lanao</t>
  </si>
  <si>
    <t>s y Gutiérrez: en el de León á segundo Teniente al Subteniente de granaderos, graduado de Teniente, Don Antonio Lanao; á Subteniente de granaderos al primer Subteniente D. Estéban Mexía; á primer Subteniente al segundo D. Miguel de Fuentes, y á segundos Subtenientes al Cadete D. Francisco Martin</t>
  </si>
  <si>
    <t>Lancáster, Ignacio</t>
  </si>
  <si>
    <t>Ignacio Lancáster</t>
  </si>
  <si>
    <t>Evora &amp;c., y para estrechar ó bloquear á la primera , dispuse que la segunda división, al cargo de D. Ignacio Lancáster, se apoderase de Sta. Olalla, Barbacena y S. Vicente , como lo efectuó en los dias 23 , 24 y 25. Conceptuando que si los enemigos se reunían podían cargar con ventajas esta divisi</t>
  </si>
  <si>
    <t>Landazeri, Joseph</t>
  </si>
  <si>
    <t>Joseph Landazeri</t>
  </si>
  <si>
    <t>de Castilla, Extremadura, Zamora, Princesa, Maillorca y León D. Pablo Alemán, D. Francisco Obregon, D. Joseph Landazeri, D. Joseph Navarro , D, Felipe de La Roque y D. Manuel Rotaeta: en el dVValencia á segundo Teniente al Subteniente de granaderos, gradeado de Teniente, D.-Antonio Dolball; a Subte</t>
  </si>
  <si>
    <t>Lañes y Duval, Juan</t>
  </si>
  <si>
    <t>Juan Lañes y Duval</t>
  </si>
  <si>
    <t>s. en rústica. pasta. Arte de la cria de gusanos de seda, por Curso elemental de Meteorología , por D. Juan Lañes y Duval. Un tomo en 8.” á D. Joseph Garriga. Un tomo en 8.° mayor 5 rs. y medio en papel, y 9 en pasta. con estampas á 6 rs. en papel, y loen pasta. Disertación sobre la explicación y uso</t>
  </si>
  <si>
    <t>Lannes, General</t>
  </si>
  <si>
    <t>General Lannes</t>
  </si>
  <si>
    <t>1243 Parts iS de Noviembre. E 1 General Lannes está nombrado Ministro plenipotenciario y Enviado extraordm rio de Francia en la corte de Portugal. T;?mbÍMi ha nombrado el primer Cónsul al ciud. Romieu para Comisario general y En</t>
  </si>
  <si>
    <t>Lanusse, General</t>
  </si>
  <si>
    <t>General Lanusse</t>
  </si>
  <si>
    <t>Abukir les hizo fuego, aunque estaban á unas mil toesas de distocia. Llegó en esto de Alejandría el General Lanusse» quien había ya</t>
  </si>
  <si>
    <t>unos cañonazos á las barcas francesas; y coino refrescó el viento, tuviéron que retirarse. Mandó el General Lanusse se doblase la carga de pólvora de los cañones de á 24 del castillo, y muchas balas dieron en el navio, que al fin arrió bandera. Despachó el General una lancha, en la qual vino á</t>
  </si>
  <si>
    <t>to un regimiento. Los enemigos habían dispuesto.sü exército de este modo: en la izquierda estaba el General Lanusse con .4 medias brigadas de infantería, ycúeijpo considerable de caballería mandado por el General Roize. LosGenerales Friant y Rampon ocupaban el centro con 5 medias brigadas: el G</t>
  </si>
  <si>
    <t>stra pérdida en esta acción, en la qual todo nuestro exército se cubrió de gloria: solo supe que el General Lanusse y otros oficiales de graduación perecieron en ella ; y los ingleses me aseguraron que los Generales Rampon y Destaing quédárori heridos. El General Menou conservaba sus puestos á la</t>
  </si>
  <si>
    <t>Lanzaco, Ambrosio</t>
  </si>
  <si>
    <t>Ambrosio Lanzaco</t>
  </si>
  <si>
    <t>de tercera: 40 pesos á D. Joseph Sanz por el premio de la primara clase de arquitectura: 20 pesos á D. Ambrosio Lanzaco por el de segunda ciase: 15 pesos á D. Joseph Esteban: 12 pesos á D. Maauel Barta; y 10 pesos á D. Miguel Ferruz por la aproximación: 10 pesos á ü. Francisco Alastuey por el premi</t>
  </si>
  <si>
    <t>Lanzarote, Carlos</t>
  </si>
  <si>
    <t>Carlos Lanzarote</t>
  </si>
  <si>
    <t>férez D. .Francisco Serrano; .á Alféreces á los Portaestandartes D, Ildefonso.Quintana y Lafita y.i D. Carlos Lanzarote,y á Portaestandartes al Sargento-D.Franci'ÍsepfOv*M*í do y á los Cadetes D. Joseph Cerón y D. Manuel Arjona : en ei dei Itífaii-, te á Alférez al Portaestandarte D. Francisco Cama</t>
  </si>
  <si>
    <t>Lapayese, Joseph</t>
  </si>
  <si>
    <t>Joseph Lapayese</t>
  </si>
  <si>
    <t>iculares. ' Tratado de hilar, devanar, doblar y torcer las sedas según el método de Vaucanson , por D. Joseph Lapayese, con una disertación sobre la ventaja de este mé-todo respecto, del antiguo, por el Dr. D. Francisco Órtells y Gombau , presbite*ro: publicado para que se propague la perfección d</t>
  </si>
  <si>
    <t>Laporte</t>
  </si>
  <si>
    <t>ido sobre algunos de ios países cornprehendidos en los 4 lomos primeros, en que por haber seguido á Mr. Laporte , quedó la relación de ellos superficial é inexáeta; extractando para este fin los viageros que posteriormente se han publicado sobre aquellos mismos países y de este modo quedará</t>
  </si>
  <si>
    <t>Larralde, Juan Nepomuceno</t>
  </si>
  <si>
    <t>Juan Nepomuceno Larralde</t>
  </si>
  <si>
    <t>la Ración de la iglesia catedral del nuevo Reyno de León, vacante por renuncia que ha hecho de ella D. Juan Nepomuceno Larralde, á D. Joseph Bustillo y Cevallos, Cura en el obispado de Mechoaean. En ei regimiento de infantería del Rey fixo de Manila se ha servido S.M. promover á Capit^-ms ai Ayudante mayor</t>
  </si>
  <si>
    <t>las Virtudes Cardinales, Bartolomé</t>
  </si>
  <si>
    <t>Bartolomé las Virtudes Cardinales</t>
  </si>
  <si>
    <t>y. Don Alvaro Navia Oson o : sentan Europa, Asia, Africa y América: dos 7." D. Luis de Requesens , D. Bartolomé las Virtudes Cardinales , y las otras dos las Leonardo de Argensola , D. Francisco Va­ „batallas de Granada: todas en 80 rs. lles, D. Juan de Ribera , D. Juan de Pala- Seis estampas del Poema de la Músic</t>
  </si>
  <si>
    <t>Lasa, Manuel</t>
  </si>
  <si>
    <t>Manuel Lasa</t>
  </si>
  <si>
    <t>lix fUco por él-presbítero D. Tomas Ricord ; y dos poesías por el R. P. Rafkel del Angel Custodio y D. Manuel Lasa la , presbítero. Se bailará á 9 rs. en la librería de Hurtado, Calle de las Carretas , y en Valencia en casa de Mallen. Tomo a.° de la Práctica criminal por principios, ó modo y form</t>
  </si>
  <si>
    <t>Lasarew, General</t>
  </si>
  <si>
    <t>General Lasarew</t>
  </si>
  <si>
    <t>unos Chiaux del Capitán Baxá, lo qual tampoco tenia exemplo. / Petersburgo jo de Enero de 1801. E 1 General Lasarew ha conseguido cerca de loz. otra victoria contra las tropas de Omar-Chan y sus aliados, que habían penetrado en el país de Grusin, y se adelantaban hacia Tíflis. Hubo una acción q</t>
  </si>
  <si>
    <t>Laso de la Vega VeLizquez de Haro, Juan</t>
  </si>
  <si>
    <t>Juan Laso de la Vega VeLizquez de Haro</t>
  </si>
  <si>
    <t>e granaderos-; á este empleo á D. Francisco López Bueno, Subteniente de fusileros, y á su resulta á D. Juan Laso de la Vega VeLizquez de Haro : ea el de Lugo á Subtenientes de fusileros á D. Pedro Castro Marín y á D. Joseph María Marín; y á Subtenientes de bandera en los de Truxillo y Oviedo á D. Diego González de Mendo</t>
  </si>
  <si>
    <t>Lasoi, Feld-Mariscal</t>
  </si>
  <si>
    <t>Feld-Mariscal Lasoi</t>
  </si>
  <si>
    <t>conferido ai Archiduque Carlos el regimiento de infantería de Deutschmeistre. Ha muerto en Badén el Feld-Mariscal Lasoi, que era el decano de los Generales del Emperador. Francfort 8 de Setiembre. A ntes de ayer transitó por aquí el ciud. Caillard &gt; que va á Ratisbona con un encargo del gobierno fr</t>
  </si>
  <si>
    <t>Lasqueti, Joseph Rafael</t>
  </si>
  <si>
    <t>Joseph Rafael Lasqueti</t>
  </si>
  <si>
    <t>„ * En el regimiento]de infantería del Príncipe se haservjdo promover el Rey á Capitán al Ayudante D. Joseph Rafael Lasqueti; á Ayudante al primer Teniente D. Joseph María Bonicheli ; á primer Teniente al segundo de granaderos Di Francisco- Viniegra; á.seguodo Teniente de granaderos al de fusileros D. F</t>
  </si>
  <si>
    <t>Latasa Hernández de Larrea, Joseph</t>
  </si>
  <si>
    <t>Joseph Latasa Hernández de Larrea</t>
  </si>
  <si>
    <t>Antonio' Capilla,\D. Isidoro Capilla, D. Vicente Royo, D. Ildefonso González, D. Francisco Rimont, D, Joseph Latasa Hernández de Larrea y D.: Salyador Sobrevillahabiendo este demostrado prácticamente Jas diferentes maneras de inxerir á-entera satisfacción de los examinadores; y en la clase desmedíanos D. SeVerino- JJr</t>
  </si>
  <si>
    <t>Latassa y Ortin</t>
  </si>
  <si>
    <t>que florecieron desde el año de ,7é3 ^asta e* de *795 * Por c* E&gt;r IX Fé ix de Latassa y Ortin, Racionero de Mensa, con honores de Canónigo de ia santa iglesia de Zaragoza, Socio de mérito de la Real sociedad aragonesa &amp;c. ; tomo $.° Se hallará con los dos tomos de la Biblioteca antig</t>
  </si>
  <si>
    <t>Lator, Joseph</t>
  </si>
  <si>
    <t>Joseph Lator</t>
  </si>
  <si>
    <t>........... 34. ap. Joseph Lator........... Juan y Mafia Lorans,,........... Monta iban en Francia......... 41. ap. L</t>
  </si>
  <si>
    <t>Lator, Juan María</t>
  </si>
  <si>
    <t>Juan María Lator</t>
  </si>
  <si>
    <t>aderos I). Antonio Mateos: en el de Irlanda á segundo Subteniente aí Sargento primero de granaderos D. Juan María Lator: en el de Aragón á segundó Subteniente al Sargento primero D. Juan de Arellano; y en si de la Princesa á primer Subteniente al segundo D. Baltasar Araujo, y á segundo Subteniente</t>
  </si>
  <si>
    <t>Latorré Álvarez, Francisco</t>
  </si>
  <si>
    <t>Francisco Latorré Álvarez</t>
  </si>
  <si>
    <t>egundo Teniente al Subteniente de granaderos'D: Manuel SufFo; á esta resulta al primer‘ Subteniente D. Francisco Latorré Alvarez?; á pri-i 'merrSübténrenté áí segundo i?. Ramón Rafael-Gutiérrez; y á segundo Sub¿ teniente- ah Cadete D. Luis La Rocque. . r Emél régiiñiénto de caballería del Príncipe sé ha ser</t>
  </si>
  <si>
    <t>Latoucbe-Treville, Almirante</t>
  </si>
  <si>
    <t>Almirante Latoucbe-Treville</t>
  </si>
  <si>
    <t>aprecio, verdadero servidor de V. E. Firmado i C. Cardenal Consalvi Ha llegado de Brest á París el Almirante Latoucbe-Treville; y el Almirante Villaret-Joyeuse saldrá quanto antes de aquí para aquel puerto. El cuerpo de tropas francesas que hay en los estados del Papa se llamará desde ahora exército de ob</t>
  </si>
  <si>
    <t>Latouche, Almirante</t>
  </si>
  <si>
    <t>Almirante Latouche</t>
  </si>
  <si>
    <t>rgo.” Hay en ei departamento de Brest dos esquadras prontas á zarpar: la una, mandada por el Contra-Almirante Latouche, consta de 5 navios y varias 11. ves menores; y la otra, á las órdenes del Contra-Almirante Bruix, se «otnpcme de 15 buques españoles y otros 15 franceses. En la casa de inválidos</t>
  </si>
  <si>
    <t>ia re-: lativa á la cesión de este país á favor de la Francia. . ' ' París 18 de Agosto. I 1 Contra-Almirante Latouche, comandante de la esqu^driha ligera de. la Mancha, ha escrito al Ministro de Marina en estos términos: „Botona j6 de Agosto. Tuve Ja honra de informaros en mi carta, del dia 5 del</t>
  </si>
  <si>
    <t>6 pies: y es ahora tan fácil su entrada y salida, que mas dé 40 velas de la esquadrilla del Contra-Almirante Latouche entraron con viento contrario y en baxa marea, y llegaron al fondeadero sin el menor obstáculo. Parte de estas obras se hizo miéntras que los ingleses ame* nazaban con desembarcos,</t>
  </si>
  <si>
    <t>Latouche-'TréviUe, Almirante</t>
  </si>
  <si>
    <t>Almirante Latouche-'TréviUe</t>
  </si>
  <si>
    <t>los parlamentarios la correspondencia sobre asuntos de comercio. Y-, Taris 3 de Agosto. ]Íl Contra-Almirante Latouche-'TréviUe ha escrito al Ministro de Msrina una carta, cuyo extracto es como sigue: ,,Campamento de la Torre d'Ordre} cerca de Bolofjáy 8 de Julio. La división de cañoneras que estuvo mucho</t>
  </si>
  <si>
    <t>Latouche-Trevilie, Almirante</t>
  </si>
  <si>
    <t>Almirante Latouche-Trevilie</t>
  </si>
  <si>
    <t>avio Greban, comandante de la octava división de Ja esquadrilla de la Mancha, ha remitido al Contra-Almirante Latouche-Trevilie, comandante en xefe de dicha esquadrilla, una relación que extractada dice así: \ ,, El dia 6 á las 9 de la mañana salí de Saint-Valerí con mi división compuesta de 23 cañoneras,</t>
  </si>
  <si>
    <t>Latouche-Treville, Almirante</t>
  </si>
  <si>
    <t>Almirante Latouche-Treville</t>
  </si>
  <si>
    <t>Marilánd quedaba disponiéndose á salir de Baltimore para traer á Francia la ratificación. El Contra-Almirante Latouche-Treville está visitando varios puertos de nuestras costas; y el Contra-Almirante Nielli ha salido de Dunkerque para reconocer los ae Ostende, Nieuport, Ambéres y Flesinga. En muchos de ellos</t>
  </si>
  <si>
    <t>Latouche-Treville, General</t>
  </si>
  <si>
    <t>General Latouche-Treville</t>
  </si>
  <si>
    <t>omo sindicados de haber sido los fautores de aquella fatal insurrección. Boloña 8 de Setiembre. E I General Latouche-Treville dió el 31 de Agosto una fiesta pública para distribuir los 6 fusiles, 12 hachas y 4 granadas de honor, que el gobierno envió por premio á los marineros y soldados de la ésquadrill</t>
  </si>
  <si>
    <t>me fué forzoso dexar encallada.” El comandante de esta última cañonera escribió el dia siguiente a! General Latouche-Treville en estos términos: ,,Durante el combate que sostuve ayer contra la fragata inglesa nombrada Dart* Capitán Bóltón, de porte de 28 cañones de calibre de 32, me vi precisado á enda lla</t>
  </si>
  <si>
    <t>Latour, General</t>
  </si>
  <si>
    <t>General Latour</t>
  </si>
  <si>
    <t>ue Garios á Brosélas un apoderado para vender los bienes que posee en las provincias bélgicas. -—Ei General Latour y otras personas de suposición s? transfieren á la misma ciudad. El Duque de Saxonia-Tesehen ha dado sumas quantiosas al Archiduque para, que las, invierta en socorrer y premiar á l</t>
  </si>
  <si>
    <t>Laureano</t>
  </si>
  <si>
    <t>de España i primer Teniente al segundo Teniente 0. Cárlos Victoria y 4í segundo Teniente ai Alférez D. Laureano dejas Fuentes» y á esta resulta al Cadete 0. Rafael Gutiérrez; y en la compañíafixade Almeríá i Subtenientes al Sargento primero y Soldado distinguida D; Luis Fernandezy D. Francisco</t>
  </si>
  <si>
    <t>Laureano Antonio Escamilla y IX Agustín Márquez Vicioso</t>
  </si>
  <si>
    <t>alumnos de dicha escuela. Pronunciaron dos discursos alusivos á las circunstanci. s los Licenciados D. Laureano Antonio Escamilla y IX Agustín Márquez Vicioso, secretarios primero y segundo desdicha sociedad ; y ¿&gt;e puso en posesión al maestro D. Francisco £&gt;iaz? nombrándole en el mismo a.ctp individuo honorario de dicho cuerpo. En segu</t>
  </si>
  <si>
    <t>Laureano Bonilla</t>
  </si>
  <si>
    <t>la diócesis de Sigiienza, que obtiene el referido D. Juan Antonio Cutanda, y resultarán vacantes, á D. Laureano Bonilla. En li compañía Americana del Real Cuerpo de Guardias de Corps ha jnombrado el Rey Cadete de número al supernumerario D. Joseph Medina; y por Cadete supernumerario ai Guardia D. S</t>
  </si>
  <si>
    <t>Laureano de Avila</t>
  </si>
  <si>
    <t>e anexa; y para la Capellanía Real de Granada, vacante por muerte, de D. Antonio Joseph Vailejo., i D. Laureano de Avila y, Ximenez, Cura propio y Examinador Sinodal del obispado de Guadix. Satisfecho el Rey de los buenos servicios y mérito que ha contraido el’ Sn D. Pasca d Vaiiejo, tanto como Qficia</t>
  </si>
  <si>
    <t>Laureano de Salas</t>
  </si>
  <si>
    <t>o, D. Jóseph Girón, D. Juan Vital, D. Joseph Arevaliilo, D. Luis de Ribera, Don Francisco Orellana, D. Laureano de Salas y D. Tomas dé Cear rote ;• á tenientes de granaderos á los segundos Subtenientes D. Joseph Urreay DortJ Pedro Mari ti y D. Pedro Pi riz , y;* pr ¡meros Subtenientes á losVsegundos D.</t>
  </si>
  <si>
    <t>Laureano Gutierres de RubalcaVa</t>
  </si>
  <si>
    <t>eneficio de la parroquia de la villa de Almodóvar, en la diócesis de Córdoba, vacante por muerte de D. Laureano Gutierres de RubalcaVa , á D. Manuel Diez de Texada; y para la Prestamera titulada de Ja Mitacion de Tcba, en la misma diócesis de Córdoba, vacante por fallecimiento de Don Gabriel Terraíba, á D. Diego</t>
  </si>
  <si>
    <t>Lausson, Capitán</t>
  </si>
  <si>
    <t>Capitán Lausson</t>
  </si>
  <si>
    <t>lesa se adelantó, y empelló la acción con el navio -de batería' nombrado Froevésteéit, ah mandó del Capitán Lausson; y enJtonces .enípezió ieUoombate* íA! c¿usaUle-í»-demastáda distancia no pudo el fuego de nuestras baterías sostener al Proevesteenpypor ésta* circunstancia una parte de los buqu</t>
  </si>
  <si>
    <t>Lawington</t>
  </si>
  <si>
    <t>ara su patria. Algunos oficíales se han casado con francesas, que van con sus esposos á Rusia-, ?i. Mr. Lawington, nombradq Ministro, de Jos i E^tado$HÜnid¿^ qe;ri?^i^®Á gobierno francés, es, según, diqen,- inv£n¿Qr,;d[$.up,#iétf&gt;áoj&gt;ajrajiaq^r^papel, bueno con la. corteza de u,n arbusto quex</t>
  </si>
  <si>
    <t>Lawre</t>
  </si>
  <si>
    <t>y así puede con toda seguridad aprobarse aun por aquellos que los consideran como mas culpados." El Dr. Lawre.rice replicó á Mr. Pitt: principió zahiriéndole sobré su obstentacion.de eloqüente, y citando el dicho ae un antiguo que dudaba que la eloqüencia y 1» prudencia fuesen compatibles</t>
  </si>
  <si>
    <t>Lázaro de Dou, Ramón</t>
  </si>
  <si>
    <t>Ramón Lázaro de Dou</t>
  </si>
  <si>
    <t>ecoger la décima entrega de estampas, - . Instituciones del Derecho público general de España ; por D, Ramón Lázaro de Dou : tomo 3.0, con el que queda concluida la explicación de las obligaciones y privilegios de todas las personas del estado. Véndese en la librería de Di— vila , calle de las Carreta</t>
  </si>
  <si>
    <t>ronto arreglo y buen órden de los pagos. &lt; Instituciones del derecho público general de España, por D. Ramón Lázaro de Dou : tomo 4.0 Se vende en la librería dé Dávila , calle de las Carretas, y en Barcelona en la de Rivas, con la distinción de precios entre papel fino y regular, y entre Barcelona y M</t>
  </si>
  <si>
    <t>Lázaro de Herrera</t>
  </si>
  <si>
    <t>D. Antonio Bravo y D. Joseph de Jesús Paderes: últimamente á Subtenientes de bandera á los plísanos D. Lázaro de Herrera, D. Joseph de Herrera, D. Jo— seph Antonio Verastegui y D. Francisco González. El Rey ha nombrado para la plaza de Oficial segundo mayor de la Contaduría general de tabacos de Sta</t>
  </si>
  <si>
    <t>Lázaro de Hortal, Francisco</t>
  </si>
  <si>
    <t>Francisco Lázaro de Hortal</t>
  </si>
  <si>
    <t>ligiosas destinadas al coro ; sacada de la santa escrituratradición , concilios y santos Padres por D. Francisco Lázaro de Hortal, presbítero del Oratorio del Salvador de Madrid, = Catecismo ó exposición de la doctrina christiama , compuesto por el P. D. Pedro Joseph Portillo, presbítero del mismo Real Orato</t>
  </si>
  <si>
    <t>Lázaro JosephBianeos</t>
  </si>
  <si>
    <t>icente de la Barcena y Barragan: para el ArcedianatoV que este dexa^enda misma iglesia;, al Chantre D. Lázaro JosephBianeos para la Chántría al Tesorero D* «Benito Jcsegh Lambí ; y paraJa*Tesorería al Canónigo Magistral D. Luis Joseph Pimienta: «paira; el Arcediano to de la metropolitana de Charca*, va</t>
  </si>
  <si>
    <t>Lcgrand, General</t>
  </si>
  <si>
    <t>General Lcgrand</t>
  </si>
  <si>
    <t>stro poder. Desde Rica llegó al camino de Schard’ing; y al cabo de varias marchas entro en Wels. Ei General Lcgrand, que manda la vanguardia de este cuerpo, hizo por su parte mas de peo prisioneros. Los enemigos, desde el paso del Salza , han perdido de 3&amp; á 4® hombres que están prisioneros, y</t>
  </si>
  <si>
    <t>Le'ónstoñ</t>
  </si>
  <si>
    <t>juramento, y tomó posesión el 4 de Marzo__— Mr. Madison está elegido para Secretario de Estado , y Mr. Le'ónstoñ para Plenipotenciario en Francia. Para Agente del comercio de los Estados-Unidos en Paris está nombrado Mr. Mountñoreuse; y también lo están los sugetos que con el mismo título ha</t>
  </si>
  <si>
    <t>Le-Sage</t>
  </si>
  <si>
    <t>allará en las librerías 'anre.cedenteís. * . J ' '", . ¡A ventoras de Gil Blas de San ti llana, por Mr. Le-Sage : nuevíedición ton el fin de la historia de Gil Blas hasta su muerte , adornada con arestámpks, en $ tomitos. &gt;;Se hailará.cn las librerías de* Alonso ^ frente í las gradas de b.</t>
  </si>
  <si>
    <t>Leal, Joseph</t>
  </si>
  <si>
    <t>Joseph Leal</t>
  </si>
  <si>
    <t>aaceda.,... $0, *8. Joseph Leal......... Joseph.y»....... María Velay....... Mame de Bodano....... Carboyra........ 33. Joseph Perez..... . Francisco...... Manuela Delgado. Barrio de Sta.</t>
  </si>
  <si>
    <t>Lecchi, General</t>
  </si>
  <si>
    <t>General Lecchi</t>
  </si>
  <si>
    <t>en Trento el día 2, habiendo precedido una acción muy reñida que la legión itálica, mandada por el General Lecchi, sostuvo contra los austríacos que defendían el puente del Adige en Trento. Padecieron los enemigos gran pérdida, y se retiraron hacia Bassano. La referida legión itálica, que hab</t>
  </si>
  <si>
    <t>Lechi, General</t>
  </si>
  <si>
    <t>General Lechi</t>
  </si>
  <si>
    <t>zo frente á nuestra vanguardia, que se hallaba sin artillería. La legión itálica, á las órdenes del General Lechi, después de apoderarse de la cabeza de puente y del arrabal, de donde los enemigos intentaron vanamente desalojarla, atravesó el Adige, y dio un ataque á viva fuerza y con el mayo</t>
  </si>
  <si>
    <t>Leclerc, General</t>
  </si>
  <si>
    <t>General Leclerc</t>
  </si>
  <si>
    <t>la capital: pues se sabe búe qüedaba en Munich, de donde no tardará en transferirse á Salzburgó. El General Leclerc ha pasado por Aúgsburgo yendo á París. .La plana mayor del cuerpo dél General Samté-Súzanne ha llegado á Stúttgárd, en donde te aguardaba al General Souhám cuya división tomará qú</t>
  </si>
  <si>
    <t>anto Domingo acuden sucesivamente á los puertos en que han de embarcarse. Va mandando las tropas el General Leclerc, y baxo sus órdenes los Generales Rochambeau, Boudet y otros. Extracto del Monitor. „ El célebre diamante conocido con el nombre de el Regente, que se empeñó durante la revolución</t>
  </si>
  <si>
    <t>. Domingo que ha de salir de aquel puerto. Eí consejo ó junta de comercio de Burdeos ha dirigido al General Leclerc la siguiente carta: ,,Hémos sabido con el mayor gozo vuestro nombramiento de Capitán general de la isla de Sto. Domingo. Para los grandes daños que hay que reparar, y los grandes bie</t>
  </si>
  <si>
    <t>chefort, en donde se embarcará para Santo Domingo , en cuya expedición servirá baxo las órdenes del General Leclerc. Los habitantes de Clermont, que fué patria del General Desaix, costean un monumento en memoria de este heroe: tendrá 60 pies de alto, se adornará con su busto y varios trofeos, y</t>
  </si>
  <si>
    <t>Leclíi, General</t>
  </si>
  <si>
    <t>General Leclíi</t>
  </si>
  <si>
    <t>égcafiaífaque^ ¡Bespues de apodcraheide Stoto *1/General fiiochambcau rnarchá^í^ivu di}Garda, y "el General Leclíi hizo reconocimientos báciá/Gonjiinoi y dBieiasidi Buono en donde se liabian faá?incherado los «neknigosi. «Tenia aquel Geneiral drden de molestarlos, peto sin empeñarsé, demasiado</t>
  </si>
  <si>
    <t>Lecoq, Coronel</t>
  </si>
  <si>
    <t>Coronel Lecoq</t>
  </si>
  <si>
    <t>39í Se asegura que el Coronel Lecoq marchará en brete á Petersburgo con una comisión importante de este gobierno. Ha llegado á esta ciudad Mr. Arnoldi, Consejero de Regencia del Principado de Nassau. Trae un encargo</t>
  </si>
  <si>
    <t>del Archiduque Carlos de pie y medio de alto* .Berlín 8 de Setiembre. H a vuelto de Petersburgq el Coronel Lecoq, y ha entregado al Rey una carta del Emperador de Rusia, cuyo contenido no dexa duda sobre la continuación de las relaciones de amistad entre los dos Soberanos. El Conde de Alvens</t>
  </si>
  <si>
    <t>Lecourbe, General</t>
  </si>
  <si>
    <t>General Lecourbe</t>
  </si>
  <si>
    <t>Inn, pasar luego aquel rio dirigiéndose á Lintz, y entrar de allí en el Archiducado de Austria. El General Lecourbe, que el dia 29 se hallaba en Polling , cerca de Weilheim, en la Baviera-Superior, entrará por la montaña llamada Adlerberg hacia Inspruck, y Continuará á Salzburgo. EL exército de</t>
  </si>
  <si>
    <t>ñ mil hombres entre muertos, heridos y prisioneros. La del'enemigo es incalculable... El cuerpo del General Lecourbe, que el cha .i.° se apodero de Rosenheim, está encargado de cubrir el Inn, y de guarnecer todas las salidas del Tiro!. El xefe de la plana mayor os remitirá una relación mas circu</t>
  </si>
  <si>
    <t>ett Múhldocff, pn donde poco ántes había estado él) ejército ímpériaX El ala dérécha , al mando del General Lecourbe¡, cayó quartel estaba el en‘Holzkirchen, marchó hacía Rosenheim á W de atravesar por aquel pueblo el mencionado rio. _ El cuerpo del General Colátid se Halla eiítné Mosburgo y Fre</t>
  </si>
  <si>
    <t>n pon un puente dé barcas one se colocó durante ia noches aliora se ditrige hácia Wasserburgo, y el General Lecourbe bácia Secbruefc. Los ene* migos siguen marchando en -retirada, y todo; indica que van á xeunirse al</t>
  </si>
  <si>
    <t>urghausen. La mayor parte del exército enemigo se había reconcentrado entre LauíFen y Salzburgo. El General Lecourbe hallo: el dia 12 un puesto avanzado delante del-Saaí, y habiéndolo acometido repentinamente, lo pu-* so en fuga', abandonando1 los enemigos 4 piezas de artillería, y 400 hombres q</t>
  </si>
  <si>
    <t>á que la destruyese el fuego de los reductos , que se cruza. Munich 22 de Diciembre. P arece que el General Lecourbe marchará por J3erchtolsgaden hácia Inspruck. Una de sus divisiones, que habia quedado en el Alta-Baviera, ha entrado ya en el Tiroi por el valle de Achen, y se ha apoderado de Sch</t>
  </si>
  <si>
    <t>idas con varios cuerpos austriacos y napolitanos marcharán á Toscana. strasburgo 2de Diciembre. E 1 General Lecourbe se apoderó el dia 16 del castillo de ’WerfFen, á orillas deí Salza: se hizo también dueño del famoso paso de Lueger, y seguía marchando á Carinthia. Desde el mismo dia 16 se habia</t>
  </si>
  <si>
    <t>Lecourhe Jtizp, General</t>
  </si>
  <si>
    <t>General Lecourhe Jtizp</t>
  </si>
  <si>
    <t>migos en su marcha de flanco hacia Steyer. Tor dos estos movimientos se. executáron exactamente. El General Lecourhe Jtizp.de 490 á iQQ prisioneros, y el General Richepanse entró- en Steyer, en donde lqs enemigos abandonaron y dexáro» en nuestro podes 17 caños nes y cerca de 4© hombres. En todas parte</t>
  </si>
  <si>
    <t>Ledesma y Vargas, Fernando</t>
  </si>
  <si>
    <t>Fernando Ledesma y Vargas</t>
  </si>
  <si>
    <t>ales y réditos. Los que atendiendo á su notoria utilidad resolvieron eXecutarlo, podrán dirigirse á D. Fernando Ledesma y Vargas, Dean de dicha santa iglesia, ó áD. Joseph Ximenez Noguerol, Canóni~ go penitenciario,á quien se han conferido los competentes amplios poderes. En la gazeta del martes 2 de Junio,</t>
  </si>
  <si>
    <t>Ledo del Pozo, Joseph</t>
  </si>
  <si>
    <t>Joseph Ledo del Pozo</t>
  </si>
  <si>
    <t>pitán válieiité, y un Monarca digno de los nombres de bueno , sabio y justiciero: s,u autor el Lie. D. Joseph Ledo del Pozo ¿Catedrático de fllos©ña de la Eeal universidad de Válladolid : un tomo en folio/ Se vende en la librería de Escribano, calle de las Carretas, á 30 rs. en pasta y zz en rústica. P</t>
  </si>
  <si>
    <t>Lee</t>
  </si>
  <si>
    <t>e. Los sugetos premiados con las de oro comieron aquel dia con Bonaparté. El dia 12 liego á Burdeos Mr. Lee , nuevo Agente de los Eítados-Ünidos de América en Francia. El Teniente de Navio Greban, comandante de la octava división de Ja esquadrilla de la Mancha, ha remitido al Contra-Alm</t>
  </si>
  <si>
    <t>Leéourbe, General</t>
  </si>
  <si>
    <t>General Leéourbe</t>
  </si>
  <si>
    <t>do á las 8 de la mañana del dia 14 se empeño una acción muy viva por el frente del ala derecha: el General Leéourbe la sostuvo con vigor, y sin perder la aldea de Waal hasta las 2 de la tarde, quando el General Decaen, cuya división había toda pasado el rio, empezó á adelantarse haciendo gran fueg</t>
  </si>
  <si>
    <t>Legado, Cardenal</t>
  </si>
  <si>
    <t>Cardenal Legado</t>
  </si>
  <si>
    <t>stancia le han dado los ingleses.” Quarenta y cinco Arzobispos y Obispos de Francia han remitido al Cardenal Legado la dimisión de sus mitras, conforme á un breve de S. &amp;. Otros la han enviado en derechura á Roma. Madrid 6 de Noviembre* A ntes de ayer, dias del Rey Ntro.Sr., se vistió la corte de</t>
  </si>
  <si>
    <t>Leguey, Antonio</t>
  </si>
  <si>
    <t>Antonio Leguey</t>
  </si>
  <si>
    <t>te al segundo de carabineros D. Joseph de León y Cuba; á segundo Teniente al Alférez de carabineros D. Antonio Leguey, y á Alférez al Portaestandarte D. Juan Cañete; y en el de dragones de Aimansa á Alféreces al Sargento primero de granaderos. D. Ramón Bertrán y al Cadete D. Antonio Salgado. S. M</t>
  </si>
  <si>
    <t>Léínay, Joseph</t>
  </si>
  <si>
    <t>Joseph Léínay</t>
  </si>
  <si>
    <t>a junta* pafrS* ser sa'ti feches de sifi? réspéStivos'fcréditos \ la que se tendrá en la posaría de D. Joseph Léínay re, dalle de la Libertad, núm. 8 , quarto principal , freiítéf5 áf la casa de VSüapatérna , á fas 9 de la mañana. ^ C; nvp'ndto de la Historia universal : quaderno 7.0 con las 6 e</t>
  </si>
  <si>
    <t>Lelong, Capitán</t>
  </si>
  <si>
    <t>Capitán Lelong</t>
  </si>
  <si>
    <t>de Egipto recibidas por el bergantín Osíris se han publicado en esta forma: ,,Extracto de carta del Capitán Lelong, fecha en Alexandría d 2 j de Febrero. Ayer llegó á este puerto el aviso nombrado GoodUnion , después de un temporal que dispersó las fuerzas enemigas que formaban el bloqueo. Est</t>
  </si>
  <si>
    <t>Lendinez de Guevara, Joseph</t>
  </si>
  <si>
    <t>Joseph Lendinez de Guevara</t>
  </si>
  <si>
    <t>a que parten con su frontera, delineada por D, Pedro Teyxeira, dedicada al Sr. Rey D. Felipe IV por D. Joseph Lendinez de Guevara. Véndese en casa-de Sotos á 20 r*. Teatro nuevo español, ó colección de las piezas dramáticas nuevas, que desde el principio del presente año cómico se van representando en los te</t>
  </si>
  <si>
    <t>León de Billota</t>
  </si>
  <si>
    <t>derón, D. Miguel Ruiz Jurado, D. Juan Fermin Mariano Ramírez y Pizarro, D. Mariano Muñoz y Basanta, D. León de Billota y D. Manuel María de Arzalaya. El Consejo 1 consulta de la Comisión gubernativa, y con aprobación da S. M., ha acordado la vigésima amortización de 100 Vales de 600 pesos: 20® de 300;</t>
  </si>
  <si>
    <t>León de León</t>
  </si>
  <si>
    <t>al Sargento D. León de León: en el del Infante á Capitán al primer Teniente D. Matías Sanz; á esta resulta al segundo Teniente D. Antonio Sarmiento; á segundo Teniente ai Alférez D. Joachín Pcrez; á Alférez</t>
  </si>
  <si>
    <t>León de Puga</t>
  </si>
  <si>
    <t>nteras: la Regencia de la Chancillería de Granada á D. Bartolomé de Rada y Santander, por retiro de D. León de Puga: la Regencia de la Audiencia de Extremadura á D. Pedro Joseph de Molina y Muñoz: la plaza de Oidor, que este obtenía en dicha Chancillería de Granada, al Alcalde mas antiguo de el</t>
  </si>
  <si>
    <t>León de Puga y Feixoo</t>
  </si>
  <si>
    <t>venido S. M. en nombrar para la Regencia de la Chancillería de Granada, que le estaba conferida, á D. León de Puga y Feixoo1: para la de la Audiencia de Extremadura!, que este obtiene» y resultará vacante , á D. Bartolomé de Rada y Santander: para la plaza de'Oidor de este, en dicha Chancillería, á D.</t>
  </si>
  <si>
    <t>León, Antonio</t>
  </si>
  <si>
    <t>Antonio León</t>
  </si>
  <si>
    <t>primer Teniente de granaderos D. Gerónimo Alemany; á primer Teniente de granaderos al de fusileros D. Antonio León; á primer Teniente al segundo de granaderos D. Joachín Juano; á esta resulta al segundo Teniente D. Joseph Casous; á segundo Teniente al Subteniente de granaderos D. Rafael Ramiro</t>
  </si>
  <si>
    <t>León, Francisco</t>
  </si>
  <si>
    <t>Francisco León</t>
  </si>
  <si>
    <t>de Córdoba Compañía de fusileros á: D. Antonio Gutiérrez Rave, Teniente de cazadores ; su fésulta á D. Francisco León , Teniente del propio cuerpo; Tenencia de fusileros á D. Antonio del Rio, Subteniente de granaderos, y su resulta al Subteniente de fusileros L&gt;. Rodrigo González: en el de Soria</t>
  </si>
  <si>
    <t>León, Joseph</t>
  </si>
  <si>
    <t>Joseph León</t>
  </si>
  <si>
    <t>ano, núm. a.°: ámbasdedicadas á SS. MM. Seis boleras para cantar con acompañamiento de guitarra por D. Joseph León, núm. 3.° Tres dúos para vioiin y guitarra, por Ferrandieri, núm. 4.® Unquarteto con dos viQr lir.es, viola y violoncello, por 1&gt;. Joseph Tesidor, núm. ¡J.° Estas piezas son los p</t>
  </si>
  <si>
    <t>Leonardo Galli</t>
  </si>
  <si>
    <t>la rótula y de las enfermedades re­ Consuelo del Christiano , ó motivos de la lativas á ella , por D. Leonardo Galli. Un confianza eii Dios. Traducción de la obra tomo en 4.® , én papel regular á 30 rs., y en francesa del Abate Roisard, por D. Miguel apasta, á 38; én papel 8110 á 36, y en pasta</t>
  </si>
  <si>
    <t>Leonardo Martines</t>
  </si>
  <si>
    <t>ientes de granaderos D. Juan Calderón, Joachín Benitez y D. Nicolás Ortuno, y al-primer Subteniente D. Leonardo Martines; á Subtenientes de granaderos á Josi primeros Subtenientes D. Joseph Galludo, D. Joseph Calíava y D. Rafael Ramiro; á primeros Subtenientes á los segundos D. Antonio Merlo, D. Jos</t>
  </si>
  <si>
    <t>Leonardo Sicilia</t>
  </si>
  <si>
    <t>28l: ra; á segundo Teniente de granaderos al de fusileros D. Leonardo Sicilia ; á segundo Teniente al Subteniente de granaderos D. Juan Estéban; á Subteniente de granaderos al primero de fusileros D. Manuel Guillen ; á primer Subteniente al segundo D. Anton</t>
  </si>
  <si>
    <t>Leoncio López</t>
  </si>
  <si>
    <t>a por la Real junta, han resultado mas beneméritos y agraciados con los tres premios de á 5.5 pesos D. Leoncio López, D. Diego Tejero y D. Francisco Bercial, y con los otros tres premios de,á 3^ pesos D. Bonifacio Vega , D. Manuel Prieto y D. Isidoro Moraytá. Como aun quedaban jóvenes dignos de</t>
  </si>
  <si>
    <t>Leoncio Ténáquero</t>
  </si>
  <si>
    <t>illa de Tamira, en dicha diócesis de Palencia, vacante por muerte dé D. Joseph Rodríguez Velarde, á D. Leoncio Ténáquero: para el empleó de Administrador del colegió de Ntra. Sra. de Lóreto dé esta villa de Má-’ drid , que resultará Vacante por él pase de D. Ignacio García dél Castillo al de Peniten</t>
  </si>
  <si>
    <t>Leopol y Mariana Dumaníach</t>
  </si>
  <si>
    <t>atalina de Arnal............... ................. Lesat en id,...,.. ap. 9. D. Juan Sabinach....... D. Leopol y Doña Mariana Dumaníach.......... ................... Castres en Id.... ap. p. Jayme March...... ,...... Pedro y Catalina Tecla............. Conat en el Rosellon............ 1a. 17. Juan Tune............</t>
  </si>
  <si>
    <t>Leopoldo, Duque</t>
  </si>
  <si>
    <t>Duque Leopoldo</t>
  </si>
  <si>
    <t>fe Murat ha dispuesto qüe se restablezcan y observen las leyes y los reglamentos hechos por el Gran Duque Leopoldo, qué se habían derogado por los Ministros del Gran Duque último. Quiere dicho General que todos los años el 15 de Abril se Celebre una fiesta en memoria de aquel Príncipe filosofo</t>
  </si>
  <si>
    <t>al no olvida que al primero de estos sugetos debe la Toscana parte de las reformas que hizo el Gran Duque Leopoldo, y la prosperidad -que gozó la nación en tiempo de aquel Príncipe; pero quizá sus muchos años le impedirán servir el empleo á que le destina S. M. Su ha abierto un empréstito de 1</t>
  </si>
  <si>
    <t>Lerí, General</t>
  </si>
  <si>
    <t>General Lerí</t>
  </si>
  <si>
    <t>novarlos en caso de guerra. *..• J . .-u &lt;0 . • :nu -t }.vi r;,*:. .-/• -± c• Baxo la dirección dél General Lerí están varios ingeniero* levantando planes de la parte del Morite-Tonerrq situada á orillas del Rhin ; y, luego señalarán los .parages en que en adelante hayan, de erigirse fortaleza</t>
  </si>
  <si>
    <t>Lespiault, Pedro</t>
  </si>
  <si>
    <t>Pedro Lespiault</t>
  </si>
  <si>
    <t>i Z-l Rey se ha servido nombrar para una Canongía de la catedral de Oríhuela, vacante por muerte de D. Pedro Lespiault,á D. Antonio Cerut-lo Sanz -. para la Ración de la de Sigüenza, que ha vacado por fallecimiento de D. Manuel de Lezama (á quien S. M. había nombrado para ella) antes de habérsele</t>
  </si>
  <si>
    <t>Lessuire, General</t>
  </si>
  <si>
    <t>General Lessuire</t>
  </si>
  <si>
    <t>de Valleggio se entregó al General Bisson, que halló en él 3 cañones y 300 hombres. Durante esto el General Lessuire atacaba á Borghetto con pasmoso atrevimiento. Los enemigos acometidos por la espalda y el frente se entregaron. El General Lessuire hizo 900 prisioneros, casi todos del regimiento</t>
  </si>
  <si>
    <t>Lesuire, General</t>
  </si>
  <si>
    <t>General Lesuire</t>
  </si>
  <si>
    <t>y esmero con que ha arreglado la artillería del exército, y por el modo con que la hizo servir. El General Lesuire ha entrado en ih.rghuto con la valerosa m ?dia bi igada núm. 72. La pérdida de ios enemigo:. consiste en 24 piez s de artillería, muchas banderas, y mas de 12© hombres, contando 8</t>
  </si>
  <si>
    <t>Letamendí, Joseph</t>
  </si>
  <si>
    <t>Joseph Letamendí</t>
  </si>
  <si>
    <t>s Subtenientes á los segundos D. Antonio Martin y D. Francisco Pueiles, y á segundos Subtenientes á D. Joseph Letamendí,, Cadete del regimiento de infantería de la Reyna, y D.. Benito deJ Moral* Subteniente de granaderos del provincial de Bctánzos. En América:. Atendiendo el Rey á los servicios del</t>
  </si>
  <si>
    <t>Letona, Manuel Ignacio</t>
  </si>
  <si>
    <t>Manuel Ignacio Letona</t>
  </si>
  <si>
    <t>butos chl partido: para el de Quesaltenango, en el Reyno de Goatemala, vacante por fallecimiento de D. Manuel Ignacio Letona, á D. Francisco Sebastian Chamorro; y para ia Alcaldía mayor de A titán y Tepenatitan, en el mismo Reyno , á D. Rafael de la Torre y Unirme. Habiéndose verificado' eí sorteo segun</t>
  </si>
  <si>
    <t>Levacheff, General</t>
  </si>
  <si>
    <t>General Levacheff</t>
  </si>
  <si>
    <t>no puede considerarse como su equivalente. Ñapóles iB.de Febrero. E I 13 de este mes llegó aquí el General Levacheff, Enviado extraordinario del Emperador de Rusia. El General Acton pasó al instante á visitarle* Se le había -dispuesto un alojamiento ostentoso; pero no lo ha admitido, y •ha tomad</t>
  </si>
  <si>
    <t>Leval, General</t>
  </si>
  <si>
    <t>General Leval</t>
  </si>
  <si>
    <t>-r 7 JL*'&lt; a evacuación de Kell se verificó en virtud de orden del Ministro .de Guerra remitida al General Leval por un correó extraordinario.- ,• Con los soldados.qué fú'érptí déEctrerpó dé Góndé -y con los suizos de Reverea se ha formado un regimiento qúe sirve á la Gran Bretaña ; y és uno</t>
  </si>
  <si>
    <t>Levetzer</t>
  </si>
  <si>
    <t>dió del primer Cónsul. El Barón de Dreyer, Enviado extraordinario de S. M. Dinamarquesa, presentó á Mr. Levetzer, Sargento mayor de caballería. Finalmente, Mr. Murray, Ministro plenipotenciario de los Estados-Unidos, presentó á Mr. Stori ¿ ciudadano de dichos Estados. r &gt; Se habían interrump</t>
  </si>
  <si>
    <t>Levyaehew, General</t>
  </si>
  <si>
    <t>General Levyaehew</t>
  </si>
  <si>
    <t>Ministro de Guerra ha enviado, orden a-1. General en xefe del ejército de Italia para que reciba al General Levyaehew, Montero mayor de la corte de Rusia, que va a Ñapóles á llevar á S. M. Siciliana las insignias de varias órdenes de caballería de Rusia, y que le obsequie de un modo correspondien</t>
  </si>
  <si>
    <t>Lewingston</t>
  </si>
  <si>
    <t>ure, hijo del General de Sto. Domingo, y le acompaña su ayo. París i.° de Diciembre. Y a llegó aquí Mr. Lewingston, Enviado de los Estados-Unidos cerca de este gobierno. En el Holstein se han hecho experiencias de galvanismo con algunos sordo-mudos de nacimiento, los quales han recobrado el oi</t>
  </si>
  <si>
    <t>Leynes, Benito</t>
  </si>
  <si>
    <t>Benito Leynes</t>
  </si>
  <si>
    <t>les. 48. zB. Benito Leynes..... Joseph,...........María Moynos.... S. Salvador de Sto. Tomé del Meis......... Mar,..</t>
  </si>
  <si>
    <t>Lezeano, Juan</t>
  </si>
  <si>
    <t>Juan Lezeano</t>
  </si>
  <si>
    <t>udantes de los regimientos de dragones de Almansa y Numancia á los Tenientes de los propios cuerpos D. Juan Lezeano y D. Joseph López, concediéndoles al mismo tiempo el grado de Capitán. En los regimientos de Milicias provinciales ha conferido el Rey en el de Córdoba Compañía de fusileros á: D. Ant</t>
  </si>
  <si>
    <t>Liados, Jacinto</t>
  </si>
  <si>
    <t>Jacinto Liados</t>
  </si>
  <si>
    <t>l Sargento primero D. Joseph Algué y á los Cadetes, del primer batallón de Voluntarios de Barcelona D. Jacinto Liados y D. Juan leran; y en el de Cazadores voluntarios de Barbastro á primer Teniente al segundo D. Mariano Espatolero; á segundo Teniente al primer Subteniente, graduado de Teniente, D. J</t>
  </si>
  <si>
    <t>al primer Subteniente, graduado de Teniente, D.Christóbal Mestres; i primer Subteniente al segundo D. Jacinto Liados; á segundo Subteniente al Sargento primero D. Rafael Rivas : en el de Málaga á Ayudante al primer Teniente de granaderos D. Joseph Carrillo; y en el de Cazadores Voluntarios de la</t>
  </si>
  <si>
    <t>Liberato María de Víctor</t>
  </si>
  <si>
    <t>segundo Teniente al Alférez D. Joseph María Passano; y á Alféreces de granaderos á los do fusileros D. Liberato María de Víctor, Don Jóachín de Estremera y D. Nicolás Dusmet. En el de infantería de la Reyna á segundo Teniente al Subteniente de granaderos D. Joseph Urrea; y á esta resulta al primer Subtenie</t>
  </si>
  <si>
    <t>Liebert, General</t>
  </si>
  <si>
    <t>General Liebert</t>
  </si>
  <si>
    <t>n está nombrado el General de división Clarke para Ministro de Francia cerca del Rey de Toscana. El General Liebert ha dado cuenta al Ministro de Guerra de haberse descubierto cerca de Castillo-Gontier, en el departamento de Mayena, un depósito de fusiles y bayonetas de fábrica inglesa, 41 barr</t>
  </si>
  <si>
    <t>Liepels</t>
  </si>
  <si>
    <t>que acababa de entrar en ella, habia 17 oficiales ademas de un Sargento mayor y un General llamado Mr. Liepels. Acometieron los franceses la retaguardia del exército enemigo, y allí cogieron estos prisioneros___En la acción que hubo el 18 á orillas del Traun, entre Wolbruck y Schwansladt,</t>
  </si>
  <si>
    <t>Ligero, Joseph</t>
  </si>
  <si>
    <t>Joseph Ligero</t>
  </si>
  <si>
    <t>Martínez de Aparicio. En Toledo.............. Sres. Chavarri y Posadilio. En Toro................. D. Joseph Ligero. En Valencia...........D. Francisco Pcyroíón y compañía. EnValladolid....... D. Francisco Durango é hijo mayor. En Zamora............D. Vicente Perez de Tejada. En Zaragoza.......</t>
  </si>
  <si>
    <t>drés Martínez de Aparicio. En Toledo..... ....... Sres. Chavarri y Posadillo. : En Toro.... ....... D. Joseph Ligero. J?» v^/^cnr.í........ ©. Francisco Pcyrolon y compañía. . EnValladolid....... ©. Francisco ©urango ¿ Hijo mayor. , En Zamora.......... ©.Vicente Perez de Tejada. &gt; - En Zaragoza•</t>
  </si>
  <si>
    <t>Andrés Martínez de Aparicio. En Toledo........ . Sres. Chavara y Posadillo. En Toro...... ...... . D. Joseph Ligero. ' En Valencia....;..... D. Francisco Pcyrolon y compañía. EnVallhdolid....... D. Francisco Durango é hijo mayor. ; En Zamora...........D. Vicente Perez de Tejada. En Zaragoza....</t>
  </si>
  <si>
    <t>Martínez de Aparicio. En Toledo.............. Sres. Chavarri y Posadillo. En Toro..................D. Joseph Ligero. En Valencia. .......... D. Francisco Peyrolon y compañía. En Valladolid....... D. Francisco Durango é hijo mayor. En Zamora............ D. Vicente Perez de Tejada. En Zaragoza...</t>
  </si>
  <si>
    <t>Martínez de Aparicio. En Toledo.............. Sres. Chavarri y Posadilio. En Toro............... . D. Joseph Ligero. En Valencia........... D. Francisco Peyrolon y compañía. En Valladolid....... D. Francisco Durango é hijo mayor. En Zamora............. D. Vicente Perez de Tejada. En Zaragoza...</t>
  </si>
  <si>
    <t>ínez dé Aparicio. ¡ En Toledo.............. Sres. Chavarri y Posad itlo. En Toro................... D. Joseph Ligero. En Valencia............D. Francisco Peyrolbn y compañía. En VaUadolid....... D. Francisco Durango é hijo mayor. En Zamora............D. Vicente Perez de Tejada. En Zaragoza......</t>
  </si>
  <si>
    <t>Liifort, Lord</t>
  </si>
  <si>
    <t>Lord Liifort</t>
  </si>
  <si>
    <t>cluyo proponiendo la mencionada respuesta de gracias en los términos que había de darse al Rey.. El Lord Liifort hablo en seguida diciendo: „No dudo de que toda la Cámara apruebe esta respuesta, en atención á que los beneficios que la paz trae consigo, y las muchas ventajas qua hemos consegu</t>
  </si>
  <si>
    <t>Linares y Tuboada, Salvador</t>
  </si>
  <si>
    <t>Salvador Linares y Tuboada</t>
  </si>
  <si>
    <t>D. Francisco Augirot. S. M. ha promovido en el regimiento provincial de Ronda á Capitán al Teniente D. Salvador Linares y Tuboada; á Teniente de cazadores al de fu sileros D. Pedro Moreno de Aígarin; á Tenientes de fusileros á los Subtenientes D. Tadeo Ortiz y Moreno, D. Manuel Gil de Ja Torre y D. i'oseph A</t>
  </si>
  <si>
    <t>Linares, Joseph</t>
  </si>
  <si>
    <t>Joseph Linares</t>
  </si>
  <si>
    <t>. Manuel Arjona, D. Juan de Aguilar y D. Vicente López de San Román, y á Portaestandartes al Cadete D. Joseph Linares y</t>
  </si>
  <si>
    <t>Lináres, Joseph</t>
  </si>
  <si>
    <t>Joseph Lináres</t>
  </si>
  <si>
    <t>Cirios Lanzarote, Don Ildefonso Quintana y D. Francisco Oviedo; á Alféreces á los Portaestandartes D. Joseph Lináres y D. León de León, y á Portaestandartes al Sargento D. Valeriano García, y á los Cadetes del de caballería de la Costa de Granada D. Baltasar del Corral y D. Ambrosio González : en el</t>
  </si>
  <si>
    <t>Linares, Pedro</t>
  </si>
  <si>
    <t>Pedro Linares</t>
  </si>
  <si>
    <t>ría del Rey se ha servido promover S. M. á Sargento mayor al Capitán de granaderos del de Asturiafc D. Pedro Linares. ;á primer Teniente al segundo de granaderos D. Agustín Molina ; á esta resulta al segando Teniente D. Juan del Azabal; á segundo Teniente al Subteniente de granaderos D. Agustín</t>
  </si>
  <si>
    <t>Lino Portocarrero, Joseph</t>
  </si>
  <si>
    <t>Joseph Lino Portocarrero</t>
  </si>
  <si>
    <t>Teniente Coronel agregado D. Bartolomé de Figueroa: igual ascenso en el dé Arica al Sargento mayor D. Joseph Lino Portocarrero; sus resultas al Capitán D. Felipe Portocarrero; empleo de Alférez de granaderos al de fusileros D. Nicolás Bertiz, y de fusileros á D. Santiago Sosa y D. Pvamoii Gonzalo, Cadete</t>
  </si>
  <si>
    <t>Linois, Almirante</t>
  </si>
  <si>
    <t>Almirante Linois</t>
  </si>
  <si>
    <t>del General S^umarez , Baronet , contra Los 3 navios franceses y una fragata del mando del Contra- Almirante Linois, que para evitar su encuentro habían fondeado en Algeciras. Pero los enemigos con este-conocimiento abandonáron su crucero, pasaron al estrecho, y doblando la punta de Carnero aco</t>
  </si>
  <si>
    <t>fixó irrevocable-» mente en el tratado de Luneville.’- 1 El primer Cónsul ha recompensado al Contra-Almirante Linois , co-* mandante de los 3 navios franceses que en Algecíras peleáron el 6 de Julio contra 6 ingleses , con un sable de honor: al Capitán de fragata Troudd, comandante del navio For</t>
  </si>
  <si>
    <t>to del día 9, han acordado conceder á cada uno ' de los baques de guerra de ta esquadra* del Contra-Almirante Linois, 4* granadas de honor para los soldados de artillería; 2 fusiles de honor para?. los^oidados. pasageros ó de guarnición&gt; y ó hachas de abordige de honor</t>
  </si>
  <si>
    <t>Linotr, General</t>
  </si>
  <si>
    <t>General Linotr</t>
  </si>
  <si>
    <t>tQrhjZj y puede ¡servir para ..hacerse q^rgo de la posición de la esquadra francesa del- mando del General Linotr el dia 6 de «¡te mes ¿ en qué rechazó con el auxilio de nuestras lanchas cañoneras, y baterías el ataque de la esquadra inglesa del mando del General Saumerez. ,, . \ •f Lasleyes il</t>
  </si>
  <si>
    <t>LIop, Joseph</t>
  </si>
  <si>
    <t>Joseph LIop</t>
  </si>
  <si>
    <t>e granaderos al de fusileros D. .nulists oeogenan; í números Tenientes á ¡os segundos de granaderos D. Joseph LIop.s.Do;! ¿1 ego García y D. Ricardo Bntler, y i los de fusileros D. Claudio Lov.s v D tayme Bntler ; á segundos Tenientes de granaderos^ los de tus.leros 1). foseó Vareía, D. Mario</t>
  </si>
  <si>
    <t>Lipp, Juan</t>
  </si>
  <si>
    <t>Juan Lipp</t>
  </si>
  <si>
    <t>de Reding^í Capi±jtan primero al Capitán segundo D. Gen ir o de Kreuth,; á esta resulta al Tejiente D. Juan Lipp, y á Teniente al Subteniente D. Antonio Steeger.: en .él de Betschart á Teniente de granaderos al de fusileros D. Bonifacio Kop_penhan,y á secundo Teniente de fusileros al Subteni</t>
  </si>
  <si>
    <t>Livington</t>
  </si>
  <si>
    <t>ylani viene encargado de entregar al gobierno francés la ratificación del tratado de paz. Picen que Mr. Livington, Canciller del estado de Nueva-Yorck, bien conocido por sus principios y afecta á la Francia, será el que los Estados americanos nombren por su Ministro, en París. El nombramiento</t>
  </si>
  <si>
    <t>Liwingston</t>
  </si>
  <si>
    <t>eph Bonaparte, Plenipotenciarios de Inglaterra y Francia en el congreso de paz. Ha llegado á Nantes Mr. Liwingston, Ministro plenipotenciario de los Estados-Unidos. El Prefecto le obsequió con una espléndida comida,á que asistiéron su familia y los empleados de su embaxada. Desde el dia 22 se</t>
  </si>
  <si>
    <t>Lizakewitz</t>
  </si>
  <si>
    <t>atona: baxó á tierra, y tuvo una conferencia con el Ministro Conde de Bernstorff.. También visitó á Mr. Lizakewitz, Ministro ruso, con quien comió, y fuá quien le presentó á Mr. BernstorfF._~El Comendador dinamarqués Mr. Bille envió-un oficial á bordo de la fragata inglesa para cumplimentar al</t>
  </si>
  <si>
    <t>Lizarri, Gabriel</t>
  </si>
  <si>
    <t>Gabriel Lizarri</t>
  </si>
  <si>
    <t>.......... 131. 10. Gabriel Lizarri.... Matías..... Valvanera García. Logroño........... Idem.............. 131. 10. Domingo Andux,. Joseph..... JosephaTorrubia- Molina</t>
  </si>
  <si>
    <t>Lizaso, Manuel</t>
  </si>
  <si>
    <t>Manuel Lizaso</t>
  </si>
  <si>
    <t>que tiene anexa; y para el Beneficio Préstamo de'la..parroquial de Lanzaita, vacante por muerte de D. Manuel Lizaso, y cj'Céur.to y Beneficio rura 1 de ios despoblados de Jemiguel y Jemerendura, vacantes por fallecimiento de D. Joseph Antonio de Areche , todos tres en la referida diócesis de Av</t>
  </si>
  <si>
    <t>LJaukesburi, Lord</t>
  </si>
  <si>
    <t>Lord LJaukesburi</t>
  </si>
  <si>
    <t>hinson, inclusos en una carta del Conde Elgin, fecha en Constantinopla á 18 de Julio, y dirigida al Lord LJaukesburi, de la qual se ha dado á luz el siguiente extracto: „Tengo la satisfacción de comunicaros que las cartas adjuntas para el Lord Hobatt contienen la noticia de haberse entregado el</t>
  </si>
  <si>
    <t>Ll Conde de Gortz</t>
  </si>
  <si>
    <t>. Knesowich á dos años de encierro en un castillo. * Ratisbona 28 de Febrero. f Ll Conde de Gortz, Ministro de Prusia, ha comunicado á la Dieta una dilatada nota sobre la necesidad de ratificar quanto antes la paz; y sobre que atendiendo á la ventaja común se hagan los sacrificios que p</t>
  </si>
  <si>
    <t>Llaguno, Juan</t>
  </si>
  <si>
    <t>Juan Llaguno</t>
  </si>
  <si>
    <t>f . Posterior £ la junta que se celebró el «4 de Febrero dé 1800 por los acreedores á la quiebra de D. Juan Llaguno, de que conoce el Sr; D. Joseph Navarro y "Vidal, del Consejo de S. M:, su. Alcalde de casa^y corte,.por la.escribanía de .provincia de D. Pedro, de Válladáres, sé hizo instancia</t>
  </si>
  <si>
    <t>Llaguno, Juan Antonio</t>
  </si>
  <si>
    <t>Juan Antonio Llaguno</t>
  </si>
  <si>
    <t>S. M. nombrarle para la Administración general de la misma provincia, vacante por fallecimiento de D. Juan Antonio Llaguno. En atención al mérito y circunstancias de D. Antonio Moresqui se ha servido S. M. concederle honores de Comisario de Guerra de sus exércitos. Desde el dia i.° del próximo mes de</t>
  </si>
  <si>
    <t>Llañes, Gregorio</t>
  </si>
  <si>
    <t>Gregorio Llañes</t>
  </si>
  <si>
    <t>imo Guia: en el batallón de Voluntarios de Tarragona á Capitán primero al segundo y primer Ayudante D. Gregorio Llañes; á primer Ayudante al Capitán segundo D. Pedro Llavaneraj á Capitán segundo al .primer Teniente graduado de Capitán D. Joseph de Calva; á primer Teniente a. segundo D. Joachín Cun</t>
  </si>
  <si>
    <t>Llanos, Joseph Antonio</t>
  </si>
  <si>
    <t>Joseph Antonio Llanos</t>
  </si>
  <si>
    <t>llón de ' milicias disciplinad bS^ie infantería de blancos de Cgrácas ai. Subteniente de granaderos D. Joseph Antonio Llanos;'para esta resulta al Suhíenieqte de fusileros D&gt; Francisco Martínez de Porras, y para una Subteuencirde bandera del propio Iv. tallón al Cadete D. Joseph Ignacio Cases. A pesar d</t>
  </si>
  <si>
    <t>Llauáer, Andrés</t>
  </si>
  <si>
    <t>Andrés Llauáer</t>
  </si>
  <si>
    <t>l Marques de Malespina, Sargento mayor del de Almansa; y á Tenientes en este cuerpo á los Alféreces D. Andrés Llauáer y D. Joachin Cabronero: habiendo también nombrado S. M. Portaestandarte del regimiento de caballería de Calatrava al Sargento de él D. Juan de Acuña. S. M. ha promovido á Teniente de</t>
  </si>
  <si>
    <t>Llavaneraj, Pedro</t>
  </si>
  <si>
    <t>Pedro Llavaneraj</t>
  </si>
  <si>
    <t>pitán primero al segundo y primer Ayudante D. Gregorio Llañes; á primer Ayudante al Capitán segundo D. Pedro Llavaneraj á Capitán segundo al .primer Teniente graduado de Capitán D. Joseph de Calva; á primer Teniente a. segundo D. Joachín Cunda.ro.; á segundos Tenientes á los primeros Subtenientes D</t>
  </si>
  <si>
    <t>Lleonart, Joseph</t>
  </si>
  <si>
    <t>Joseph Lleonart</t>
  </si>
  <si>
    <t>ros de D. Joseph de Beráza, Mayordomo que fue del f&amp;xc, Sr, C(onde de Motezpma*. se dep ¿ conocer á D. Joseph Lleonart, Ayudante mayor del regimiento de infantería de Hibernia, residente actualmente en el, acantonamiento militar de Ares en Galicia, que tiene que comunicarles varios asuntos concern</t>
  </si>
  <si>
    <t>Llodosa, Rafael</t>
  </si>
  <si>
    <t>Rafael Llodosa</t>
  </si>
  <si>
    <t>10. 22. Rafael Llodosa.... Tomas.......María Ríos............... Villa de Morella.......... Idem.......... . 2154. 1. Tomas Navarro... Tomas......... Francisca Durat... S*trel!....-</t>
  </si>
  <si>
    <t>Llotgé y Francisco Tálleda, Miguel</t>
  </si>
  <si>
    <t>Miguel Llotgé y Francisco Tálleda</t>
  </si>
  <si>
    <t>nfantería de la Reyna á D. Vicente Aviles y D. Joseph ¿ierra: del primero y segundo del de España á D. Miguel Llotgé y Don Francisco Tálleda: ae los terceros de los de Sevilla, Ordenes Militares é Hibernia A D. Adeodato San Germán , D. Esteban Cosp y Planas y Don Francisco Joseph Falcó y López: del batallón de Voluntar</t>
  </si>
  <si>
    <t>Llris Richenbach</t>
  </si>
  <si>
    <t>Ayudante, graduado de fcapitan, D. Federico Hackenhergerj á Teniente de granaderos al de fusileros D. Llris Richenbach, y á grado de^Cagitan al Ayudante m^s antiguo del mismo cuerpo D. Luis Gógelf./ También en el regimiento de caballería deí Rey se ha servido promover S. M. á Alférez ai Portaestan</t>
  </si>
  <si>
    <t>Lo, Gabriel</t>
  </si>
  <si>
    <t>Gabriel Lo</t>
  </si>
  <si>
    <t>León, á D. Manuel Zoylo de Medina Allende: para la Dignidad de Tesorero de la catedral de Guadix á D. Gabriel Lo-, pez y Lorca, Canónigo de ella: para una Canongia de la de Segovia, vacante por fallecimiento de D. Antonio Joachtn Marín, á D. Sebastian de la Vega y Rébolledá, Cura Párroco del</t>
  </si>
  <si>
    <t>Lo, Juan</t>
  </si>
  <si>
    <t>Juan Lo</t>
  </si>
  <si>
    <t>n4¡j,i 19 rs. , y están mandadas pregonar por 30 dias, acuda á ¿a escribanía, del número que «aeree D. Juan Lo pea Faijdo. j! . •. * ■ - / * • v . - . ‘; Los subscriptores ál‘Compendio dé los libros históricos de la santa Biblia,dedicado i la Rey na Ntra. Sra. por el P. Fernando dé Scio, a</t>
  </si>
  <si>
    <t>Lo, Tomás</t>
  </si>
  <si>
    <t>Tomás Lo</t>
  </si>
  <si>
    <t>de Yucatán,según las mejores no« vicias y mapas del país , remitidos por los naturales. Lo da á luz D. Tomas Lo peí, geógrafo de 3. M., y se hallará en su casa con sus demas obras y las de sus hijos, calle de Atocha , frente á la de los Gremios. Retrato de la 3ra. Lorenza Correa , célebre a</t>
  </si>
  <si>
    <t>Loayza, Nicolás</t>
  </si>
  <si>
    <t>Nicolás Loayza</t>
  </si>
  <si>
    <t>rte, D. Vicente Ladrón de Guevara, D. Isidro Delso y D.* Mariano Calatayud; al empleo de Ayudante á D. Nicolás Loayza; al de Teniente de granaderos á D. Manuel Ximenez Lobaton; á Tenientes de fusilerós á los Subtenientes D. Mariano González, D. Bernardo Flores, D. Feliciano Candía, D. Bernardino</t>
  </si>
  <si>
    <t>Lobaton y Isidro Pugi, Rafael</t>
  </si>
  <si>
    <t>Rafael Lobaton y Isidro Pugi</t>
  </si>
  <si>
    <t>ndrés Canales; Subtenencias de fusileros al Sargento primero D. Nicolás Sánchez, D. Alexandro Vega, D. Rafael Lobaton y Don Isidro Pugi, y Subtenencias de bandera á D. Agustín Moseoso y D. Juan Altainirano. &lt; Al tiempo que. ha dado cuenta el Capitán general de la provincia de Venezuela de la entrega que por conven</t>
  </si>
  <si>
    <t>Lobo Cabrilla, Pedro</t>
  </si>
  <si>
    <t>Pedro Lobo Cabrilla</t>
  </si>
  <si>
    <t>mero y Santos, y Subtenencias de fusileros á D. Antonio Villaamil, D. Francisco de Paula Barrantes, D. Pedro Lobo Cabrilla y D. Francisco Bcrja Sandoval : en el de Badajoz la Tenencia de cazadores á D. Vicente Berriz, Teniente de fusileros; Tenencia de esta clase á D. Pedro Bootello, Subteniente de cazado</t>
  </si>
  <si>
    <t>Lobo, Tomás</t>
  </si>
  <si>
    <t>Tomás Lobo</t>
  </si>
  <si>
    <t>to del Príncipe Ntro. Sr., los Sres. Infantes D. Carlos y O. Antonio, 32 caballeros Grandes Cruces, D. Tomas Lobo, Ministro Secretario,D. Ignacio Abadía, y Marques de Bondad Real, en calidad de Maestro de Ceremonias y Tesorero, y 31 caballeros pensionistas y supernumerario1:, en las piezas in</t>
  </si>
  <si>
    <t>Lodáres, Juan Pablo</t>
  </si>
  <si>
    <t>Juan Pablo Lodáres</t>
  </si>
  <si>
    <t>esto en dicha gazeta. Para completar aquellas noticias se debe pues añadir que el Capitán de Nafvío D. Juan Pablo Lodáres, comandante de dicho apostadero , procuró desde los principios del ataque sostenerlo en el mejor modo posible con las 7 cañoneras que entonces había en la bahía de Algecir.¿s; par</t>
  </si>
  <si>
    <t>Lomgoria, Joseph</t>
  </si>
  <si>
    <t>Joseph Lomgoria</t>
  </si>
  <si>
    <t>i Ayudante mayor D. Manuel de Arce y al Teniente D. Juan Antonio Bayotiá Ayudante mayor al Teniente D. Joseph Lomgoria : á Teniente de granaderos al cíe fusileros D. Blas Morillo: á Tenientes á los Subtenientes D. .Joseph Pardo , D. Fernando .Julián Pastor y Don Francisco Arce: a Subtenientes de c</t>
  </si>
  <si>
    <t>Lope Benito de Ron</t>
  </si>
  <si>
    <t>expresión de sus méritos y partidos donde hayan servido , hasta 94 de Diciembre del presente año á D. Lope Benito de Ron, Teniente de Alférez mayor de dicho Principado, Regidor perpetuo del Ayuntamiento de la expresada villa, y comisionado por él para el efecto. Memorial literario, núm. 6.° Contiene</t>
  </si>
  <si>
    <t>Lope, Antonio</t>
  </si>
  <si>
    <t>Antonio Lope</t>
  </si>
  <si>
    <t>ía de D. Luis Peres Pefiuehs} y £ las de Hueva, Velilla de S. Antonio y Sacedon de Canales, á la de D. Antonio Lope* de Salazar. (Se tenclutré.y £N tA IMPRENTA REAL, ■ ■ • „ ..................</t>
  </si>
  <si>
    <t>Lope, Joseph</t>
  </si>
  <si>
    <t>Joseph Lope</t>
  </si>
  <si>
    <t>iginales que tiene en sus salas de estudio la Real academia de las tres Nobles Artes de Madrid; por D. Joseph Lope? Enguídanos, profesor de pintura,y académico de mérito de la misma : contiene 6 figuras de academia : y se vende con los anteriores en la librería de Barco, carrera de S. Gerónimo</t>
  </si>
  <si>
    <t>Lope, Juan</t>
  </si>
  <si>
    <t>Juan Lope</t>
  </si>
  <si>
    <t>io Santa María, del Consejo de S. M., Teniente Corregidor de esta villa, y escribanía del número de D. Juan Lope* Fando, una casa sita en la calle de, S. Mércos, mim. 17, manz. 304, tasada en 33,375 rs., en la cantidad de 33,500, baxo la qualiáad de entregar la quinta parte en metálico; y ha</t>
  </si>
  <si>
    <t>e S. Simón i nürri. 5 , ; m*nz. a8 , tasada en :&gt;»p}c84 rs. ', acaáa 4 4al escribanía del número de D. Juan Lope* FandoyaudieiCia ¡del Si. D. Juan An-? ionio Santa María. ;,V ¿ En virnH de providencia del Sr. D. Juan Antonio Santa Maria , Teniente' Corregidor de esta villa , y por la escriba</t>
  </si>
  <si>
    <t>Lopes, General</t>
  </si>
  <si>
    <t>General Lopes</t>
  </si>
  <si>
    <t>risioneros, entre los quales hay á lo menos 600 soldados de caballería. Quedó también prisionero el General Lopes, comandante de aquel cuerpo austríaco. El 19 mudaron los enemigos los cuerpos que componían su retaguardia, y la formaron con los llamados capus-roxas, con los uníanos y los húsar</t>
  </si>
  <si>
    <t>López Altamirano, Juan Antonio</t>
  </si>
  <si>
    <t>Juan Antonio López Altamirano</t>
  </si>
  <si>
    <t>adrid á D. Francisco de Villaluení ga , ó en Sevilla á D. Francisco Pifia). Por providencia del Sr. D. Juan Antonio López Altamirano, caballero de'íijf órden de Santiago, Ministro del supremo Consejo dé Castilla| Jüez protector y privativo de las memorias que en la viíla de Argete fundó el limó. Sr. D. Juan? Al</t>
  </si>
  <si>
    <t>López Bueno, Francisco</t>
  </si>
  <si>
    <t>Francisco López Bueno</t>
  </si>
  <si>
    <t>l de Málaga á Teniente de fusileros á D. Luis de Sousa, Subteniente de granaderos-; á este empleo á D. Francisco López Bueno, Subteniente de fusileros, y á su resulta á D. Juan Laso de la Vega VeLizquez de Haro : ea el de Lugo á Subtenientes de fusileros á D. Pedro Castro Marín y á D. Joseph María Marín</t>
  </si>
  <si>
    <t>López Caamaño, Fernando</t>
  </si>
  <si>
    <t>Fernando López Caamaño</t>
  </si>
  <si>
    <t>la Coruña, en el arzobispado de Santiago, vacante por fallecimiento de Don Blas Antonio Soengas, á D. Fernando López Caamaño: para una Ración de la catedral de Sigüenza, vacante por muerte de D. Pascual Nieto, á D. Manuel de Lezairía Martínez, Cura de la villa de Slsamon y su anexo Cabo la Fuente, en aq</t>
  </si>
  <si>
    <t>López de Arana, Pedro</t>
  </si>
  <si>
    <t>Pedro López de Arana</t>
  </si>
  <si>
    <t>blica subasta un oficio de Procurador de los Reales Consejos perteneciente á la memoria fundada por D. Pedro López de Arana, tasado en s8§’rs. Quien quisiere hacer postura acuda á dicha escribanía. Por la misan, audiencia y escribanía se está subastando una casa sita en la calle de Argaazuela , núna. 1</t>
  </si>
  <si>
    <t>López de Arroyabe, Francisco</t>
  </si>
  <si>
    <t>Francisco López de Arroyabe</t>
  </si>
  <si>
    <t>catedral de Comayagna, vacante por fallecimiento de D. Francisco López de Arroyabe, á í&gt;. Joseph Joachín Beltran: para la Chantría, que este de-? xa, al Maestrescuela D. Eugenio Recuenco i para la Maestrescolía al Tesorero D. Francisco Xavier López; y para la Te</t>
  </si>
  <si>
    <t>López de la Huerta, Joseph</t>
  </si>
  <si>
    <t>Joseph López de la Huerta</t>
  </si>
  <si>
    <t>icación de los sinónimos de la lengua caslos libros y títulos del Digesto , traducción tellana, por D. Joseph López de la Huerta. literal al castellano de todas las leyes y pár­ Un tomo en 8.° á 17 rs. en pasta , y 12 papel. rafos del Digesto ^expresión de sus concor­ Des cripcion de los ornatos públicos co</t>
  </si>
  <si>
    <t>López de Ribas, Manuel</t>
  </si>
  <si>
    <t>Manuel López de Ribas</t>
  </si>
  <si>
    <t>an via recta á los expresados parages) se sirvan comunicar las noticias que tengan de su paradero á D. Manuel López de Ribas , Procurador de los Reales Consejos , quien tiene que comunicarle asuntos interesantes á él y su familia. . Definiciones latinas de los Sacramentos de la nueva ley por el P. M. Fr</t>
  </si>
  <si>
    <t>López de Salazar, Antonio</t>
  </si>
  <si>
    <t>Antonio López de Salazar</t>
  </si>
  <si>
    <t>Subdelegado de la Real Junta general de comerá ció, moneda y minas 5 por la escribanía de número de D. Antonio López de Salazar, Escribano de la misma subdelegacion , se ha mandado sacar á pública subrsta por término de 30 días, una casa grande de recrea con diferentes hábi-^ raciones, jardín y huerta , es</t>
  </si>
  <si>
    <t>López de Velazco, Pedro</t>
  </si>
  <si>
    <t>Pedro López de Velazco</t>
  </si>
  <si>
    <t>mayor Marques de Cam:poameno: Compañía en el de Milicias urbanas de dragones de M.-gés al Teniente D. Pedro López de Velazco: Subtenencia en el de Moquegua á .D. Luis;Pomareda : empleos de Alféreces en ti de cab-lkrí i de i íu. nta á D. Pedro Joseph Fernandez., D. Isidro Candioti y D. Tomas Pedrero, Cad</t>
  </si>
  <si>
    <t>López del Prado, Vicente</t>
  </si>
  <si>
    <t>Vicente López del Prado</t>
  </si>
  <si>
    <t>993 lera; y por Cadete supernumerario al Guardia D. Vicente López del Prado. ín el regimiento de Reales Guardias Españolas se ha servido promover S. M. á Comandante de .granaderos .al primer Teniente .de fusileros Dan ¿Fernando Rodríguez Salamanca. En el</t>
  </si>
  <si>
    <t>López Escalona, Francisco</t>
  </si>
  <si>
    <t>Francisco López Escalona</t>
  </si>
  <si>
    <t>por promoción de D. Joseph Perez Isla al Curato de la Puebla de Montalban , en la misma diócesis, á D. Francisco López Escalona, con la obligación que tiene anexa. En el regimiento de infantería de Saboya se ha servido promover el Rey á primer Subteniente ai segundo Subteniente D. Angel Ponce de León* y á</t>
  </si>
  <si>
    <t>López Fandc, Juan</t>
  </si>
  <si>
    <t>Juan López Fandc</t>
  </si>
  <si>
    <t>este término , que empezó á correr el 16 de este mes, acuda á la escribanía del número del cargo de D. Juan López Fandc. Se halla vacante la plaza de Médico titular de villa de Rueda , en Castilla la Vieja ; vale 7940 rs. en dinero efectivo , cobrados por tercios ó como! acomode. Los facultativos q</t>
  </si>
  <si>
    <t>López Fando, Juan</t>
  </si>
  <si>
    <t>Juan López Fando</t>
  </si>
  <si>
    <t>rce él Sr. D, Juan Antonio Santa María,Teniente Corregidor de esta villa y escribanía del número de D. Juan López Fando, los quales con expresión de su cabida, sitios y tasa son Jo5 siguientes. Cofradía de la Animas: una tierra en ei sitió donde dicen la Fuente de la Barrera, ¿ de 4 fanegas ¿ 9 cel</t>
  </si>
  <si>
    <t>83 rs. 8 mrs., que están mandadas publicar por 30 dias, acuda á la escribanía del número que exerce D. Juan López Fando. Sigue la, razón de be fincas de obras pías fundadas en pueblos de la Intendencia de Madrid, para cuya venta esté comisionado D. Manuel Angel Carrancio. Zorita de los Canes. Coleg</t>
  </si>
  <si>
    <t>l2 v demás, acuda á la audiencia del mismo Sr. D. Juan Arromo Santa María vU referida escribanía de D. Juan López Fando. Por el Juzgado del Sr. Teniente prime» de Coraqgvdor D. Juan Antonio «*»T v Tfi-io de D. Francisco Antonio Suaiez, se -subasta *ina escribanía 4e número y perteneciente Á la ocur</t>
  </si>
  <si>
    <t>io Santa María, del Consejo de S. M., Teniente Corregidor de esta villa, y escribanía del número de D. Juan López Fando, donde se admitirán las que hicieren siendo arregladas, estando señalado para su remate el dia 24 del corriente, á las 11 de su mañana; á las puertas de dicha audiencia* Por la au</t>
  </si>
  <si>
    <t>e hacer dicha puja á qualquiera de ellas acuda en el referido término ¿ la escribanía del número de D. Juan López Fando. Por la audiencia del Sr. D. Juan Antonio Santa María, Teniente Corregidor ele esta villa, y escribanía del número de D. Gervasio Fernandez Izquierdo, se está subastando una casa</t>
  </si>
  <si>
    <t>del Sr. D. Juan Antonio Santa María , Teniente Corregidor de esta villa, y escribanía del número de D. Juan López Fando, donde se admitirá la que hiciesen siendo arreglada , estando señalado para el remate de una y otra el dia 2% del corriente á las xa de su mañana en las puertas de dicha audiencia</t>
  </si>
  <si>
    <t>del Sr. D. Juan Antonio Santa María, Teniente Corregidor de esta villa, y escribanía del número de Don Juan López Fando, donde se admitirá la que hicieren siendo arreglada. En virtud de auto proveído en 9 de Junio de este afío por el Sr. D. Juan Antonio Santa María , Teniente primero de Corregidor</t>
  </si>
  <si>
    <t>an Antonio Santa Mari *. Quien quisiere hacer mejora acuda ante dicho Sr* y escribanía de número de D. Juan López Fando* En virtud de providencias judiciales £ instancia def dueño se ha mandado sacár á pública subasta una cesa sita en la calle Imperial de esta corte’, frente á la plaza mayor, con f</t>
  </si>
  <si>
    <t>ste término, que empezó el mismo dia ó, acuda á la escribanía del número de esta villa del cargo de D. Juan López Fando. Para el remate de la casa, calle de la Puebla á la del Rio, señalada con el. número 28 de la manz. 331, propia de las memorias fundadas en la iglesia parroquial de S. Miguel de l</t>
  </si>
  <si>
    <t>acuda á la auaienri* del referido Sr. Teniente, á las 12 de sus mañanas, y escribanía dei número de D. Juan López Fando. Por el Sr. D. Juan Antonio Santa María, del Consejo de S. M., primer Tedíente Corregidor de esta villa , y escribanía del número de D. Vicente de la Costa , se han mandado public</t>
  </si>
  <si>
    <t>*3^ rs. , y dan por el i a ia misma cantidad en vales Reales, acucia á ia escribanía del número de D. Juan López Fando: estando señalado para su remate el 14 dé éste mes ú las 12 de su m^ficna , en las puertas de la audiencia del Sr. D. Juan Antonio Santa María , Teui^nte Corregidor de esta villa.</t>
  </si>
  <si>
    <t>tura á cada lina de elfos acuda á la escribanía del número de esta villa del cargo de D. Juan López Fando. En la Junta general de comercio y moneda están pendientes los autos de ocurrencia de acreedores á los bienes de la extinguida compañía da comercio y fábricas de ia ciudad de Gran</t>
  </si>
  <si>
    <t>López Farido, Juan</t>
  </si>
  <si>
    <t>Juan López Farido</t>
  </si>
  <si>
    <t>María ? del Consejo de S. M., Teniente Corfegidor df esta villa, y escribanía del número que excrce D. Juan López Farido; f con su medida, tasa y sitios son los siguientes; una tierra sité junto al rio Xa* rama,.donde dicen Tres cantos, que linda con la barca de Mejorada, de 1 fane* gas y 6 celemine</t>
  </si>
  <si>
    <t>López Fauno, Juan</t>
  </si>
  <si>
    <t>Juan López Fauno</t>
  </si>
  <si>
    <t>d Real, acuda,á la.audiencia del mismo Sr. X). Juan Anto"nio Santa María, y la propia escribanía de D. Juan López Fauno; estando señalado para su remate el día 3 de este mes á las 12 de su mañana en las puertas de dicha audiencia. En virtud de orden del Consejo Real se ha creado en la villa de Cast</t>
  </si>
  <si>
    <t>López Figueroa, Basilio Antonio</t>
  </si>
  <si>
    <t>Basilio Antonio López Figueroa</t>
  </si>
  <si>
    <t>o de Rioja, en la diócesis de Calahorra, vacante por fallecimiento de D. Francisco Perez Fuentes, á D. Basilio Antonio López Figueroa: para la Ración de la colegial de Covsrrubias, arzobispado de Burgos, vacante por promoción de D. Manuel Marrón á una Canongía de la misma colegial, á D. Valentín Bernal: para una</t>
  </si>
  <si>
    <t>López Gacela, Diego</t>
  </si>
  <si>
    <t>Diego López Gacela</t>
  </si>
  <si>
    <t>o.', I Rey se ha 'sérvidó^ nombrar para la Canongía de lá catedral de Málaga, vacante por muerte de D. Diego López Gacela , á D. Joseph de la Chambre y Perez : para la Canongía de la colegial dé Soria ,* obispado d&lt;?‘ Osma,vacante por .fallecimiento de D., Joseph Sánchez, á D. Vicente Gómez Falcon:.p</t>
  </si>
  <si>
    <t>López Gonzalo, Victoriano</t>
  </si>
  <si>
    <t>Victoriano López Gonzalo</t>
  </si>
  <si>
    <t>los socios, y algunas cantidades que franquea la beneficencia de su dignísimo director el limo. Sr. D. Victoriano López Gonzalo, Obispo que actu.dmente gobierna. Asistió á este acto toda la nobleza, Prelados, clero é individuos de ios cuerpos y otras personas de distinción.</t>
  </si>
  <si>
    <t>López Guardamur, Joseph</t>
  </si>
  <si>
    <t>Joseph López Guardamur</t>
  </si>
  <si>
    <t>pitán del regimiento de infantería de América: para la Sargentía mayor del de Alicante y Orihuela á D. Joseph López Guardamur#, Sargento mayor del de Ecijatpara esta vacante al Teniente Coronel D. Henrique Rodríguez,Sargento mayor del de Xcrez; y para su resulta á D, Francisco Yeste, Capitán del regimien</t>
  </si>
  <si>
    <t>López Montenegro, Manuel Francisco</t>
  </si>
  <si>
    <t>Manuel Francisco López Montenegro</t>
  </si>
  <si>
    <t>servido nombrar para lá Dignidad de Tesorero dé la ca-' tedral de Astorga, vacante por promoción dé D. Manuel Francisco López Montenegro al Deanato de la misma catedral , á D. Manuel Avella: para, el Priorato Dacoba, Dignidad de la catedral de Lugo, vacante por muerte de D. Juan Clemente de Navia, á D. Antonio Roca</t>
  </si>
  <si>
    <t>López Morcillo, Manuel</t>
  </si>
  <si>
    <t>Manuel López Morcillo</t>
  </si>
  <si>
    <t>e, Capellán de honor de S. M. : para otra de la colegial de Uxíjar, en ei arzobispado de Granada, á D. Manuel López Morcillo, Rector del hospital Real y casa de niños expósitos de la ciudad de Guadix: par^t tura Ración que en la metropolitana de Santiago vacó por la promoción de D. Ignacio Ramón de Roda</t>
  </si>
  <si>
    <t>López Ontiveros, Pedro</t>
  </si>
  <si>
    <t>Pedro López Ontiveros</t>
  </si>
  <si>
    <t>Salamanca la Compañía de cazadores a D. Francisco de Paula Rey, Capitán de fusileros ; su resulta á D. Pedro López Ontiveros, Teniente de cazadores; esta vacante á D. Joseph García de Texada, Teniente de fusileros; Tenencias de esta clase á los Subtenientes de granaderos y cazadores D. Joseph Ovalle y D</t>
  </si>
  <si>
    <t>López Pando, Juan</t>
  </si>
  <si>
    <t>Juan López Pando</t>
  </si>
  <si>
    <t>da y patio, y toio su sitio de 4Ó3 pies, tasado en 44,337 rs. , acuda i ia escribanía del número de D. Juan López Pando. * Filosofíachristiana, 4 Catecismo filosófico ebristiano, en que se explican los misterios, virtudes y vicios-, con todos ios discursos que puede prestar la rnzoa humana hermanad</t>
  </si>
  <si>
    <t>López Portillo, Francisco</t>
  </si>
  <si>
    <t>Francisco López Portillo</t>
  </si>
  <si>
    <t>ontento con su estado por infeliz que sea , y no tener envidia de los ricos y poderosos: por el Sr. D. Francisco López Portillo , del Consejo de S. M,, Oidor de la Real audiencia de Guadalaxara: un tomo en 8.° Se hallará á 7 rs. en pasta en las librerías de Bravo, calle de .las Carretas, en los puestos del</t>
  </si>
  <si>
    <t>López Ro, Francisco</t>
  </si>
  <si>
    <t>Francisco López Ro</t>
  </si>
  <si>
    <t>ésta jplasC á D. Joseph ,María Gasanova , Subteriieate de granaderos, y esta resulta al Subteniente D. Francisco López Ro«* mero : en el de Malaga Compañía de fusileros á D. Luis Ortega, Teniente de granaderos :.en el de Granada Tenencia de fusileros á D. Joseph Alvarez Campana, Subteniente de granad</t>
  </si>
  <si>
    <t>López Rodríguez, Pedro</t>
  </si>
  <si>
    <t>Pedro López Rodríguez</t>
  </si>
  <si>
    <t>Beneficios de Santa Marina, la Madalena y Santiago de la ciudad de Córdoba, vacantes por muerte de D. Pedro López Rodríguez, i D. Juan Antonio Cutanda; y para el Beneficio de Sta. María de Pontelles, en el arzobispado de Santiago, y el de S. Salvador de Atienza, en la diócesis de Sigiienza, que obtiene</t>
  </si>
  <si>
    <t>López Román, Pedro</t>
  </si>
  <si>
    <t>Pedro López Román</t>
  </si>
  <si>
    <t>Beneficio de la parroquial de la villa de Iznatoraf, en la diócesis de Jaén, vacante por muerte de D. Pedro López Román, á D* Pedro Joseph Mem-; brilla. ■ • En el regimiento de Reales Guardias Españolas se ha servido promoved el Rey á primeros Tenientes á los segundos Ayudantes mayores D. Francisco</t>
  </si>
  <si>
    <t>López S'in Román, Vicente</t>
  </si>
  <si>
    <t>Vicente López S'in Román</t>
  </si>
  <si>
    <t>D. Jorge Zambrana; á esta resulta al Portaestandarte D. Joseph Cerón, y á Portaestandarte al Cadete D. Vicente López S'in Román: en el del Infante á Portaestandarte al Sargento D. Seb-sri -n de Torres: en el de Borbon á Alférez al Portaestandarte Don Isidro de Rueda y Amaya, y á Portaestandarte al Cadete D</t>
  </si>
  <si>
    <t>López Sal, Antonio</t>
  </si>
  <si>
    <t>Antonio López Sal</t>
  </si>
  <si>
    <t>citados, qué se admitirán quantas posturas se hicieren ante los Escribanos del número de esta villa D. Antonio López Sal azar, D. Luis Perez Peñuelas, D. Julián González Saez y D. Joachin González de Castro. A virtud de las Reales resoluciones de S. M. se venden des tierras correspon*» dientes al pa</t>
  </si>
  <si>
    <t>López Somqza, Vicente</t>
  </si>
  <si>
    <t>Vicente López Somqza</t>
  </si>
  <si>
    <t>ente de Navia, á D. Antonio Roca y Seixas, Canónigo de la de Astorga: para esta Canongía que dexa á D. Vicente López Somqza, Racionero de la de Lugo: para una Canongía de la metropolitana de Toledo , vacantp por fallecimiento de D. Manuel Martinez Nubla, á D. Andrés de León, Racionero de ella: para otr</t>
  </si>
  <si>
    <t>López Vidal, Juan</t>
  </si>
  <si>
    <t>Juan López Vidal</t>
  </si>
  <si>
    <t>ey promover á primer Subteniente al segundo D. Juan López; y á esta resulta al Cadete det de Toíedo D. Juan López Vidal: en el de Irlanda á primeros Tenientes á Tos segundos de granaderos D. Balbino Cortés y D. Torlbio de Robles; á segundos Tenientes de granaderos á los de fusileros D. Camilo de Ro</t>
  </si>
  <si>
    <t>López Villapol, Joseph</t>
  </si>
  <si>
    <t>Joseph López Villapol</t>
  </si>
  <si>
    <t>cisco Reguera» D.-Juan de Pazos, D. Joseph de* An telo y IL Joseph Belon y Becerra en aritmética';- D. Joseph López Villapol en geometría elemental, especuíatit'X y práctica ;• D. Juan Lozano y D, Joseph Ranero en trigonometría' plana $ esférica, en el álgebra y eñ navegación; y D. Antonio Gil y Santbo, c</t>
  </si>
  <si>
    <t>López, Agustín</t>
  </si>
  <si>
    <t>Agustín López</t>
  </si>
  <si>
    <t>de fusileros D. Joseph Angulo y D. Antonio Penalosa ; y Subtenencia, de bandera al Sargento primero D. Agustín López y al Gdi t dtl regimiento de infantería de Navarra D. Francisco de Egma y Valiese,, I.mbien ha concedido S. M. Subtenencia en el regmuenio de granaderos voluntarios de Estado á D. A</t>
  </si>
  <si>
    <t>López, Antonio</t>
  </si>
  <si>
    <t>Antonio López</t>
  </si>
  <si>
    <t>247 Y&amp;da de Irán. Quien la tuviere 1a comunicará Í D. Antonio López, ayudante de guarda-almacén provincial de artillería en Barcelona. En la Villa de Igea de Cornago,, provincia de Soria, se halla vacante la píaTía de médico titular; tiene de dota</t>
  </si>
  <si>
    <t>da por lo respective f lás Viílas de’SoHt^ de los Canés^Bel'nion^' y’Me* jorada, á la escribanía de D. Antonio López deSalazar; y á la de^Canillejis*, i la dé D. Juiian González SaeKr -V’i6í-v i i En la ciudad de Sevilla, en la calle de los Tintes, junto i la puerta, dé Cáf-. mona, se halla estable</t>
  </si>
  <si>
    <t>res....... . 49. 6. Antonio López.... Joseph........... Cayetana Fernandez.................... Fragacha...... Vivero............ 4a. 18. Bartolomé Gómez. Pedro....4...... Cipriana Rodri- S. Juan d</t>
  </si>
  <si>
    <t>agoza á piinier. Subteniente al segundo D. Francisco Fernandez, y á segundo Subteniente.al. Cadete. D. Antonio López : en el de América á primer Teniente al se—' guudo de granaderos.D..Genaro Remartmez;vá segundo Teniente, de. gra»</t>
  </si>
  <si>
    <t>López, Domingo</t>
  </si>
  <si>
    <t>Domingo López</t>
  </si>
  <si>
    <t>ar........ 4&lt;5. so. Domingo López... Juan............. N.*....... ................. Sta. María de Adaya....... Puert</t>
  </si>
  <si>
    <t>López, Felipe</t>
  </si>
  <si>
    <t>Felipe López</t>
  </si>
  <si>
    <t>oza........ ói. tú. Felipe López....... Eusebio,........ María Gómez...... C’armoj:^.......'Madridos.. ..... 10. 22. Rafael Llodosa.... Tomas.......María Ríos...........</t>
  </si>
  <si>
    <t>López, Francisco Xavier</t>
  </si>
  <si>
    <t>Francisco Xavier López</t>
  </si>
  <si>
    <t>hantría, que este de-? xa, al Maestrescuela D. Eugenio Recuenco i para la Maestrescolía al Tesorero D. Francisco Xavier López; y para la Tesorería á Dv. Joseph María S. Martin , Cura de la misma catedral. Igualmente para el Gorregimi ento del Socorro, en el Nuevo Reyno de Granada, con la administración d</t>
  </si>
  <si>
    <t>López, Ignacio Bernardo</t>
  </si>
  <si>
    <t>Ignacio Bernardo López</t>
  </si>
  <si>
    <t>del Rio Vitlareal, Cirujano titular y partidario de esta villa, lo comunicó al Cura Rector de ella D. Ignacio Bernardo López, quien hizo que luego que muriese avisasen los asisten-* tes para que por medio de la operación cesárea se extraxese y bautizase á la criatura. En efecto, así que la madre espiró</t>
  </si>
  <si>
    <t>López, Juan</t>
  </si>
  <si>
    <t>Juan López</t>
  </si>
  <si>
    <t>nto de D. Fr.'Antonio Espinosa , al Sr. D. Santiago Hernández» Canónigo de la Catedral de Palehcia. D, Juan López r geógráfo'de 'S. MH ha solicitadó elReal permisopara poder dedicar al Serenísimo1 Señor Príncipe de Asturias ün nuevo Mapamundi sobre el plano del equador ; y habiéndoselo conced</t>
  </si>
  <si>
    <t>D. Gerónimo Julián Anaya , al de ¡a misma cUe de granaderos del de Zamora, graduado de Subteniente, D. Juan López, y af de fusileros del de Murcia, también graduado de Subteniente, D. M*uycio Estrada, á los Cadetes D. Franc.sco X,vior de Parcelo, que 1c. e* del de Extremadura, D. Miguel T D F</t>
  </si>
  <si>
    <t>e¿ fegimknto de infantería de Zamora se ha servido el Rey promover á primer Subteniente al segundo D. Juan López; y á esta resulta al Cadete det de Toíedo D. Juan López Vidal: en el de Irlanda á primeros Tenientes á Tos segundos de granaderos D. Balbino Cortés y D. Torlbio de Robles; á segun</t>
  </si>
  <si>
    <t>López, Manuel</t>
  </si>
  <si>
    <t>Manuel López</t>
  </si>
  <si>
    <t>a........... 38. 4. Manuel López..... Martin......... Rosa Fraga......*... Villalba......... Cabredoydo...* a8. 4* Pedro Vázquez... Francisco.....* Manuela Eouza... S. Miguel de</t>
  </si>
  <si>
    <t>-, y para el Préstamo de la parroquial de Abarca, en la diócesis de Palencia, vacante por muerte de D. Manuel López, a D. Luis CJ5rti .n0, con retención de la demas renta eclesiástica que obtiene. El Rev se ha servido nombrar Teniente Coronel del regimiento provincial de Salamanca al de infante</t>
  </si>
  <si>
    <t>López, Mateo</t>
  </si>
  <si>
    <t>Mateo López</t>
  </si>
  <si>
    <t>urcia la Tenencia de cazadores á D. Gines Meseguer, Teniente de fusileros; Tenencia de esta clase á D. Mateo López, Subteniente de granaderos, y su resulta á D. Aparicio Martínez Corvalan, Subteniente de fusileros: y ha nombrado Subtenientes de bandera en ios regimientos de Alcázar de S. Juan,</t>
  </si>
  <si>
    <t>López, Ramón Antonio</t>
  </si>
  <si>
    <t>Ramón Antonio López</t>
  </si>
  <si>
    <t>rez D. Joachín Pcrez; á Alférez al Portaestandarte D. Joseph Blanco , y á Portaestandarte al Cadete D. Ramón Antonio López v en el de la Costa de Granada á primer Teniente al segundo D. Antonio Baeza, y á segundo Teniente al Alférez D. Francisco de Mena; y en el de dragones de Almansa á Teniente al Al</t>
  </si>
  <si>
    <t>López, Tomás</t>
  </si>
  <si>
    <t>Tomás López</t>
  </si>
  <si>
    <t>Barbolla, en el obispado de Segovía, vacante por fallecimiento de D. Joseph Xavier de Iturriaga, á D. Tomas López: para el Beneficio de la parroquia de la villa de Almodóvar, en la diócesis de Córdoba, vacante por muerte de D. Laureano Gutierres de RubalcaVa , á D. Manuel Diez de Texada; y pa</t>
  </si>
  <si>
    <t>lÓp. 14. Tomas López...... Domingo...... Escolástica Gil.... Arcos.'Burgos'•fee.eé** 7*; Andrés García..... Joachin........ Antonia Ofi</t>
  </si>
  <si>
    <t>rnece este punto; y 20 soldados de artillería; que con su Alférez D. Manuel Herrera y el. Sargento. D. Tomas López se hallaban de tránsito para la Coruña, se encargaron del servicio de la batería: lo que observado por los ingleses de la lancha se intimidiron y no osaron abordar al patache sin</t>
  </si>
  <si>
    <t>os geógrafos menores $ y finalmente, las obras griegas y latinas desde el siglo de Constantino. Por D. Tomas López, Geógrafo de los dominios de S. M. Se hallará con todas las obras del autor y las de sus hijos, calle de Atocha, frente á la casa de los gremios. Quaderno 38 de la colección gener</t>
  </si>
  <si>
    <t>echas por D. Juan de la Cruz, se hallarán juntas ó separadas, con otras del mismo autor, en casa de D. Tomas López, calle de Atocha frente á la diputación de los gremios, nú ai. 3 , quarto principal. En la tienda nueva de tirador de oro , ;que se ha abierto en la puerta del Sol cerca de la Sol</t>
  </si>
  <si>
    <t>, y los tres están hechos por D. Juan de la Cruz, Se hallarán con otras obras del autor en casa de Don Tomas López, calle de Ato ha , frente á ia Diputación, núm. 3, quarto principal. Estampa nueva de la imagen de Ntra. Sra. del Pópulo y Amparo, que se venera en el atrio del oratorio de la cal</t>
  </si>
  <si>
    <t>ión de estos mapas otros varios , principalmente el que pasa por mejor, que es el de D Aoville. Por D. Tomas López y su hijo, en cuya casa se hallarán, calle de Atocha, frente á la de los cinco Gremios. En la librería de Campo, calle de Alcalá , se hallan las siguientes piezas de música nueva :</t>
  </si>
  <si>
    <t>López, Vicente</t>
  </si>
  <si>
    <t>Vicente López</t>
  </si>
  <si>
    <t>ección de estampas dé las estaciones del ViaCFOCis en quartil!a de: marca mayor; Los dihuxos son de D. Vicente López , Te-uiente Director de'pintura .de la Real academia de S&lt; Cirios de Valencia, y el grabado de (jamborino. Esta obra, que es la re presentación; de la pasión y muer-' te de;Ntro.;</t>
  </si>
  <si>
    <t>segundo Teniente ; y primeros Subtenientes del regimiento de infantería de Saboya D. Pedro Guerra-, D. Vicente López y D. Joseph Serra, y del Cadete del de caballería de Santiago D. Juan Bautista Delgado; estos comandantes jóvenes y activos concertaron entre sí presentar sus partidas á la vista del</t>
  </si>
  <si>
    <t>tomo i.° está en prensa. Los subscriptores á la colección de estampas del Via-Crucis, dibuxadas por D. Vicente López, director de pintura en la Real academia de S. Cárlos, y grabadas por Gamborino, acudirán á recoger las que siguen hasta la novena estación á las librerías de Escribano y de Gómez</t>
  </si>
  <si>
    <t>Loqiur, Tadeo</t>
  </si>
  <si>
    <t>Tadeo Loqiur</t>
  </si>
  <si>
    <t>s, á 30 rs. en papel y 40 en pasta. Grammatica Hebraica completa ex iis, Curso de Matemáticas , por D. Tadeo Loqiur á Doct. Petro Guarino , aliisque auc- pe ,3 tomos en 4.“ : el i.° contiene la Arittoribus prodierunt, extracta, at que clara, mética universal: en papel á 20 rs. , y en pasfaciliq</t>
  </si>
  <si>
    <t>Lord Radstock, Almirante</t>
  </si>
  <si>
    <t>Almirante Lord Radstock</t>
  </si>
  <si>
    <t>e restituyan al Rey de Dinamarca las posesiones que le tomiinos en las Indias occidentales. El Vice-Almirante Lord Radstock está nombrado comandante en xefe de marina en las Indias orientales, y ha tremolado su bandera en el navio Teseo de 74 cañones surto en Portsmouth. No hay pueblo en Inglaterra en qu</t>
  </si>
  <si>
    <t>Loren, Joseph</t>
  </si>
  <si>
    <t>Joseph Loren</t>
  </si>
  <si>
    <t>tayud...... ig. 14, Joseph Loren....... Matías........ ... Isabel Jariod.......Samper......... Alcgñíz............ 183. 27. Francisco Mañanes Vicente...... ... María Martínez... Vailadolid.... Idea?.</t>
  </si>
  <si>
    <t>LorenI</t>
  </si>
  <si>
    <t>ues, calle de las Carretas, n * t Cronicón de Christiano Adriconiio Delfo , traducido del latín por D. LorenI zo Martínez Marcilla. Esta obra con cieñe la creación del universo, la formación del hombre, su propagación y jumento , el origen y principios de los reynos y monarquías, ei de la</t>
  </si>
  <si>
    <t>Lorenza Se- SarlarchenFranSabinach</t>
  </si>
  <si>
    <t>a........ D. Juan y Doña María de Rollan................ 14. ao. D. Cárlos Vizconde de D. Domingo y Doña Lorenza Se- SarlarchenFranSabinach.................. dillach.................................... cia................ 47. 17. D. Joseph Barón de la D. Antonio y Doña Juana de Berry....................... Bullach....</t>
  </si>
  <si>
    <t>Losada, Joseph</t>
  </si>
  <si>
    <t>Joseph Losada</t>
  </si>
  <si>
    <t>iguel Márquez y D. Joseph Casaus, y a segundos Subtenientes á los Cadetes D. Joseph Joachín Muzo,'1 D. Joseph Losada, D. Andrés Rodríguez, D. Manuel Gallardo, D. JuarF de Torr.es Coca, D-Joseph Martinez y D. Joachín Casaus , y á los Sargen-r tos primeros Di Poiicarpo de Frías, D. Francisco Barre</t>
  </si>
  <si>
    <t>Losfayos, Miguel</t>
  </si>
  <si>
    <t>Miguel Losfayos</t>
  </si>
  <si>
    <t>na Medía Ración Patrimonial de la catedral de Tarazona, vacante por muerte de D. Bernardo Lamana, á D. Miguel Losfayos: para otra también Patrimonial de dicha catedral, vacante por promoción de D. Lorenzo Ruiz á una entera de Ja propia iglesia, á D. Pedro Xiinenez de Novallas y Pinzolac para un-Be</t>
  </si>
  <si>
    <t>Loughborough, Lord</t>
  </si>
  <si>
    <t>Lord Loughborough</t>
  </si>
  <si>
    <t>er, d sea Ministro de dlacienda, en lugar de Mr. Pira. ®1 Lord Eldoa es Gran Canciller en lugar deí Lord Loughborough. El Conde deChatham; hermano mayor de Mr. Pict, Presidente del-Consejo. El Duque de Portland, Secretario de Estado dé lo InteríorJ Eli Lord Hatvkesbury, Secretario de Estado y de</t>
  </si>
  <si>
    <t>ue volvía de Egipto á Francia el ciud. Tallien, ha sido apresado por la esquadra de Mr. Keyth. « Al Lord Loughborough, último Canciller del Reyno, le han señalado mía pensión anual dé 4$ libras esterlinas. . . No léjos de Jamayca se apodero un corsario francés él 2 de Diciembre de una embarcación</t>
  </si>
  <si>
    <t>LouTes y Peña, Juan Ramón</t>
  </si>
  <si>
    <t>Juan Ramón LouTes y Peña</t>
  </si>
  <si>
    <t>uan á Subteniente de granaderos al de fusileros D. Andrés Villaseñor, y á Subtenientes de bandera 4 D. Juan Ramón LouTes y Peña y D, Vicente de León; y en el de Móntete;/ a Suht: nientes de bandera á D» Joseph Domínguez Gil y D. Pedro Ico-doro Eringes. El Rey se ha servido nombrar á D. Antonio de Gamiz, Oiicia</t>
  </si>
  <si>
    <t>Lov, Claudio</t>
  </si>
  <si>
    <t>Claudio Lov</t>
  </si>
  <si>
    <t>egundos de granaderos D. Joseph LIop.s.Do;! ¿1 ego García y D. Ricardo Bntler, y i los de fusileros D. Claudio Lov.s v D tayme Bntler ; á segundos Tenientes de granaderos^ los de tus.leros 1). foseó Vareía, D. Mario del Carmen Valdma y D.^arrolome Cuno; a segundos Tenientes á los Subtenientes</t>
  </si>
  <si>
    <t>LoVd CarisFord</t>
  </si>
  <si>
    <t>gó el Conde de Haugwitz, Ministro de gabiné-^ te de S. M. Prusiana, una nota a! LoVd CarisFord, Ministro británico, sobre el embargo puesto en Inglaterra én las embarcaciones dinamarquesas y'sue-f. cas. En ella dice que la Inglaterra no puede'ni debe1 considerar cohio disposición hos</t>
  </si>
  <si>
    <t>Lozano y Avellan, Francisco Xavier</t>
  </si>
  <si>
    <t>Francisco Xavier Lozano y Avellan</t>
  </si>
  <si>
    <t>á D. Ignacio Yañcz Ribadeneyra *. para la vara de Alcalde mayor mas moderna de ía ciudad de Cádiz á D. Francisco Xavier Lozano y Avellan : para la de la de Truxiilo á D. Manuel Perez de los Ríos: para la de la de Antequera á Don Juan Moreno de Vargas: para la de la de Purchena'á D. Fernando de la Torre Aponte y Sar</t>
  </si>
  <si>
    <t>Lozano, Andrés Ramón</t>
  </si>
  <si>
    <t>Andrés Ramón Lozano</t>
  </si>
  <si>
    <t>ervido nombrar para una Ración de la catedral del Nuevo Reyno de León, vacante por fallecimiento de D. Andrés Ramón Lozano, á D. Agustín Madrigal, Teniente Cura del Sagrario de la misma iglesia. Atendiendo S. M. al mérito y servicios que contraxo D. Aíanuel Clavijo, Abogado de la Audiencia de México,</t>
  </si>
  <si>
    <t>Lozano, Bartolomé</t>
  </si>
  <si>
    <t>Bartolomé Lozano</t>
  </si>
  <si>
    <t>de Voluntarios de Espa- t ña á Ayudante al primer Teniente D. Juan Casado, y á Alférez al Sargento D. Bartolomé Lozano. También se ha dignado S. M. conferir el empleo de Sargento mayor del regimiento de dragones de Lusitania al Capitán del de dragonesdeSagunto D. Pedro; del Castilla; la Compañía,</t>
  </si>
  <si>
    <t>Lozano, Joseph</t>
  </si>
  <si>
    <t>Joseph Lozano</t>
  </si>
  <si>
    <t>simple servidero de la parroquia de S. Benito de la dudadle Salamanca, vacante por fallecimiento de D. Joseph Lozano, a D. Pedro Ovando-, y para el Préstamo de la parroquial de Abarca, en la diócesis de Palencia, vacante por muerte de D. Manuel López, a D. Luis CJ5rti .n0, con retención de la de</t>
  </si>
  <si>
    <t>Lozano, Juan</t>
  </si>
  <si>
    <t>Juan Lozano</t>
  </si>
  <si>
    <t>uqo .y otro gén erp. tir: Historia antigua y moderna de Jumilla, por el Dr. D. Juan Lozano, Canónigo de la Sta. Iglesia de Cartagena. Se hallará en la librería de Barco , carrera de S. Gerónimo. ¿ •/. . ¡v SUPLEMENTO</t>
  </si>
  <si>
    <t>cerra en aritmética';- D. Joseph López Villapol en geometría elemental, especuíatit'X y práctica ;• D. Juan Lozano y D, Joseph Ranero en trigonometría' plana $ esférica, en el álgebra y eñ navegación; y D. Antonio Gil y Santbo, con los'mismos Lozano y Ranero, en cosmografía: todos los quales resol</t>
  </si>
  <si>
    <t>iones de Masdeu, y se manifiestan algunos errores en que lia. incurrido;por I&gt;. Juan Lozano , Canónigo de Murcia. Se</t>
  </si>
  <si>
    <t>Colocados los socios en sus respectivos asientos, y llamada la atención de los concurrentes por el Dr. Don Juan Lozano, Canónjgo también de esta santa iglesia , y censor de la sórcíedad, á quien tocó presidir, pronunció una erudita oración el Dr. D. Joachin Godincs, Cura párroco de S. Juan Bautist</t>
  </si>
  <si>
    <t>Lozano, Juan Nepomuceno</t>
  </si>
  <si>
    <t>Juan Nepomuceno Lozano</t>
  </si>
  <si>
    <t>4 de este mes junta general en la casa de labor y piedad que sostiene á sus expensas. Dio principio Don Juan Nepomuceno Lozano, Abogado de los Reales Consejos, su secretario, con una oración de acción de gracias en obsequio debido al Rey Ntro. Sr. con motivo del beneficio de la paz, y exhortó á los indivi</t>
  </si>
  <si>
    <t>Lozano, Manuel</t>
  </si>
  <si>
    <t>Manuel Lozano</t>
  </si>
  <si>
    <t>........... 243. 4. Manuel Lozano.... Santos...,...... Josepha Villanue- Corral de Aí- — /va;....,............. maguer......Betes......... .</t>
  </si>
  <si>
    <t>toria natu-r ral, la mineralogía y metéoros; en segundo lugar y clase de buenos a Don Manuel Garin, D. Manuel Lozano . y D. Francisco Viñau; yen tercer lugar y clase de medianos á D. Joseph Coronas y D. Pedro Sebastian.;—A todos los aíamnos que quedan nombrados en cada una de las tres cátedras e</t>
  </si>
  <si>
    <t>Lrminiana, Antonio</t>
  </si>
  <si>
    <t>Antonio Lrminiana</t>
  </si>
  <si>
    <t>nto su pernumeraTÍó^D. Francisco Roca; para Exento supernumerario al Brigadier de la misma compañía D. Antonio Lrminiana; para el empleo de Brigadier, que este dexa, al Sub-Brigadier D. Benito Capini; para su resulta ál Cadete D. Luis Marques?; para el emplea de Cadete de número al supernumerario D.</t>
  </si>
  <si>
    <t>Ls-Sagc</t>
  </si>
  <si>
    <t>manca , ó aventurasd¿ D;Quebubin de ía Ronda,que sacó de un manuscrito español y publicó éa-francés Mr. Ls-Sagc , traducido-al castellano por D. Esteban Aldebert : 2 tomos en 8.° Se hallarán en las librerías de Castillo y de la ¿ viuda de Cerro, red de S. Luis. . ’ ♦ * Agamenón vengado , tr</t>
  </si>
  <si>
    <t>Lucio Bencinto</t>
  </si>
  <si>
    <t>............ 31. 6, Lucio Bencinto.... Sebastian..... María García...... Carranque.......Toledo............... 31. 0* Sargento i.° Juan Mateo..........Juana de la Toba. Cendejas de Cezoh.......</t>
  </si>
  <si>
    <t>Lúeas Becli</t>
  </si>
  <si>
    <t>ril, números ¿07,78», $07,783 , $07,784 , $07,78$ , $07,780 y $07,7^7 , con los últimos endosos por D. Lúeas Becli, como apoderado de los Sres. CahiL y White, de Sevilla,en 7 de Enero*á favor de D, Gabriel de Vargas y Machuca, de dicha ciudad, y por este con la misma fecha á D. Guillermo vigat</t>
  </si>
  <si>
    <t>Lúeas Belmar</t>
  </si>
  <si>
    <t>cho y D. Manuel Reig; á Subtenientes de granaderos á los primeros Subtenientes D. Dámaso de Vargas, D. Lúeas Belmar y D. Juan Becerra; á primeros Subtenientes á los segundos D. Joseph de Mena, D. Juan de Dios Abolaña, D. Diego Ortiz de Saracho, D. Juan Regis Fernandez Costa y D. Lúeas Ortega, y á s</t>
  </si>
  <si>
    <t>Lúeas Mexías</t>
  </si>
  <si>
    <t>is de Leyva ;á; Alférez ai Portaestandarte Doj* Francisco Vigarra , y á Portaestandarte al Sargento D. Lúeas Mexías: en</t>
  </si>
  <si>
    <t>Lúeas Sacanillas</t>
  </si>
  <si>
    <t>oza....... 101. 22. Cabo a.° Lúeas Sacanillas...... Pascual........ , Francisca Monfort Valencia........ Idem.,....... . 63. 18. Antonio Bey tez... Francisco...... Angela Fernandez.</t>
  </si>
  <si>
    <t>Lúeas Vázquez</t>
  </si>
  <si>
    <t>obre todas las especies de colonias antiguas y modernas, y sus respectivos intereses y reglamentos: D. Lúeas Vázquez sobre la agricultura y</t>
  </si>
  <si>
    <t>Luis Martín</t>
  </si>
  <si>
    <t>mineralógica de España y de sus posesiones en América: extracto de un viage hecho por el Arquitecto D. Luis Martin. Véndese en el despacho de la imprenta Real. Bula del Smo.^Padre Pió VI, de gloriosa memoria , por la qual se condenan muchas de las proposiciones de un libro impreso en idioma it</t>
  </si>
  <si>
    <t>Luis, Príncipe</t>
  </si>
  <si>
    <t>Príncipe Luis</t>
  </si>
  <si>
    <t>a, va con los húsares de Blucher á ocupar á Nordholz en ia embocadura del Wesser. El regimiento del Príncipe Luis es el que ocupa la ciudad de Oldemburgo , en cuyos arrabales se han formado baterías. Finalmente, también ocupan los prusianos á Elmenhorst. &gt; . Semlm 11 de Abril. H a recibido el B</t>
  </si>
  <si>
    <t>Luisa Augusta, Princesa</t>
  </si>
  <si>
    <t>Princesa Luisa Augusta</t>
  </si>
  <si>
    <t>que no tardarán en retirarse de aquellas colonias. Se está alistando el navio de línea nombrado la Princesa Luisa Augusta» destinado para Noruega. El dia 14 se executará en una iglesia de esta capital el celebrado oratorio de Haydn, llamado la creación del mundo, en que habrá mas de 200 músicos, y su</t>
  </si>
  <si>
    <t>Luisa de Avila</t>
  </si>
  <si>
    <t>de la orden de Santiago , y Regidor de est* villa , en quien había recaído como hijo y heredero de Doña Luisa de Avila , pa-, (ra. que en el termine de 15 dias comparezcan ante el Sr, D. Juan Antonio Santa María,, del Consejo de S. M. , Teniente Corregidor de esta villa , y escribanía del cargo de</t>
  </si>
  <si>
    <t>Luisa González</t>
  </si>
  <si>
    <t>egur do, hijos á albos del Sr. D. Francisco de Mótales Salazar ; que fué del Consejo de Hacienda: á Doña Luisa Gonzalez.de Torres y sus deí candientes en-, tercero; á Doña Ana María Gonza tz de Torres y los suyos en quarto: á DffiaLmsa González de Ber— meo y sus descendientes en quinto lugar 5 y úl</t>
  </si>
  <si>
    <t>LuisFayach</t>
  </si>
  <si>
    <t>. D. Antonio y Dofia Mariana Dalsat............... ..................... Illa en id......... 32. 3. D. LuisFayach........... D. Joseph y Dofia María Fossa. Tolosa en Francia................ 27. 17. D. Henrique de la Vol- D. Juan y Dofia Mariana Masvene i.°.................... carench..... ...</t>
  </si>
  <si>
    <t>LuisPuig</t>
  </si>
  <si>
    <t>ases con Ios J 1 f* v r J 4504,518. D. Joseph Tajonera y Vidal............................ 522,591. D. LuisPuig............... 523,729.</t>
  </si>
  <si>
    <t>Lusignan, General</t>
  </si>
  <si>
    <t>General Lusignan</t>
  </si>
  <si>
    <t>andante con el mayor cuidado, y continúan con actividad sus preparativos de guerra y defensa. i. El General Lusignan ha llegado á Lemberg en calidad de comandante; y se espera al General Oreilly en la misma plaza, de la qual escriben con fecha de 2 y de Setiembre que la ciudad de Kracowiec, dist</t>
  </si>
  <si>
    <t>Lutwidge, Almirante</t>
  </si>
  <si>
    <t>Almirante Lutwidge</t>
  </si>
  <si>
    <t>/’. f3¿ v ,,:í: og „ Estaapaíiana vino otro,expreso de Deal cpn. pliegos.d$Í, mismo i^TeJs©*A y del Almirante Lutwidge para el Almirantazgo. ,r. a : Po* órd^n-dal Rey. vuelven- i tPmardas crinas lós.cu’erpbs süperuuíinetarios de milicias del Condado de íEssex;&gt; q«e" se habiañ reformado de,T79^*n •</t>
  </si>
  <si>
    <t>Lysakewitz</t>
  </si>
  <si>
    <t>tratado de neutralidad marítima, acompañándole dos secretarios de legación. Dícese no obstante que Mr. Lysakewitz, Ministro ruso en esta corte, tiene orden de salir de aquí. Los navios de línea que actualmente se están armando son 16 , con proporcionado número de fragatas; y parece que se arm</t>
  </si>
  <si>
    <t>Maaiicio Cano</t>
  </si>
  <si>
    <t>sAe ío? esL ’táínpas. Elpreriode cada qusderoo es de ¿naars. Los qué deseen tener laobra acudirán á D. Maaiicio Cano, converge de U 'Rcal academia Espallóla, calle dé "Valverde , en cuyó'-podef existen ya tres entregas. &gt; : Se abre subscripción por término de dos meses, contados desde i$ de Mayo</t>
  </si>
  <si>
    <t>Maauel Barta</t>
  </si>
  <si>
    <t>a: 20 pesos á D. Ambrosio Lanzaco por el de segunda ciase: 15 pesos á D. Joseph Esteban: 12 pesos á D. Maauel Barta; y 10 pesos á D. Miguel Ferruz por la aproximación: 10 pesos á ü. Francisco Alastuey por el premio de la tercera clase de arquitectura; y 20 pesos á D. Joseph Dordal por el premio</t>
  </si>
  <si>
    <t>Macarte y Díaz, Dionisio</t>
  </si>
  <si>
    <t>Dionisio Macarte y Díaz</t>
  </si>
  <si>
    <t>pe el Real. Lecciones de navegación ó principios necesarios i la Ciencia del Piloto, dispuestas por D. Dionisio Macarte y Díaz, de la orden de S. Juan , Teniente de Fragata graduado de fa Real Armada , y primer maestro que fué de la academia de navegación del departamento del Ferrol. Esta obra , que ha si</t>
  </si>
  <si>
    <t>Macarty, Ricardo</t>
  </si>
  <si>
    <t>Ricardo Macarty</t>
  </si>
  <si>
    <t>eón á Capitán al primer Teniente D. Antonio Fernandez Teran: en el de Ultonia á Capitán al Ayudante D. Ricardo Macarty; á Ayudante al primer Teniente D. Edmundo O-Ronan; á' primer Teniente al segundo de granaderos D, Armando Tranquen ; á según</t>
  </si>
  <si>
    <t>Macazaga, Joseph</t>
  </si>
  <si>
    <t>Joseph Macazaga</t>
  </si>
  <si>
    <t>nará el concepto público, habiendo sido muchas y grandes las dificultades que. ha tenido que vencer D. Joseph Macazaga, por quien rse han abierto todos los punzones y matrices, y la destreza de otros artistas nar cio nales, que se han ocupado en algunas operaciones esenciales, coa el objeto de suj</t>
  </si>
  <si>
    <t>MacdonaJd, General</t>
  </si>
  <si>
    <t>General MacdonaJd</t>
  </si>
  <si>
    <t>que durante la ausencia de Mr. de Bernstoríf sirve la secretaría de Estado. El dia ¿6 concurrió el General MacdonaJd con sus 5 Ayudantes á casa del ciud. Bourgoing, en la qual se hallaban los individuos del cuerpo diplomático, incluso el Ernbaxador de Rusia. j\J o tardará el Conde Felipe de Cobe</t>
  </si>
  <si>
    <t>Macdonald, General</t>
  </si>
  <si>
    <t>General Macdonald</t>
  </si>
  <si>
    <t>y de obstinación pasó la artillería por aquella alta montaña con todos sus caxones y municiones. El General Macdonald, al frente de la 4.a coluna, se vio en los mayores apuros, y á no ser su intrepidez y constancia hubiera vuelto el paso á quedar interrumpido, pues la nieve y el viento impetuoso</t>
  </si>
  <si>
    <t>, ha entrado ya en el Tiroi por el valle de Achen, y se ha apoderado de Schwart. Al mismo tiempo el General Macdonald acometió al Rintschgau; y en breve el ala derecha del exército del Rhin comunicará con el exército de los Grisones en el centro del Tirol. El ala izquierda de dicho exército ocupa</t>
  </si>
  <si>
    <t>tríacas que ocupaban íos valles dd Tirol italiano se han retirado por el Brenta. La división que ti General Macdonald había dexado delante del Tonal para cubrir su marcha por el valle de Sabia, saldrá mañana por el de Dinon, mas arriba</t>
  </si>
  <si>
    <t>e la Engadina-Inferior, llegarán pasado mañana á Botzene: y.así quedamos perfectamente en línea. El General Macdonald ha mandado seguir vivamente el alcance á los enemigos por el valle del Brenta. Nuestros puestos avanzados están en Levico; y comunicamos por nuestra derecha con el General Moncey&gt;</t>
  </si>
  <si>
    <t>país. - ; ■; -r ‘ El exército francés'de los Grisones; ocupa todavía ef territorio, italiano,' y el General Macdonald tiene su quartel en Trento. * Milán 12 de Febrero. , . A yer publicó el gobierno úna carta del General Bruñe, que dice1: ,¿Lós ‘ países- conquistados por el exército francés, que</t>
  </si>
  <si>
    <t>S. M. Prusiana una carta del Emperador su amo. En todo este mes se espera aquí al Rey de Suecia. El General Macdonald, que va á Copenhague en calidad de Embaxador de la República francesa, llegó á esta capital con 5 Ayudantes, dos de los quales son oficiales de infantería, otros dos del cuerpo de</t>
  </si>
  <si>
    <t>hogares: de suerte que en cada maque no había ya mas que 150 hombres. t El día 2 j * llego aquí el ,General Macdonald^ nuevo Embaxador de i*</t>
  </si>
  <si>
    <t>coronación de los Sober-uios. En su viage pasará por Stockolmo y Copenhague; Creen algunos qu-? el General Macdonald, actual Embaxador de Francia en esta corte, YiiiJrá á residir en Dinamarca con igual carácter. Copenhague 11 de Agostó. . ... Sobre las costas.de Suecia se ha descubierto hace nnp</t>
  </si>
  <si>
    <t>l mar del Norte un navio de línea nuevo y una fragata, al mando del Chambelán Conde de Bille. tí El General Macdonald , Embaxadór de Francia en esta corte, despachó el domingo último á Paris, en calidad de correo, al Xefe de brigada Henin, que es uno de sus Ayudantes. El dia anterior salió de aqu</t>
  </si>
  <si>
    <t>Machado, Juan</t>
  </si>
  <si>
    <t>Juan Machado</t>
  </si>
  <si>
    <t>arez Carbonero, i D¿ Joseph María de Tovar: para otra.de la propia iglesia , que vacó por muerte de D. Juan Machado, á D. Miguel Luis González, Cura de la parroquial de Sta. Catalina de aquella ciudad: para una Prestamera de la Micción de Villaverd.e, diócesis de Córdoba, vacante por fallecimie</t>
  </si>
  <si>
    <t>Mackenna, Joseph Ramón</t>
  </si>
  <si>
    <t>Joseph Ramón Mackenna</t>
  </si>
  <si>
    <t>te al Subteniente de granaderos D. Joseph Parody; á Subteniente de granaderos al primer Subteniente D. Joseph Ramón Mackenna, y á primer Subteniente al segundo D. Francisco de Velíseo* en el de Hibernia á Capitán al primer Teniente de granaderos D. Alexandro ODonell; á primer Teniente de granaderos al d</t>
  </si>
  <si>
    <t>Mackenzie, General</t>
  </si>
  <si>
    <t>General Mackenzie</t>
  </si>
  <si>
    <t>dexando el mando al General Hutchínson, Fasta que se restablezca. El dia 2 llegó aquí de Bombay ei General Mackenzie, quien asegura!que será imposible enviar tropas de la India al mar Roxo , porque la compañía carece de embarcaciones para conducirlas; y que ademas no puede juntar los 5$ hombres</t>
  </si>
  <si>
    <t>Mackeon, Lorenzo</t>
  </si>
  <si>
    <t>Lorenzo Mackeon</t>
  </si>
  <si>
    <t>ra : para la Canongn de la de León, vacante por muerte de Don Francisco Valbuena, y no haber sacado D. Lorenzo Mackeon ( t quien a-rició S. M. en ella) la Real presentación durante ehtiémpo prefinido, i li. Manuel Anselmo de Enderica y Palacios : para el Beneficio simple ser-; videro de la parroqu</t>
  </si>
  <si>
    <t>Macklean</t>
  </si>
  <si>
    <t>a Real academia de la historia y antigüedades, se han acuñado ya. Lá primera representa el busto de Mr. Macklean, y en el reverso una corona cívica con este letrero: „Por las disposiciones generosas que hizo para la instrucción, la mejora y la prosperidad de los labradores. De parte ác sus c</t>
  </si>
  <si>
    <t>Maclas, Manuel</t>
  </si>
  <si>
    <t>Manuel Maclas</t>
  </si>
  <si>
    <t>n , D. Joseph Marín, D. Die,*o Garrido, D. Alonso Romero, D. Antonio Ramírez, Don Francisco Xavier, D. Manuel Maclas y D. Joseph de Aragón. Respondiáron todos con oportunidad y expedición á las preguntas que Jeshiciéron así los jueces nombrados por el Ayuntamiento, como otros concurrentes. Se dio pr</t>
  </si>
  <si>
    <t>Macquer</t>
  </si>
  <si>
    <t>mpendio de dicha obra. ' - Compendio cronológico de la historia eclesiástica escrito en francés por Mr Macquer, Abogado del Parlamento de París, y traducido por el Dr. D. Baltasar Zapata y Merino, Prior de Falces. Este compendio da principio en el afio &lt;5.ü ántes de la era christiana vulga</t>
  </si>
  <si>
    <t>Madera, Joseph</t>
  </si>
  <si>
    <t>Joseph Madera</t>
  </si>
  <si>
    <t>an Valdes, D. Joseph de Eliza, D. Ramón Aymerich y Don Ramón Santinelly, y á los Sargentos primeros D. Joseph Madera y D. Joseph Nin: en el d© Granada á segundo Teniente al primer Subteniente D. F rancisco Lobato: en el de León á Capitán al primer Teniente D. Antonio Fernandez Teran: en el de Ultoni</t>
  </si>
  <si>
    <t>Madison</t>
  </si>
  <si>
    <t>nviaron sus votos en blanco. El nuevo Presidente prestó juramento, y tomó posesión el 4 de Marzo__— Mr. Madison está elegido para Secretario de Estado , y Mr. Le'ónstoñ para Plenipotenciario en Francia. Para Agente del comercio de los Estados-Unidos en Paris está nombrado Mr. Mountñoreuse; y</t>
  </si>
  <si>
    <t>Madrigal, Agustín</t>
  </si>
  <si>
    <t>Agustín Madrigal</t>
  </si>
  <si>
    <t>ción de la catedral del Nuevo Reyno de León, vacante por fallecimiento de D. Andrés Ramón Lozano, á D. Agustín Madrigal, Teniente Cura del Sagrario de la misma iglesia. Atendiendo S. M. al mérito y servicios que contraxo D. Aíanuel Clavijo, Abogado de la Audiencia de México, en el empleo de Asesor</t>
  </si>
  <si>
    <t>Maestre, Gerónimo</t>
  </si>
  <si>
    <t>Gerónimo Maestre</t>
  </si>
  <si>
    <t>a, á D. Joseph Roig; y para otro Beneficio de la parroquial de Concentaina, diócesis de Valencia, á D. Gerónimo Maestre. En la compañía Italiana del Real cuerpo de Guardias de Corps ha nombrado S. M. Subrigadier al Cadete D. Francisco Oviedo. | El Rey ha gipmovido á Brigadier de infantería de sus e</t>
  </si>
  <si>
    <t>Maestre, Nicolás</t>
  </si>
  <si>
    <t>Nicolás Maestre</t>
  </si>
  <si>
    <t>e por fallecimiento de D. Antonio Moreno, á Don JosephRamon Aldama: para la Ración, que este de*a,á D. Nicolás Maestre: para la Media-Ración de este á D. Francisco Armenta y Godoy: para la Ración vacante por fallecimiento de D. Francisco Vilbreal, á Don Ignacio Arjona: para la Media-Ración que est</t>
  </si>
  <si>
    <t>Magallon, General</t>
  </si>
  <si>
    <t>General Magallon</t>
  </si>
  <si>
    <t>ernador de aquella colonia, murió á mediados de Julio del año último; y lo reemplazó en el mando eí General Magallon. La corbeta de guerra de ia República, nombrada la Aurora, que salió de Brest el 26 de Abril de dicho año, llegó á la Isla de Francia el 11 de Octubre. Aquella posesión se halla e</t>
  </si>
  <si>
    <t>Magarifios, Vicente</t>
  </si>
  <si>
    <t>Vicente Magarifios</t>
  </si>
  <si>
    <t>años......, 50. 38. Vicente Magarifios........... . Joseph......... Josepha de Boy... Transponte... Los Bafíos....... ¿o. s8. Julián Canijo...... Manuel;;....... Isabel Rodríguez.. Campo..... . Ponfer</t>
  </si>
  <si>
    <t>Magarola, Manuel</t>
  </si>
  <si>
    <t>Manuel Magarola</t>
  </si>
  <si>
    <t>el regimiento de Reales Giiardias Españolas se ha dignado promover' ¿ Rey á Alféreces á los Cadetes D. Manuel Magarola , Lope de Mesa y Ponte, J?. Jesús María Franco, D. Antonio Panigo, D. Antonio Rodríguez Valdérábano, D. RafeePPerez de -Guzmah el Buenos y D. Isidoro do, tanda. En el de infanterí</t>
  </si>
  <si>
    <t>Magín</t>
  </si>
  <si>
    <t>a extraviado en Barcelona un vale Real de 300 pesos, creación de 1.® de Julio , renovado á favor de D. Magín .Gomé , núm. 72,54a. Quien supiese de él avisará al citado D. Magin Gomá , del comercio de Barcelona, y en esta corte á D, Magín Gomá y Fiorit,calle del Cármen, tienda frente á la</t>
  </si>
  <si>
    <t>Magin Gomá</t>
  </si>
  <si>
    <t>de Julio , renovado á favor de D. Magín .Gomé , núm. 72,54a. Quien supiese de él avisará al citado D. Magin Gomá , del comercio de Barcelona, y en esta corte á D, Magín Gomá y Fiorit,calle del Cármen, tienda frente á la puerta de la Inclusa. En la villa de Sepúlveda se ha establecido una esc</t>
  </si>
  <si>
    <t>Magín Gomá y Fiorit</t>
  </si>
  <si>
    <t>Quien supiese de él avisará al citado D. Magin Gomá , del comercio de Barcelona, y en esta corte á D, Magín Gomá y Fiorit,calle del Cármen, tienda frente á la puerta de la Inclusa. En la villa de Sepúlveda se ha establecido una escuela de niñas para su educación y enseñanza, por los Regidores perpetu</t>
  </si>
  <si>
    <t>Magra</t>
  </si>
  <si>
    <t>, una muger llanvada Sara Eyída á los 105 años de edad. Se ha publicado el extracto de una carta de Mr. Magra, Cónsul de Inglaterra en Malta, dirigida á Mr. Henrique Cíarck, Encargado de Negocios -de Ja misma nación en Túnez , con fecha de 6 de Enero; la qual en suma dice así: „ En qaanto</t>
  </si>
  <si>
    <t>MáHanó de Mu</t>
  </si>
  <si>
    <t>.» ■' 01 ' p. F« de Bústainante y compañía, de Céiii? "en ¿o de Fébrér^ úífínior tiértm endosado á D. MáHanó de Mu meta deSanturce, entré otrtís^ twdyáldde igo pesos , creador* de Setiembre. , mim. 151,4*11, el qual nó fea?!parecido. Quien lo tenga lo entregará á uno de dichos interesados, ó e</t>
  </si>
  <si>
    <t>Maifeél JPescador</t>
  </si>
  <si>
    <t>^, quien le tuviese le entregar en dicha villa al expresado mayordomo de Propios, ó en esta corte i D. Maifeél JPescador¿ calle dél CSíinen, num. quárto a.0^ ’ " *"í ’ Eb. 18 de Noviembre último remitió ;l&gt;. Juan ue Ágáilir, del comercio dé Cádiz, i D. Erasmo Puig, deí de B&amp;rcelóni, 4 ’valés Reales</t>
  </si>
  <si>
    <t>Maikow</t>
  </si>
  <si>
    <t>como, ya lo están los de Italia, España y Holanda. liamhurgo 2 de Junio. D e Petersburgo ha salido Mr. Maikow para París con un encargo párticalar de su Soberano pata el gobierno de Francia. Este Enviado estuvo ya en otro tiempo.en la capital de aquella República. La esqúadra rusa se comp</t>
  </si>
  <si>
    <t>Maina, Pablo</t>
  </si>
  <si>
    <t>Pablo Maina</t>
  </si>
  <si>
    <t>........... 47. 17. Pablo Maina............... Joseph y Francisca Palau.......... Finestre en el Rosellon....... ap. ao.</t>
  </si>
  <si>
    <t>Maire, Lord</t>
  </si>
  <si>
    <t>Lord Maire</t>
  </si>
  <si>
    <t>del Parlamento se han votado gracias á dichos comandantes y á sus tripulaciones; y ayer publico el Lord Maire ó Corregidor un aviso exhortando á los habitantes á que en vez de hacer iluminaciones para celebrar esta victoria del Báltico, envíen el dinero que podrían costaries, al café de L</t>
  </si>
  <si>
    <t>Maitland</t>
  </si>
  <si>
    <t>os' se cuenta Mr; Guillérmo Bristow, y entre los herido» lo están :dé peligro el ‘Ten iénte Pdlet y Mr. Maitland.” *•; „ El €apitan Cotgr.ave al l^ord Nelson. A las Tj de la noche salí para atacar á los enemigóse Estos hlciérón ‘un fuego «terrible de varias baterías: muchas baiUsidiérHnsén i</t>
  </si>
  <si>
    <t>Majuelo, Benito</t>
  </si>
  <si>
    <t>Benito Majuelo</t>
  </si>
  <si>
    <t>quisiere hacer pretensión lo «xecutará por memorial, que dirigirá á qualquiera de los comisionados D. Benito Majuelo , D. Froylan Briz, ó D. Manuel Joseph de Zuloaga , Regidor perpetúo , Diputado de abastos , y Procurador síndico general : se admitirán basta el dia xa de Julio. Se desea saber si</t>
  </si>
  <si>
    <t>Malartic, General</t>
  </si>
  <si>
    <t>General Malartic</t>
  </si>
  <si>
    <t>á los ingleses, y se abrirán para los franceses. Se han recibido noticias'He la Isla de Francb. El General Malartic, Gobernador de aquella colonia, murió á mediados de Julio del año último; y lo reemplazó en el mando eí General Magallon. La corbeta de guerra de ia República, nombrada la Aurora,</t>
  </si>
  <si>
    <t>Malats, Segismundo</t>
  </si>
  <si>
    <t>Segismundo Malats</t>
  </si>
  <si>
    <t>ernas y operaciones que se pueden practicar en el cuerpo del animal; escritas dé órden superior por D. Segismundo Malats, primer director de dicha escuela, mariscal de las Reales caballerizas de S. M. , y alcalde examinador del tribunal del Real Proto-Albeyterato. Este tomo es el 10.* de la obra, y</t>
  </si>
  <si>
    <t>Malíorcas y Zabalo, Francisco</t>
  </si>
  <si>
    <t>Francisco Malíorcas y Zabalo</t>
  </si>
  <si>
    <t>razona, vacante por promoción de D. Juan Agustín García á la Pabordía de la colegial de Manresa, á D. Francisco Malíorcas y Zabalo, Racionero de dicha iglesia. En la compañía Americana del Real cuerpo dé Guardias de Corps há nombrado S. M. Cadete al Guardia D. Tomas Pardo. En el regimiento de Reales Guardias</t>
  </si>
  <si>
    <t>Mallcnt, Joseph</t>
  </si>
  <si>
    <t>Joseph Mallcnt</t>
  </si>
  <si>
    <t>an segundo al primer Teniente, graduado de Capitán, 0. Manuel'Gasset,; á.primer Teniente al segundo D. Joseph Mallcnt; á secundo Teniente ai primer Subteniente D. Rafael Briz; á esta resulta al segundo Subteniente 0. Pedro de Calva v y á segundo Subteniente al Cadete D. Francisco.González; y en e</t>
  </si>
  <si>
    <t>Mallen, Ignacio</t>
  </si>
  <si>
    <t>Ignacio Mallen</t>
  </si>
  <si>
    <t>lorado, al de Granaderos voluntarios de Estado D. Juan Manuel Sigíien7.2, y al Cadete del de Zamora D. Ignacio Mallen: y en el de infantería ee Borboo á primer Teniente al segundo de granaderos D. Pedro de St, Cricq de Classun, y á segundo Teniente de granaderos al de fusileros Don Pedro Jouin. A</t>
  </si>
  <si>
    <t>Malmesbury, Lord</t>
  </si>
  <si>
    <t>Lord Malmesbury</t>
  </si>
  <si>
    <t>tá nombrado Mr; de Vanssltar para Enviado extraordinario de S. M. Británica en esta corte; y que el Lord Malmesbury irá á Berlin con el mismo carácter. Cerca-de Gluckstadt,yen otros para ge s inmediatos aIElb+\, sja junta, a námgro dqjbaréos armados; y^á las orillas dj't|jcf{o riÓ¿eiPgl.Ducado</t>
  </si>
  <si>
    <t>Malpica, Joseph</t>
  </si>
  <si>
    <t>Joseph Malpica</t>
  </si>
  <si>
    <t>an de Arcos y D. Antonio Ordoñez; en él de España á primeros Tenientes á los segundos de granaderos D. Joseph Malpica y D. Felipe Gironda; á segundos Tenientes de granaderos á ios de fusileros D. Joachín Juano y D. Gabriel Rubio; á segundos Tenientes á los Subtenientes de granaderos D. Joseph Galludo</t>
  </si>
  <si>
    <t>Man, Joachín</t>
  </si>
  <si>
    <t>Joachín Man</t>
  </si>
  <si>
    <t>39ó grado de Coiróftel de caballería á D. Joachín Man glano, Brigadier de la misma Compañía. En el regimiento de infantería de Zaragoza se ha servido promover el Rey á Capitán aí primer Teniente D. Joseph de Misa; á primer Teniente a</t>
  </si>
  <si>
    <t>Manael de Casanova</t>
  </si>
  <si>
    <t>Pabló Sanlchez,, . , n Se ha dignadoj S. JM.qconceder grado de Teniente* Coronel de; caballe-ría á D, Manael de Casanova, Capitán del presidio de S, Buenaventura en' las provincias internas del Reyno de Nueva«España. El Consejo á consulta de la Comisión* gubernativa, y con aprobación de §. M., ha ac</t>
  </si>
  <si>
    <t>Manaho Titñqteo</t>
  </si>
  <si>
    <t>., á D. Ramón Perez Anastariz, Chantrcjde la.mi?ma iglesia : para la que este dexa al Maestrescuela Don Manaho Titñqteo.de Escandon y Llera; y para la Maestrescolía al Canónigo Magistral de ella D. Ildefonso Gómez Ramírez Liman. S. M. ha nombrado Ayudante primero del batallón de milicias disciplina</t>
  </si>
  <si>
    <t>Manalt, Francisco</t>
  </si>
  <si>
    <t>Francisco Manalt</t>
  </si>
  <si>
    <t>, calle de las Carretas, y de Campo, calle de Aicaiá. = Seis sonatas de cámara á violiq y baxo, por D. Francisco Manalt-, á 14 rs. : ópera *j.a de 6 dúos progresivos y fáciles, de Pléy'eí, para violines. Se - hallarán en la librería de Miliana, junto ál parte. EN la IMPRENTA REAL.</t>
  </si>
  <si>
    <t>Mañanes Vicente, Francisco</t>
  </si>
  <si>
    <t>Francisco Mañanes Vicente</t>
  </si>
  <si>
    <t>.......... 183. 27. Francisco Mañanes Vicente...... ... María Martínez... Vailadolid.... Idea?............... aoo. 8». Manuel Cicilia..... Manuel...i...... María Gregoría... Villarroya.... Calatayud...... 40g. &lt;</t>
  </si>
  <si>
    <t>Manglano, Francisco</t>
  </si>
  <si>
    <t>Francisco Manglano</t>
  </si>
  <si>
    <t>ovinciales^ de Sigüenza y Oviedo ha conferido el Rey empleo de Sargento mayor a D. Ra.ael Notares y Don Francisco Manglano, Capitanes de los de infantería de Granada y As• ’‘ ^ En América. En el regimiento de infantería del Rey fixo de Manila se ha servido S. M. promover á Teniente de. granaderos al d</t>
  </si>
  <si>
    <t>Manglano, Rafael</t>
  </si>
  <si>
    <t>Rafael Manglano</t>
  </si>
  <si>
    <t>D. Christobal Montes: para ésta resulta al Subrigadier D. Mariano Garcés; y para la que este dexa á D. Rafael Manglano. Xanabien ha conferido e* Rey en la compañía Americana el &gt;empleo de Brigadier al Subrigadier D. Joseph Azcutiá; y su resulta al Cadete D. Joseph Puch, ^ . En la extracción de la</t>
  </si>
  <si>
    <t>Maníredini</t>
  </si>
  <si>
    <t>de GhisUeri, Ministro plenipotenciario del Emperador cerca de la santa Sede. El 29 llegó igualmente Mr. Maníredini, General austríaco. El Cardenal Consaivi, Secretario de Estado, dió el domingo último una espléndida comida al ciuJ. Cacault, Ministro de Francia, á hy qual asistieron varios Card</t>
  </si>
  <si>
    <t>Manjares, Fernando</t>
  </si>
  <si>
    <t>Fernando Manjares</t>
  </si>
  <si>
    <t>r en apelación á otros en la conformidad que se pacte. Los pretendientes dirigirán sus memoriales á D. Fernando Manjares y D. Manuel Dómlngutz, 'Alcaldes ordinarios; en int-Ugencia de que se ha de proveer’ para el 24 de Junio. Catecismo en castellano y en forma de diálogo de teología moral dehSacramento</t>
  </si>
  <si>
    <t>Mánóel MoAteró y Gorjdriy</t>
  </si>
  <si>
    <t>rior yCariongtií ba: para otra Canongía dé H catedral de ■ Salamanca, tacdhte pót "fallecimiento dé D. Mánóel MoAteró y Gorjdriy á D/Joseph Claudio ¡Salgado, Rfaeioneroi del colegio dé áametí; Spiritüs dé1 Santiago , y Director déMioswn! Á-‘ül'V'vt.W /2íc&gt; • Ci« li rr.* Vv¡Á«V ' '■ rl«4víW *1' Kai tlti/G -</t>
  </si>
  <si>
    <t>Manrique de Lara, Juan</t>
  </si>
  <si>
    <t>Juan Manrique de Lara</t>
  </si>
  <si>
    <t>ría de Piura D. Pedro Seminario y Correa; á Tenientes á los distinguidos D. Francisco Iparraguirre, D. Juan Manrique de Lara, D. Joachin del Barco, Don Francisco García y D. Juan Joseph Orejuela; á Alféreces al Sargento primero D: Manuel Rodríguez, y í los paisanos D. Silvestre Adriancen, Don Joseph.Mar</t>
  </si>
  <si>
    <t>Manrique, Jorge</t>
  </si>
  <si>
    <t>Jorge Manrique</t>
  </si>
  <si>
    <t>lle de las Carretas. Nueva edición de los Proverbios de D. Iñigo López de Mendoza , y las Coplas de D. Jorge Manrique, todo con sus glosas: estas dos obritas tan apreciadas de los sabios , ya por su gran mérito la doctrina y erudición , ya por ser clásicas en órden á Ja lengua castellana , sé han</t>
  </si>
  <si>
    <t>Manrique, Pedro</t>
  </si>
  <si>
    <t>Pedro Manrique</t>
  </si>
  <si>
    <t>ciudad. El Rey ha conferido Compañía en el batallón de infantería fixo de Caracas al Ayudante mayor D. Pedro Manrique: ha nombrado para esta resulta al Teniente D. Melchor de Somarriba; y para las dos Tenencias, vacantes en dicho batallón, á los Subtenientes D. Juan de la Romana y Don Juan Válele</t>
  </si>
  <si>
    <t>Manso de Zúñiga, Domingo</t>
  </si>
  <si>
    <t>Domingo Manso de Zúñiga</t>
  </si>
  <si>
    <t>ha servido promover S. M. á Alféreces de cazadores á los de fusileros D. Joseph Ximenez de Texida, D. Domingo Manso de Zúñiga y D. Ramón María de Chaves. En el de Reales Guardias Walonas á primer Ayudante miyor al segundo Ayudante D. Juan Fernando de Blende: en ei de infantería de Saboya á Capitán de granade</t>
  </si>
  <si>
    <t>Mantel Bfáülio García</t>
  </si>
  <si>
    <t>es de difuntos de México á percibir lós $77 p&amp;os*" Habiendo fallecido en 17 de Febrero de este afio D. Mantel Bfáülio García, vecino que fué de *-sta corte &gt; el qual tuvo á su cuidado diferentes éncápgcs y comisiores , y deseando su viuda é hijo finalizar á la mayor brevedad su testamentaria, avisan á q</t>
  </si>
  <si>
    <t>ManueJ</t>
  </si>
  <si>
    <t>número de D. Gervasio Fer— • nandez Izquierdo, en el término de 30 dias.. ¿ í ■ r l &gt; -v.. El -Lie. D. ManueJ i Angel Carranclo ,, juez, comisionado de orden , de S. M. ¡ para la enagenaqion de fincas.correspondientes á fundaciones piadosas-en los pue-, blos de esta Intendencia , ha señal</t>
  </si>
  <si>
    <t>Manuel Alberto</t>
  </si>
  <si>
    <t>126 •-J4 D. Manuel Alberto*...................... ............. i...... 525,089. ü«‘iLorenzo A.migo y Soler.............................. ^ 1^,62^. .K . D. Pedro Oviols...,............................... 52</t>
  </si>
  <si>
    <t>Manuel Alonso</t>
  </si>
  <si>
    <t>to de las dos fundadas en el convento de la Encarnación de esta villa, vacante por fallecimiento de D. Manuel Alonso, á D.^ Antonio Hernández, Presbítero;. Cantor de la.mi.sma cuerda de eontrab oco en el propio conv nto. En el regimiento de infantería de Nápples se ha servido S. M. promover á se</t>
  </si>
  <si>
    <t>Manuel Antonio</t>
  </si>
  <si>
    <t>rden, hasta tanto que entre en el goce entero. * En atención á los dilatados méritos y servicios de D. Manuel Antonio de.Enderu y Castillo; Administrador principal de la Real Renta de Correos de S. Sebastian en Guipúzcoa, y á su buen desempeño en las cerní</t>
  </si>
  <si>
    <t>Manuela</t>
  </si>
  <si>
    <t>13 de Febrero de 17$*, nombrando por sus legítimos herederos á D. Juan , Doña Victoria, D. Julián, Doña Manuela, Dofía Bernarda y D. Miguel de Carta Luzuriaga; y no habiendo parecido el D. Julián á recoger la parte que le correspondía ce 61$ pesos, .3 tomines y $ granos, se hace notorio á f</t>
  </si>
  <si>
    <t>Manuela Andreago</t>
  </si>
  <si>
    <t>, D. Joseph; Conde..-.....,...........732^642. /, El ciudadano Juan Balkenaérv..... . 823,902. , \ Doña Manuela Andreago....................... . 746,565, Doña María Josepha Pisón y Dalmases con Ios J 1 f* v r J 4504,518. D. Joseph Tajonera y Vidal............................ 522,591. D. LuisPuig...</t>
  </si>
  <si>
    <t>ManueLTeliez de Acevedo</t>
  </si>
  <si>
    <t>con buena apuntación obrita útil para los que quieran imponerse en la ortografía "castellana : por D, ManueLTeliez de Acevedo , catedrático. Véndese á real en las librerías de Alonso, frente á las gradas de S. Felipe , y de Manuel Luis , calle de Ira : puede remitirse en carta. En la librería de Campo, c</t>
  </si>
  <si>
    <t>Marabel, Juan</t>
  </si>
  <si>
    <t>Juan Marabel</t>
  </si>
  <si>
    <t>n.......... 19. 18, Juan Marabel......... Juan y Juana Gaubert.............. Cabors en Francia................. 40. ap. D. Juan de Barnaajan.. D. Cárlos y Doña Francisca</t>
  </si>
  <si>
    <t>Maraber, Ignacio</t>
  </si>
  <si>
    <t>Ignacio Maraber</t>
  </si>
  <si>
    <t>ento de infantería de Asturias se ha servido S. M. promover á Capitán de granaderos al de fusileros D. Ignacio Maraber; á Capitán al primer Teniente de granaderos D. Santiago Miguel; á primeros Tenientes de granaderos á los de fusileros D. Jacobo Casal, D. Juan de Torres y D. Ramón de Santiago; á</t>
  </si>
  <si>
    <t>Marazzani, Joseph</t>
  </si>
  <si>
    <t>Joseph Marazzani</t>
  </si>
  <si>
    <t>D. Cárlos Morí-; para esta resulta al Alférez D. Antonio de Gregorio; para la de Alférez al Exento D. Joseph Marazzani; para el Bastón de numero, que esta de xa, al Exento su pernumeraTÍó^D. Francisco Roca; para Exento supernumerario al Brigadier de la misma compañía D. Antonio Lrminiana; para el</t>
  </si>
  <si>
    <t>Marbeuf, Estéban</t>
  </si>
  <si>
    <t>Estéban Marbeuf</t>
  </si>
  <si>
    <t>1194 Ramón de Hoya, Subteniente de fusileros; y las Subtenencias i debandera del de Chinchilla á D. Estéban Marbeuf y D.’ Francisco Brevaíy,-Salva chuna..Atendiendo el Rey á ios méritos y servicios de D. Antonio García Roa,* Contador de Rentas de la provincia de Madrid y honorario de exército, se h</t>
  </si>
  <si>
    <t>Marceau, General</t>
  </si>
  <si>
    <t>General Marceau</t>
  </si>
  <si>
    <t>9 de Setiembre. ^ Imemoria -1dia 23 se celebró aquí la inauguración de un obelisco erigido-i Ja del General Marceau. Este monumento, colocado entre álamos, tiene esta inscripción: ,, A Marcean, la ciudad de Chártres. A diligencia</t>
  </si>
  <si>
    <t>Marcelino García Riofrió</t>
  </si>
  <si>
    <t>Dionisio ie la O Mfigar y Garcisanchez., D. Joseph Trabadillo, D. Joachtn María de Flores Cardero , D. Marcelino García Riofrió, D. Antonio Barriopuevo , D. Ramón Castriílo Cevallos, D. Joseph Herrera Ladrón y Don Joseph B-día. .. En consideración á los servicios y méritos de D, Juan de Uribarri, Oficial m</t>
  </si>
  <si>
    <t>Marcelo Dávila</t>
  </si>
  <si>
    <t>Velazquez; su resulta á D. Joseph de Ariza y Taboada, Subteniente de. granaderos , y este empleo á D. Marcelo Dávila, Subteniente de fusileros: en el de Monterey .compañía de fusileros al. Teniente de cazadore» D. Manuel González Ojea; su resulta a D. Antonio Guntin, Teniente de fusileros; Tenen</t>
  </si>
  <si>
    <t>Marcelo Porrata</t>
  </si>
  <si>
    <t>ido el Rey promover á Capitán primero al Ayudante D. Miguel Palatino; á Ayudante al Capitán segundo D. Marcelo Porrata; á Capitán segundo ai Teniente de granaderos D. Matías del Castillo; á Tenientes de granaderos á ios de fusileros D. Joseph Power y D. Angel Fantony; á Tenientes á los Subteniente</t>
  </si>
  <si>
    <t>March, Joseph</t>
  </si>
  <si>
    <t>Joseph March</t>
  </si>
  <si>
    <t>............ gr. g. Joseph March............. Juan y Francisca Matarel......... S. Genis en id*. goi ig; Pedro Buscall............. Pedro y Francisca Seane........... Casidigorral en</t>
  </si>
  <si>
    <t>Marcial Antonio Martínez</t>
  </si>
  <si>
    <t>, casa núm. 2: en Valiadolid k D. Francisco Durango é hijo: en Bílrgos á D. Luis Tomé: en Logroño á D. Marcial Antonio Martínez; y por íó que mira á las provincias exentas en Vitoria á.D. Juan Ramón González de Echavarri, Tesorero de la misma provincia; pues se les otorgará las correspondientes escrituras</t>
  </si>
  <si>
    <t>Marcoleta, Antonio</t>
  </si>
  <si>
    <t>Antonio Marcoleta</t>
  </si>
  <si>
    <t>sa á Portaestandarte al Cadete D. Joseph Cavazelize: en el de Húsares Españoles á Alférez al Cadete D. Antonio Marcoleta; y en el de dragones de Almansa á Alférez al Cadete D. Pedro Alsina. Asimismo ha nombrado S. M. para la Regencia de la Audiencia de la Coruña á D. Francisco Xaxier de Olea y Carra</t>
  </si>
  <si>
    <t>Marcow</t>
  </si>
  <si>
    <t>ntos qub faltaba que arreglar entre las dos potencias para.convenir en el u t do definitivo de paz. Mr. Marcow, Ministro de Rusia en Paris, firmara allí dicho convenio en nombre de su Soberano. Ha habido en Eskiísuna, de Sudermania, un fuerte temblor de ti rra: muchas casas se desplomaron,</t>
  </si>
  <si>
    <t>Marechal, Pedro</t>
  </si>
  <si>
    <t>Pedro Marechal</t>
  </si>
  <si>
    <t>los reloxes de muestra para las personas que no tj.eren conocimiento de la reloxería, compuesto por D. Pedro Marechal , máes-' tro reloxero en esta corte. Este trata’dito, aunque breve; es útil á los que tengan relox de’ faltriquera',' de sobremesa ó de caxa : pues hallarán en él 'regias fáciles</t>
  </si>
  <si>
    <t>Mareos Celestino Ganeedo</t>
  </si>
  <si>
    <t>Prestamera de la parroquia dé Valdemorillo, en el obispado de Cuenca, vacante por fallecimiento de D. Mareos Celestino Ganeedo, y el Beneficio de Valbuéna dé Duero, en la diócesis dé Paléit^ cía, vácante por muerte dé D. Joseph Rodríguez Veiarde | \ D. FranCiscb Blas dé Llamas: para el Benefició simple.de</t>
  </si>
  <si>
    <t>Margal, Juan</t>
  </si>
  <si>
    <t>Juan Margal</t>
  </si>
  <si>
    <t>li en id.... io. 4. Juan Margal............... Miguel y María Fatiga............. Fulla en id...... 17. ad*. Juan Francisco Gerard Gaspar y Gabriela Tomas......... Miilisé............. 37- Pedro Guisse.....</t>
  </si>
  <si>
    <t>Margarita</t>
  </si>
  <si>
    <t>edro y Teresa........................... Tolosa en id...... $8, 2p. D. Juan Negre Du- D. Gerónimo f Doña Margarita lalt........ ....... ........ . Dubasta...................... ........................... ............ 47. a8. D, Joseph Bordas..... . D. Ignacio y Doña María Teresa Estras..........</t>
  </si>
  <si>
    <t>Mari</t>
  </si>
  <si>
    <t>Carrillo; y en el de Cazadores Voluntarios de la Corona á Subteniente de tiradores al de cazadores D. Mari ¡no Cástdl, y p ira la resulta de este ha nombrado al segundo Subteniente del de Zamora D. Cayetano Mena. También en la compañía de infantería fíxa de Nijar se ha servido S. M. no</t>
  </si>
  <si>
    <t>María'Delgado</t>
  </si>
  <si>
    <t>n lá plazuela de la. Cebada y calle de la Ruda de esta corte , qué perteneciéroti i las memorias de Doña María'Delgado: á fin de liquidar su valor y determinar lo conveniente, respecto haberse enagenado éstas ¡fincas á ¿virtud del Real decreto de 19 de Setiembre de 1798 ¿ previniéndose que pasado</t>
  </si>
  <si>
    <t>Mariana, Princesa</t>
  </si>
  <si>
    <t>Princesa Mariana</t>
  </si>
  <si>
    <t>ropas napolitanas siguen retirándose, sé ha adelantado el exércitó francés de Perusa á Foligno.—.La Princesa Mariana, hermanadel Emperador de Alemania, ha venido á esta capital, habiendo dexadé su residencia de Loreto -así que supo que los franceses Iban á ocupar á Anconi. Ha llegado de Palermo</t>
  </si>
  <si>
    <t>Mariano Áloy, Joseph</t>
  </si>
  <si>
    <t>Joseph Mariano Áloy</t>
  </si>
  <si>
    <t>vido á Ingenieros extraordinarios de sus exércitos, plazas y fronteras á los Ayudantes de Ingeniero D. Joseph Mariano Áloy y D. Juan Jáuregui. En jcumplimiento de lo mandado por S. M. en ía Real pragmática sanción de 30 de Agosto del año último, se presentarán desde i.° de Abril próximo hasta 31 de Mayo l</t>
  </si>
  <si>
    <t>Mariano Amelo y Coronel</t>
  </si>
  <si>
    <t>ia de $. Miguel ee la ciudad de Cuenca', vacante porfallecimiento de D. Joseph Antelo y Villoríaj á D. Mariano Amelo y Coronel: para una Presta.-; mera de Gasas de Haro, anexo de Villar de la. Encina, en el obispado dé Cuenca, vacante por muerte de D. Gabriel Gómez de laTorre* á Don Adrián Gómez: para otr</t>
  </si>
  <si>
    <t>Mariano Araiz</t>
  </si>
  <si>
    <t>teniente de granaderos al primer Subteniente Don-Aíanuel Hernández; á primer Subteniente al segundo D. Mariano Araiz, y a segundos Subtenientes: al Sargento primero de granaderos JD. Joseph Solves y al Cadete del de Burgos D. Miguel Pitez: en el ouadA xara á. Capitán á su caballero Page D. Joach</t>
  </si>
  <si>
    <t>Mariano Bccerríl</t>
  </si>
  <si>
    <t>de cazadores; esta: resulta á D. JuanDomiago, Subtenientede fusileros , y Subtenencia de bandera á D. Mariano Bccerríl, Cadete del mis</t>
  </si>
  <si>
    <t>Mariano Bolívar, Joseph</t>
  </si>
  <si>
    <t>Joseph Mariano Bolívar</t>
  </si>
  <si>
    <t>iente de granaderos al de fusileros D. Pedro Manuel de Pineda, y á Subteniente de bandera al Cadete D. Joseph Mariano Bolívar. El Consejo, á consulta de la Comisión gubernativa de consolidación de Vales, y con aprobación de S. M:., ha resuelto la trigésima amortización dé 170 dé 600 pesos, y 338 de 300 d</t>
  </si>
  <si>
    <t>Mariano Cal</t>
  </si>
  <si>
    <t>z; á primer Subteniente al segundo Don Gregorio Ferrer, y á segundo Subteniente al Sargento primero D, Mariano Cal" fe 11 También ha conferido S.-M. Compañía en el regimiento de caballería de Montesa á D. Pedro Camba, Teniente de la Real brigada de-Carabineros. En América. El Rey se lm dignado</t>
  </si>
  <si>
    <t>Mariano Carrion de los Sanz</t>
  </si>
  <si>
    <t>303. 10. Cabo i.° Mariano Carrion de los Sanz..... ............ Felipe....... ..... Catalina García... Condes,.....,,. Idem............... 437. 28. Juan Torres........ Juan........... ... María Caba......... Me</t>
  </si>
  <si>
    <t>Mariano Cevallós</t>
  </si>
  <si>
    <t>ubtenientes de fusileros á los Sargentos primeros D. Juan Calvo y Antequera, D. Fernando Rodríguez, D. Mariano Cevallós, D. Gregorio Alagon, D. Luis Vargas y D. Diego Orellana, y á Subtenientes de.bandera á D. Pedro Estrada, D. Diego de la Vaca y Don Bartolomé del Peso, también Sargentos primeros d</t>
  </si>
  <si>
    <t>Mariano Colomer</t>
  </si>
  <si>
    <t>l Gasset, á Capitán segundo al primer Teniente D.Narciso Batlie; á esta resulta al segundo Teniente D. Mariano Colomer; á segundo Teniente al primer Subteniente, graduado de Teniente, D.Christóbal Mestres; i primer Subteniente al segundo D. Jacinto Liados; á segundo Subteniente al Sargento primero</t>
  </si>
  <si>
    <t>Mariano de Blaya, Manuel</t>
  </si>
  <si>
    <t>Manuel Mariano de Blaya</t>
  </si>
  <si>
    <t>de lo criminal de la Real Audiencia de Sta. Fe, vacante por ascenso á la de lo civil de la misma de D. Manuel Mariano de Blaya, á D. Diego de Frías. S. M. á consulta del Real y supremo Consejo de Castilla se ha servido conceder á la villa de Chucena, provincia de Sevilla, la facultad de que pueda celebrar</t>
  </si>
  <si>
    <t>Mariano de Cárdenas</t>
  </si>
  <si>
    <t>e y cuerpo; Tenencia de fusileros á D. Joseph Ponce de León, Subteniente de cazadores; su resulta á D. Mariano de Cárdenas, Subteniente de fusileros ; Subtenencias de compañía ík D. Juan Roldan y Baena y D. Ignacio Palacios del Pino; y las dos de ban^’ dera á D. Antonio María Naveao y Ximenez y D. Man</t>
  </si>
  <si>
    <t>Mariano de Villodas</t>
  </si>
  <si>
    <t>se dio princiT io por una breve oración que pronunció el Sr. Sub-Director Marques de f uerte Híjar. Don Mariano de Villodas, segundo secretario, leyó el extracto de las tareas de la misma Real sociedad durante el último año, y la Excma. Sra. Condesa del Montijo, secretaria déla junta de Dam.-s, dio cue</t>
  </si>
  <si>
    <t>Mariano Dordal</t>
  </si>
  <si>
    <t>ntura , en atención al mérito de sus obras , que se han considerado en igual graduación: 20 pesos á D. Mariano Dordal en la segunda clase de pintura, y 10 pesos á D. Hipólito Gregorio en la tercera clase de la misma. Ncf hubo opositor en la primera clase de escultura. A D. Diego Vidiella;20 pesos p</t>
  </si>
  <si>
    <t>Mariano Espatolero</t>
  </si>
  <si>
    <t>Liados y D. Juan leran; y en el de Cazadores voluntarios de Barbastro á primer Teniente al segundo D. Mariano Espatolero; á segundo Teniente al primer Subteniente, graduado de Teniente, D. Joseph Diaz; á primer Subteniente al segundo Don Gregorio Ferrer, y á segundo Subteniente al Sargento primero D</t>
  </si>
  <si>
    <t>Mariano Fernández Bobadilla</t>
  </si>
  <si>
    <t>de Chantre de la catedral de Güamanga, en América, vacante por fallecimento de D. Jorge Orderiz, á D. Mariano Fernandez Bobadilla , Ctira en el obispado del Cuzco: para la Abadía de la Real colegiata de Ntra. Sra. de Guadalupe, extramuros de la ciudad de México, vacante por muerte de D. Ignacio Ramón Moreno</t>
  </si>
  <si>
    <t>Mariano Fernández de Folgueras, Coronel</t>
  </si>
  <si>
    <t>Coronel Mariano Fernández de Folgueras</t>
  </si>
  <si>
    <t>cera división destinada d ocupar la referida plaza y sus inmediaciones, y arreglada por el Teniente Coronel Don Mariano Fernandez de Folgueras , segundo Ayudante general del Estado mayor del exército, y D, Antonio de Mota Tello de Fonseca, Teniente Coronel del regimiento de Milicias de Crato f ambos nombrados por sus xef</t>
  </si>
  <si>
    <t>Mariano Flexo</t>
  </si>
  <si>
    <t>........... 7a6. 2. Mariano Flexo.... Juan......... Josepha Lahoz..... Edcbite......... Zaragoza....... 143. 2. Joachin Conejos... Damian,... Catalina Martin... Formich alto</t>
  </si>
  <si>
    <t>Mariano Galindo</t>
  </si>
  <si>
    <t>”34 silentes de granaderos D. Mariano Ribas y D. Domingo Tierra, y á los primeros Subtenientes D. Mariano Galindo, D. Antonio Castañon , D. Manuel Zerbeía y D. Joseph Juan de Rico; á Subtenientes de granaderos a ios primeros Subtenientes D. Nicolás Caonedo, D. Miguel Buergo y D. Btrnardino de</t>
  </si>
  <si>
    <t>Mariano Garcés</t>
  </si>
  <si>
    <t>rnumerario al Brigadier de la misma compañía D. Christobal Montes: para ésta resulta al Subrigadier D. Mariano Garcés; y para la que este dexa á D. Rafael Manglano. Xanabien ha conferido e* Rey en la compañía Americana el &gt;empleo de Brigadier al Subrigadier D. Joseph Azcutiá; y su resulta al Cade</t>
  </si>
  <si>
    <t>Mariano González</t>
  </si>
  <si>
    <t>de Teniente de granaderos á D. Manuel Ximenez Lobaton; á Tenientes de fusilerós á los Subtenientes D. Mariano González, D. Bernardo Flores, D. Feliciano Candía, D. Bernardino Fañola, D. Pedro Moralesy al paisano D. Juan Joseph de, OJaneta; á Subteniente de granaderos á.D. Buenaventura Morales ;.á</t>
  </si>
  <si>
    <t>Mariano Hcnriquez</t>
  </si>
  <si>
    <t>Media-Ración de la catedral de Quito, vacante por muerte de D. Ignacio Joseph Patricio Batallas, á D. Mariano Hcnriquez deGuzman, Cura en aquel obispado; y para otra Mediá-Ra-r clon de la de Charcas, vacante por ascenso de D. Alberto Flanes á Racionero de la misma iglesia, á D. Juan de Dios Balanza, C</t>
  </si>
  <si>
    <t>Mariano Hidalgo</t>
  </si>
  <si>
    <t>e espirar la madre. En efecto, ia executó con la mayor destreza, á presencia del Capellán de Animas D. Mariano Hidalgo,</t>
  </si>
  <si>
    <t>Mariano Maella</t>
  </si>
  <si>
    <t>e S. Felipe Neri, fundador de la congregación del Oratorio,, en pliego de marca mayor, dibuxada por D. Mariano Maella , y grabada por J&gt;. Mariano Brandi. Véndese en la sacristía del Real Oratorio de San Feúpe Neri de esta corte á 8 rs. Cinco minuetes de Vorghi, y la obra 39 de sonatinas de Clemen</t>
  </si>
  <si>
    <t>Mariano Muñoz y Basanta</t>
  </si>
  <si>
    <t>oüd á D. Francisco Ruano Calderón, D. Miguel Ruiz Jurado, D. Juan Fermin Mariano Ramírez y Pizarro, D. Mariano Muñoz y Basanta, D. León de Billota y D. Manuel María de Arzalaya. El Consejo 1 consulta de la Comisión gubernativa, y con aprobación da S. M., ha acordado la vigésima amortización de 100 Vales d</t>
  </si>
  <si>
    <t>Mariano Plaza</t>
  </si>
  <si>
    <t>gón...... . 46. ao. Mariano Plaza,.... Juan............. Catalina Martin.,. Ciudad-Rodri go..w........ Idem...........</t>
  </si>
  <si>
    <t>Mariano Quixada</t>
  </si>
  <si>
    <t>tes y Sargento primero del mismo regimiento, y empltos de Portaestandartes á los Sargentos primeros D. Mariano Quixada, D. Rafael Victoria y D. Joseph Vivancos; y Tenencia veterana en el regimiento de Milicias. disciplijudás de «pañoles de Lima á D. Joseph María Tirapegui. En cumpiimiento de lo m</t>
  </si>
  <si>
    <t>Mariano Ramírez de la Torre, Joseph</t>
  </si>
  <si>
    <t>Joseph Mariano Ramírez de la Torre</t>
  </si>
  <si>
    <t>la Media-Ración de la metropolitana de México, Vacante por ascenso de D. Jcseph María del Barrio, á D. Joseph Mariano Ramírez de la Torre, Cura de S. Miguel de.aquella capital. En ,el regimiento de infantería de la Havana se ha servido S. M. projnover á Ayudante al Teniente D. Domingo Branly; á Teniente al Subtenien</t>
  </si>
  <si>
    <t>Mariano Ribas</t>
  </si>
  <si>
    <t>”34 silentes de granaderos D. Mariano Ribas y D. Domingo Tierra, y á los primeros Subtenientes D. Mariano Galindo, D. Antonio Castañon , D. Manuel Zerbeía y D. Joseph Juan de Rico; á Subtenientes de granaderos a ios primeros Su</t>
  </si>
  <si>
    <t>Mariano Velez de Escalante</t>
  </si>
  <si>
    <t>de Guadalupe, extramuros de la ciudad de México, vacante por muerte de D. Ignacio Ramón Moreno , á D. Mariano Velez de Escalante, Canónigo Magistral de la misma iglesia: para la primera de las dos Raciones, vacantes en la catedral de -Arequipa, á D. Juan de Urizar y Almonacid, Racionero de la de la Paz: tpa</t>
  </si>
  <si>
    <t>Mariano, Antonio</t>
  </si>
  <si>
    <t>Antonio Mariano</t>
  </si>
  <si>
    <t>............ D. Pedro Esponera. En León............. . D. Pedro Gil de Tejada. En Málaga........... D. Antonio Mariano. En Murcia....... Sres. Moreda y LadalkL En Oviedo............. D. Manuel Rubiano. En Falencia......... IX Nicolao CaJonge. En Palma..............D. Martin Mayol. En Pamplona.....</t>
  </si>
  <si>
    <t>............... B. Pedro Esponera. En León..... ......... D. Pedro Gil de Tejada. En Malaga....... D. Antonio Mariano. En Murcia........ Sres. Moreda y Ladaiid. En Oviedo........ . D. Manuel Rumano. En Palenda..........©. Nicolás Calonge. En Palma............ D. Martin Mayol. 1 En Pamplona.......</t>
  </si>
  <si>
    <t>................D. Pedro Esponera. En León.,.......... . D. Pedro Gil de Tejada. En Malaga,,.,..... D. Antonio Mariano. j En Murcia.,,........ Sres. Moreda y Ladalid. . , En Oviedo..,,.......D. Manuel Rubiano. En Palenda........D. Nicolás Calonge. En Palma............. D. Martin Mayol. En Pamplona</t>
  </si>
  <si>
    <t>............D. Pedro Esponera. En León................ D. Pedro Gil de Tejada. En Malaga............D. Antonio Mariano. En Murcia............. Sres. Moreda y Ladalid. En Oviedo.............. D. Manuel Rubiano. En Falencia.......... D. Nicolás Calonge. En Palma.............. D. Martin Mayo!. En Pam</t>
  </si>
  <si>
    <t>...........D. Pedro Esponera. En León................. IX Pedro Gil de Tejada. En Malaga............D. Antonio Mariano. En Murcia..............Sres. Moreda y Ladalid. En Oviedo.............. D. Manuel Rubiano. En Falencia...........D. Nicolás Calonge. En Palma.............. D. Martin Mayol. En Pam</t>
  </si>
  <si>
    <t>...... t&gt;. Pedro Esponera. En León.................. D. Pedro Gil de Tejada. En Malaga..............D. Antonio Mariano. En Murcia.......... . Sres. Moreda y Ladalid. En Oviedo.............. D» Manuel Rubiano. Eñ Palenda...... . D. Nicolás Calonge. En Palma............. D. Martin Maybl. - En Pamplo</t>
  </si>
  <si>
    <t>Marians Cañellas</t>
  </si>
  <si>
    <t>do, Tentente al Subtenientede granaderos D. N i colas (jarees.j^esta. resulta al primer Subteniente D. Marians Cañellas; á primer Subteniente al segundo D. Luis Vinicgra, y x seguade Subteniente af Sargento primero degranaderosD. Ramón Perez.y; r ; / También en el regimiento de cabaIlcría del R.ey</t>
  </si>
  <si>
    <t>Mariario Ribas</t>
  </si>
  <si>
    <t>al Subteniente de granaderos D. Matías Retamir; á Subteniente de granaderos al primero de fusileros D. Mariario Ribas ; á primer Subteniente al segundo D. Francisco Viñas, y á segundo Subteniente al Cadete del de infantería de Guadalaxara D. Juan Bautista Robi : en el batallón de Volantarios de G</t>
  </si>
  <si>
    <t>Marie, Rafael</t>
  </si>
  <si>
    <t>Rafael Marie</t>
  </si>
  <si>
    <t>d.... ..... 49. 27. Rafael Marie.,...... . Ramón y Cecilia Campusína..... Sureda en id*... 81. a5. Manuel Enhena......1.1. Juan y Mariana Viscarrona...... Id. en id.*.;...... 50. ig, Pablo Gracia.....</t>
  </si>
  <si>
    <t>Marifio, Manuel</t>
  </si>
  <si>
    <t>Manuel Marifio</t>
  </si>
  <si>
    <t>res..... . «jo. a8. Manuel Marifio.... Salvador....... Juana Diego....... Pedras........... Mahia............... go. #8. Martin Dochao... Felipe............ María Alonso...... Domeselle..... Vivero</t>
  </si>
  <si>
    <t>Máriii, Alonso</t>
  </si>
  <si>
    <t>Alonso Máriii</t>
  </si>
  <si>
    <t>ñiénto de caballería del Príncipe sé ha servido el Rey promover ¿ primeros Tenientes á los segundos D. Alonso Máriii y D. Ventura Pando ; Á Alférez al Portaestandarte D. Francisco Oviedo, y á esta resulta «I SargentolD. Juan de Aguilar *. en el del Infante á Comandante deésqua•dron al Sargento mayor</t>
  </si>
  <si>
    <t>Marin Ordoñez, Joseph</t>
  </si>
  <si>
    <t>Joseph Marin Ordoñez</t>
  </si>
  <si>
    <t>te de granaderos al de fusileros D. Rafael de la Puente; á primer Teniente al segundo de granaderos D. Joseph Marin Ordoñez; á esta resulta al segundo Teniente D. Joseph Yarza; á segundo Teniente ai Subteniente de granaderos D. Francisco Ordoñez; á Subteniente de granaderos ai primer Subteniente D. And</t>
  </si>
  <si>
    <t>Marín y Navarro, Pedro</t>
  </si>
  <si>
    <t>Pedro Marín y Navarro</t>
  </si>
  <si>
    <t>nso Ramos, Subteniente de granaderos: en e! de Castellón de la Plana la Subtenencia de granaderos á D. Pedro Marín y Navarro, Subteniente de fusileros;y en el de Mondoñedo Subtenencia de bandera á D. Pedro Ramón de Hoya y Miranda. El Consejo á consulta de la Comisión gubernativa, y con aprobacion.de S.</t>
  </si>
  <si>
    <t>Marín, Carlos</t>
  </si>
  <si>
    <t>Carlos Marín</t>
  </si>
  <si>
    <t>conjurados. Hubo 7 opositores: uno de los primaros premios se confirió i íoseph Carlos Marín, natural de Paris, de edad de 37 años, discípulo Vid ciud. Clodion; y el otro á Domingo Amado Milhomme, de Vakneienes, de 39 años, discípulo del difunto Alíograin: el segundo pr-.mio lo ob</t>
  </si>
  <si>
    <t>Marín, Joseph</t>
  </si>
  <si>
    <t>Joseph Marín</t>
  </si>
  <si>
    <t>uan y D. Andrés Duran, D. Joseph Gutiérrez, Don Domingo Gómez, D. Domingo Amieba , D. Juan Jaldon , D. Joseph Marín, D. Die,*o Garrido, D. Alonso Romero, D. Antonio Ramírez, Don Francisco Xavier, D. Manuel Maclas y D. Joseph de Aragón. Respondiáron todos con oportunidad y expedición á las pregu</t>
  </si>
  <si>
    <t>Marín, Joseph María</t>
  </si>
  <si>
    <t>Joseph María Marín</t>
  </si>
  <si>
    <t>e la Vega VeLizquez de Haro : ea el de Lugo á Subtenientes de fusileros á D. Pedro Castro Marín y á D. Joseph María Marín; y á Subtenientes de bandera en los de Truxillo y Oviedo á D. Diego González de Mendoza y D. Anselmo Suarez Quirós. También ha concedido S. M. agregación de Teniente en el provinc</t>
  </si>
  <si>
    <t>Mario del Carmen Valdma</t>
  </si>
  <si>
    <t>dio Lov.s v D tayme Bntler ; á segundos Tenientes de granaderos^ los de tus.leros 1). foseó Vareía, D. Mario del Carmen Valdma y D.^arrolome Cuno; a segundos Tenientes á los Subtenientes de granaderos D...umios de Caumont y D. luán Idaría Narganes, y á los pnmero? Subtenientes D. Manuel O-Daly, D. Pedro Dejou</t>
  </si>
  <si>
    <t>Marión, Capitán</t>
  </si>
  <si>
    <t>Capitán Marión</t>
  </si>
  <si>
    <t>o sus cables. No contentos con violar de este modo un puerto neutral, baxáron á tierra en busca del Capitán Marión , que conociendo la intención de los enemigos había huido con tiempo del buque con su gente. Hallaron ios ingleses á dos hombres de la tripulación, y amenazándoles con pistolas, q</t>
  </si>
  <si>
    <t>Comisario de relaciones mercantiles de Francia en Christiansand, que recibió las declaraciones del Capitán Marión y de sus compañeros, avisa al Ministro que el Presidente de aqucdla ciudad habia cuidado de socorrerles en su desamparo: y añade que el puerto de Christiansand es el único en aquella c</t>
  </si>
  <si>
    <t>Mariscal y Generalísimo, Príncipe</t>
  </si>
  <si>
    <t>Príncipe Mariscal y Generalísimo</t>
  </si>
  <si>
    <t>o exército se lia repartido y acantonado en las inmediaciones de Viena. ' * Ayer fué nombrado dicho Príncipe Mariscal y Generalísimo de-todor /■ • . TV • 1 _ ^ „ A_1. ~i~\ __*_ J_/"I____ «Tf«_____ L 1 _ ( „ , , i^ta^aS"*****ChateUer y fe nombrado €oró¿eto i los; Tenientes Coroneles Collotedo y Delmotte, Lunevillq</t>
  </si>
  <si>
    <t>MarjaTaxdo, Manuel</t>
  </si>
  <si>
    <t>Manuel MarjaTaxdo</t>
  </si>
  <si>
    <t>Gápitan,, D. 'Féfrmndo Borrajo: en el de Hibernia á segundo, Subteniente al Cadete dd de la Rey na D. Manuel MarjaTaxdo: eh el de Aragon á Capltan al primer Teniente de grauaderos D. Tomas Santiago; ?á 'prither Teniente de granadero» a) de fusileros D. Mateo GtialUr; á primer. Teniente aisegundo de</t>
  </si>
  <si>
    <t>Markow</t>
  </si>
  <si>
    <t>Príncipe Dalgorowky salió de Petersburgo para París el 8 de Agosto con. un encargo par* ticular; y Mr. Markow, Embaxador ruso cerca de la República! francesa , había salido también de la misma capital el 29 de Julio,Jynnp -tardará en llegar á París»—--.El Príncipe Constantino, Coronel dé</t>
  </si>
  <si>
    <t>Marmont, General</t>
  </si>
  <si>
    <t>General Marmont</t>
  </si>
  <si>
    <t>eral Delmas le dio una bala en la ropa; y á ios Generales Moncey V Grt les mataron sus caballos. El General Marmont es digno, de elogios por e! cuidado y esmero con que ha arreglado la artillería del exército, y por el modo con que la hizo servir. El General Lesuire ha entrado en ih.rghuto con la</t>
  </si>
  <si>
    <t>en aquel punto debe atribuirse .principalmente á la actividad de la artillería, que dirigida por el General Marmont, obligó á los enemigos á huir aceleradamente. Sostenidos por su fuego seguimos el alcance, y cogimos 200 prisioneros y una pieza de artillería. Hoy la vanguardia, mandada por el G</t>
  </si>
  <si>
    <t>Mármpnt, General</t>
  </si>
  <si>
    <t>General Mármpnt</t>
  </si>
  <si>
    <t>arán en- salir para Francia. ;: e El ^eheíal ;DbmbrówSki está encargado éei sitio dé PéseMeray y el General Mármpnt dél'bloqueo de¿Mañtua:^i¿¿s*En Villafrancá tnprió' el 'i% del ines ultimó él primer^ Ayudante del General' Bellegárde de resultas de sus heridas; y se asegura que este mismo General</t>
  </si>
  <si>
    <t>Maroto, Rafael</t>
  </si>
  <si>
    <t>Rafael Maroto</t>
  </si>
  <si>
    <t>Nicolás Caonedo, D. Miguel Buergo y D. Btrnardino del Pozo; á primeros Subtenientes á los segundos D. Rafael Maroto, D. Antonio Casanoves, D. Manuel Cadavid, D. Juan Sobrado, D. Joachín Albizu, D. Joseph Aballe y D. Manuel Torregrosa, y á segundos Subtenientes á los Sargentos primeros D. Gabrie</t>
  </si>
  <si>
    <t>Maroto, Ramón</t>
  </si>
  <si>
    <t>Ramón Maroto</t>
  </si>
  <si>
    <t>ncial de Mallorca ha conferido el. Rey Compañía de fusileros al Teniente de la misma clase y cuerpo D. Ramón Maroto: en el de Truxillo la Tenencia de cazadores al Teniente de fusileros D. Antonio de Cea y Junguito; su resulta al Subteniente de granaderos D. Diego Antonio Figueroa; la de este al</t>
  </si>
  <si>
    <t>Marques de Aguiiar</t>
  </si>
  <si>
    <t>y Doña Juana Agui­ Marques de Aguiiar.. jar......................................... . Perpifian.......... . 5o* *{&gt;! D. Baltasar Geno veja, D. Pedro y Dofia Juana Agui­ Barón de Agu</t>
  </si>
  <si>
    <t>Marques de Campo Sagrado</t>
  </si>
  <si>
    <t>Coronel D. Jorge Galvan , Teniente Coronel del deríVíte íencia; este empleo al Marques de Campo Sagrado, Coronel agregado ai de, infantería de Asturias, y la Tenencia Coronela de este regimiento at Coronel D. Rodulfo Gautier, Comandante del tercer batallón del de. infaja-* tería inmemorial d</t>
  </si>
  <si>
    <t>Marques de Casavillavicencio</t>
  </si>
  <si>
    <t>ha servido conferir el empleo de Coronel del regimiento provincial de Xerez al Marques de Casavillavicencio, Teniente Coronel agregado al miSmó cuerpo. ' S. M. sé ha servido nombrar para la Vara de Alcalde mayor de la villa de la Granja dé Torreherrnosa, de primera clase ó entrada, territorio de</t>
  </si>
  <si>
    <t>Marques de Castelar, Teniente General</t>
  </si>
  <si>
    <t>Teniente General Marques de Castelar</t>
  </si>
  <si>
    <t>, y el dia i o fue el señalado para entrar en Portugal, como lo verifique, con todo el exército. Al Teniente General Marques de Castelar,xefe de la tercera división , confié la empresa de embestir á Olí venza; y al Mariscal de Campo D. Juan Carrafa, con una sección dé la misma división Ja de apoderarse de Jurumeña.</t>
  </si>
  <si>
    <t>Marques de Chateler, General</t>
  </si>
  <si>
    <t>General Marques de Chateler</t>
  </si>
  <si>
    <t>s para su marcha á Inglaterra, y la emprenderá así que llegue su sucesor. Avisan de Inspruck que el General Marques de Chateler pidió e! día 28 en nombre del Emperador á los Estados de aq.iol pais se crease úa cuerpo</t>
  </si>
  <si>
    <t>Marques de Cornwallis</t>
  </si>
  <si>
    <t>iembre. E i Ministro de Reía cienes exteriores introJuxo y presento el dia 9 al Marques de Cornwallis, Ministro plenipotenciario de &amp;. M. Británica p:ira el congreso de Arniens, en la audiencia del primer Cónsul, que conferenció con él bastante tiempo. Los militares y los empleados que form</t>
  </si>
  <si>
    <t>Marques de Gallo</t>
  </si>
  <si>
    <t>les ciudades de Europa han publicado, y algunas de Francia han repetido, que el Marques de Gallo, Ministro plenipotenciario del Rey de Ñapóles, estaba nombrado para asistir al congreso de Luneville, y que el gobierno de Francia rehusaba admitirlo. Bien notoria es la constancia con que</t>
  </si>
  <si>
    <t>yéndolas de modo que á nadie toquen mas de 15 acciones. Parts x.° de Junto* E 1 Marques dé Gallo, Ministro del Rey de Ñápeles én Francia, salió de aquí antes que llegase el Sr. Conde de Liorna. ■ Los diputados del Piamonte han venido á París, y tuviéron el 29 de Mayo su primera Audienc</t>
  </si>
  <si>
    <t>Marques de GhisUeri</t>
  </si>
  <si>
    <t>a Mariana de Austria llegó de Ñipóles aquí el 26 de dicho mes, acompañindola el Marques de GhisUeri, Ministro plenipotenciario del Emperador cerca de la santa Sede. El 29 llegó igualmente Mr. Maníredini, General austríaco. El Cardenal Consaivi, Secretario de Estado, dió el domingo último</t>
  </si>
  <si>
    <t>Marques de Malespina, Coronel</t>
  </si>
  <si>
    <t>Coronel Marques de Malespina</t>
  </si>
  <si>
    <t>regimiento de dragones de Pavía se ha servido promover el Rey á Comandante dél tercer esquadron al Coronel Marques de Malespina, Sargento mayor del de Almansa; y á Tenientes en este cuerpo á los Alféreces D. Andrés Llauáer y D. Joachin Cabronero: habiendo también nombrado S. M. Portaestandarte del regimien</t>
  </si>
  <si>
    <t>Marques, Coronel</t>
  </si>
  <si>
    <t>Coronel Marques</t>
  </si>
  <si>
    <t>niente de granaderos del provincial de Bctánzos. En América:. Atendiendo el Rey á los servicios del Coronel Marques, de Casa hermosa, se lia dignado S. M. conferirle los empleos do Comandante general de las armas del Cuzco, Presidente de aquella Real Audiencia, é Intendente de la misma provinci</t>
  </si>
  <si>
    <t>Marques, Joseph</t>
  </si>
  <si>
    <t>Joseph Marques</t>
  </si>
  <si>
    <t>enientes de los de Sabeya, Corona» Mallorca y Extremadura Pon Juan López, D. Rafael García de León, D. Joseph Marques y 0. Júasi Joseph Gómez, y á segundos Subtenientes á los Cadetes de los del Principe, Zaragoza, Toledo, Córdoba y León D. Alonso Suarez, D. Pedro Sagarra , 0. Pedro Refojos Pardmas,</t>
  </si>
  <si>
    <t>Marques, Luis</t>
  </si>
  <si>
    <t>Luis Marques</t>
  </si>
  <si>
    <t>el empleo de Brigadier, que este dexa, al Sub-Brigadier D. Benito Capini; para su resulta ál Cadete D. Luis Marques?; para el emplea de Cadete de número al supernumerario D. Gerónimo Pietrt, y para Cadete supernumerario al Guardia D. Nicolás Abarna: en la compañía Flamenca Brigadier</t>
  </si>
  <si>
    <t>Marques, Vicente</t>
  </si>
  <si>
    <t>Vicente Marques</t>
  </si>
  <si>
    <t>: y siendo los últimos endosos con distintas épocas en Valencia , de uno, núm. 441,861, en favor de D. Vicente Marques; de otro, núm. 458,544, á los $r&lt; s. Directores de la Real caxa de descuentos de Madrid - de otro, núm. 451,774, i D. Joaquín Gil; de dos, míms. 451,775 y 466,798, i D. Juan de Or</t>
  </si>
  <si>
    <t>Márquez de la Plata, Fernando</t>
  </si>
  <si>
    <t>Fernando Márquez de la Plata</t>
  </si>
  <si>
    <t>de la Audiencia de Santiago de Chile, vacante por fallecimiento de D. Joseph de Rezabal y Ugarte, á D. Fernando Márquez de la Plata; y para una plaza de Oidor de'la Audiencia de Buenos-Ayres, vacante por promoción de Don Juan Antonio de la Riba á otra igual en la de Guadalaxara, á D. Juan Bazo y Berri. Por jub</t>
  </si>
  <si>
    <t>. se ha dignado nombrar para la plaza de Regente de la Audiencia de Quito, vacante por promoción de D. Fernando Márquez de la Plata á la de la Audiencia de Santiago de Chile, á D. Francisco Ignacio Cortines, Oidor de Caráeas; y para el empleo de Teniente Asesor del Gobierno é Intendencia de Truxillo, vacante p</t>
  </si>
  <si>
    <t>Márquez, Miguel</t>
  </si>
  <si>
    <t>Miguel Márquez</t>
  </si>
  <si>
    <t>iro; á primeros Subtenientes á los segundos D. Antonio Merlo, D. Joseph Juano, D. Joseph Rodríguez, D. Miguel Márquez y D. Joseph Casaus, y a segundos Subtenientes á los Cadetes D. Joseph Joachín Muzo,'1 D. Joseph Losada, D. Andrés Rodríguez, D. Manuel Gallardo, D. JuarF de Torr.es Coca, D-Joseph Mar</t>
  </si>
  <si>
    <t>Marquina Galindo, Joseph</t>
  </si>
  <si>
    <t>Joseph Marquina Galindo</t>
  </si>
  <si>
    <t>de Alcalde de casa y corte, que resulta vacante por ascenso dei dicho Sr. D. Sebastian de Torres, á D. Joseph Marquina Galindo. Han sido del agrado del Rey el valor y bizarría con que Joseph del Pozo, tiraJor de la partida destinada á la persecución de malhechores en Andalucía, baxo las órdenes del Tenien</t>
  </si>
  <si>
    <t>Marrón, Bernardo</t>
  </si>
  <si>
    <t>Bernardo Marrón</t>
  </si>
  <si>
    <t>la Cariongía, que Jiarr vacado en la santa iglesia inetroptriit vñ t de Toledo ■porTallecimiento de D. Bernardo Marrón. Tendrás# enfélHidq en la Cáffiara,*y se I#*tfpedirá él despacho correspondiente. == Símab-db déila Real imnóde $. S. Ildefonso á 2 d« Setiembre^ de iZqi.=Á1 Marques de Muriílo.’*</t>
  </si>
  <si>
    <t>Marrón, Manuel</t>
  </si>
  <si>
    <t>Manuel Marrón</t>
  </si>
  <si>
    <t>eroa: para la Ración de la colegial de Covsrrubias, arzobispado de Burgos, vacante por promoción de D. Manuel Marrón á una Canongía de la misma colegial, á D. Valentín Bernal: para una Capellanía de Coro de la santa iglesia primada de Toledo, vacante por muerte de D. (Domingo Bode, á D. JosephCi</t>
  </si>
  <si>
    <t>Marshali</t>
  </si>
  <si>
    <t>ara la humanidad^ seria enviar desde Tunes un médico que se impusiese ea todo ei método al lado del Dr. Marshali, 9 que este hiciese un viage á Túnez á costa del Bey. La vaccina no puede producirse sino por inoculación^ y si seexecuta bien, no puede ménos de desterrar en poco tiempo Jas viru</t>
  </si>
  <si>
    <t>Martí, Joseph Joachín</t>
  </si>
  <si>
    <t>Joseph Joachín Martí</t>
  </si>
  <si>
    <t>llón de Gerona y el de Valencia, mandados por sus Coroneles D. Joachin Blacke, Marques del Palacio, D. Joseph Joachin Martí y D. Lino .Vicente; y el batallón de cazadores provinciales de Castilla la Vieja por el Coronel D. Juan Crisóstomo Ruiz : mandados por los Mariscales de Campo D. Manuel de la Peña y M</t>
  </si>
  <si>
    <t>Martianay, Juan</t>
  </si>
  <si>
    <t>Juan Martianay</t>
  </si>
  <si>
    <t>ra con el auxilio de las tres sintáxls propia, figurada y armónica : escrito en francés por el R. P.Don Juan Martianay, religioso benedictino de la congregación de S. Mauro. Esta obra, dirigiendo el espíritu del que desea aplicarse con fruto á la lectura de la Biblia, en qualquier lengua que sea ,</t>
  </si>
  <si>
    <t>Martín, Capitán</t>
  </si>
  <si>
    <t>Capitán Martín</t>
  </si>
  <si>
    <t>nombrada ántes el Xenofonte, y ahora el Investigador , de porte de 22 cai-*~ ñones, mandada por, el Capitán Martin, y destinada, i hacer un viags' de descubrimientos remotoT. i &gt;. Tres corsarios franceses del puerto de Boloña han apresado en la Mancha, en solo. mes y medio, 3b embarcaciones in</t>
  </si>
  <si>
    <t>Martín, General</t>
  </si>
  <si>
    <t>General Martín</t>
  </si>
  <si>
    <t>uestra batería de la derecha, qne es la que impide la entrada del puerto á los navios ingleses.. El General Martin dexó que el enemigo se internase media legua de la playa: y quando juzgó favorable el momento, lo acometió con bayoneta calada. El Ayudante general SaekeJn hizo entonces un ataque po</t>
  </si>
  <si>
    <t>Martiñe, General</t>
  </si>
  <si>
    <t>General Martiñe</t>
  </si>
  <si>
    <t>se vende con estimación en dos mercados. . . El 18 de Setiembre del año último murió en Lucfinow el General Martiñe. Ha dexado un caudal de mas de 400© libras esterlinas, y lo ha legadoc#sí todo á fundaciones de caridad y establecimientos públicos de instrucción. .La casal dé este General era u</t>
  </si>
  <si>
    <t>Martines de Isunza, Andrés</t>
  </si>
  <si>
    <t>Andrés Martines de Isunza</t>
  </si>
  <si>
    <t>de D. Joseph Fernandez de Uceda se han seguido autos por los acreedores á Ja testamentaría del Sr. D. Andrés Martines de Isunza, Consejero que fué de S. M. en el. Real y supremo de Castilla , sobre la cobranza de sus-respectivos créditos;; y habiéndose convenido en satisfacerles Don Ignacio Romeo Ifiiguez</t>
  </si>
  <si>
    <t>Martines, Félix</t>
  </si>
  <si>
    <t>Félix Martines</t>
  </si>
  <si>
    <t>s: en el de Bárgos á Comandante del tercer batallón ai Sargento mayor del de infantería de la Reyna D. Félix Martines: en el de las Ordenes Miiitares y Ñapóles también á Comandantes de sus -terceros batallones a los Sárgeñtos mayores de los mismos Cúérpós, graduados de Teniente Coronel y-dé Coron</t>
  </si>
  <si>
    <t>Martínez Arguelles, Manuel</t>
  </si>
  <si>
    <t>Manuel Martínez Arguelles</t>
  </si>
  <si>
    <t>duado dé Coronel, Marques de Casa-Palacio; y en el.de Nápoles á segundos Subtenientes á los Cadetes D. Manuel Martínez Arguelles y D. Joseph María Rubio. uEn.Amérita* ¿El¿Rcy ,sedaa^ervido conferir ei empleo de Fiel de alma</t>
  </si>
  <si>
    <t>Martínez Caso, Antonio Nicolás</t>
  </si>
  <si>
    <t>Antonio Nicolás Martínez Caso</t>
  </si>
  <si>
    <t>do S. M. nombrar para la segunda Ración de la citada metropolitana, vacante por muerte del referido D. Antonio Nicolás Martínez Caso, á Don Joseph Domingo Duque, Medio-Racionero de ella; y para esta á D. Juan. Nepomuceno de Cabrera, Cura en el mismo arzobispado. En la gazeta extraordinaria del día 13 del mes pa</t>
  </si>
  <si>
    <t>Martínez de Aparicio, Andrés</t>
  </si>
  <si>
    <t>Andrés Martínez de Aparicio</t>
  </si>
  <si>
    <t>el Ramiro y Martin* En Sevilla..... ....... D. Joseph Antonio Gómez é hijo. En Soria................D. Andrés Martínez de Aparicio. En Toledo.............. Sres. Chavarri y Posadilio. En Toro................. D. Joseph Ligero. En Valencia...........D. Francisco Pcyroíón y compañía. EnValladolid....... D. Fran</t>
  </si>
  <si>
    <t>uel Ramiro y Marti*. En Sevilla............ D. Joseph Antonio Gómez é hijo. - En Soria.;...*....... D. Andrés Martínez de Aparicio. En Toledo..... ....... Sres. Chavarri y Posadillo. : En Toro.... ....... D. Joseph Ligero. J?» v^/^cnr.í........ ©. Francisco Pcyrolon y compañía. . EnValladolid....... ©. Franci</t>
  </si>
  <si>
    <t>el Ramiro y Martin. En Sevilla............. D. Joseph Antonio Gómez é hijo. En Soria................D. Andrés Martínez de Aparicio. En Toledo........ . Sres. Chavara y Posadillo. En Toro...... ...... . D. Joseph Ligero. ' En Valencia....;..... D. Francisco Pcyrolon y compañía. EnVallhdolid....... D. Francisco</t>
  </si>
  <si>
    <t>l Ramiro y Martin. En Sevilla..............D. Joseph Antonio Gómez é hijo. En Soria................ D. Andrés Martínez de Aparicio. En Toledo.............. Sres. Chavarri y Posadillo. En Toro..................D. Joseph Ligero. En Valencia. .......... D. Francisco Peyrolon y compañía. En Valladolid....... D. F</t>
  </si>
  <si>
    <t>amiro y Martin» En Sevilla............ . D. Joseph Antonio Gómez é hijo. ) En Soria.................D. Andrés Martínez de Aparicio. En Toledo.............. Sres. Chavarri y Posadilio. En Toro............... . D. Joseph Ligero. En Valencia........... D. Francisco Peyrolon y compañía. En Valladolid....... D. Fr</t>
  </si>
  <si>
    <t>Ramiro y Martin. En Sevilla*.*.......... D. Josepb Antonio Gómez é hijo. ' En Soria................ D. Andrés Martínez dé Aparicio. ¡ En Toledo.............. Sres. Chavarri y Posad itlo. En Toro................... D. Joseph Ligero. En Valencia............D. Francisco Peyrolbn y compañía. En VaUadolid....... D</t>
  </si>
  <si>
    <t>Martínez de Aragón, Felipe</t>
  </si>
  <si>
    <t>Felipe Martínez de Aragón</t>
  </si>
  <si>
    <t>ia de Carácas, vacante por ascenso de D. Francisco Ignacio Cortines á la Regencia de ia de Quito, á D. Felipe Martínez de Aragón; y para la plaza ae Fiscal de lo criminal de la Real Audiencia de Sta. Fe, vacante por ascenso á la de lo civil de la misma de D. Manuel Mariano de Blaya, á D. Diego de Frías. S.</t>
  </si>
  <si>
    <t>Martínez de Artieda, Bernardo</t>
  </si>
  <si>
    <t>Bernardo Martínez de Artieda</t>
  </si>
  <si>
    <t>. Ildefonso Orta;y á segundos Subtenientes á los agregados en esta clase á los de Mallorca y Toledo D. Bernardo Martínez de Artieda y D. Pedro Idermosilla, y al Sargento primero D. Germán Martínez: en el primer batallón de Voluntarios de Aragón á prime/ Teniente al,.segundo D. Ignacio Gil; á segundo Teniente al pr</t>
  </si>
  <si>
    <t>Martínez de Astudiüo, Joseph</t>
  </si>
  <si>
    <t>Joseph Martínez de Astudiüo</t>
  </si>
  <si>
    <t>o y de Az-ñon, en la diócesis de Cuenca, vacantes por fallecimiento de D. Juan Francisco Bonilla, á D. Joseph Martínez de Astudiüo: para el Beneficio de la parroquial de S. Chidrían, en lá diócesis de Avila, vp.caníe por muerte de D. Pedro Martin Cabeza, á Don Victoriano Hernández, con la carga que tiene anex</t>
  </si>
  <si>
    <t>Martínez de Carballar, Ventura</t>
  </si>
  <si>
    <t>Ventura Martínez de Carballar</t>
  </si>
  <si>
    <t>de la Azuela: para ¡a de Segura de León á D. Toachín Gonzalo Rodríguez ; y para la de Villafranca a Don Ventura Martínez de Carballar, todas de primera clase o de entrada, y en ei territorio de la orden de Santiago. . , . El Consejo 4 consulta de la Comisión gubernativa, y con aprobación &lt;íe S M , ha acordado la</t>
  </si>
  <si>
    <t>Martínez de Castro, Agustin Alonso</t>
  </si>
  <si>
    <t>Agustin Alonso Martínez de Castro</t>
  </si>
  <si>
    <t>sa y corte. Los, que se, hallen asistidos de este deEecho podránracudir en íMsdyitfá manifestarlo á-D. Agustin Alonso Martínez de Castro , Testero de Real caxa de descuentos, testamentario y úr ico executor de la, última voluntad del mencionado Sr. D. Francisco, á la mayor brevedad, pues de no hacerlo los aplicará</t>
  </si>
  <si>
    <t>Martínez de Cuellar, Juan</t>
  </si>
  <si>
    <t>Juan Martínez de Cuellar</t>
  </si>
  <si>
    <t>del hombre en el tribunal de la fortuna y casa de descontentos : obra instructiva y divertida $ por D. Juan Martínez de Cuellar. Se hallará en casa de Castillo , frente á las gradas de S. Felipe. Quinta impresión de las Fábulas en verso castellano para uso del Real seminario vascongado por D. Félix María S</t>
  </si>
  <si>
    <t>Martínez de Hermosilla, Juan Antonio</t>
  </si>
  <si>
    <t>Juan Antonio Martínez de Hermosilla</t>
  </si>
  <si>
    <t>Ciá Fr. D. Joachín Company , 6 por otro socio, 4 por el socio contador Don Manuel de Velasco, 4 por D. Juan Antonio Martínez de Hermosilla, y t : por el yice-archivero D. Joseph Vicente Ibarra. Otros prémiós dé 100 rs.t recibieron quatro discípulos de la Real academia de S. Cáflos , artesanos áü fabricantes* ofrecido</t>
  </si>
  <si>
    <t>Martínez de Hervás, Joseph</t>
  </si>
  <si>
    <t>Joseph Martínez de Hervás</t>
  </si>
  <si>
    <t>el gobierno francés sobre la execucion del referido artículo de restituciones, dirigiéndose al Sr. D. Joseph Martínez de Hervás, del Consejo de S. M. en el de Hacienda» á , D. Joachin de Barroeta Aldamar y D. Domingo de Barrenechea, encargados en paris de esta negociación baxo la intervención y oficios del</t>
  </si>
  <si>
    <t>Martínez de la Junquera, Joseph</t>
  </si>
  <si>
    <t>Joseph Martínez de la Junquera</t>
  </si>
  <si>
    <t>s de la plaza de Cádiz se ha servido el Rey, nombrar Capitán á D. Baltasar Moorc; primer Teniente á D. Joseph Martínez de la Junquera ; segundo Teniente á Don Francisco Agredano y Morales, y Subteniente á D. Juan Joseph Somoza. En el regimiento provincial de Málaga ha conferiao el Rey Ja Tenencia de granaderos á</t>
  </si>
  <si>
    <t>Martínez de Mazas, Joseph</t>
  </si>
  <si>
    <t>Joseph Martínez de Mazas</t>
  </si>
  <si>
    <t>sus qualidades sociales el director D. Fernando de Valenzucla Prado, el Dean de esta santa iglesia D. Joseph Martínez de Mazas, el Arcediano de Jaén D. Joseph Gómez, el Coronel de exército D. Andrés de Viedma, D. Fernando de Aranda Alvarez de Sotomayor y D. Juan Joseph su hermano, caballeros maestrantes,</t>
  </si>
  <si>
    <t>Martínez de Porras, Francisco</t>
  </si>
  <si>
    <t>Francisco Martínez de Porras</t>
  </si>
  <si>
    <t>Teniente del batallón de Milicias disciplinadas de infantería de Blancos de Caracas, en América, á D. Francisco Martínez de Porras, Subteniente de granaderos de dicho batallón: para esta resulta al Subteniente de fusileros D. Francisco Palacios; y para lis dos Subtenencias de bandera, vacantes en el propio cu</t>
  </si>
  <si>
    <t>Martínez de Torres, Francisco Antonio</t>
  </si>
  <si>
    <t>Francisco Antonio Martínez de Torres</t>
  </si>
  <si>
    <t>de Jaca, y Provisor y Vicario geoeralde aquél obispado: para seis Cancengías de la misma colegial á D. Francisco Antonio Martínez de Torres, D. Genaro Clemente Rubio, D, Diego Vap</t>
  </si>
  <si>
    <t>Martínez de Villagra, Juan</t>
  </si>
  <si>
    <t>Juan Martínez de Villagra</t>
  </si>
  <si>
    <t>eph de Soto : la ptea de Interventor de la administración de rentas unidas deb Real de los Alamos á D. Juan Martínez de Villagra'; y la de Escribiente" de la aduana de Durango á D. Antonio Rodríguez de la Vega. Consiguiente á lo que se anunció al publico por medio de tos diarios de 24. y 28 , y la gazeta de</t>
  </si>
  <si>
    <t>Martínez de Villagra, Julián</t>
  </si>
  <si>
    <t>Julián Martínez de Villagra</t>
  </si>
  <si>
    <t>capuico á D. Juan de Dios Fernandez; y el de Oficial segundo de las Reales caxas del mismo puerto á D. Julián Martínez de Villagra. El Consejo á consulta de la Comisión gubernativa y con aprobación de S. M. ha acordado la sexta extinción de 400 Vales de 300 pesos de la creación de 10 de Abril, y 265 de la mis</t>
  </si>
  <si>
    <t>Martínez del Campo y Guerra, Manuel</t>
  </si>
  <si>
    <t>Manuel Martínez del Campo y Guerra</t>
  </si>
  <si>
    <t>ferida iglesia por promoción de D. Rafael Francisco Junquera á una Canongía de la propia iglesia, á D. Manuel Martínez del Campo y Guerra de la. Vega: para otra Ración de la catedral de Orense, vacante por ascenso de p. Jossph Antonio Ribera á una Canongía de la misma iglesia * á Ó. Domingo Rodríguez, Cura de la parroquia</t>
  </si>
  <si>
    <t>Martínez del Campo, Agustín</t>
  </si>
  <si>
    <t>Agustín Martínez del Campo</t>
  </si>
  <si>
    <t>rtes al de los Reales estudios de S. Isidro de Madrid. El preceptor D. Alfonso Palomo y el referido D. Agustín Martínez del Campo hiciéron traducir á los alumnos de las primeras clases en las Selectas sagradas y profanas de Rollin, añadiendo muchas preguntas, á las que respondieron con singular despejo y á s</t>
  </si>
  <si>
    <t>Martínez del Pozo, María</t>
  </si>
  <si>
    <t>María Martínez del Pozo</t>
  </si>
  <si>
    <t>zeta de’ 3 del corriente-» __________________’ El 6 de Junio se remitieron de Zamora á esta corte á Doña María Martínez del Pozo dos vales Reales dé i 150 pesos , renovados á su favor, núms. a 89,67 6 y 33It7l(5' y habiéndose extraviado, quien los haya recibido los remitirá ¿dicha Sra. £ Valladolid , á Zamora £</t>
  </si>
  <si>
    <t>Martínez España, Pedro</t>
  </si>
  <si>
    <t>Pedro Martínez España</t>
  </si>
  <si>
    <t>Milicias* También ha venido S. M. en conceder honores del Consejo de Hacienda á D Joseph Masdevall, D. Pedro Martínez España y D. Juan Diego Duro, el primero Médico de Cámara de S. M., y los dos últimos Jueces del Tribunal apostólico y Real dé la Gracia del Excusado. En América. El Rey se ha servido nombrar</t>
  </si>
  <si>
    <t>Martínez Espinal, Pedro</t>
  </si>
  <si>
    <t>Pedro Martínez Espinal</t>
  </si>
  <si>
    <t>En la Compañía Española del mismo Real cuerpo ha nombrado S. M. Exento de número, al supernumerario D, Pedro Martínez Espinal, y por Exento supernumerario al Cadete Conde de Benalúa: y ha concedido</t>
  </si>
  <si>
    <t>Martínez Henao, Joseph</t>
  </si>
  <si>
    <t>Joseph Martínez Henao</t>
  </si>
  <si>
    <t>guito; su resulta al Subteniente de granaderos D. Diego Antonio Figueroa; la de este al Subteniente D. Joseph Martínez Henao, y una Subtenencia de bandera á D. Juan Chrisóstomo Ruiz Amaya; y en el de Salamanca Tenencia de fusileros al Subteniente de esta clase Doa Pedro Altainirano. Atendiendo el Rey á</t>
  </si>
  <si>
    <t>Martínez Isunza, Andrés</t>
  </si>
  <si>
    <t>Andrés Martínez Isunza</t>
  </si>
  <si>
    <t>e ía, octava quincena. El 23 de Enero falleció en esta corte a los 76 años cumplidos de edad el Sr. D. Andrés Martínez Isunza, del Consejo de Castilla. Fué colegial en el mayor del Arzobispo de Salamanca; y estando aun en él le nombró el SeL renísimo Sr. Infante D. Luis por Asesor de la encomienda de San</t>
  </si>
  <si>
    <t>Martinez Nubla, Manuel</t>
  </si>
  <si>
    <t>Manuel Martinez Nubla</t>
  </si>
  <si>
    <t>onero de la de Lugo: para una Canongía de la metropolitana de Toledo , vacantp por fallecimiento de D. Manuel Martinez Nubla, á D. Andrés de León, Racionero de ella: para otra Canongía de la de Santiago,' vacante por muerte de D. Joachtn Miguel de Almansa, á D. Rafael Francisco de Unquera y Cobian, Raci</t>
  </si>
  <si>
    <t>Martínez Pérez de Valencia, Andrés</t>
  </si>
  <si>
    <t>Andrés Martínez Pérez de Valencia</t>
  </si>
  <si>
    <t>da: para la Tesorería al Racionero D. Gerónimo Boniila y Hurtado: para la Ración al Medio-Racionero D. Andrés Martínez Perez de Valencia; y para la Media-Ración á D. Joseph García de la Plaza, Cura de la ciudad de Buga, en dicho obispado. Asimismo ha nombrado S. M. para la primera Ración de las dos vacantes en la m</t>
  </si>
  <si>
    <t>Martínez Pérez, Miguel</t>
  </si>
  <si>
    <t>Miguel Martínez Pérez</t>
  </si>
  <si>
    <t>Juan Francisco Polanco, Cádiz. B. Joseph Aspijlaga , id. B Carlos Fiioz, id. B. Miguel Matheu, id. D. Miguel Martínez Perez y compañía, id. D. lomas Hierrau ó Herria ,id. B. Manuel García Fernandez, id. Don Felipe Garrido, id. B. Joseph Alvareda, id. B. Juan Romero, id. Bofia María Gordou y compañía, id.</t>
  </si>
  <si>
    <t>Martínez Salinas, Juan</t>
  </si>
  <si>
    <t>Juan Martínez Salinas</t>
  </si>
  <si>
    <t>4x6 Don Juan Francisco de la Quintana, vecino y del comercio de Cádiz, remitió á D. Juan Martínez Salinas, vecino de Málaga, dos vales Reales de á 600 pesos, creación de 10 de Abril, núrns. 382,018 y 414,574, con el último endoso por dicho Quintana á D. Manuel Pablo de Angulo j y no h</t>
  </si>
  <si>
    <t>Martínez VillamH, Francisco</t>
  </si>
  <si>
    <t>Francisco Martínez VillamH</t>
  </si>
  <si>
    <t>nio se perdió un. libramiento con fecha del Sr. de.ió de.Mayo Tesorero último general á favor de de Don Francisco Martínez VillamH.v y «o: habiendo P»cy.do, qm- lo lo entregará en la calle del Príncipe, inmediato á la de la Visitación, num. 3, *E? sí Intendente de esta provincia por decretos de .7 del corrien</t>
  </si>
  <si>
    <t>Martínez, Andrés</t>
  </si>
  <si>
    <t>Andrés Martínez</t>
  </si>
  <si>
    <t>cntes. ^ . ?- {analmente en el de dragones del Rey ha promovido S. M. a Alfeiez al Sargento primero D. Andrés Martínez: á Coronel del de oragones de Sa1 al Teniente Coronel delde Lusitama, graduado de Coronel, D.RaS n Tañado Pastor ; y 4 esta resulta al Comandante de escuadrón del de ViUavfdosa, g</t>
  </si>
  <si>
    <t>Martínez, Domingo</t>
  </si>
  <si>
    <t>Domingo Martínez</t>
  </si>
  <si>
    <t>gundo de granaderos D. Antonio de Martin y Perez ; á segundo Teniente de granaderos al de fusileros D. Domingo Martínez; á segundo Teniente al Subteniente de granaderos JD. Mariano de Jas Peñas; á esta resulta al primer Subteniente D. Joseph de Pedrosa , y á primer Subteniente ,al segundo D. Juan J</t>
  </si>
  <si>
    <t>ncisco Xavier de Otero*: para-otra de la colegial de Bayona, diócesis de Tuy» vacante por muerte de D. Domingo Martínez, á D. Joseph Manuel Vidal, Cura de la parroquia de Santa Marina de Bayna, en el mismo obispado: para un Beneficio de la parroquia de $. Miguel ee la ciudad de Cuenca', vacante por</t>
  </si>
  <si>
    <t>Martínez, Francisco</t>
  </si>
  <si>
    <t>Francisco Martínez</t>
  </si>
  <si>
    <t>eresados. Para i nteligerci.a de los postores st ¡es harán presentes Es condiciones en el oficio de D. Francisco Martínez . Escribano Real y de número de la mencionada ciudad. Quine! Hora ti i Fiacci, iyncorum principia, carmina selecta, p, ralis i dfnlectfca, rhetorica et illustrata; aucrore P. Pió</t>
  </si>
  <si>
    <t>ente........ 38. 4. Francisco Martínez.................... Francisco. Catalina Gómez.. Huercalvera.. Vera........ 131. 10. Cabo a.° Jacinto Carrascon......... Francisco. Teresa Sola</t>
  </si>
  <si>
    <t>Martinez, Gregorio</t>
  </si>
  <si>
    <t>Gregorio Martinez</t>
  </si>
  <si>
    <t>Robles; á. segundos Tenientes al Subteniente de granaderos.D. Blas González, al primer Subteniente D. Gregorio Martinez y al Subteniente de granaderos D. Antonio Bray; á Subteniente» de granaderos á los primeros Subtenientes D. Juan Antonio Monet y Don1 Crispía Moya; á primeros Subtenientes á los seg</t>
  </si>
  <si>
    <t>Martínez, Ignacio</t>
  </si>
  <si>
    <t>Ignacio Martínez</t>
  </si>
  <si>
    <t>el autor. Se hallará con las anteriores en el despacho de la Real imprenta. Por providencia del Sr. D. Ignacio Martínez 4e Villelá, del Consejo de S. M., Alcalde de su Real casa y corte, i consequencia de las Reales órdenes y por la escribanía de provincia de Don Joseph Nicasio Bey tez, se ha manda</t>
  </si>
  <si>
    <t>Martinez, Manuel Gregorio</t>
  </si>
  <si>
    <t>Manuel Gregorio Martinez</t>
  </si>
  <si>
    <t>lés Reales de á do© pesos, de-i;* afe Octubre, números , 1^,538 , y~i$,dp© , renovados á- favor de ¿D. Manuel Gregorio Martinez; yno habiendo llegado á su destino, la persona en jcuyo poder se hallen los entregará en Cádiz al D, Juan de Aguilar, en Barcelona jf: D.-Erasmo Puig, ó en Madrid á«los Sres. Pófi</t>
  </si>
  <si>
    <t>Martínez, Pedro</t>
  </si>
  <si>
    <t>Pedro Martínez</t>
  </si>
  <si>
    <t>Felipe Garrido, id. B. Joseph Alvareda, id. B. Juan Romero, id. Bofia María Gordou y compañía, id. D. Pedro Martínez ..Moreno. D. Roberto With , Cádiz. M. BunÜar at Rames BuíF Esq.r , cónsul en id. M. Martau o Matheu y compafil£l aIíi casa sita en la calle del Besengafio * que da vuelta á la de</t>
  </si>
  <si>
    <t>.......... 157. 27. Pedro Martínez... Christóbal.. ... Ana Gómez.......... Orce............... Baza................. 168. ai, Fabian Martínez.. Domingo... ... Rosa Fernandez... Piñera en Asturias..</t>
  </si>
  <si>
    <t>Martínez, Tomás</t>
  </si>
  <si>
    <t>Tomás Martínez</t>
  </si>
  <si>
    <t>a Calzada- 2 T. 2T. Tomas Martínez,. Isidro...... María del Valí..., Relio.............. Soria........... . 41. II.</t>
  </si>
  <si>
    <t>Martínez, Vicente</t>
  </si>
  <si>
    <t>Vicente Martínez</t>
  </si>
  <si>
    <t>l; de dos, míms. 451,775 y 466,798, i D. Juan de Orellana; de otrcs des, núms. 466,796 y 466,799, á D. Vicente Martínez ; de otro, núm, 466,797, á D. Francisco Gutiérrez, y de otro, núm. 466,801 , á D. VicenteTor-!res ; ha pedido que para evitar reclamaciones ulteriores que entorpezcan y le detenga</t>
  </si>
  <si>
    <t>Marto de Liébana, Juan</t>
  </si>
  <si>
    <t>Juan Marto de Liébana</t>
  </si>
  <si>
    <t>s avisa que vayan á aquel pueblo á tomar posesión de dichos bienes , para lo qual ÍSe presentarán á D. Juan Marto de Liébana, vicario de él. Principios de matemáticas puras y mixtas , compuestos con método sencillo y claro para la mas pronta inteligencia de una ciencia tan útil, por D. Ignacio Romaza :</t>
  </si>
  <si>
    <t>Marton, Joseph</t>
  </si>
  <si>
    <t>Joseph Marton</t>
  </si>
  <si>
    <t>el regimiento de caballería del Infante á Sargento mayor al Capitán , graduado de Teniente Coronel, D. Joseph Marton: en.el-d'e Farnesio á primer Teniente al segundo 0. Matías de la Jus%ticiav á esta1 resulta al Alférez 0. Joseph María Dagniao; á Alférez al Portaestandarte 0. Francisco Romeo, y</t>
  </si>
  <si>
    <t>Mas, Joseph</t>
  </si>
  <si>
    <t>Joseph Mas</t>
  </si>
  <si>
    <t>n id....... 8í. 26. Joseph Mas................. Pedro y María Medens............... Murallas en id., gi. g, Abdon Baxes.... ...... Silvestre y 'María Pons............ Sureda en id ..... g</t>
  </si>
  <si>
    <t>Mas, Juan</t>
  </si>
  <si>
    <t>Juan Mas</t>
  </si>
  <si>
    <t>achenid..... ip. g, Juan Mas..................... Gerónimo y Gertrudis Mas........ Monferrer en ti Rosellon....... ao. 18.</t>
  </si>
  <si>
    <t>Mas, Juan Bautista</t>
  </si>
  <si>
    <t>Juan Bautista Mas</t>
  </si>
  <si>
    <t>cuélaside. las casas de huérfanos da S. Vicente, nuestra Señora de la Misericordia y fundaciones de D. Juan Bautista Mas, baxo las mismas condiciones y examen. Siguiendo la antigua costumbre de estimular la educación de las escuelas de los pueblos, del Rey 00 ofrece este año seis premios de $0 rs. C</t>
  </si>
  <si>
    <t>Masarhau, Antonio</t>
  </si>
  <si>
    <t>Antonio Masarhau</t>
  </si>
  <si>
    <t>Noviembre se hallará en el despacho de la imprenta feal, en ér Rea r sitio dé Afán juez en casa de D. Antonio Masarhau, y en Cádiz en la de D. Manuel Navarro. Por el Sr.' Di^icfebte '©omlhguéi'.de'' Prado, Cabalíero de la Real y distia-* guida órdénespañóla de Cárlos lII, Intendente de ‘ los Reale</t>
  </si>
  <si>
    <t>Masarnau, Antonio</t>
  </si>
  <si>
    <t>Antonio Masarnau</t>
  </si>
  <si>
    <t>ico de Enero se hallará en el despacho de la imprenta Real, en el Real sitio de Aranjuez en casa de D. Antonio Masarnau, y en Cádiz en la de D. Manuel Navarro. D. Joseph Padrós, del comercio de Madrid, remitió el 16 de Enero último á D. Antonio Buenaventura Bailester, de Villanueva de Geltrú en Cat</t>
  </si>
  <si>
    <t>Masarnau, Joseph</t>
  </si>
  <si>
    <t>Joseph Masarnau</t>
  </si>
  <si>
    <t>lará desde mañana en el despacho de la imprenta Real; y en el Real sitio de S. Ildefonso en casa de D. Joseph Masarnau. En virtud de Real facultad concedida á la villa de Talayera de la Reyna se vende un a!ijar perteneciente á los propios de ella., denominado de Ruiz Díaz, en el término del lugar</t>
  </si>
  <si>
    <t>á desde el lunes en el»' dispacho de la imprenta Rea» ; y en el Real sitio de S. Lorento en casa de Don Joseph Masarnau. Se ha extraviado ua vale Real de i£0 pesos, creación de x.° de Cuero de</t>
  </si>
  <si>
    <t>Mascaré, Manuel</t>
  </si>
  <si>
    <t>Manuel Mascaré</t>
  </si>
  <si>
    <t>a promovido á Ingenieros en xéfes de sus exércitos, plazas y fronteras á los Ingenieros en segundos D. Manuel Mascaré , D. Rafael Lioxet y J&gt;. Tomas Byzunariz. Eg atención á los dilatados, servicios de D. Tomas, EscaladaContador de exército en Mallorca, se ha dignado .el, Rey concederle honores d</t>
  </si>
  <si>
    <t>Mascarón, Manuel</t>
  </si>
  <si>
    <t>Manuel Mascarón</t>
  </si>
  <si>
    <t>: en el segundo batallón de infantería ligera de Barcelona á segundo Teniente al primer Subteniente D. Manuel Mascarón á primer Subteniente al s-vgundo D. Juan 2/amhrano, y á esta resulta al Cadete Don ^Francisco de Paula. Grifols: en el regimiento suizo de Ruttiman á Capitán aguado ai Teniente D.</t>
  </si>
  <si>
    <t>Mascato, Manuel Fernando</t>
  </si>
  <si>
    <t>Manuel Fernando Mascato</t>
  </si>
  <si>
    <t>rdenador de primera clase á Don Joachín Joseph Gómez : la de Cont ador Ordenador de segunda clase á Don Manuel Fernando Mascato: la de Archivero á D. Joseph María Orañez; !a Oficial de libros á D. Joseph María Teran; y las de Oficiales de glosa de primera, segunda y tercera clase á D. Manuel Tenorio de la</t>
  </si>
  <si>
    <t>Masdevall, Joseph</t>
  </si>
  <si>
    <t>Joseph Masdevall</t>
  </si>
  <si>
    <t>Teniente Coronel de Milicias* También ha venido S. M. en conceder honores del Consejo de Hacienda á D Joseph Masdevall, D. Pedro Martínez España y D. Juan Diego Duro, el primero Médico de Cámara de S. M., y los dos últimos Jueces del Tribunal apostólico y Real dé la Gracia del Excusado. En América</t>
  </si>
  <si>
    <t>pútridas padecidas en el Principado de Castudiis Philosophicis et Mdthematich, insti- taluña-. por D. Joseph Masdevall. Un totuendis ad virurn clarissimum suiqiie anii- mo en 4.“ en papel á 5 rs., 6 y medio en tissimugn Joannem Andressium líber unus. rústica, y 10 y medio en pasta. En 8.° á 9 rs.</t>
  </si>
  <si>
    <t>Masena, General</t>
  </si>
  <si>
    <t>General Masena</t>
  </si>
  <si>
    <t>án ya seguras en este fondeadero. Burdeos 10 de Setiembre. U n corsario de este puerta, nombrado el General Masena, fuó apresado hace algún tiempo por los ingleses, y conducido á la Barbada. Dos oficiales del corsario-, mozos de espíritu, encerrados con los demas prisioneros, consiguieron a fu</t>
  </si>
  <si>
    <t>Massiilon, Juan Bautista</t>
  </si>
  <si>
    <t>Juan Bautista Massiilon</t>
  </si>
  <si>
    <t>alle de la Cruz - en Sevilla en la de Caro , y en Toledo en Ja de Hernández. Sermones del Unió. Sr. D. Juan Bautista Massiilon, presbítero de la congregación del oratorio, uno de ios quarenta de Ja academia francesa, y Obispo de Clermont ; traducidos por el P. JD. Pedro Díaz Guerefiu, presbítero , de la c</t>
  </si>
  <si>
    <t>Matías Benito</t>
  </si>
  <si>
    <t>........... go. a8, Matías Benito..... Roque.......... .Francisca Sanz..,. Moncalviilo.. Burgos........... ¿o. aS. Angel Vázquez.... Domingo....... Dofia María Arias. Viilaestebez.. Chantada.......</t>
  </si>
  <si>
    <t>Mato, Francisco</t>
  </si>
  <si>
    <t>Francisco Mato</t>
  </si>
  <si>
    <t>la de «Aldeadávila, en la diócesis de Salamanca, vacante por fallecimiento de D. Manuel Casanova, á D. Francisco Mato, con la calidad de servirle: para el Beneficio simple llamado sin Gura de la parroquial de Santiago de Arcade, en el obispado de Tuy, vacante por fallecimiento de D. Manuel Falcon</t>
  </si>
  <si>
    <t>Mauricio Bolívar</t>
  </si>
  <si>
    <t>l Teniente de fusileros D. Miguel Gutiérrez; el empleo, que este dexa, al Subteniente de granaderos D. Mauricio Bolívar; su resulta al Subteniente de fusileros O. Manuel García, y una Subtenencia de bandera al Cadete D. Manuel Suarez. En ol regimiento de Milicias disciplinadas de infantería de Guay</t>
  </si>
  <si>
    <t>Mauricio de Onis</t>
  </si>
  <si>
    <t>911c S. M. se ha servido nombrar para el Arciprestazgo de Huete á D. Mauricio T&gt;ionis, debió d ecír D. Mauricio de Onis. En la vi la de Carlet, Lteyno de Valencia, se han extraviado dos vales Reales, creación de i.° de Enero de 1801, de igo pesos cada uno, miras. 2 £7,97 8 y 3 tr,8 *6$ y otro de 30</t>
  </si>
  <si>
    <t>Mauricio Dionis</t>
  </si>
  <si>
    <t>cedi nato de S- Felipe, y haber fallecido sin sacar los despachos D. DHgo Viilagarcia y Briones , á D. Mauricio Dionis: pira una Ración de la catedral de Orense, vacante por muerte de D. Francisco Aibarado, á D. Ramón &gt;seph Novoa, Cura de S. Vicente de Couceyro, en aqudli dioet-sis: para otra Raci</t>
  </si>
  <si>
    <t>Mauricio Talleyrand, Carlos</t>
  </si>
  <si>
    <t>Carlos Mauricio Talleyrand</t>
  </si>
  <si>
    <t>el primer Cónsul de la República francesa en nombre del pueblo francés al ciud. Carlos Mauricio Talleyrand, Ministro de Relaciones exteriores; y S. M. el Emperador de todas las Rusias al Sr. Arcadio Conde de MarcofF, su Consejero prir vado actual, caballero de la orden de S. Alexandro Newski, y</t>
  </si>
  <si>
    <t>Mauricio Villafuerte</t>
  </si>
  <si>
    <t>ros á los Tenientes Don Joseph Santos, D. Santiago de la Calle y D. Felipe Acosta, y á los paisanos D. Mauricio Villafuerte, D. Vicente Ladrón de Guevara, D. Isidro Delso y D.* Mariano Calatayud; al empleo de Ayudante á D. Nicolás Loayza; al de Teniente de granaderos á D. Manuel Ximenez Lobaton; á Teni</t>
  </si>
  <si>
    <t>Maximiliano Joseph, Príncipe</t>
  </si>
  <si>
    <t>Príncipe Maximiliano Joseph</t>
  </si>
  <si>
    <t>guía íu herencia en 12 ó 14 millones de florines. Ha dexadó por heredero universal á, su ahijado el Príncipe Maximiliano Joseph, hijo tercero del Archiduque Fernando Garlos de Lorena., , Como la inoculación de la vaccina hará época en la historia de la medicina, se ha formado aquí por orden de S. Al. imper</t>
  </si>
  <si>
    <t>Maximiliano Vandersteene</t>
  </si>
  <si>
    <t>Brethous: para el empleo de Brigadier al Subrigadier O. Pedro Ferrer : para esta resulta al Cadete D. Maximiliano Vandersteene: para el empleo de Cadete de número, que este dexa, al supernumerario D. Joseph Ferriol; y para el de Cadete supernumerario al Guardia D. Cirios Tresegny. S. M. ha concedido grado</t>
  </si>
  <si>
    <t>Maximiliano, Archiduque</t>
  </si>
  <si>
    <t>Archiduque Maximiliano</t>
  </si>
  <si>
    <t>irector de la Dieta ; peró’se mudara el modo de su elección. * ^ ■■ t .. Francfort 1* de Julio. E I Archiduque Maximiliano, Gran Maestre de la órden Teutónica, lia señalado 80© florines anuales al Archiduque Carlos, como Coadjutor dc dicha orden. r- h ’,\.'r Vuelve á esparcirse ía voz de que se junta</t>
  </si>
  <si>
    <t>e que en breve obligar-n á les franceses á capitular. " Viena 28 de Julio. E 1 día 27 murió aquí el Archiduque Maximiliano, Elector de Colonia, Qbispo de Munster y Gran Maestre de la orden Teutónica. H; bia nacido el 8 de Diciembre de. 1-75.6, y fué elegido Elector en 12 de Abril de 1784. Algunas hora</t>
  </si>
  <si>
    <t>2© de sueldo, 10® para gastos de vi*ge, y 5°$ para poner casa.^ El día 291 s'é hizo el entierrd dél Archiduque Maximiliano, Elector de Colonia, habiendo antes estado expuesto al público en la capilla de palacio. Se le dio sepultura en el panteón de la familia imperial, que está en la iglesia de cápüch</t>
  </si>
  <si>
    <t>May</t>
  </si>
  <si>
    <t>na escuela para instrucción de los sordo-mudos: se establecerá en Waitzen, adonde se ha trasladado -Mr. May, director de la escuela de esta clase que hay en Viena, y formará el plan de aquel nuevo establecimiento, para presentarlo luego á la aprobación del Emperador. Se ha publicado un</t>
  </si>
  <si>
    <t>Maybl, Martín</t>
  </si>
  <si>
    <t>Martín Maybl</t>
  </si>
  <si>
    <t>viedo.............. D» Manuel Rubiano. Eñ Palenda...... . D. Nicolás Calonge. En Palma............. D. Martin Maybl. - En Pamplona........Síes, viuda de Barbería é hijos. - En Salamanca........Sres. Utrero y Casaseca. En Santander........ Sres. Vial é hijo y compañía. En Segovia............ Sra</t>
  </si>
  <si>
    <t>Mayo, Martín</t>
  </si>
  <si>
    <t>Martín Mayo</t>
  </si>
  <si>
    <t>o.............. D. Manuel Rubiano. En Falencia.......... D. Nicolás Calonge. En Palma.............. D. Martin Mayo!. En Pamplona........ Sres. viuda de Barbería é hijos# En Salamanca....... Sres. Urrero y Casaseca. En Santander.,.....Sres. Vial é hijo y compañía. En Segovia.............Sra. vi</t>
  </si>
  <si>
    <t>Mayol, Martín</t>
  </si>
  <si>
    <t>Martín Mayol</t>
  </si>
  <si>
    <t>iedo............. D. Manuel Rubiano. En Falencia......... IX Nicolao CaJonge. En Palma..............D. Martin Mayol. En Pamplona....... Sres. Viuda de Barbería é hijos. , En Salamanca......Sres. Hurrero y Casaseca. En Santander.......Sres. Vial é hijo y compañía. En Segovia............ Sra. Viu</t>
  </si>
  <si>
    <t>En Oviedo........ . D. Manuel Rumano. En Palenda..........©. Nicolás Calonge. En Palma............ D. Martin Mayol. 1 En Pamplona....... Sres. Viuda de Barbería é hijos. En Salamanca..... Sres. Hurrero y Casaseca. En, Santander......Sres. Vial é hijo y compañía. Segovia........... Sra. Viuda d</t>
  </si>
  <si>
    <t>En Oviedo..,,.......D. Manuel Rubiano. En Palenda........D. Nicolás Calonge. En Palma............. D. Martin Mayol. En Pamplona.,.,... Sres. Viuda de Barbería é hijos. En Salamanca......Sres. Hurrero y Casaseca. En Santander...... Sres. Vial é hijo y compañía. , , En Segovia............ Sra. V</t>
  </si>
  <si>
    <t>o.............. D. Manuel Rubiano. En Falencia...........D. Nicolás Calonge. En Palma.............. D. Martin Mayol. En Pamplona........ Sres. viuda de Barbería 6 hijos# En Salamanca.......Sres. Urrero y Casaseca. En Santander........Sres. Vial é hijo y compañía. En Segovía............Sra. viud</t>
  </si>
  <si>
    <t>Mayor, Julián</t>
  </si>
  <si>
    <t>Julián Mayor</t>
  </si>
  <si>
    <t>........... aig. 8. Julián Mayor...... Pedro......... ... Josepha Narciso.. FuenteEspino.CBma............... 157. 27. Pedro Martínez... Christóbal.. ... Ana Gómez.......... Orce............... Baza.</t>
  </si>
  <si>
    <t>Mayt, General</t>
  </si>
  <si>
    <t>General Mayt</t>
  </si>
  <si>
    <t>l Abercrombie en su expedición contra Egipto. Háblase de otra expedición, cuyo mando se confiará al General Mayt» land; y añaden que el Almirante Dickson saldrá en breve de Yarmouth, mandando una esquadra, cuyo destino se ignora. La esquadra grande volvió al mar el dia 8 compuesta de 18 navi</t>
  </si>
  <si>
    <t>Mazarreda, General</t>
  </si>
  <si>
    <t>General Mazarreda</t>
  </si>
  <si>
    <t>asi enteramente arrasadas. ‘ Bresf 20* de Marzo. M E i General español Gravína, que eñ ausencia del General Mazarreda mandaba interinamente la esquadra de S. M. Católica surta en- este puerto,:la manda actualmente en propiedad; Quando el 14 de este mes á medio dia se arrió la bandera del Sr. Maza</t>
  </si>
  <si>
    <t>Mazon de Solares, Francisco</t>
  </si>
  <si>
    <t>Francisco Mazon de Solares</t>
  </si>
  <si>
    <t>ntiago de Arcade, en el obispado de Tuy, vacante por fallecimiento de D. Manuel Falcon y Aguilar, á D. Francisco Mazon de Solares; y para el Beneficio de la parroquial de la villa de Iznatoraf, en la diócesis de Jaén, vacante por muerte de D. Pedro López Román, á D* Pedro Joseph Mem-; brilla. ■ • En el regim</t>
  </si>
  <si>
    <t>Mclendez Bruna, Luis</t>
  </si>
  <si>
    <t>Luis Mclendez Bruna</t>
  </si>
  <si>
    <t>ismo ha nombrado el Rey pira una plaza de Alcalde de la Real casa y corte, vacante por promoción de D. Luis Mclendez Bruna á Ministro del Consejo de las Ordenes, á D. Joseph María Perez Valiente; y para</t>
  </si>
  <si>
    <t>Meaou-, General</t>
  </si>
  <si>
    <t>General Meaou-</t>
  </si>
  <si>
    <t>nisAleioS* sücésós5 riíilitares acaecidos én* Egipto desde el desembarcóMéTós inglésesy plíes* el1- General Meaou- las ha-' Bía envJiacfoIpor triplicado en embarcaÓÍQñes despachadas'algunos dias- antes/ y que todavía no han llegado^ sea que las hayan cogido'losenemigos, sea</t>
  </si>
  <si>
    <t>Mecsery, General</t>
  </si>
  <si>
    <t>General Mecsery</t>
  </si>
  <si>
    <t>igos, y no se ha visto mas que una de sus colimas que marchaba hacia Massing. Salió á observarla el General Mecsery, que á este efecto se apostó en Birnbach á la izquierda del Ion, en donde permanecerá hasta que las circunstancias exijan que pase á la orilla derecha-----Añade el Archiduque Juan</t>
  </si>
  <si>
    <t>Medardo Ximenez de Bagues</t>
  </si>
  <si>
    <t>anaderos D. Juan de Dios Ordoño y D. FranciscoWuliiez; á estas resultas á los primeros Subtenientes D. Medardo Ximenez de Bagues y D. Francisco Vileta; á primeros Subtenientes á los segundos D. Vicente Ibañez y D. Ildefonso Orta;y á segundos Subtenientes á los agregados en esta clase á los de Mallorca y Toledo</t>
  </si>
  <si>
    <t>iente de granaderos al de fusileros D. Pedro -Zmoz; á segundo Teniente al Subteniente de granaderos D. Medardo Ximenez de Bagues-,; á Subteniente de granaderos al primer Subteniente D. Antonio Estepa; á primer Subteniente al segundo ID. Blas Bielsu, y á segundo Subteniente al Cadete D. Joseph Narvaez: en -el</t>
  </si>
  <si>
    <t>Medel de Prada, Joseph</t>
  </si>
  <si>
    <t>Joseph Medel de Prada</t>
  </si>
  <si>
    <t>Subteniente de granaderos D. Francisco Carrillo; á Subteniente de granaderos al primer Subteniente D. Joseph Medel de Prada; á primer Subteniente al segundo D. Joseph Ximenez Bagues, y á segundo Subteniente al Cadete del de Toledo D. Rafael Gutiérrez Monge: en el de Borbon á Subteniente de granaderos a</t>
  </si>
  <si>
    <t>Medina y MorenorparaotradeiadéíVdch, Ignacio</t>
  </si>
  <si>
    <t>Ignacio Medina y MorenorparaotradeiadéíVdch</t>
  </si>
  <si>
    <t>ález de Reseñada; para la que sé halla vacante en da déisébn*/pbrt&amp;^leci mientode,Francisco Ruiz, á D. Ignacio Medina y MorenorparaotradeiadéíVdch* vacante porfaUccimieato de D. Ramón Ro</t>
  </si>
  <si>
    <t>Medina, Felipe</t>
  </si>
  <si>
    <t>Felipe Medina</t>
  </si>
  <si>
    <t>es de reales en efectivo que necesita para dar cumplimiento á las órdenes de S. M., acudirán al Sr. Don Felipe Medina, Prebendado y Procurador mayor de dicha santa iglesia, quien se halla comisionado para este efecto: en lá inteligencia de que se pagarán sin demora los réditos que se estipulen. P</t>
  </si>
  <si>
    <t>Medina, Joseph</t>
  </si>
  <si>
    <t>Joseph Medina</t>
  </si>
  <si>
    <t>ericana del Real Cuerpo de Guardias de Corps ha jnombrado el Rey Cadete de número al supernumerario D. Joseph Medina; y por Cadete supernumerario ai Guardia D. Salvador Galeano. En el regimiento de Reales Guardias Españolas se ha servido promover S. M. á Alféreces de cazadores á los de fusileros</t>
  </si>
  <si>
    <t>Medina, Manuel</t>
  </si>
  <si>
    <t>Manuel Medina</t>
  </si>
  <si>
    <t>or muerte de D. Antonio Morales, á D. Juan Francisco Angel: para otra, vacante por fallecimiento de D. Manuel Medina, á D. Bruno Francisco López y Pascual : para el oficio regular de Sacristán menor y Prior de Santo Tomas del Real monasterio de. Amer a D. Fr. Bartolomé Coromiñola y Masstguenpara</t>
  </si>
  <si>
    <t>Medrano, Pedro</t>
  </si>
  <si>
    <t>Pedro Medrano</t>
  </si>
  <si>
    <t>z y al Cadete Don Pedro Trasierra; y en el de dragones de Pavía á Capitán al agregado en esta clase D. Pedro Medrano. El Rey se ha servido nombrar Cirujano mayor del hospital militar de la plaza de Alicante á D. Raymundo Alegret, primer Ayudante da cirugía pensionado del exército; y del de la de</t>
  </si>
  <si>
    <t>MeerfekLpara</t>
  </si>
  <si>
    <t>olución de 5. M. Imperial de concluir! á qualquier costa la paz, despachó el Archiduque el dia 20 á Mr. MeerfekLpara que pidiese un armisticio al General Moreaú. ' La división francesa del General Colaud ocupa la ciudad de Passau, y la del General de Laborde habrá entrado ya en Ratisbona. &gt; Lond</t>
  </si>
  <si>
    <t>Meerfelu, General</t>
  </si>
  <si>
    <t>General Meerfelu</t>
  </si>
  <si>
    <t>austríaco de Mr. Klcnau se reunía en Neumack, en donde debía reforzarse con parte de las tropas del General Meerfelu ; y supo también que los enemigos habían reunido de 12 á 13© hombres en el puesto de Burg-Eberach, no lejos de Bamberg. Con estas noticias resolvió el General Augereau juntar las</t>
  </si>
  <si>
    <t>Meiaigc, Felipe</t>
  </si>
  <si>
    <t>Felipe Meiaigc</t>
  </si>
  <si>
    <t>lférez D. Nicolás Mijares; á Alférez ai Portaguión Don Lorenzo Gutiérrez , y á Portaguión al Cadete D. Felipe Meiaigc.</t>
  </si>
  <si>
    <t>Meiiton Zorrilla</t>
  </si>
  <si>
    <t>ieron con singular despejo y á satisfacción de los concurrentes. El mismo Prior, D. Luis Folgueras, D. Meiiton Zorrilla, D. Francisco de Borja Fernandez, Magistral, el Dr. D. Ramón Bonifaz y Quintano y otras personas ofrecie'ron recompensas, que se distribuyeron entre los mas sobresalientes discípu</t>
  </si>
  <si>
    <t>Melas, General</t>
  </si>
  <si>
    <t>General Melas</t>
  </si>
  <si>
    <t>a de su marcha contra los turcos. El Archiduque Cárlos , con anuencia del Emperador, ha nombrado al General Melas para comandante en Bohemia , al General Starray para el Austria, y al General Bellegarde para Italia. Avisan de Peterswaradin que en aquella parte de la frontera han de juntarse 4</t>
  </si>
  <si>
    <t>Melenctez y Bruna, Luis</t>
  </si>
  <si>
    <t>Luis Melenctez y Bruna</t>
  </si>
  <si>
    <t>teresado, casi del ^vSr. Marq«,i«sde;Castromontft, á la puma de Fnentarrai. Por la audiencia deibr. D. Luis Melenctez y Bruna, del Consejo de S. M., Al¿ 4kalde de ia Real, casa y corte , te han mandado sacar ápábiiea subasta varias fincas pertenecientes á las memorias fundadas en est&amp;viliay ¡a rieLcgaaes</t>
  </si>
  <si>
    <t>Melendez Bruna, Luis</t>
  </si>
  <si>
    <t>Luis Melendez Bruna</t>
  </si>
  <si>
    <t>a D. Alonso Hoyos González, á D. Francisco. Tagle y Velarde. Asimismo se ha servido S. M. nombrar á D. Luis Melendez Bruna, Alcalde de su Real casa y corte, para la plaza de Ministro del Consejo do las Ordenes, vacante por haber nombrado S. M. por su Ministro Plenipotenciario cerca de la santa Sede al</t>
  </si>
  <si>
    <t>Melendez y Bruna, Luis</t>
  </si>
  <si>
    <t>Luis Melendez y Bruna</t>
  </si>
  <si>
    <t>la magistratura le hacían recenmendable , y han hecho sensible su muerte. j Por providencia del Sr. D. Luis Melendez y Bruna, del Consejo de S. M., Alcalde de su Real casa y corte, y por la escribanía de provincia de D. Juan Antonio Díaz Noriega, seba mandado sacar i pública subasta por término de 30 di</t>
  </si>
  <si>
    <t>acerla acudirá á la escribanía del número del cargo de D. Santiago Estepar. Por providencia del Sr. D. Luis Melendez y Bruna, del Consejo de S. M , Alcalde de su Real casa y corte, y por la escribanía de provincia de D. Juan Antonio Diaz Noriega , se ha mandado sacar á pública subasta por el término de</t>
  </si>
  <si>
    <t>de D. Darnian Celestino de Vega, Escribano principal de dicho Real pósito. Por providencia del Sr. D. Luis Melendez y Bruna , del Ccnsejo de S. M,, Alcalde de la Real casa y corte , se ha señalado para el remate de la casa sita en esta corte y calle del Baño, núm. io, manz. 218, perteneciente á las mem</t>
  </si>
  <si>
    <t>ecretos de 19 de Setiembre de 1798, y 11 de Enero de 1799, por providencia del Sr. Alcalde de corte Don Luis Melendez y Bruna, y por la escribanía de provincia de D. Miguel Joseph García de la Madrid , se ha mandado subastar per, 30 días 103 censos perpetuos correspondientes ¿ ciertos mayorazgos sobre'1</t>
  </si>
  <si>
    <t>Melgarejo, Antonio</t>
  </si>
  <si>
    <t>Antonio Melgarejo</t>
  </si>
  <si>
    <t>yra: en el de Santiago á segundo Teniente al Alférez D. Jo:tcMn Solis; á Alférez al Portaestandarte D. Antonio Melgarejo, y á esta resulta al Sargento graduado de Alférez D. Pedro Rodríguez: en el de dragones del Rey á Teniente al Alférez de granaderos D. Joseph de Llihuri; y en el de dragones de la</t>
  </si>
  <si>
    <t>Melgarejo, Ramón</t>
  </si>
  <si>
    <t>Ramón Melgarejo</t>
  </si>
  <si>
    <t>driano Cardón. En el regimiento de Guardias de ‘infantería Española ha promovido el Rey á Gapiran á D. Ramón Melgarejo, primer Teniente de granaderos y Comandante del mismo ^cuerpo. Asimismo ha nombrado S. M. Sargento mayor &lt;Je lá plaza de Tarragona al Teniente Coronel D. Juan Francisco Garcés, Ga</t>
  </si>
  <si>
    <t>Melgares de Sahajosa, Francisco Joseph</t>
  </si>
  <si>
    <t>Francisco Joseph Melgares de Sahajosa</t>
  </si>
  <si>
    <t>Consejo de Indias,por lo perteneciente al Perú., vacante por fallecimiento de Don Antonio Romero, á D. Francisco Joseph Melgares de Sahajosa, Abogado' de los Reales Consejos. í * : ,&gt; ;.¡ S. M. á consulta del Consejo se ha servido conceder permiso á la ciudad de Andújar, Rey no de Jaén, para que los 15 dias de feria qu</t>
  </si>
  <si>
    <t>Melitoh Zorrilla</t>
  </si>
  <si>
    <t>casio Ortuño á la Dignidad de Maestrescuela de 1&amp; propia iglesia, y por renuncia que ha hecho de él D. Melitoh Zorrilla, á D. Francisco Domínguez; para el Deanato de la catedral de Calahorra, vacante ppr falleciniiento de D. Bartolomé Calleja , al Chantre dé la misma iglesia D. Antonio Carrillo May</t>
  </si>
  <si>
    <t>Memije, Felipe</t>
  </si>
  <si>
    <t>Felipe Memije</t>
  </si>
  <si>
    <t>de Luzon se ha servido S. M. promover á Teniente al Alférez D. Fernando de Mír; á Alférez al Cadete D. Felipe Memije, y á Portaguión al Sargento D. Joseph Jordán. . El Rey se ha dignado coriferir el Gobierno rñilitar y político de la provincia de Texas, en las Internas del Rey no de Nueva España</t>
  </si>
  <si>
    <t>Mena, Cayetano</t>
  </si>
  <si>
    <t>Cayetano Mena</t>
  </si>
  <si>
    <t>res D. Mari ¡no Cástdl, y p ira la resulta de este ha nombrado al segundo Subteniente del de Zamora D. Cayetano Mena. También en la compañía de infantería fíxa de Nijar se ha servido S. M. nombrar Teniente al Subteniente de la segunda de Almería D. Nicolás Rodríguez; y Subteniente al Sargento di</t>
  </si>
  <si>
    <t>Mencía</t>
  </si>
  <si>
    <t>n noticias dá Inglaterra han ratificado los Estados-Unidos el último tratado ajustado con Francia. ,Doña Mencía, Rey node Córdoba, &lt;T de Febrero. E n el mes de Octubre Ailtimo hallándose Vicenta Morales, de 45 años, muger de Antonio de Priego Amo, de esta vecindad, en los 7 meses de su emba</t>
  </si>
  <si>
    <t>Mendaño, Manuel</t>
  </si>
  <si>
    <t>Manuel Mendaño</t>
  </si>
  <si>
    <t>ia,,........;. 348. Manuel Mendaño.. Alexandro.. ... María Bielsa........ Calanda......... Alcafíiz,........ , 408. 9. Manuel Vicario... Joseph........ Manuela Serrato., Baltanás....... Palencia..</t>
  </si>
  <si>
    <t>Méndez, Alonso</t>
  </si>
  <si>
    <t>Alonso Méndez</t>
  </si>
  <si>
    <t>ga: para un Beneficio de la catedral de Plasencia, titulado Compañía , vacantepor .fallecimiento de D. Alonso Méndez, á D.,Antonio Basilio Alfonso; Capellán de número de la misma iglesia: para el Medio Préstamo de ía villa de Rota, en la diócesis de Sevilla, vacante por promoción de Don Angel Ma</t>
  </si>
  <si>
    <t>Mendez, Manuel</t>
  </si>
  <si>
    <t>Manuel Mendez</t>
  </si>
  <si>
    <t>......... 247. 10.' Manuel Mendez,.. Joseph........... Teresa Vázquez... Nobelle......... Chantada......... ¿o. a8. Roque de Tuñas.. Patricio........ Cayetana Benanes.Sta. Eugenia</t>
  </si>
  <si>
    <t>Mendez, Ramón</t>
  </si>
  <si>
    <t>Ramón Mendez</t>
  </si>
  <si>
    <t>eña grande de caber fanega y media, linde con tierras de los herederos de Juan de Hovos y de los de D. Ramón Mendez , tasada en a$o rs. Quien quisiere hacer postura ¡á ellas acuda á la citada escribanía de Costa. *X&gt; , **or Sr. Jue* y escribanía se ha mandado sacar á pública subasta ñor termino</t>
  </si>
  <si>
    <t>Mendizabal, Francisco</t>
  </si>
  <si>
    <t>Francisco Mendizabal</t>
  </si>
  <si>
    <t>egundo desús exércitos, plazas y fronteras á D. Juan Saliquet, Ingeniero ordinario: á este empleo á Don Francisco Mendizabal y D. Pablo Ordovas, Ingenieros extraordinarios; y á este al Ayudante D. Juan María de la Cruz. A coríseqiiencia de haberse dignado $. M. mandar en Real cédula de 3 del corriente que s</t>
  </si>
  <si>
    <t>Menendez Valdés Tabaza, Ignacio</t>
  </si>
  <si>
    <t>Ignacio Menendez Valdés Tabaza</t>
  </si>
  <si>
    <t>e quieran pretender esta plaza dirigirán sus memoriales y méritos á D. Fernando de Valdés Hevia , y D. Ignacio Menendez Valdés Tabaza, Regidores comisarios al efecto5 en inteligencia de que el dia 17 de Diciembre próximo se executará la elección. Nuevo sistema de gobierno económico para la América: con los males</t>
  </si>
  <si>
    <t>Menendp, Francisco</t>
  </si>
  <si>
    <t>Francisco Menendp</t>
  </si>
  <si>
    <t>eal de i$o pesos, creación de I. de Enero , nú». 340,14* , **» ■&gt;“ endoso que el primero i favor de D. Francisco Menendp*. Quien lo hubiese bailado Jo entregará ea la tienda de acepte y vinagre de ‘Puerta .Cerrada^ ntíra, I-. ' . , , , Se ha extraviado de casa de D. Joseph Clfirps,, plajero fn la ci</t>
  </si>
  <si>
    <t>Meneses, Manuel</t>
  </si>
  <si>
    <t>Manuel Meneses</t>
  </si>
  <si>
    <t>Juan Rodríguez Almeyda; á~ Subtenientes. de granaderos á los primeros Subtenientes D. Elias Aylíon* D. Manuel Meneses y D. ÁntóUió Mémbrilla; á primeros Subtenientes á los segundos Di Pedro’Pen, D. Manuel dé ¿es y D. Vicebté Casado, y á' segundo Subteniente alCadéte D. Jóséph" Delgado: en el de la Co</t>
  </si>
  <si>
    <t>Mengs, Antonio Rafael</t>
  </si>
  <si>
    <t>Antonio Rafael Mengs</t>
  </si>
  <si>
    <t>o definitivo de Paz concluido en­ pasta á 212 rs. tre el Rey Ñ. Sr. y la República France­ Obras de D. Antonio Rafael Mengs. T.n sa , firmado en Basiléa á 32 de Julio de 1795. 4.0 marquilla, en papel á 2a rs. &gt; á 32 en Papel en 4.0 ú 3 rs. y finosá 4. pasta común, y 38 en fina¿ Tratado de Amistad, Lími</t>
  </si>
  <si>
    <t>Meniño, Luis</t>
  </si>
  <si>
    <t>Luis Meniño</t>
  </si>
  <si>
    <t>Baños...... 33* l8‘ Luis Meniño....... Pedro............ Josepha Luis........ Cima de Vita. Cordeyro......... 35* Francisco Abrán*. Silvestre.,.*..* Madalena del Rio. Sta. María de</t>
  </si>
  <si>
    <t>Menoií, General</t>
  </si>
  <si>
    <t>General Menoií</t>
  </si>
  <si>
    <t>dos:. se trata:de. abrir canales de regadío , y se hacen otras* muohks-, Qbrasiúi-iléS'.^'PepLte el General Menoií emesia "carta‘que está. coré*! ;el; prest; del .exército, que- sus; trdpas*, estam perfectamente, vestidas yb mantenidas , y que observan lá’mejordísTcipIinaJ. • i •' El. referido^</t>
  </si>
  <si>
    <t>Menor, Alexandro</t>
  </si>
  <si>
    <t>Alexandro Menor</t>
  </si>
  <si>
    <t>ernando Hevia , y á Alféreces al Cadete D. Juan de Mata Ximenez y al Sargento primero de granaderos D. Alexandro Menor: en el de Alpiansa á Capitán al Ayudante graduado de Capitán D. Pedro Muñoz: en el de Numanciaá Capitán al Ayudante, graduado de Capitán ,D. Ramón de Cova: y asimismo ha conferido</t>
  </si>
  <si>
    <t>Menor, General</t>
  </si>
  <si>
    <t>General Menor</t>
  </si>
  <si>
    <t>n ebexército.__ Los naturales del país estab n muy unidos con .los franceses, y apreciaban mucho al General Menor,. Los ingleses, el Gran Visir-y ej; .Cap i tan Baxa hicieron diligencias p rv. atr, á su partido al bey Amerites; pero e&gt;te env.ió a Mcnou todas las cart ,s que aquellos le diri^i</t>
  </si>
  <si>
    <t>Menor, Pedro</t>
  </si>
  <si>
    <t>Pedro Menor</t>
  </si>
  <si>
    <t>de boreon a Afférez al Portaestandarte D. Joseph de Castro; y a esta resulta a. Sargen^ carabineros D. Pedro Menor: en el de España a CaP*t'Jn í* P''™er Teniente de carabineros D.'Miguel San Juan ; y en el de caballería de VoInnHos de España 4 Capitán al Ayudante O. Bernabé Gómez de Tetan, v a</t>
  </si>
  <si>
    <t>Ménou, General</t>
  </si>
  <si>
    <t>General Ménou</t>
  </si>
  <si>
    <t>ses recogieron su artillería.”; . Es .grandísimo- el número de cartas, ordenes y disposiciones .del General Ménou y de i xcíe de su plana mayor... que. so han .publicado* como, asimismo otros varios documentos que tratan del estado, de. aquel pais, Se..dará ., aquí alguna razón de los. de. mayor í</t>
  </si>
  <si>
    <t>Menou, General</t>
  </si>
  <si>
    <t>General Menou</t>
  </si>
  <si>
    <t>ódas quedaban bien arregladasy dispuestas. El mencionado ¿«efe de brigada trae también dé parte del General Menou para presentar al primer Cónsul varios mamelucos del Bey Amurá tes. Las cartas ae dicho General; alcanzan hasta 14 de Noviembre. En una de eUas dice que despacha Coo s«s;,plíegos</t>
  </si>
  <si>
    <t>S. Tropés por la embarcación el Lodi, como que solamente median 11 dias de unas á otras cartas del General Menou. Entre las primeras hay una que resumida dice así: „La artillería dei exército áe ^oriente está en el pie mas respetable: cada batallón tiene una pieza de campaña, y hay dos compa</t>
  </si>
  <si>
    <t>os* Continuación de las noticias de Egipto. En varias cartas dirigidas al Ministro de Guerra por el General Menou, le dice^ „Las trapas están bien vestidas; pero Iá infantería por falta de géneros de un mismo color carece de uniformidad en su vestuario. Se exerpltan todas diariamente en evolu</t>
  </si>
  <si>
    <t>o»de Egipto! elJ7 de Diciembre, y lle^árdn á’Francia eL 2 5. El gobierno ha recibido , cartas • del General Menou, y ha^publicado/da: sigiiieriteí dirigida al primer. Cónsul: ,¿Nada d&amp; nuevo ha' acontecido én4 Egipto desde los últimos pliegos qué tu▼ella Jíonrade cnvihros.:Algunos esquadrones</t>
  </si>
  <si>
    <t>e añadirán otros sobre la moral yV sobre ios principios de todo buen gobierno. ’ . Una proclama del General Menou dirigida á todos los habitantes dfe Egipto, ricos; pobres , mugares, niños, viejos, y en fin , á quantos temerc* á Dios, dice substancialmente así: „ El Alcorán , que es vuestro l</t>
  </si>
  <si>
    <t>bié y Menuf, que después del convenio de EI-Arisch,' sé* levantaron contra los franceses, impuso el General Menou una contribución de 13 millones de francos,.,mitad en dinero , mitad eh frutos y géneros: ios-, pueblos la pagan con gustó, pues temían quándo los franceses los vencieron y. sujet</t>
  </si>
  <si>
    <t>inventado una cama portátil para -conducir los heridos ó enfermos en la marcha de las tropas: y el General Menou mandó se hiciesen ioo de ellas, destinando 50 camellos para cargarlas. ~ Así que se recibió en Egipto la noticia dé la muerte del General Desaix se abrió una subscripción para con</t>
  </si>
  <si>
    <t>que saliéron de Alexaudríá con enfermos, han caído en poder de los ingleses. Se sabe también que el General Menou está nombrado Gobernador general de Egipto, y el .General de división Reynier es comandante de las ti'ópas francesas. ’ En el Divan» se ha aumentado la consternación desde" que el C</t>
  </si>
  <si>
    <t>de Febrero* Según cartas de Levante los ingleses hiciéron su desembarco cerca de AIeSL en donde el General Menou, quecos esperaba con parte de su exércho, los atacó y derrotó completamenfe causándoles una pérdida de o® lmmbres , de los quales la mayor parte quedaron prisioneros , y el resto</t>
  </si>
  <si>
    <t>del instituto de Egipto. Por la carta que el primero ha escrito á Bonaparte, y por los pliegos del General Menou corista el buen estado en que se halla aquel exército, la seguridad de¡ aquel establecimiento#/los progresos de las varias fábricas que los franceses han establecido én el país, y</t>
  </si>
  <si>
    <t>de esta embarcación, el ciud. Boisserotes, agregado á la plana mayor, y yo, traemos los pliegos del General Menou, y los dirigimos al Prefecto de Tolon para que los envie á París. Con anuencia del General en xefe se restituye á Francia el ciud. Descotils, individuo del instituto de Egipto , q</t>
  </si>
  <si>
    <t>iódico, del abatimiento, de la reparación y contracción natural de los músculos ¿kc.” . Deseando el General Menou remediar algunos abusos públicos, y muy comunes entre los naturales de Egipto ,-consultó al Divan del Cayro, el qual le respondió con la siguiente carta: „ Rog mdo á Dios por tu p</t>
  </si>
  <si>
    <t>queden libres varios Generales franceses , xefes de brigada y de batallón. Se ha enviado también al General Menou una lista de todos los prisioneros de dicha nación que están en el Imperio otomano, con expresión de sus nombres, grados y empleos. Una división, compuesta de 4 navios de línea, 8</t>
  </si>
  <si>
    <t>tendrán igualmente los demas franceses. Se ha despachado una embarcación á Egipto para comunicar ai General Menou esta resolución del Gran Señor, y las condiciones del cange. Como el Capitán Baxá tiene muchos enemigos, se cree que estos se aprovecharán de su partida para malquistarle con el Sul</t>
  </si>
  <si>
    <t>el General ingles Abercrombie fué atacado al mismo tiempo por la guarnición de Alexandría y por el General Menou. Este le acometió por la izquierda con mas de 10® hombreíLy 30 piezas de artillería, y lo derrotó:. 3® ingleses quedáron en el campo de batalla, y otros 6® cortados y hechos prisi</t>
  </si>
  <si>
    <t>o llegó á Menorca el diá i.® de Abril con noticia de que los ingleses habían sido derrotados por el General Menou : y añade que de resultas de esta noticia rey naba la mayor consternación en Mahon.”__ .Asimismo, algunas cartas de Constantinopla de 27 de Marzo expresan que en aquella capi-t ta</t>
  </si>
  <si>
    <t>sitio el día 23, y se preparaban á cercar á Alexandría, en donde parece qne se halla actualmente el General Menou. Añaden que el General Regnier habia llegado ya á aquellas inmediaciones con un cuerpo de 12© hombres entre franceses y africanos; y que Menou esperaba también socorros del Bey Am</t>
  </si>
  <si>
    <t>al Cayro á Isaac-Bey con un encargo secreto , que se creía relativo á entablar negociaciones con el General Menou con total independencia de los ingleses, y aun del Gran Visir, enemigo personal del Capitán Baxá ; pero habiendo declarado Menou que estaba determinado á mantenerse en Egipto hast</t>
  </si>
  <si>
    <t>de Abril hubo en Egipto una sangrienta batalla, entre el exército ingles y el francés. Habiendo el General Menou recibido refuerzos considerables del Cayro , atacó á los enemigos; en su campo cerca de Álexandría,, y los obligó á embancarse aceleradamente, causándoles considerable pérdida en</t>
  </si>
  <si>
    <t>se sabe por declaraciones de otros sugetos. Hablando luego de la batalla del 21 dice: ,,Habiendo el General Menou venido -del Cayro con parte del exército y la caballería, reconoció la situación dé los enemigos, y resolvió atacarlos. Nuestras tropas se pusieron en marcha antes de amanecer ; y</t>
  </si>
  <si>
    <t>que las reliquias de aquel exército abandonaron á Egipto, me parecen tanto mas probables quanto el General Menou tenia aun gran número de tropas de que podía disponer en varios puntos de Egipto: que la batalla del 21 fué mas funesta para los ingleses que para los franceses; y que el General</t>
  </si>
  <si>
    <t>pais, con tal que le dexasen un batallón de tropas francesas y algunas compañías de artilleros. El General Menou habrá podido reforzarse á mediados de Abril eon mas de 12 batallones y varios cuerpos de caballería y artillería. Todas estas consideraciones me mueven á dar mucho crédito alas no</t>
  </si>
  <si>
    <t>s de Abukir; pero ai mismo tiempo hizo inexpugnable las fortificaciones francesas de Alexandría. El General Menou, que estaba en aquella plaza, se halla abundantemente provisto de municiones y víveres para muchos años. ; Hacia tiempo que el primer Cónsul padecía un reumatismo que le empezó en</t>
  </si>
  <si>
    <t>isos auténticos se divulgan noticias particulares con referencia á cartas de Rhódas: suponen que el General Menou salió de Ale— xandría con 3® hombres; que Mr. Hutchinsón. emprendió su alcance á la. frente dé 5© ingleses, y que el General Braith quedaba en marcha de Suez al Cayro con las trop</t>
  </si>
  <si>
    <t>l 8 de Junio; y así conocemos mejor que ellos el estado en que se hallan Ls cosas en aquel pais. El General Menou con 6® hombres ocupaba el c. mpamentó atrincherado delante de Alexandría, y tenia un cuerpo de 1500 hombres de caballería é infantería, que forrageaba en el Bahiret y le proporcio</t>
  </si>
  <si>
    <t>tá defendida con atrincheramientos muy fiiertisyuna numerosa guarnir &lt; {¡ton, y aun. se dice que el General Menou ha reunido encella sus principales fuerzas. Por lo respectivo ¿ Alejandría siguen los ingleses bloqueando -la plaza lo mejor que pueden, esperando que se rinda por falta de vívere</t>
  </si>
  <si>
    <t>los ingleses y los turcos. El General Hutehinson intimó la rendición de la plaza de Alexandría: el General Menou le envió á decir que no responderla á semejante proposición denigrativa sino á cañonazos. Por un correo de Augsburgo, que llegó ayer, se confirma la noticia del desembarco de las</t>
  </si>
  <si>
    <t>amente los rehenes. XX. Un oficial francés llevará á Alexandna y comunicará da presente-proclama al General Menou, quien podrá aceptarla para los franceses y sus auxiliares (así de marina como de tierra) qué están con él en dicha plaza, con tal que su aceptación se notifique al General que ma</t>
  </si>
  <si>
    <t>de los enemigos, arribó á Cefalonia, y desembarcó en Tatento. Entregó al General Soult pliegos del General Menou, y se despacharon á París por un correo extraordinario. Acababa de recibirse en Alexandría la noticia de la capitulación del Cayro. Los Generales Menou, Rampon, Friant, Sóngis, Sa</t>
  </si>
  <si>
    <t>lliard es muy glorioso para las armas francesas; y sin embargo, las cartas de Viena refieren que el General Menou no aprobó la capitulación, y que en vez de aceptarla para las tropas que manda en Alexandría, ha resuelto defenderse hasta el último extremo. A este efecto mandó salir de la plaza</t>
  </si>
  <si>
    <t>nemos algunos de los nombrados chermes, armados, según su porte, con un canon de 12- ó de 24.----El General Menou no capitulará ni se entregará Insta el último extremo: hay en la plaza mucho arroz; y los árabes llevan de quando en quando trigo y refrescos, y los vendan á buen precio. Delante</t>
  </si>
  <si>
    <t>s demas objetos necesarios para dichos 12® hombres. _ A la partida de este parlamentario quedaba el General Menou encerrado en Alexandría con el resto del exército: la plaza tenia bastantes víveres, y el General en xefe estaba resuelto á defenderla hasta el último extremo.” Por el mencionado pa</t>
  </si>
  <si>
    <t>conforme coii las leyes del pais.” En el artículo 20 se estipula que el plazo señalado para que el General Menou, si aceptaba la capitulación lo avisase al comandante de los ingleses delante de Alexandría, era de 10 dias, y no de 2 como se dixo en la capitulación publicada en Londres. Al fin</t>
  </si>
  <si>
    <t>bargo, miéritrá’s los franceses ocupen á Alexandría será precario nuestro comercio con Egipto__ -El General Menou se ha atrincherado fuertemen-r te en las alturas de aquella plaza, las quales están asegur d^s y defendidas con los muchos reductos , talas y demas obras que han hecho los frances</t>
  </si>
  <si>
    <t>MARTES 10 DE NOVIEMBRE DE i8or. «k s e sostienen las vocesConstantinomia 14 de Setiembre. de que el General Menou se ha visto en la precisión de seguir el exemplo del General Beliard; pero parece que la causa de ello ha sido mas bien la total privación de socorros, que las supuestas ventajas</t>
  </si>
  <si>
    <t>Paget, Enviado británico, en que le avisan la rendición de Alexandría. Aseguran los ingleses que el General Menou hizo pocos dias antes de capitular una salida vigorosa que le costó mucha gente; y añaden que por haberse defendido hasta el último extremo, no alcanzó condiciones tan ventajosas</t>
  </si>
  <si>
    <t>han hecho su viage en 23 dias. Al tiempo de su partida habían cesado las inundaciones del Nilo. El General Menou con unos 100 franceses, que eran los únicos que,quedaban en Egipto, debía embarcarse 3 dias después de la partida de estos parlamentarios para volver á su patria. París 24 de Novi</t>
  </si>
  <si>
    <t>es de la esquadra se reduzcan y pongan según el pie de paz. Algunas cartas de Tolon refieren que el General Menou ha llegado á Francia___ Hállase ya en París el ciud. Desgcnettes, primer médico del exército de Egipto , el qual para que los soldados perdiesen todo miedo á la peste , tuvo el va</t>
  </si>
  <si>
    <t>efectos de la marina pertenecientes á hospitales se habían también llevado á tierra. Finalmente el General Menou votó en estos. términos : ,,Mi opinión particular es que con la capitulación del Cayro (la qual no podia ni debía esperar la parte de exército apostada en Aiexandría) se decidió i</t>
  </si>
  <si>
    <t>Menzies</t>
  </si>
  <si>
    <t>nte que para su remate está señalado el dia 3 de Febrero. ■ Relación de los experimentos hechos por Mr. Menzies en el puerto de Sheernerss á bordo del navíc-hospital la Union , para cortar el progresó de una calentura maligna y contagiosa j traducida del ingles por D. Cárlos de Gimbernat. Pre</t>
  </si>
  <si>
    <t>Meodiri, Francisco</t>
  </si>
  <si>
    <t>Francisco Meodiri</t>
  </si>
  <si>
    <t>r Sargento mayor del de Soria á D. Francisco Calonge, que lo era del de Avila, y ® ¿ esta resulta i D. Francisco Meodiri, que servia igual empleo en aquel</t>
  </si>
  <si>
    <t>Meóeu, General</t>
  </si>
  <si>
    <t>General Meóeu</t>
  </si>
  <si>
    <t>e según se dice’ no contienen noticias importantes. El dia 8 de Julio concluyó el plazo señalado ál General Meóeu pata que aceptase la capitulación del Cayro, y no la había admitido.</t>
  </si>
  <si>
    <t>Mercado, Bartolomé</t>
  </si>
  <si>
    <t>Bartolomé Mercado</t>
  </si>
  <si>
    <t>Alférez al Portaestandarte D. Joachín del Campo; y ea el de Santiago á segundo Teniente al Alférez D. Bartolomé Mercado, y á Portaestandarte al Sargento D. Joseph Prieto. Igualmente en el de dragones de Almansa ha promovido el Rey á Capitán al Ayudante, graduado de Capitán, D. Francisco Sagui: en e</t>
  </si>
  <si>
    <t>Meresu, General</t>
  </si>
  <si>
    <t>General Meresu</t>
  </si>
  <si>
    <t>tos ¿h Francia se han refugiado á aquel margraviato. Se asegura que la Reyna de Nápolcs escribió al General Meresu sobre e! ajuste de paz entre aquella potencia y Francia: y añaden que de resultas ha recibido el Marques de Gallo los pasaportes que esperaba para ir á Luncville ó París. Parece q</t>
  </si>
  <si>
    <t>Meriou, General</t>
  </si>
  <si>
    <t>General Meriou</t>
  </si>
  <si>
    <t>a Pica, y conducido á Abukir^ adonde llegué el 8 de Junio, y salí el dia 20. Entonces se hallaba el General Meriou en Alexandría dueño del lago Mareotis, campado en las alturas fuera del recinto de la plaza. Los ingleses ocupaban la península de Abukir con parte de su exército, no habiendo adela</t>
  </si>
  <si>
    <t>Merioyo, Miguel</t>
  </si>
  <si>
    <t>Miguel Merioyo</t>
  </si>
  <si>
    <t>de granaderos ai de fjisileF¿s''D; Juan Gutiérrez; á segundo Teniente al Subteniente de granaderos D. Miguel Merioyo; á Subteniente de granaderos al de fusileros D. Francisco dé Rbxas; á primer Subteniente al segundo D. Antonio de Soto, y á-segundó Subteniente al Sargento primero D. Francisco An</t>
  </si>
  <si>
    <t>Merlo, Antonio</t>
  </si>
  <si>
    <t>Antonio Merlo</t>
  </si>
  <si>
    <t>tes D. Joseph Galludo, D. Joseph Calíava y D. Rafael Ramiro; á primeros Subtenientes á los segundos D. Antonio Merlo, D. Joseph Juano, D. Joseph Rodríguez, D. Miguel Márquez y D. Joseph Casaus, y a segundos Subtenientes á los Cadetes D. Joseph Joachín Muzo,'1 D. Joseph Losada, D. Andrés Rodrígue</t>
  </si>
  <si>
    <t>Merri</t>
  </si>
  <si>
    <t>ara Calais, volvió al primero de dichos pnertos á las 10 de la roche def rnáitio día con pliegos de Mr. Merri, agente británico en París. Quatro horas después entró un barco francés, que nada mas traía que pliegos para el cind. Orto, los. quales se despacharon inmediatamente á Londres. Rt</t>
  </si>
  <si>
    <t>el de Francia. Hl dia 20 «alió por primera vez escoltando á un parlamentario que lleva pliegos para Mr. Merri, nuestro Agente en París. En dicho barco va como pasagero el Almirante Hawkins- Whitshed con su esposa. La esquadra que á las órdenes de: Mr. Pellew cruza á la altura de J^echefor</t>
  </si>
  <si>
    <t>Emhaxador ingles cerca del gobierno de Francia. Mr. Jackson, que ha ido á París, reemplazará allí á Mr. Merri, que va á Amiens en calidad de secretario de Mr. Cornwallis. Son muchos los ingleses de todas clases que se embarcan en nuestros puertos para Francia. El dia 19 salieron dos parla</t>
  </si>
  <si>
    <t>Merry</t>
  </si>
  <si>
    <t>ciud. Otto; y el 25 había salido de aquel puerto otro parlamentario para Calais. El nombramiento de Mr. Merry para residir en París, y su próxima partida para Francia, aumenta las esperanzas de la paz. Las sumas que Mr. Addington, nuevo Canciller del Echiquier, ha pedido á la Cámara de lo</t>
  </si>
  <si>
    <t>ado de Roma á París el Duque Braschí, sobrino del difunto Papa Pío vi. También ha venido dc’Londres Mr. Merry , en calidad de comisario para el cange de prisioneros, en cuyo encargo reemplaza á Mr.'Coctesl ■ ' Madama Bonaparte y su hija salen mañana para las aguas de Plombieres: las acomp</t>
  </si>
  <si>
    <t>Mersan, General</t>
  </si>
  <si>
    <t>General Mersan</t>
  </si>
  <si>
    <t>ando por su parte libertad á algunos oficiales del rexéreÍto&gt; de; .Egipto,; y con particularidad al General Mersan, que se prendjó aquí quando la declaración de guerra, y se JiaLja encerrado en un castillo del mar Negro. El General Salcette, comandante que fue de Corfá, há si4o;ahora transferi</t>
  </si>
  <si>
    <t>Meséguer, Francisco</t>
  </si>
  <si>
    <t>Francisco Meséguer</t>
  </si>
  <si>
    <t>etas, á a rs.' cada bhóí Pueden, remitirse en carta. El Chismoso: comedia en tres' actos por él Di. D. Francisco Meséguer : representada en el coliseo de la callé "dé la Cruz ; en 8.°á 3 rs.' Sé hallará en la librería de Quiróga, ¿alie de; las Carretas : en lá misma librería se. venden* todas las pie</t>
  </si>
  <si>
    <t>Mesía y Guzman, Diego</t>
  </si>
  <si>
    <t>Diego Mesía y Guzman</t>
  </si>
  <si>
    <t>stampas del Poema de la Música, en fox y Mendoza , y el Mtro. Fr. Luis Ponce ■ 18 rs. de León : 8.° D. Diego Mesía y Guzman, el Retrato del V. Fr. Sebastian Sillero, poe Mtro. Juan de Avila , el P. Fr. Joseph de Carmona , en 10 rs. Sigiicnza , D. Diego Covarrubias y Leyva, Siete estampas de pliego de m</t>
  </si>
  <si>
    <t>Mexía, Estéban</t>
  </si>
  <si>
    <t>Estéban Mexía</t>
  </si>
  <si>
    <t>naderos, graduado de Teniente, Don Antonio Lanao; á Subteniente de granaderos al primer Subteniente D. Estéban Mexía; á primer Subteniente al segundo D. Miguel de Fuentes, y á segundos Subtenientes al Cadete D. Francisco Martin Patino, y al Sargento primero de granaderos D. Francisco Fernandez:</t>
  </si>
  <si>
    <t>Mexía, Joachín</t>
  </si>
  <si>
    <t>Joachín Mexía</t>
  </si>
  <si>
    <t>l Cadete D. Bartolomé Georget; para el empleo de Cadete de número, que este dexa, al supernumerario D. Joachín Mexía, y para Cadete supernumerario al Guardia Don Joseph Ecrriol. ; ’J 'v~ V.' " ./ ' ' V En el regimiento de Reales Guardias Españolas se ha servido promover el Rey á&gt; primer Teniente</t>
  </si>
  <si>
    <t>Meyner, Carlos</t>
  </si>
  <si>
    <t>Carlos Meyner</t>
  </si>
  <si>
    <t>de infantería fixo de Panamá se ha dignado promover el Rey á Capitán de granaderos al de fusileros D. Cárlos Meyner; al empleo que este dexa al Teniente dé granaderos D. Isidro Bastida; al de Ayudante al Teniente D. Manuel Yüste; á Teniente de granaderos al de fusileros D. Joseph Antonio Remon;</t>
  </si>
  <si>
    <t>Mezarcy, General</t>
  </si>
  <si>
    <t>General Mezarcy</t>
  </si>
  <si>
    <t>t- snbien que entregarse con los mejores oficiales di su cuerpo, quedando igualmente prisionero el General Mezarcy, que había reemplazado al General Lopes en el mando de la retaguardia. Este combate , en que los</t>
  </si>
  <si>
    <t>Mgr, General</t>
  </si>
  <si>
    <t>General Mgr</t>
  </si>
  <si>
    <t>’ouwao^L^qmpaña ja^r* ^ Qondc Gotti , Gpbvliiador dé la Marca de A ncona. ¿íj ti-,:: ul El referido General Mgr*| d*Hgfe fe^íguipnte,¡carra al General encmfc Bruñe con techa de 31, dwl mes último ; „ El dfe 28 tomó el ■G^ae.rdí¿au.&lt;-.|</t>
  </si>
  <si>
    <t>Mgrqpéz, Bernardo</t>
  </si>
  <si>
    <t>Bernardo Mgrqpéz</t>
  </si>
  <si>
    <t>ry yEacyípata (i. Dignidad de Maestrescuela dé la catedral de Segovia, vacante pór fallecimiento de D. Bernardo Mgrqpéz, á Di Ventura Henrique de 'Padeció,' CíaDignidad de Prior yCariongtií ba: para otra Canongía dé H catedral de ■ Salamanca, tacdhte pót "fallecimiento dé D. Mánóel MoAteró y Gorjdr</t>
  </si>
  <si>
    <t>MI, Rafael</t>
  </si>
  <si>
    <t>Rafael MI</t>
  </si>
  <si>
    <t>niente de granaderos D. Ramón Muñoz de Ai&gt; tacho; á Subteniente de granaderos' al primer Subtemeóte D Rafael MI— • rauda; á primer Subteniente al segundo í&gt;. Manuel Rubiales; segundo Subteniente al Sargento primero de granaderos D. FernaUdo-Ortiz. - V También en el regimiento de caballería</t>
  </si>
  <si>
    <t>MiaEis, General</t>
  </si>
  <si>
    <t>General MiaEis</t>
  </si>
  <si>
    <t>ia florentina tuvo el día 25 junta extraordinaria para honrar la memoria de la célebre Corillri. Él General MiaEis asistió á dicha ceremonia , como también* varios diputados della ciudad dePdtoya^-patriade</t>
  </si>
  <si>
    <t>Michaud, General</t>
  </si>
  <si>
    <t>General Michaud</t>
  </si>
  <si>
    <t>el alcance, y cogimos 200 prisioneros y una pieza de artillería. Hoy la vanguardia, mandada por el General Michaud en lugar de Delmas (que cayó ayer enfermo), volvió ár, pelear obstinadamente entre;Citadella y Castel-franco. Este último parage se disputó con el mayor empeño; pero á las 4 de la t</t>
  </si>
  <si>
    <t>Miesch, Antonio</t>
  </si>
  <si>
    <t>Antonio Miesch</t>
  </si>
  <si>
    <t>de granaderos, graduado de Capitán, D. Ventura Rougemont; á Teniente de granaderos al de fusileros D. Antonio Miesch; á Teniente de fusileros al Subteniente de granaderos D. Francisco César Phíuoger, y á Subteniente de granaderos al de fusileros D. Francisco Molí. También ha promovido S. M. en e</t>
  </si>
  <si>
    <t>Migue</t>
  </si>
  <si>
    <t>egundo Teniente de granaderos D. Francisco D ona ; á segundo Teniente de granaderos al de fusileros D. Migue e í0&gt; á segundos Tenientes á los Subtenientes de granaderos D. Ratae de arcía y D. Joseph Qüiros,y al primer Subteniente D. Joseph Solana Cagigal; á Subtenientes de granaderos á los</t>
  </si>
  <si>
    <t>Migueí VilJalba, Capitán</t>
  </si>
  <si>
    <t>Capitán Migueí VilJalba</t>
  </si>
  <si>
    <t>rios Ae esta matrícula, propios de su armador D, Juan Barhen» nombrados la cañonera el Poderoso, su Capitán Migueí VilJalba, y el místico el Gibraltar: oyéron un cañoneo en la costa de Berbería á la parte del Leste, y dieron vela ciñendo lo posible</t>
  </si>
  <si>
    <t>Miiniz y Gatuno, Miguel</t>
  </si>
  <si>
    <t>Miguel Miiniz y Gatuno</t>
  </si>
  <si>
    <t>. 5*5 «na Canonjía de la catedral de Tlasencia, vacante por fallecimiento de Don r r,u4a á D Miguel Miiniz y Gatuno: para ta Ración que dexa «TrTrnSedral á ^Lnnel Paredes Molino^, Cora de los Huertos: Sra una Ración de la catedral de Mondoftedo, vacante por muerte de Don finando Noguerol.á D. J</t>
  </si>
  <si>
    <t>Mijares, Francisco</t>
  </si>
  <si>
    <t>Francisco Mijares</t>
  </si>
  <si>
    <t>rimer Subteniente ,al segundo D. Juan Joseph Navas: en el de Lean tá primer ¡Subteniente al segundo D. Francisco Mijares, y á;segundo Subteniente ai Cadete del de Africa D. Joachín María Salcedo: eñ el citado de Asturias á,Capitán de granaderos al de fusileros graduado de Teniente Coronel’D. .Urbano</t>
  </si>
  <si>
    <t>Mijares, Nicolás</t>
  </si>
  <si>
    <t>Nicolás Mijares</t>
  </si>
  <si>
    <t>el Rey promover á Ayudante al Teniente graduado de Capitán D. Francisco Mir; á Teniente aí Alférez D. Nicolás Mijares; á Alférez ai Portaguión Don Lorenzo Gutiérrez , y á Portaguión al Cadete D. Felipe Meiaigc.</t>
  </si>
  <si>
    <t>Mijito, Lord</t>
  </si>
  <si>
    <t>Lord Mijito</t>
  </si>
  <si>
    <t>sin haber t 1 ido audiencia del Emperador ; pero que volverá antes de dos meses p.ra reemplazar al Lord Mijito como Embaxador ingles. ~T7 - Londres 14 de Agosto. ' /. JEsta mañana llegó un correo á ia secretaría dé Estado, y otro á la compañía de la India. Ambos traen pliegos con noticias</t>
  </si>
  <si>
    <t>Milagro y Santas, Manuel</t>
  </si>
  <si>
    <t>Manuel Milagro y Santas</t>
  </si>
  <si>
    <t>a Dignidad de Arcipreste, con Canongía unida y cargo de Cura de almas de la catedral de .Tarazona,á D. Manuel Milagro y Santas: para la Dignidad de Tesorero1 de la catedral; de Santandervacante por</t>
  </si>
  <si>
    <t>Milito, Lord</t>
  </si>
  <si>
    <t>Lord Milito</t>
  </si>
  <si>
    <t>e en tüdo formarán una esquadra de 25 buques de guerra. Ví¿na 16 de Diciembre. A caba de recibir el Lord Milito, Ministro británico, un correo extraordinario de Malta, que según dice trae noticia de que una esquadra inglesa ha pasado por aquella isla con muchos transportes y 15 9 hombres de</t>
  </si>
  <si>
    <t>Millington</t>
  </si>
  <si>
    <t>todos los años, el descubrimiento de la vaccina. Por ausencia del Conde de Cholmonddcy lo presidió Mr. Millington. Acaban de celebrarse en Inglaterra los matrimonios siguientes: Ricardo Finch, de edad de año ha casado con Ana Wigley, que tiene 89: Mr. Shepher de 8i, con Ana. Watson de 24: Jua</t>
  </si>
  <si>
    <t>Mimo, Lord</t>
  </si>
  <si>
    <t>Lord Mimo</t>
  </si>
  <si>
    <t>oVdin río y Ministro plenipotenciario de S. M. Británica, ha llegado i esta capital-par* suceder al Lord Mimo, y pasado m ñctUA tendr i su primer audiencia del Emperador, en la qual su ;aiitecesor se despedirá de S. M-----Mr. Straton, .secretario de dicha ¿mbaxada inglesa, va a Constantin</t>
  </si>
  <si>
    <t>Minansu, Rafael</t>
  </si>
  <si>
    <t>Rafael Minansu</t>
  </si>
  <si>
    <t>Rafael Minansu... Josepttf......... María Pereyra,.,.vS Martin ,de' ' Duyo......... Finistcrra........</t>
  </si>
  <si>
    <t>Mingo Morales, Pablo</t>
  </si>
  <si>
    <t>Pablo Mingo Morales</t>
  </si>
  <si>
    <t>para otro de la parroquia de S. Andrés de Masma, en el obispado de Mondoñedo, vacante per muerte de D. Pablo Mingo Morales, á D. Vicente García Mancha; y para otro simple servidero, llamado Ración, en ja parroquia de la villa de San Felices de los Gallegos, en la diócesis de Ciudad-Rodrigo, vacante po</t>
  </si>
  <si>
    <t>Minio, Lord</t>
  </si>
  <si>
    <t>Lord Minio</t>
  </si>
  <si>
    <t>brado Mr. Arturo Faget para Enviado extraordinario de Inglaterra en la corte de ^Yiena en lugar del Lord Minio, que se retira á Londres. . * i ’ Haya 26de Mayo* A caba de' prohibir este gobierno que én las gazetás dé la República se hable de la marina, ni de las fuerzas terrestres del esta</t>
  </si>
  <si>
    <t>Ministro á io</t>
  </si>
  <si>
    <t>za, recibirán en ellos los pasaportes que á este efecto se han dirigido por el! Ministro á io% xefts de policía de dichos puertos. A los extrangeros que desembarquen en puntos de la costa diferentes de íos mencionados, se Íes darán los pasaportes despué</t>
  </si>
  <si>
    <t>Ministro á la solicitud del Plenipotenciario francés</t>
  </si>
  <si>
    <t>otivos reunidos se oponían poderosamente á que yo desaprobase la accesión de mi Ministro á la solicitud del Plenipotenciario francés. Resolví pues, en con— seqiiencia de la declaración hecha por mi Plenipotenciario, y que yo aprobé atendido el estado de las cosas, mandar que se ajustasen tam</t>
  </si>
  <si>
    <t>Ministro á Mr</t>
  </si>
  <si>
    <t>ar la esquadra^ Copenhague JO de Marzo. H a concedido S. M. Británica título de Ministro á Mr. Drummond, su Encargado de Negocios en esta corte; pero hasta ahora no ha presentado sus nuevas credenciales á este Soberano. El 6 por la noche volvió á. esta</t>
  </si>
  <si>
    <t>Ministro á quienes acusa de ser causa</t>
  </si>
  <si>
    <t>omunes que el dia 18 pedirá se forme una junta para examinar la conducta de los Ministros á quienes acusa de ser causa de la,última guerra. Varios Enviados extrangeros confereaciáron antes de ayer con el Lord Hawkesbury, y concluida la conferencia se despacharon correos con pliegos p</t>
  </si>
  <si>
    <t>Ministro Acton</t>
  </si>
  <si>
    <t>fuerza de representaciones han conseguido que ei Rey de Ñ ipóles confiriese al Ministro Acton (que se halla en esta capital con el Príncipe heredero) poderes y facultades mas amplias para resolver en ciertos «asos. Roma jo de Setiembre. . L as tropas fr</t>
  </si>
  <si>
    <t>Ministro Addíngton ha recibido noticias de mucha satisfacción de parte</t>
  </si>
  <si>
    <t>, que se ha hecho célebre por el descubrimiento dé la vacuna. Se asegura que el Ministro Addíngton ha recibido noticias de mucha satisfacción de parte del Marques de Cornwallis, quien le avisa que el priníef Cónsul de Francia manifiesta en todo las disposiciones mas pacíficas/ En el último paquebot de Lisboa ha v</t>
  </si>
  <si>
    <t>Ministro al ajuste de los preliminares</t>
  </si>
  <si>
    <t>pedir su engrandecimiento..... No conozco los motivos que han determinado á los Ministros al ajuste de los preliminares, en las circunstancias en que se hallaba la Europa. Aunque he oido hablar de algunos, no me convencen, ántes bien me parecen insuficientes. No diré mas por aho</t>
  </si>
  <si>
    <t>Ministro al firmar esta paz firmaron el decreto de muerte</t>
  </si>
  <si>
    <t>ro en hacer ahora la mh,yse reduce á que estoy en h firme persuasión de que los Ministros al firmar esta paz firmaron el decreto de muerte de este país..... No advierto medio alguno para librarlo de los males que I3 causará semejante acontecimiento. Lo único de que carecía la Francia para hallarse en</t>
  </si>
  <si>
    <t>Ministro antes de poner en ellos su confianza</t>
  </si>
  <si>
    <t>Le replicó Mr. Western insistiendo en que la Cámara debia conocer 4 los nuevos Ministros antes de poner en ellos su confianza; y que los que se nombraban en el público no tenían ningún derecho á que la nación confiase en ellos; pues eran hechuras de Mr. Pitt, y están formados según su</t>
  </si>
  <si>
    <t>Ministro Austria</t>
  </si>
  <si>
    <t>traordinario la noticia de Ja pasí, la eomunicp al Secretario de Estado y á los Ministros de España y Austria; Aquel dia: tuvo dos conferencias con el Papa, y S. S. le regaló una caxa</t>
  </si>
  <si>
    <t>tación extraordinaria del Imperio. Ademas se está tratando en Berlín, entre los Ministros de Prusia y Austria , sobre si el Emperador debe tUr plenipotencias á dichos diputados para el desempeño de su encargo. Se asegura que entre la Francia y la Prusia hay en el dia n</t>
  </si>
  <si>
    <t>Ministro Austria han aprobado la erección del monumento</t>
  </si>
  <si>
    <t>según parece ascienden á la suma de %% millones. Ratisbona 16 de Octubre. L os Ministros de Bohemia y Austria han aprobado la erección del monumento en honor del Archiduque Cárlos. El número de votos dados hasta ahora sobre este asunto es de 7 en el colegio de los Elecrores, 80 en el de los Príncipes, y 41</t>
  </si>
  <si>
    <t>Ministro austríacos</t>
  </si>
  <si>
    <t>uella negociación podía sospecharse alguna astucia y duplicidad de parte de los Ministros austríacos, sin duda por haberlo solicitado así los de la Gran Bretaña, quienes lo habrán conseguido á fuerza de oro, Aunque Mr. Sheridan volvió á hablar esforzando su op</t>
  </si>
  <si>
    <t>iolación ha sido la primer causa de la colicion del Norte, de la mudanza de los Ministros austríacos, del retiro de los de Inglaterra; en una palabra, el origen de todosdos males que afligen ahora á la Inglaterra: finalmente dixo que aquella infracción era una</t>
  </si>
  <si>
    <t>Ministro austríacos no h</t>
  </si>
  <si>
    <t>omo los de baxonia y Brandi nburgo, y otros tomó los de Colonia y Tréveris. Los Ministros austríacos no h.n recibido todavía sus instrucciones sobre el. particular; v entre tanto celebran muchas conferencias con el Conde de Goertz, Ministro de Prusia.</t>
  </si>
  <si>
    <t>Ministro austríacos residentes en los diferentes Círculo</t>
  </si>
  <si>
    <t>ría, como de xefe del Imperio germánico^ Al día siguiente W dirigió á todos los Ministros austríacos residentes en los diferentes Círculo* del Imperio una circular, que substancialmente decía: „ La República francesa estipuló en el último armisticio de 30 dial la condición dé que se coiw cluiria</t>
  </si>
  <si>
    <t>Ministro bátavo en esta corte</t>
  </si>
  <si>
    <t>arias aldeas inmediatas á esta capital. Fetersburgo 13 de Mayo. E 1 crud. Buysy Ministro bátavo en esta corte, ha entregado sus nuevas credenciales al Emperador, quien en esta ocasión dio señales de sus disposiciones amistosas á favor de esta República. No tardará $. M</t>
  </si>
  <si>
    <t>Ministro Beurnonvilie que Paulo I despachaba á Mr</t>
  </si>
  <si>
    <t>sido el Baton de Krudner, Enviado ruso en la corte de Prusia, quien comunicó al Ministro Beurnonvilie que Paulo I despachaba á Mr. Kalitschew en calidad de Embaxador á París. Lleva de sueldo anual 100® rublos, y el Emperador le ha dado .50© para gastos del viage. ;■ , . Aseguran varias ga</t>
  </si>
  <si>
    <t>Ministro Brandi nburgo</t>
  </si>
  <si>
    <t>. Igual variedad de pareceres hubo en el colegio de ios Principes: votaron unos Ministros como los de baxonia y Brandi nburgo, y otros tomó los de Colonia y Tréveris. Los Ministros austríacos no h.n recibido todavía sus instrucciones sobre el. particular; v entre tanto celebran muchas</t>
  </si>
  <si>
    <t>Ministro británico</t>
  </si>
  <si>
    <t>e 25 buques de guerra. Ví¿na 16 de Diciembre. A caba de recibir el Lord Milito, Ministro británico, un correo extraordinario de Malta, que según dice trae noticia de que una esquadra inglesa ha pasado por aquella isla con muchos transportes y 15 9 hombres de</t>
  </si>
  <si>
    <t>echa por el Ministro de Estado prusiano, Conde de Haugwitz, al JLord Carisford, Ministro británico, quando la ocupación dé Cuxhaven por las tropas de Prusia. Dixo entonces el Conde de Haugwitz que el único,objeto que el gabinete de Berlín se proponía en dich</t>
  </si>
  <si>
    <t>Añaden otros avisos que también ha pedido se man* de-salir de Constantinopla al Ministro británico. ' El día 21 hubo en Bsdin y en sus contornos una,tempestad que causé varios danos. En los campanarios de Britwald y de Munchcberg cayéron rayos, de que result</t>
  </si>
  <si>
    <t>llegada á la Sublime Puerta, al Capitán Baxá, y también sin duda ai Lord Elgin, Ministro británico; pero este niega haber recibido sus cartas, para librarse así ■de dar informes al gobierno turco. Despachó igualmente el Lord Keith 4 navios de línea y otras t</t>
  </si>
  <si>
    <t>augwitz, Ministro de gabiné-^ te de S. M. Prusiana, una nota a! LoVd CarisFord, Ministro británico, sobre el embargo puesto en Inglaterra én las embarcaciones dinamarquesas y'sue-f. cas. En ella dice que la Inglaterra no puede'ni debe1 considerar cohio dispo</t>
  </si>
  <si>
    <t>Ministro británico cerca del Gran Señor</t>
  </si>
  <si>
    <t>anguardia. Hay gran desunión entre el referido Almirante Keith y el Lord Elginr Ministro británico cerca del Gran Señor. Envió este á Mr. Morrier, su secretarioal cámpotdel Gran V^ para proponer una nueva capitulación á los franceses; y al volver desu comisión fué preso en el qu</t>
  </si>
  <si>
    <t>Ministro británico en Berlín</t>
  </si>
  <si>
    <t>ricultura y el comercio. Hannover 5 de Noviembre. A otes que el Lord Carisford, Ministro británico en Berlín, saliese de allí para Londres, fué cumplimentada con motivo del restablecimiento de la paz que tanto se deseaba. Uno de los primeros beneficios que de ella res</t>
  </si>
  <si>
    <t>Ministro británico en esta corte</t>
  </si>
  <si>
    <t>entro en Els&lt;¿neur con bandera parlamentaria. Traía pliegos para Mr. Drummond, Ministro británico en esta corte , el qual ios recibid, y de resultas de las instrucciones de su gobierno, entrego hoy una nota al ministerio dinamarqués, y tuvo una conferencia con el Ministr</t>
  </si>
  <si>
    <t>Ministro británico Lord'Garisford</t>
  </si>
  <si>
    <t>a, y de allí los enviaban á Holanda. ; - El Príncipe Adolfo de Inglaterra, y el Ministro británico Lord'Garisford, han hecho los posibles esfuerzos para impedir la ocupación de dicho Electorado; pero todos han sido vanos, pues persistiendo S. M. en su resolución ha mandado</t>
  </si>
  <si>
    <t>Ministro británicos ha sido negativa</t>
  </si>
  <si>
    <t>do»;su navegación untes de la orden del embargo. Parece que la respuesta de ¡os Ministros británicos ha sido negativa. ' No obstante los muchos motivos de queja que dan los ingleses á nuestro obierno, no permite estu todavía que en los puertos de Dinamarca vendan g &gt;s corsario</t>
  </si>
  <si>
    <t>Ministro Bruix al nuevo Emperador</t>
  </si>
  <si>
    <t>o á la República y á su actual gobierno. El 28 dei misino mes fué presentado eL Ministro Bruix al nuevo Emperador, quien le ofreció conservar la armonía é inteligencia; que acababa de restablecerse entre aquel Imperio y esta República, y le. encargó comunicase al gobierno</t>
  </si>
  <si>
    <t>Ministro celebren una conferencia particular para resolver sobre el asuntos</t>
  </si>
  <si>
    <t>. Sueca sobre erigir un monumento^al Archiduque Cirios, y ha pedido á los demás Ministros celebren una conferencia particular para resolver sobre el asuntos ’ &gt; Munich 12 de Octubre, H a adoptado el Elector varias providencias pira extinguir la mendicidad en sus estados. Una de ellas consiste en perseguir á los vag</t>
  </si>
  <si>
    <t>Ministro cerca de la República francesa</t>
  </si>
  <si>
    <t>elipe de Cobentzel, primo del Conde del mismo título que está en París, para su Ministro cerca de la República francesa. Ratisbona ij de Julio. N ingun vocal de la Dieta ha recibido hasta ahora instrucciones de sus cortes relativas al ultimo decreto del Emperador, sin embargo de</t>
  </si>
  <si>
    <t>Ministro Colonia opilaran que se pida al Emperador</t>
  </si>
  <si>
    <t>dos i y con que condiciones han de cederse los países que se secularicen.___Los Ministros de Tréveris y Colonia opilaran que se pida al Emperador teme á íu cargo-el arreglo de qúante falta que hacer para el complemento de la paz, y que á este efecto se</t>
  </si>
  <si>
    <t>Ministro como declaración de guerra</t>
  </si>
  <si>
    <t>ó ninguna ley ni uso que sanciona* se los derechos, cuya contestación miran los Ministros como declaración de guerra: probó con exempíos que es falso decir que antes de la guerra de América no se habia hecho semejante pretensión ; y añadió que aun quando fuese justo lo, que a</t>
  </si>
  <si>
    <t>Ministro como los de baxonia</t>
  </si>
  <si>
    <t>Ministro cón ardor</t>
  </si>
  <si>
    <t>antiosos subsidios, debemos saber á que manos se confian; debemos conocer á los Ministros para juzgar si trabajarán de buena fe y cón ardor en poner fin á la guerra ,ó si seguirán los principios de sus antecesores: si emplearán en beneficio de su pais lós poderes y medios que se les confian, ó si s</t>
  </si>
  <si>
    <t>Ministro concurran á la Cámara</t>
  </si>
  <si>
    <t>ahora, nos dirá entonces que ya no es Ministro. Esperemos pues á que los nuevos Ministros concurran á la Cámara. Concluiré haciendo una observación dólorosa sobre los antiguo* Ministros: y es que su retirada queda’ señalada con un golpe dado á la Constitución , como lo f</t>
  </si>
  <si>
    <t>Ministro Conde de Bernstorff</t>
  </si>
  <si>
    <t>este puerto en la fragata Latona: baxó á tierra, y tuvo una conferencia con el Ministro Conde de Bernstorff.. También visitó á Mr. Lizakewitz, Ministro ruso, con quien comió, y fuá quien le presentó á Mr. BernstorfF._~El Comendador dinamarqués Mr. Bille envió-un ofic</t>
  </si>
  <si>
    <t>Ministro Conde de BernstoríF de Inglaterra á Dinamarca</t>
  </si>
  <si>
    <t>anglo-americanas. Según avisos de Copenhague, de fecha posterior al regreso del Ministro Conde de BernstoríF de Inglaterra á Dinamarca, parece que no se ha restablecido enteramente la buena inteligencia entre las dos cortes. Nada se sabe todavía en orden á la restitución de las islas dinamarqu</t>
  </si>
  <si>
    <t>Ministro Conde de Pablen</t>
  </si>
  <si>
    <t>s fomentadores: de este proyecto. Examinólo S. M. I., y después de consultar al Ministro Conde de Pablen, desechó con entereza semejante innovación, y prohibió que en ningún tiempo se hablase de ello. Sin embargo, proseguían los Sres. Subow sus tramas, esperando c</t>
  </si>
  <si>
    <t>Ministro Contador de las Reales Caxas de Comayagua</t>
  </si>
  <si>
    <t>a, se ha servido el Rey nombrar para este empleo ¿ D. Benito Muñoz : para el de Ministro Contador de las Reales Caxas de Comayagua, vacante por muerte de D. Joseph Julián Hernández, á D. Juan Ortiz de Letona, Ministro principal de Real Hacienda de Truxillo: para esta resulta á D, Gaspar Pi</t>
  </si>
  <si>
    <t>Ministro cxtrangeró</t>
  </si>
  <si>
    <t>hora podría entregarle ^ re-; galo de ^despedida, que se acostumbra hacer a los Ministros cxtrangeró*^ Respondióle Mr. Ehrensward que en atención á que no teni? &lt;jue'comuni-j car á su Soberano sino pérdidas causadas por violaciones de fes' ippíeses,fho quería</t>
  </si>
  <si>
    <t>Ministro db</t>
  </si>
  <si>
    <t>re«eiigó) absübveis.Llon el!os ^ís atéheíibnksíy .muramieotps débidps enp» tre "Ministros db/Jjbtenchrs.que conservan entré sír elaciones de. urbanidad y buena i nteligenci ac Asi mismo común i careis convelías en todo, lo qpese re*» ñera :ú bien del]s</t>
  </si>
  <si>
    <t>Ministro de</t>
  </si>
  <si>
    <t>el fondo que se ha ¡untado para ello. Ademas los Con*? «ules rhan encargado al. Ministro dé, ‘lo Interior forme al instante una junta para reconocer y tasar los darlos ocasionados á varios ciudadanos por la máquina infernal, y presente cjuanto antes l</t>
  </si>
  <si>
    <t>, que padeciéron quandó' se* voló la máquina infernal; Por los informes que el Ministro de ,1o Interior y eí- Prefecto dé policía han' comunicado á los Cónsules ¡consta que^ ei nutftero d^&gt;Hs¿p0rSonas;qliey&gt;etdiérbn la mida en* aquella, ocasión p ó’d</t>
  </si>
  <si>
    <t>tria. : ; :• --?*"-' .. . .drd, i&amp;én&amp;üa- zg.deJbfciembTe* V ■ d'd íl :&gt;\, \ E 1 Ministro de la 'República cisalpina, residente aquí , acaba de recibir noticias de Bolotiu . que desmiemen hs voces que corriérbn de haber los austríacos' entrado* en aquella</t>
  </si>
  <si>
    <t>de Febrero. .a llegado á esta ciudad el General Aiigereau.. x „:i Noticioso, el Ministro de^Pólicta de qué 'Mr. Cazalés se habla embarqa«k&gt;r.én^Dodvres á fiñ~de entrad én ‘Francia por Calais ,pHa enviado órdéil á aquebpuerto para qué lo vuelvátl á'éhí</t>
  </si>
  <si>
    <t>l» rs de sueldo., Ayer vblvio de'Saxonia áqüí'^1 Barón dre •. Jacobi-3&amp;loest,‘.-Ministro de !Prüsia ed Lóndres. ; -■' El Rey de Prusia ha comprado en 8o® rixdalers la biblioteca del difunto Mr. Forster, profesor «en la Universidad de Hall ,.y autor de</t>
  </si>
  <si>
    <t>Ministro de aquel Jn</t>
  </si>
  <si>
    <t>&gt; 'Manheim 8 de Agosta. * L a circular dirigida por el gabinete de Rusia a los Ministros de aquel Jn* perio residentes en las cortes extrangeras sobre las actuales conexiones entre Rusia y Francia, estaba concebid^ en estos términos: ,, Aun no se han restablec</t>
  </si>
  <si>
    <t>Ministro de aquella corte difiertí darlo</t>
  </si>
  <si>
    <t>era la Dieta mas que el voto de Brandemburgo para cerrar el conclusitm\ pero el Ministro de aquella corte difiertí darlo, sin duda hasta que se reciba un decreto que se espera del Emperador, el quaí contiene un proyecto ó plan sobre los resarcimientos y secularizaciones, formado</t>
  </si>
  <si>
    <t>Ministro de aquella República</t>
  </si>
  <si>
    <t>llegó un secretario del primer Cónsul, que se ap-.:ó en casa del ciud. Cacault, Ministro de aquella República. Hablase mucho del consistorio que S. S. celebró el dia 27 : duró horas, y se dice que en él se versó un asunto de la mayor importancia. Apénas se concluyó, sa</t>
  </si>
  <si>
    <t>Ministro de aquella República cerca del Rey de Etruria</t>
  </si>
  <si>
    <t>ierno el 28 de Octubre, y salió Iqegq para.Milan, de donde irá á Florencia como Ministro de aquella República cerca del Rey de Etruria. El dia 4 entró en estq puerto un navio raguseo procedente de Alcxandría con 400 franceses del exército de Egipto. .Milán 8 de Noviembre. L a junta de gobierno</t>
  </si>
  <si>
    <t>Ministro de Austria</t>
  </si>
  <si>
    <t>ros del -Imperio, esto es, de Maguncia y Saxonia; pues así ha votado también el Ministro de Austria, lo qual ha causado alguna exuañeza , porque se sabe que estos dos Electores son los que manifiestan mas deseo de disminuir quanto sea posible el número, de se</t>
  </si>
  <si>
    <t>ida en la campaña de 1799* Berna i$&gt; de Noviembre. S e esp-nn en breve aquí los Ministros de Austria , Prusia é Inglaterra;de lo quA puede inferirse que este gobierno no tardará en consolidarse.</t>
  </si>
  <si>
    <t>a capital con el Príncipe y la Princesa de Badén, á quienes el Conde de Lodron, Ministro de Austria, ha obsequiado con una fiesta muy lucida.—El ciud. Bourgoing, Ministro de Francia, dará en breve otra gran fiesta para celebrar el ajuste de los preliminares d</t>
  </si>
  <si>
    <t>no tiene que dar territorios para indemnizarle. Añaden qüe el Conde de Stadion, Ministro de Austria, ha entregado á la corte de Berlín una memoria en que se establecen estos principios; pero que el Rey de Prusia insiste en que se le indemnice en Alemania, y q</t>
  </si>
  <si>
    <t>Ministro de Baviera</t>
  </si>
  <si>
    <t>os resarcimientos á los Príncipes herederos. Está proposición ha desagradado al Ministro de Baviera; y ahora se da por cierto .que él Eropera</t>
  </si>
  <si>
    <t>de Suabia han enviado á Viena una diputación con igual objeto. Mr. de Rehberg, Ministro de Baviera, ha salido de aquí para Petersburgo, y ha dexado su voto al Ministro prusiano Conde de Goertz; siendo</t>
  </si>
  <si>
    <t>Ministro de Berlín y el de Hanndvér sobre la manutención</t>
  </si>
  <si>
    <t>de los asuntos del Imperio. Entre tanto se han hecho nuevas contratas entre el Ministro de Berlín y el de Hanndvér sobre la manutención de los prusianos, las quales son algo mas favorables para el país que las anteriores___ Mr. de Rheden, que era Ministro hannoveriano en Berlín antes de la ocupaci</t>
  </si>
  <si>
    <t>Ministro de Bohemia</t>
  </si>
  <si>
    <t>S. M, el Emperador y la República francesa. . .-El Conde de Gollorjedo-, nuevo ^Ministro de Bohemia, que llegó aquí eL 6;,: asistió eL dia^siguicnte á la vo-^ tacion en el colegio de los Electores, y sn voto contribuyó á que el mayor número de los vocales sig</t>
  </si>
  <si>
    <t>Ministro de Bohemia opinó por dicha diputación</t>
  </si>
  <si>
    <t>me una diputación compuesta de los dos únicos estados de Maguncia y Saxoniá. El Ministro de Bohemia opinó por dicha diputación; pero el de Sáxonia dixo que en atención, á su importancia se tratase el asunto por todos los vocales de la Dieta,en fel parage&gt;a^$urabiado de;sus juntas. Los</t>
  </si>
  <si>
    <t>Ministro de branda al ciud</t>
  </si>
  <si>
    <t>aquí el oenerd Mscconald para Copenhague, adonde va á reemplazar en calidad de Ministro de branda al ciud. Bourgoing, que pasa con igual carácter a Stockolmo. Entre las trop-s que vuelven de Alemania á Eranda se halla la media bridada niím. 46, limad* la Terrible,</t>
  </si>
  <si>
    <t>Ministro de Brandenburgo fué como el de Magdeburgo</t>
  </si>
  <si>
    <t>ntá plena diera su dictamen Sobre el punto de las indemnizaciones. El voto del .Ministro de Brandenburgo fué como el de Magdeburgo; pero usó de expresiones que en cierto modo sirven de respuesta á las quejas indirectas que el .último' decreto imperial insinuaba contra la corte de Berlín y</t>
  </si>
  <si>
    <t>Ministro de Braudembui'go</t>
  </si>
  <si>
    <t>ama y de varios Príncipes de la Alemania meridional opináron y. vótaron comó cl Ministro de Braudembui'go. El dél-Elector de. Maguncia. votó. sufrplemente fori ja fátifteacion dél tratado de'paz. ¡ &gt; tu mí# ¡y; ,&lt;o ■¿cv&amp;tm i El dia 6 &gt; se; abrió- en los- tres coleg</t>
  </si>
  <si>
    <t>Ministro de capa y espada del Consejo de Indias</t>
  </si>
  <si>
    <t>114 de Ministro de capa y espada del Consejo de Indias, vacante por fallecimiento de D. Francisco Xavier de ■Fondeviía. Eí Rey se ha servido nombrar Cirujanos del primero y tercer batallón del regimiento de infante</t>
  </si>
  <si>
    <t>Ministro de Colonia</t>
  </si>
  <si>
    <t>rreglar según el tenor del tratado de Lutieville. : En iguales términos voto el Ministro de Colonia, añadiendo que si $. M. I. no quiere encargarse de ello, se forme una diputación compuesta de los dos únicos estados de Maguncia y Saxoniá. El Ministro de Bohe</t>
  </si>
  <si>
    <t>Ministro de comercio Príncipe Gargarinn</t>
  </si>
  <si>
    <t>ar de Petersburgo Conde de Pablen, el Consejero privado Príncipe de Lapukin, el Ministro de comercio Príncipe Gargarinn, el Almirante y Vice-Presidente del Consejo de Almirantazgo Conde de Kuchelaw, y el Consejero privado Conde de Trochincki. Tienen estos sugetos por su empleo f</t>
  </si>
  <si>
    <t>Ministro de conferencias</t>
  </si>
  <si>
    <t>as órdenes, Chambelán, Consejero íntimo actual de su dicha Mag. Imp. y Real, su Ministro de conferencias, y Vicecanciller de corte y estado; y el primer Cónsul de la República francesa, en nombre del pueblo francés, al ciud. Joseph Bonaparte, Consejero de Estado:</t>
  </si>
  <si>
    <t>Ministro de convenirse en tan delicado asunto</t>
  </si>
  <si>
    <t>u.disposición!; y se retardó la abertura .del Parlamento para 'dar tiempo á los Ministros dé convenirse en tan delicado asunto. Mr. Pitt representó en vano que la palabra dada formalmente á los católicos irlandeses había servido á efectuar la unión de los dos Rey nos, que en conseqiien</t>
  </si>
  <si>
    <t>Ministro de Dinamarca</t>
  </si>
  <si>
    <t>po que el Emperador de Rusia mandó salir de aquella corte á Mr. de Rozenkranz , Ministro de Dinamarca. El motivo de esta resolución imperial se refiere con gran variedad ; pero sea qúal fuere , no debe inferirse de ello que hay desavenencia entre los dos gabine</t>
  </si>
  <si>
    <t>de S. Támes en las nea;ociacio• nes que ha seguido con el Conde de Berfistoríf, Ministro de Dinamarca. se 1 ha reservado el derecho de tener guarnición en hs colonias din unarquisas. • Entre el antiguo gobierno francés y el Margrave de Badén se había - convenid</t>
  </si>
  <si>
    <t>Ministro de dlacienda</t>
  </si>
  <si>
    <t>omunes, ;pasa*tá)primér Lord de la Tesorería yChancilier del JEchijquier, d sea Ministro de dlacienda, en lugar de Mr. Pira. ®1 Lord Eldoa es Gran Canciller en lugar deí Lord Loughborough. El Conde deChatham; hermano mayor de Mr. Pict, Presidente del-Consejo. E</t>
  </si>
  <si>
    <t>Ministro de Ecancia y con el Gonde de Bernstorff</t>
  </si>
  <si>
    <t>tuvo ayet tarde audiencia dbl Prmcipé Réal : /eúa mañanaicbnfrirenci ó con el' Ministro de Ecancia y con el Gonde dé Bernstorff;Jy hoy-salióde aquí» para Landscrona.” • r;, ,¿r^- r. ^ - nir' •. •a. Hdttéurgo $deAbril. jfjLcab» el Rey de Pntsisb dedirigirá este Senado una carta avisándol</t>
  </si>
  <si>
    <t>Ministro de España</t>
  </si>
  <si>
    <t>tasch, en ef qual pasará parte del verano. *„ Efcaballero D. Ignacio de Corral,?Ministro de España, llegó aquí el 17 de este mes: hizo.su viage por Varna, atravesando el mar Negro en Bujukdere. Trae presentes de gran precio para S. A. Se propone pasar el ver</t>
  </si>
  <si>
    <t>unos dias, mayormente quando nó puede abrirse el congreso ha^ta que 11 guen los Ministros de España y Holanda. Mr. Cornwaiiis tendrá por secret ríos á Mrs. Merry, Agente británico actualmente en París, y Moore, oficial de la secretaría del Despacho de Estado. También s</t>
  </si>
  <si>
    <t>rancia, á hy qual asistieron varios Cardenales y Prelados, el caballero Vargas, Ministro de España, el Cardenal Ruifo, Ministro de Ñipóles, el Encargado,, de negocios de Portugal y el de Genova. Los demás Ministros extrangeros no .se hallaban aquel dia en Ro</t>
  </si>
  <si>
    <t>Ministro de España en la corte de Suecia</t>
  </si>
  <si>
    <t>zgue mas convenientes sobre el particular. El caballero D. Joseph de la Huerta, Ministro de España en la corte de Suecia, ha salido de Berlín para Dresde. ; Munster 2 de Setiembre. E 1 Cabildo de esta ciudad no h=bia esperado á que falleciese el Elector de Colonia para ver de dar</t>
  </si>
  <si>
    <t>Ministro de est</t>
  </si>
  <si>
    <t>Presidente de la Charicijflería de Estado. " Mr. de Ehrensward, recien nombrado Ministro de est^ corte qn Pari$|‘ sirvió igual empleo cerca de S. M/ Gatólica , y áítímamente estuvo en ín-r; glaterra en calidad de Enviado extraordinario.. í&gt;qránte \sp perm</t>
  </si>
  <si>
    <t>Ministro de Estado</t>
  </si>
  <si>
    <t>ió hace unos dias un correo con pliegos de su corte, y de resultas tuvo -con el Ministro de Estado dé 'Dmaidárca'Várl^cbáfdséñcias, ffrgtán muy reñidas. Poco después despachó Mr. Drunmond el mismocorreo; y desde entonces se. observa qm muestro gobierno Jia expe</t>
  </si>
  <si>
    <t>reses con Francia, entablarán directamente sus negó,daciones en París con aquel Ministro de Estado. Hablase de una declaración que el Emperador de Alemania hará a la Dieta en orden á sus nuevas relaciones con el Imperio-----También se dice que en la nueva Re</t>
  </si>
  <si>
    <t>gado de sal. Dícese que se han roto las negociaciones entre el Lord Hawkesbury, Ministro de Estado, y el ciud. Otto; y suponen las gazetas ministeriales que la causa del rompimiento ha sido que el primer Cdnsu! exige por primera condición, y por prueba de la</t>
  </si>
  <si>
    <t>xador’en Constañtinoph: pliegos del mismo Lord para el Duque de Yótck y para el Ministro de Estado; y otra carta del Coronel Anstruther al Coronel Brownrigg. Estos documentos son del tenor siguiente: „ Carta de Mr. Abercrombie al Conde Elgin i delante de Ale</t>
  </si>
  <si>
    <t>de Francia, ha sido nombrado Ministro de la misma tesorería ; y son ahora 8 los Ministros de Estado. ... El iondro armado ingLs, ndmbrado el Vigilante, ha entrado por primera vez en Calais procedente de Douvres con pliegos de h corte de Londres paraMr.Merri.</t>
  </si>
  <si>
    <t>Ministro de Estado Conde de iErnstorf</t>
  </si>
  <si>
    <t>, entrego hoy una nota al ministerio dinamarqués, y tuvo una conferencia con el Ministro de Estado Conde de iErnstorf, concluida la qual empezó á hacer disposiciones para su partida; y en efecto, esta tarde salid precipitadamente para Elsen^ur con Mr. Vansittart. En la referid</t>
  </si>
  <si>
    <t>Ministro de Estado Conde de Reventlaw</t>
  </si>
  <si>
    <t>n, la paz con el gobierno ingles. Durante su ausencia despachará ea su lugar el Ministro de Estado Conde de Reventlaw. Jtitbeck 24 de Mayo.. A las i o de la mañana salieron ayer de esta ciudad y su territorio Jas tropas dinamarquesas que mandaba el Teniente General Príncipe Fe</t>
  </si>
  <si>
    <t>Ministro de Estado de Alexandro i</t>
  </si>
  <si>
    <t>donde seguirá su viage á España; traía un pasaporte ruso del Príncipe Kurakin, Ministro de Estado de Alexandro i, y otro del Embaxador de S. M. Católica en la corte de Viena. Según gazetas de Alemania tuvo Mr. Paget en París dos conferencias con el Ministro de Estado Tall</t>
  </si>
  <si>
    <t>Ministro de Estado de Inglaterra</t>
  </si>
  <si>
    <t>io sueco en la corte dé Londres , entregó; el 4 d¿ este mes ar Lord Hawkesbury, Ministro dé Estado de Inglaterra, lina copia del convenio concluido el 16 de Diciembre de 1800 entre S.M. Sueca y el Emperador de Rusia, y otra de un reglamento relativo á la marina, publicado</t>
  </si>
  <si>
    <t>Ministro de Estado dfel Margrave</t>
  </si>
  <si>
    <t>el ciud. M--ssias, Encargado' 'de ^Negocios de Francia, y el Barón de Edelheim, Ministro de Estado dfel Margrave. ."Francfort &lt;) de Setiembre. - ; S e está disponiendo aquí la casa de la orden Teutónica, en que ha de alo- jarse el Archiduque Carlos qu- ndo llegue á esta c</t>
  </si>
  <si>
    <t>Ministro de Estado en</t>
  </si>
  <si>
    <t>d. El Emperador de Rusia ha nombrado al Vice-CanciUer Príncipe de Kuüakirr para Ministro de Estado en* lugar del Conde Restopchin. El Cónsul ingles, que resido eri este puerta, ha mandado á las embútcáciones de su nación surtas en él salgan inmediatamente y vay</t>
  </si>
  <si>
    <t>Ministro de Estado ha remitido un exemplar i cada individuo</t>
  </si>
  <si>
    <t>rse él Coíivém© de neutralidad firmado en Petecsburgóel 16 de Diciembre; y este'Ministro dé Estado ha remitido un exemplar i cada individuo del cuerpo diplomático» Así que nuestro gobierno supo que en los paertos de InglateFra se habiaU embargado las embarcaciones suecas, mandó suspender todo comercio</t>
  </si>
  <si>
    <t>Ministro de Estado imperial</t>
  </si>
  <si>
    <t>eding; y allí fué desde luego á cumplimentarle el Conde de Rostoptschin, primer Ministro de Estado imperial. Poco después le visitaron también el Emperador y sus dos hijos ios Grandes Duques Aíexandro y Constantino. El Sr. Conde de Haga quiso pagarles la visita aquel</t>
  </si>
  <si>
    <t>Ministro de Estado informes en nombre de su Soberano sobre</t>
  </si>
  <si>
    <t>Negocios de. Inglaterra en esta corte pidió en una de sus conferencias con este Ministro de Estado informes en nombre de su Soberano sobre la parte que S&lt; M. Dinamarquesa tomaba en las negociaciones relativas á dicha neutralidad armada de las potencias septentrión desañadiendo que el Rey su amo la mi</t>
  </si>
  <si>
    <t>Ministro de Estado Lord Hawktsbury dirigió el</t>
  </si>
  <si>
    <t>rará este congreso hasta que se ajuste la paz general. Londres 4 de Mayo. JQJ■I Ministro de Estado Lord Hawktsbury dirigió el 29 de Abril la si*</t>
  </si>
  <si>
    <t>Ministro de Estado prusiano</t>
  </si>
  <si>
    <t>la Gran Bretaña. En apoyo de esto so cita la respuesta que suponen hecha por el Ministro de Estado prusiano, Conde de Haugwitz, al JLord Carisford, Ministro británico, quando la ocupación dé Cuxhaven por las tropas de Prusia. Dixo entonces el Conde de Haugwitz que el</t>
  </si>
  <si>
    <t>Ministro de Estado Talleyrand</t>
  </si>
  <si>
    <t>iena. Según gazetas de Alemania tuvo Mr. Paget en París dos conferencias con el Ministro de Estado Talleyrand', quien lo presentó al primer Cónsul. Dícese asimismo que aquel Embaxador traía encargo de dar verbalmente explicaciones de parte de su gobierno sobre el proyec</t>
  </si>
  <si>
    <t>Ministro de estado y de conferencias para el ramo superior</t>
  </si>
  <si>
    <t>ciones. Viena iG de Octubre. S e asegura que el Conde de Sommeran está nombrado Ministro de estado y de conferencias para el ramo superior de policía, y que reemplazará también en calidad de Presidente al Conde de Pergen, que ha obtenido su retiro. El ciud. Champagny, Ministro de Francia, ha recibido</t>
  </si>
  <si>
    <t>Ministro de estado y de gabinete Conde de Hardenberg</t>
  </si>
  <si>
    <t>o, nada pudo librarse. Berlín 2 de Agosto. H a salido de aquí para Eranaónia el Ministro de estado y de gabinete Conde de Hardenberg. Aseguran que en el ajaste de las indemnizaciones se concederá al Rey de Prusia el Obispado de Munster y el Ducado de Berg; y que para él Príncipe de Oran ge s</t>
  </si>
  <si>
    <t>Ministro de fí corte</t>
  </si>
  <si>
    <t>adas aquí entre algunos Embaxadores de potencias e» trangeras y los principales Ministros de fí corte. • Uno de los privilegios concedidos por Cat lina n á Es ciudades deijm» perio, suprimidos por Pauto i, y que Alexmdro i ha restablecido, consista en que los v</t>
  </si>
  <si>
    <t>Ministro de Fraílela</t>
  </si>
  <si>
    <t>a aquí al Conde Luis de Cqbehtzel, que vuelve de - París. V ai ciud. Champagni, Ministro de Fraílela. El comandante de Semlin avisa que Baswan-Oglow no ha tenido parte en la insurrección de los genízaros de Betoadoi que estos declaran que han tomado posesión d</t>
  </si>
  <si>
    <t>Ministro de Francia</t>
  </si>
  <si>
    <t>aü/siguió á Copenhague. Poco después de su salida llamó el Rey ni mencionado Ministro de Francia , y estuvo mas de una hora conferenciando !!f" CÍ’ Semlin 1.a de Marzo. JL^e Belsradcveícnhco que se habían, introducido sigilosamente en aquella pfozá alglno^</t>
  </si>
  <si>
    <t>bendición pontifical, como asimismo la Archiduquesa Mariana y el ciud. Alquier, Ministro de Francia, que ha pasado* por aquí ara ir á Ñapóles. También ha venido de Florencia el caballero Micheroux, S linistro plenipotenciario de S. M. Siciliana, que firmó el</t>
  </si>
  <si>
    <t>dia 11 un gran banquete diplomático, al que asistieron el General Beurnonville, Ministro de Francia, y el Lord Carisford, Ministro ingles; y se noto que estaban sentados el uno al lado del otro. El ciud. Hultmann, que ha venido aquí por orden del Directorio d</t>
  </si>
  <si>
    <t>s soldados con armas, y fueron directamente á parar en c. si del ciud, Cacault, Ministro de Francia. De Florencia ha venido también el General de artillería Rioult, y se espera al General en xefe Murat. Gínova j de Jimio* L a publicación de la paz de Luncvill</t>
  </si>
  <si>
    <t>aciones, a fin de presentarlo tod© á S. M. I. en un conclusum. El ciud. Bacher, Ministro de Francia, ha declarado que solamente corresponde al Imperio conceder al Gran Duque de Toscana las indemnizaciones que le corresponden, y que en ello no tomará la Franci</t>
  </si>
  <si>
    <t>rrFrancia. H Basilea 5 de Setiembre. a llegado á Berna el ciud. Verninac, nuevo Ministro de Francia. Su antecesor el ciud. Rfcinhard está nombrado para residir en Munich como Plenipotenciario de la República francesa. ■ Strasburgo 8 de Setiembre. H a transita</t>
  </si>
  <si>
    <t>Habiendo S. M. I. sabido por el Conde de Cobentzel que el ciudadano Champagni, Ministro de Francia, es muy aficionado á la caza, ha mandado al Conde de Hardegg ponga á su disposición un terreno de algunas millas para que pueda disfrutar de esta diversión. Se</t>
  </si>
  <si>
    <t>etario de Estado, dió el domingo último una espléndida comida al ciuJ. Cacault, Ministro de Francia, á hy qual asistieron varios Cardenales y Prelados, el caballero Vargas, Ministro de España, el Cardenal Ruifo, Ministro de Ñipóles, el Encargado,, de negocios</t>
  </si>
  <si>
    <t>e Presidente al Conde de Pergen, que ha obtenido su retiro. El ciud. Champagny, Ministro de Francia, ha recibido y publicado la noticia de la paz marítima, la qual asegura, sin duda por muchos años, el sosiego de Europa, y se ha sabido aquí' con el mayor júbi</t>
  </si>
  <si>
    <t>nistro de Austria, ha obsequiado con una fiesta muy lucida.—El ciud. Bourgoing, Ministro de Francia, dará en breve otra gran fiesta para celebrar el ajuste de los preliminares de la paz marítima. Ha muerto Mr. de Rosenstein, Almirante en xefe de la esquadra s</t>
  </si>
  <si>
    <t>Ministro de Francia cerca del Rey de Toscana</t>
  </si>
  <si>
    <t>ero al ciud. Posnel. . También está nombrado el General de división Clarke para Ministro de Francia cerca del Rey de Toscana. El General Liebert ha dado cuenta al Ministro de Guerra de haberse descubierto cerca de Castillo-Gontier, en el departamento de Mayena, un depósito de fusiles</t>
  </si>
  <si>
    <t>Ministro de Francia eii Ratisbona</t>
  </si>
  <si>
    <t>quí el Conde do Gortz: díeese que va á Anspach. Se asegura que el ciud. Bacher, Ministro de Francia eii Ratisbona, asiV tirá á la diputación del Imperio en nombre dé la República* í. ■ Francfort 11 de Octubre. P asan de 12® las licencias absolutas que el Archiduque Carlos</t>
  </si>
  <si>
    <t>Ministro de Francia en</t>
  </si>
  <si>
    <t>ia para sostener y defender sus comunes intereses.___Se asegura asimismo que el Ministro de Francia en» Berlín ha hecho representaciones enérgicas á aquella corte sobre haber restablecido la libre*comunicación entre Inglaterra y el norte de Europa^</t>
  </si>
  <si>
    <t>Ministro de Francia en Berlín</t>
  </si>
  <si>
    <t>d del Ducado de Hoístein, situada á 12 leguas de aquí. El General Beurnonvilie, Ministro de Francia en Berlín, na remitido á Petersburgo los pasaportes del gobierno de Francia para el Conde de Kalitschew y su comitiva, habiendo sido el Baton de Krudner, Enviado ruso en</t>
  </si>
  <si>
    <t>Ministro de Francia en Ñapóles</t>
  </si>
  <si>
    <t>, que duró hasta las j de la mañana. Extracto, del Monitor. „ El ciud. Alquier, Ministro de Francia en Ñapóles, escribe desde aquella ciudad que por hallarse el Rey en Palermo fué presentado al Príncipe Real : que la quietud se restablece én aquel R^vuo: que se van reun</t>
  </si>
  <si>
    <t>Ministro de gabin te</t>
  </si>
  <si>
    <t>embaxada. Antes de ayer tarde tuvo su primera audiencia del Conde de Haugwitz, Ministro de gabin te; y en breve será presentado á S. M. El ciud. Bordeaux, que residía aquí haciertdo veces de Encargado de Negocios de Holanda,está nombrado primer secretario de</t>
  </si>
  <si>
    <t>Ministro de gabiné</t>
  </si>
  <si>
    <t>rán á Schwerin. ' h * ; i: "* ^ El 12 de éste mes entregó el Conde de Haugwitz, Ministro de gabiné-^ te de S. M. Prusiana, una nota a! LoVd CarisFord, Ministro británico, sobre el embargo puesto en Inglaterra én las embarcaciones dinamarquesas y'sue-f. cas. E</t>
  </si>
  <si>
    <t>Ministro de gabinete</t>
  </si>
  <si>
    <t>Setiembre. A yer se celebró olrb Consejo de Estado, á que asistieron todos los Ministros de gabinete. El Almirantazgo tuvo ántes de ayer (aunque era domingo) una junta extraordinaria para examinar y resolver sobre pliegos que recibió del Lord. Nelson. Hoy por</t>
  </si>
  <si>
    <t>te fiesta, en la que hubo mas de 300 personas: á la comida asistieron todos los Ministros de gabinete, los Generales y los individuos del cuerpo dqVnmático. Mr Eliot, Ministro de Inglaterra, llevó consigo varios oficialas ingleses, á quienes el Embaxador francé</t>
  </si>
  <si>
    <t>Ministro de gabinete Conde de Haugwitz</t>
  </si>
  <si>
    <t>r de Alemania, que acaba de llegar aquí, tuvo el dia 7 su primera audiencia del Ministro de gabinete Conde de Haugwitz. Francfort 20 de Mayo. M r. de Dohm, Enviado de P&lt;i;u£Í£ en Bremeu^ ha declarado formalmente, en nombre de suxoxte al Senado de aquella ciudad', qué ne se perj</t>
  </si>
  <si>
    <t>Ministro de gabinete de Prusia</t>
  </si>
  <si>
    <t>sentado - el Embaxádor británico en Berlín varios oficios al Conde de Haugwitz, Ministro de gabinete de Prusia. Este, en una de sus^ respuestas, incluye la mas formal seguridad de la amistad del Rey su amo á 5. M.-Británica:y añade, que como protector de la línea de dem</t>
  </si>
  <si>
    <t>Ministro de Guerra</t>
  </si>
  <si>
    <t>cañón. ' Posteriormente se ha publicado Ja siguiente carta del General Bruñe al Ministro de Guerra: ^Quartel general de Verona j de Enero. El i.° deteste rites pasamos el Adige mas arriba de Bucelingo. Un falso ataque dado á una milla de Verona, engañó á los</t>
  </si>
  <si>
    <t>lquier grado que sean-, que se hallen ausentes de sus destinos sin licencia del Ministro de Guerra, se presenten en el término de 10 dias en los excrcitps y puestos en que sirven.; y ios que tuvieren licencia temporal se. presentarán igualmente en sus bander</t>
  </si>
  <si>
    <t>General de división Oudinot, xefe de la plana mayor del exército de Italia, al Ministro de Guerra. 9&gt; Quartel general de Castcl~franca.i2 de Enero. Hémos alcanzado nuevas ventajas en los 3 últi-. mos dias: seguimos ganando terreno, y hoy ocupa el exército l</t>
  </si>
  <si>
    <t>uientes ckffSs recibidas de Ifáliá. „EÍ General de Brigada Leopoldo Berthier al Ministro de Guerra. Qtrartel ¿eneral de Florencia 28 de Enero. Por ni i últiiua relación os habréis enterado de las causas qué moviéron al Teniente General Murat &amp; xSctipkr á Tos</t>
  </si>
  <si>
    <t>brigada , y Mangourit, Capitán Ayudante del General Monnier, háh presentado ai Ministro de Guerra 7 banderas cogidas á los austríacos en verona: El Gapitan Múller, Ayudante del General Quantin, Comandante en Belle-isle, ha escrito al General Bernadotte dici</t>
  </si>
  <si>
    <t>Ministro de Gúérra</t>
  </si>
  <si>
    <t>-.'i ra, y de inválidos: todo elfos conforme á los. estados que les presentó el Ministro de Gúérra,. ! ;:■■■■&gt;■ ' , ' r a''^'UU'iofihkll:, rusb'-dé-la' comitiva de Mft Kalirschew llegó aquí el día 20 J como correo; no tardará en llegar también el mencionado</t>
  </si>
  <si>
    <t>nombrado' el Aguila. Hallándose Mr. Sprengportcn en casa del General Berthier , Ministro de Guerra, vió la Relación de la expedición de Egipto, que acaba de publicar dicho Ministro, quien le regaló un exemplar. Mr. Sprengporten lo en</t>
  </si>
  <si>
    <t>o Prefecto ál primer Cónsul. -Alexandría 15 de Marzo. „Ciud. primer Cónsul. Los Ministros de Guerra y Marina os darán cuenta de nuestra situación. Permítaseme solamente aseguraros que todos los franceses, así los que sirven en mar como en tierra, se sepultarán baxo las ruinas de Alexandría antes que entr</t>
  </si>
  <si>
    <t>ier, xefe del estado mayor general del exército de Observación del Mediodía, al Ministro de Guerra. „Qjtartelgeneral de Florencia 7 de Mayo. Habiendo el General en xefe hecho sus disposiciones conforme al tratado de piz concluido con la corte de Nápoles, un</t>
  </si>
  <si>
    <t>ien corresponde salir este año. Los tres nombrados son ios ciudadanos Syman, ex-Ministro de Guerra, Vander-Horsf, individuo de la Municipalidad de Alkmaer, y Liebeherz, que fué en otro tiempo individuo del Consejo de las colonias asiáticas. JLncona 29 de May</t>
  </si>
  <si>
    <t>xefe del estado mayor del exército de Oriente, ha escrito la siguiente carta al Ministro de Guerra: „ A bordo del navio el Brukel, en la rada de Tolon, 11 de Octubre. Después de los sucesos de Alexandría, los acontecimientos de la guerra m¿ obligaron á ir al</t>
  </si>
  <si>
    <t>General Belliard ha concluido su quarentena; y el General Berthicr, hermano del Ministro de Guerra, que vino aquí para inspección rlas, les pasó revista el i.° de este mes, manifestándoles en nombre del primer Cónsul su satisfacción por los esfuerzos que hic</t>
  </si>
  <si>
    <t>Ministro de Guerra comunicó á Jos Cónsules</t>
  </si>
  <si>
    <t>de paz» acaba el primer Cónsul de ratificarlos también. Según el estado que el Ministro de Guerra comunicó á Jos Cónsules, son en todo 12,148 las personas que vuelven de Egipto á Francia, en esta forma : 39 oficiales de plana mayor» otros 904 de varios cuerpos: 2743 soldados de in</t>
  </si>
  <si>
    <t>Ministro de Guerra con fi cha</t>
  </si>
  <si>
    <t>del ciüd. Glement, oficial superior de la guardia de los Cónsules, dirigidas al Ministro de Guerra con fi cha de 16 y 17 de Mayo. En la primera dice que habiendo salido de Barcelona el 10 de Marzo, fué perseguido los dias 16 y 19 por 2 fragatas inglesas, y para librarse d</t>
  </si>
  <si>
    <t>Ministro de Guerra continuaría aun mucho tiempo desperdiciando Jos tesoros</t>
  </si>
  <si>
    <t>osición de Mr. Grey, y. otros peroraron contra ella. Mr. Tierney preguntó si el Ministro de Guerra continuaría aun mucho tiempo desperdiciando Jos tesoros y derramando la sangre de los ingleses. El Presidente le advirtió que se excedía; y Mr. Tierney concluyó diciendo, que el verdadero objeto de la proposición de M</t>
  </si>
  <si>
    <t>Ministro de Guerra de haberse descubierto cerca de Castillo-Gontier</t>
  </si>
  <si>
    <t>istro de Francia cerca del Rey de Toscana. El General Liebert ha dado cuenta al Ministro de Guerra de haberse descubierto cerca de Castillo-Gontier, en el departamento de Mayena, un depósito de fusiles y bayonetas de fábrica inglesa, 41 barriles también inr gíeses, de los quales 27 tenían de 1® á 1200 cart</t>
  </si>
  <si>
    <t>Ministro de Guerra desde</t>
  </si>
  <si>
    <t>mayor del exército del Rhin, dirigió el i ó de Diciembre la siguiente carta al Ministro de Guerra desde e!</t>
  </si>
  <si>
    <t>Ministro de Guerra desde el quartel de Milán con fecha</t>
  </si>
  <si>
    <t>anceschi, xefe interino de la plana mayor del ^xércíto de Italia, ha escrito al Ministro de Guerra desde el quartel dé Milán con fecha de 19 de Enero dándole cuenta-de la entrada de los franceses í ii M íntua^ El dia 17 por Ja mañana tomáron nuestras trop is posesión de la ciudadela de S. Jorge y</t>
  </si>
  <si>
    <t>Ministro de Guerra el General de brigada Tentié</t>
  </si>
  <si>
    <t>a tropa lué seducida por agentes de Inglaterra. Milán 4 de Mayo. E stá nombrado Ministro de Guerra el General de brigada Tentié, en lugar del General Polfranceschi, que ha pedido su retiro. Ha sido lucidísima y completa la fiesta que se ha hecho aquí para celebrar la paz.</t>
  </si>
  <si>
    <t>Ministro de Guerra fia-comunicado al primer Cónsul</t>
  </si>
  <si>
    <t>a el dia i.° de JuLoj ó haciendo su viage por León, Chamberí , Turirt &amp;c. ' -El Ministro de Guerra fia-comunicado al primer Cónsul ¿1 resómen de las declaraciones tomadas en Marsella á los-comandantes 1 y oficiales de la •</t>
  </si>
  <si>
    <t>Ministro de Guerra ha enviado</t>
  </si>
  <si>
    <t>de armisticio que puso en nuestro poder las 3 plazas.” (Siguen los elogio*) Jil Ministro de Guerra ha enviado, orden a-1. General en xefe del ejército de Italia para que reciba al General Levyaehew, Montero mayor de la corte de Rusia, que va a Ñapóles á llevar á S. M.</t>
  </si>
  <si>
    <t>Ministro de Guerra la carta siguiente</t>
  </si>
  <si>
    <t>de la República, francesa. Taris iS de Enero. E 1 General Dumas ha dirigido al Ministro de Guerra la carta siguiente: 9j Qtt artelgeneral de Trento 7 de Enero. Se ha logrado el objeto de las operaciones y movimientos del exército de los Grisones. Hoy han entrado en Trento la</t>
  </si>
  <si>
    <t>oldo Berthier, xefe de la plana mayor del cuerpo de observación, ha dirigido al Ministro de Guerra la carta siguiente; Milán 13 de Enero. Ciud. Ministro. El General Murat recibió vuestras órdenes en Ginebra; y al instante se puso en marcha el cuerpo de observación^ Una de sus</t>
  </si>
  <si>
    <t>Ministro de Guerra la siguiente carta</t>
  </si>
  <si>
    <t>Enero de 1801. E 1 General en xefe del exército de Italia, Bruñe, ha escrito al Ministro de Guerra la siguiente carta: „Valegio 27 de Diciembre d la tina de la mañana. El dia 17 la vanguardia enemiga, mandada por Jos Generales Hohenzollern y Bussy, atacó á nuestros puestos ava</t>
  </si>
  <si>
    <t>sejero de Estado Bruñe, General en xefe del exército de Italia, ha dirigido al, Ministro de Guerra la siguiente carta : ,, Quartel general"ie Vicenta.20 de Enero» Vos castillos 'de Verona capitularon el 17 de este mes. Empezó el fuego, contra ellos el dia 12; y sin embargo del</t>
  </si>
  <si>
    <t>Ministro de Guerra pasó revista el dia</t>
  </si>
  <si>
    <t>ndo que carecen de medios para pagar tan crecida suma. París 2 6~ de Enero. E.1 Ministro de Guerra pasó revista el dia 23 á un cuerpo de caballería, que con un tren de artillería se pondrá inmediatamente en marcha para ser-» vir en el cuerpo de observación del Gironda. A propos</t>
  </si>
  <si>
    <t>Ministro de Guerra por el General de división Desolles</t>
  </si>
  <si>
    <t>s 6 de Enero de 1801. S e han publicado las dos siguientes cartas , escritas al Ministro de Guerra por el General de división Desolles, xefe de la plana mayor del exército del Rhin. „ Quartel general de Steyer 24 de Diciembre. El exército ha con? tiniudo sus movimientos. Los enemigos no defend</t>
  </si>
  <si>
    <t>Ministro de Guerra por el General Menou</t>
  </si>
  <si>
    <t>elogios* Continuación de las noticias de Egipto. En varias cartas dirigidas al Ministro de Guerra por el General Menou, le dice^ „Las trapas están bien vestidas; pero Iá infantería por falta de géneros de un mismo color carece de uniformidad en su vestuario. Se exerpltan todas</t>
  </si>
  <si>
    <t>Ministro de Guerra una relación</t>
  </si>
  <si>
    <t>ossi, xefe interino de la plana mayor del exército galo-bátavo,- ha dirigido al Ministro de Guerra una relación, que extractada dice así: Quartel general de Closter-Eberach 5 de Diciembre. El 24 de Noviembre á las 4 de la tarde debían empezar las hostilidades. Temiendo e</t>
  </si>
  <si>
    <t>Ministro de Guerral</t>
  </si>
  <si>
    <t>e, llegó $ Liorna el 21 de este mes, y de allí ha escrito íá-siguiente carta al Ministro de Guerral ,,Salí de Alexandría el 21 de Ma^o, y á la altura de aquel puerto fui apresado por la fragata inglesa la Pica, y conducido á Abukir^ adonde llegué el 8 de Juni</t>
  </si>
  <si>
    <t>Ministro de Hacienda</t>
  </si>
  <si>
    <t>ontri- r bucion se cobran las siguientes , según la cuenta qué el ciud. Gaudin, Ministro de Hacienda, ha dado á los Cónsules,: el impuesto territorial pro-: ducirá 15 millones de francos: los derechos sobre líos Xeques-él-Bclea de: las 2253 aldeas sujetas á lo</t>
  </si>
  <si>
    <t>ne objeto político. Mr. Smith, secretario particular que ha sido de Mr Pítt, ex-Ministro de Hacienda , acaba de comprar en el Condado de Esséx una posesión Hat mada el parque de Shortgrove , que le ha costado 40© libras esterlinas , ó 2409 pesos. A vuelta de e</t>
  </si>
  <si>
    <t>Ministro de Hacienda en las plazas de Beta ganza</t>
  </si>
  <si>
    <t>e Guerra se halló en la última expedición de Portugal, y exerció las funciones ^Ministro de Hacienda en las plazas de Beta ganza y;,Gliaves de aquel Reyno ocupadas por las,tropas de S. M. S'e le destinó en la misma clase á*k&gt;s Reales canales de Castilla; y en la de Ordenador sirvió interin</t>
  </si>
  <si>
    <t>Ministro de Hannóver en una audiencia que</t>
  </si>
  <si>
    <t>ecimientos dinamarqueses del Asia, así como lo hicieron;cpii los de América. Ei Ministro de Hannóver en una audiencia que ¡tuvo del Ministro prusiano^ volvió á insistir en la evacuación de aquel Electorado; y asimismo el Lord Carisford, Embaxadon británico, repitió sus oficios sob</t>
  </si>
  <si>
    <t>Ministro de Hesse-Cassel para</t>
  </si>
  <si>
    <t>rece que sobre ello se han movido dificultades. - , ó• : Mr. de Weitz, nombrado Ministro de Hesse-Cassel para ¡a^ diputacioit extraordinaria del Imperio, ha ido á Berlín &lt; con ua encargo muy importante. No tardará en ir á París Mr. de Hardenberg, que según dicen asisti</t>
  </si>
  <si>
    <t>Ministro de Holanda con pliegos para su gobierno</t>
  </si>
  <si>
    <t>erlín n de Octubre. H a salido de aquí para el Haya Mr. Goes, despachado por el Ministro de Holanda con pliegos para su gobierno. Créese que lleva los artículos definitivos sobre las indemnizaciones que la República bátava tiene que dar al Príncipe de Oran ge, las quales según parece asc</t>
  </si>
  <si>
    <t>Ministro de Holanda errFrancia</t>
  </si>
  <si>
    <t>a. Ha vuelto de París aquí con su familia el ciudadano Schimmplpennink, que era Ministro de Holanda errFrancia. H Basilea 5 de Setiembre. a llegado á Berna el ciud. Verninac, nuevo Ministro de Francia. Su antecesor el ciud. Rfcinhard está nombrado para residir en Munich</t>
  </si>
  <si>
    <t>Ministro de ía Cámara</t>
  </si>
  <si>
    <t>Señor D. Tomas Bernad, Barón de Castiel, ha venido S. M. en concederle plaza de Ministro de ía Cámara. El Dean y Cabildo de la santa iglesia de Orihuela, habiendo practicado las mas vivas y eficaces diligencias á fin de poder adelantar el millón y ochocientos m</t>
  </si>
  <si>
    <t>Ministro de Idartna</t>
  </si>
  <si>
    <t>ur.” Carta del Capitán de navio Ricker , Comandante de la fragata Regenerfí, al Ministro de Idartna ¡ escrita en Alexandría el í(T de ■ Rdarzo* Os</t>
  </si>
  <si>
    <t>Ministro de Inglaterra</t>
  </si>
  <si>
    <t>ombres^. f , ; t ^ ' Bertin 29 de Diciembre. v77*' 7 V *1 ' E 1 Lord Carisford, Ministro de Inglaterra, entregó ayer á los Ministros de Suepia y DÍnaiíiatrca un,oficio, por eh/qvál, pide una explicación definitíryá,- jcatpgóricá ^b«*lqs mueyoá^píices, dé ^^r^pec</t>
  </si>
  <si>
    <t>EL MARTES 22 DE SETIEMBRE DE 1801. v ConstantinopJa 24 de Julio. E1 Lord Elgin, Ministro de Inglaterra , ha tenido uña audiencia extraordidel Gran Señor , en_ la qual le regaló S. A: Una preciosa piocha guarnaria necida de brillantes, un caballo ricamente enjaez</t>
  </si>
  <si>
    <t>os de gabinete, los Generales y los individuos del cuerpo dqVnmático. Mr Eliot, Ministro de Inglaterra, llevó consigo varios oficialas ingleses, á quienes el Embaxador francés obsequió mucho. Francfort 2/ de Noviembre. H an rpresado últimamente los ingleses dos</t>
  </si>
  <si>
    <t>Ministro de Inglaterra en Berlín</t>
  </si>
  <si>
    <t>e éste punto al arbitrio y resolución de S. M. el Emperador. El Lord Carisford, Ministro dé Inglaterra en Berlín, hk{comunicado k aquel gabinete una nota remitida por el Lord Grefcville al Ministro ruso^ la qual contiene fuertes quejas sobre el embargo de las embarcacione</t>
  </si>
  <si>
    <t>uridad de, su independencia y el goce de todos sus fueros. . El Lord Carisford, Ministro de Inglaterra en Berlín, ha declarado de oficio á aquel gabinete que los ingleses respetarán la bandera de Prusia y los géneros y efectos prusianos cargados en embarcaciones neutrales</t>
  </si>
  <si>
    <t>Ministro de Inglaterra en esta corte</t>
  </si>
  <si>
    <t>o plenipotenciario de S. M. Católica cerca de la Puerta Otomana. El Lord Minto, Ministro de Inglaterra en esta corte, ha obtenido su retiró, y no tardará en restituirse á su patria. Mr. Straton, Secretario de embaxada, queda por Encargado de Negocios hasta la llegada de otro</t>
  </si>
  <si>
    <t>Ministro de Ip Interior</t>
  </si>
  <si>
    <t>-a.Ílí para su destino,” . El 11 de este mes fué el Sr. Conde de L ¡ornaron el Ministro de Ip Interior, el Embaxador de España, y, muchas persoñas de su comitiva, á visitarel conservatorio ^rcscuela de musica. Muy aficionado é inteligente en este arte, vio qo¡n</t>
  </si>
  <si>
    <t>Ministro de Jo interior</t>
  </si>
  <si>
    <t>dicha orden entrará en la posesión de estos biches eí dia 22 de Marzos 4.°*^E1 Ministro de Jo interior , de * la República francesa mandará poner en los fondos de la orden 2Q$franco^ enu/el discurso del mes prójdmo, y otros 2c© en el de Julio, que es la época qu</t>
  </si>
  <si>
    <t>Ministro de Jo Interior</t>
  </si>
  <si>
    <t>ya para recibirles el primer Chambelán Barón de Roelamb, y el Conde de Ferscn , Ministro de Jo Interior. H. sta ahora no se sabe adonde se dirigen los Soberanos: unos aseguran que á Strifsund, otros creen que á Petersburgo. Una fragata inglesa nombrada Eoló encal</t>
  </si>
  <si>
    <t>Ministro de Justicia</t>
  </si>
  <si>
    <t>rmar un establecimiento ó junta de legislación extrangera bixo la dirección del Ministro de Justicia. Sus individuos están encargados de recogertraducir y clasificar por su orden las leyes civiles, criminales, militares , mercantiles, marítimas y de policía de</t>
  </si>
  <si>
    <t>ir Se asegura que poco ántes de su partida m.mdó S. M. al Conde de GuyJlenborg, Ministro de Justicia, sacase su testamento del tribunal de corte, en donde se había depositado recientemente. Ei día 2 se publico de oficio un tratado de amistad, comercio y navega</t>
  </si>
  <si>
    <t>Ministro de la corte de Saxonia</t>
  </si>
  <si>
    <t>mperio celebráron el 17 de este mes una junta en casa del Conde de Schoenfeldt, Ministro de la corte de Saxonia: parece tratáron de asuntos relativos á las secularizaciones y resarcimientos que han de hacerse en fuerza de la paz de Luneviile. Mr. Wickam, Comisario ingles</t>
  </si>
  <si>
    <t>Ministro de la Dieta</t>
  </si>
  <si>
    <t>tein. Rathbona i.° de Mayo. Un una sesión extraordinaria, que tuviéron ayer los Ministros de la Dieta, se consiguió la reunión que se deseaba, accediendo el competente número de votos á la proposición de que se suplique al Emperador tome á su cargo ei arreglo d</t>
  </si>
  <si>
    <t>Ministro de la Dieta comunicar inmediatamente á sus respectivas cortes</t>
  </si>
  <si>
    <t>os de Westphalía y de Eranconia. - ■ Ratisbond 2 2 de Mayo. H; .an acordado los Ministros dé la Dieta comunicar inmediatamente á sus respectivas cortes la proposición del Rey de Suecia sobre erigir una estatua al Archiduque Carlos; y el Ministro directorial está encargado de participarlo así á aquel Príncipe. El</t>
  </si>
  <si>
    <t>Ministro de la Dieta han recibido de París el aviso</t>
  </si>
  <si>
    <t>icamente las tropas prusianas que deben ocuparla. Ratisbona € de Abril. V arios Ministros de la Dieta han recibido de París el aviso de que se esperaba allí con impaciencia el conclusum relativo á las indemnizaciones: y en vista de esto se presume que quanto antes se terminará este asunto, bien</t>
  </si>
  <si>
    <t>ministro de la divina palabra encontrarán aquella solidez</t>
  </si>
  <si>
    <t>en la nueva corrección do esta obra , en la que así los Párrocos como los demas ministros de la divina palabra encontrarán aquella solidez y método tan propio de su ministerio como necesario al aprovechamiento de las almas, $e hadará en las librerías de Barco, carrera de S. Gerónimo, y de Martínez, calle de la</t>
  </si>
  <si>
    <t>Ministro de la Guerra dio el</t>
  </si>
  <si>
    <t>oso de conocer los reglaiqentosde dicha escuela. -v j. ■,y/;.--' • ■ ;r,.:i. El Ministro de la Guerra dio el 14 dé este mes, en.celebridad del cumpleaños de la batalla de Marengo, una.fiesta á la qual convido al .mismo Sr. Conde de Liorna: no fué ménos brillante y con</t>
  </si>
  <si>
    <t>Ministro de la Justicia</t>
  </si>
  <si>
    <t>prime la pena de muerte luego que se^ ajuste la paz: y consultado sobre.ello el Ministro de la Justicia, ha respondido: qué en atención á no estar firmada todavía la paz definitiva, no debe observarse por ahora la mencionada ley. Madrid 4 de Diciembre. A Di Franc</t>
  </si>
  <si>
    <t>ministro de la ley</t>
  </si>
  <si>
    <t>ales de-éste Imperio, pues el castigo ha recaído sin miramiento alguno, en los- ministros de la ley y demas empleados de dicha mezquita: 8 sanfares, o individuos de aquel colegio, destinados á servirla, han sido ahorcados como mas dclinqiientes,4 otros 3 7 fuéron públicamente apaleados en .la p</t>
  </si>
  <si>
    <t>Ministro de la misma tesorería</t>
  </si>
  <si>
    <t>ro de* Estado y Director general* de ía» tesorería de Francia, ha sido nombrado Ministro de la misma tesorería ; y son ahora 8 los Ministros de Estado. ... El iondro armado ingLs, ndmbrado el Vigilante, ha entrado por primera vez en Calais procedente de Douvres con plie</t>
  </si>
  <si>
    <t>Ministro de la Real Audiencia</t>
  </si>
  <si>
    <t>y Capitán general de este exército y reyno, y numeroso concurso de la Grandeza, Ministros de la Real Audiencia, Cor-, regidor é Intendente, individuos del Cabiido metropolitano, del Ayuntamiento, y demás cuerpos, el clero, nobleza, oficialidad, y otras personas de disti</t>
  </si>
  <si>
    <t>Ministro de la República</t>
  </si>
  <si>
    <t>da y árrégiada diéha indemnización, quedará allí el agente bátavo en calidad de Ministro de la República. : ; La junta nombrada por la primer Cámara del primer Cuerpo legislativo ajra examinar el mensage del Directorio sobfe la revisión de la constitución f itava,</t>
  </si>
  <si>
    <t>Ministro de la República bátava</t>
  </si>
  <si>
    <t>se transfiera inmediat mente á París. Dícese que irá al Congreso de Amiens como Ministro de la República bátava. Brest jo de Octubre. P or el telégrafo se supo aquí el día 5 el ajuste de los preliminares de paz. Esta noticia causó general regocijo en toda la ciudad: los</t>
  </si>
  <si>
    <t>Ministro de la República cisalpina</t>
  </si>
  <si>
    <t>M. Prusiana, y al Conde Stolberg-Wernigerode. Finalmente, el ciud. Marescaíchi, Ministro de la República cisalpina ; presentó ai General cisalpino Lechi, y á los ciudadanos Aldini, Servelloni y otros. Todos estos súgetos , como también los Embaxadores, los vocales del Senad</t>
  </si>
  <si>
    <t>Ministro de la República cisalpina eirWtk- córte j varias medallas</t>
  </si>
  <si>
    <t>ry, Ministre rplétnpÓténéiário de Francia^ fe ha entregado el ciud. Scarabelli, Ministro de la República cisalpina eirWtk- córte j varias medallas de las que sé1 háñ acuñado én Milán para perpetuar la época del restablecimiento dé la libertad de Italia, y un plan de la ceremonia de la inauguración del foro d</t>
  </si>
  <si>
    <t>Ministro de la República de Francia en Ratisbona</t>
  </si>
  <si>
    <t>quella ciudad, y se ha repartido por las aldeas. El oficio que el ciud. Baohqr, Ministro de la República de Francia en Ratisbona, comunicó á varios .Enviados del Imperio en la Dieta, pidiendo que se acelerase el arreglo de los resarcimientos y secularizaciones, estaba concebido en estos</t>
  </si>
  <si>
    <t>Ministro de la República francesa</t>
  </si>
  <si>
    <t>para Inglaterra¿el año de 1795. &lt; i * Ñapóles 8 de Maya. -. E 1 ciud. Alquier, Ministro de la República francesa, atendiendo á su seguridad, tiene una guardia de 100 hombres en la casa que habita. Se ha creído precisa esta precaución porque en Monteforte los napolitanos a</t>
  </si>
  <si>
    <t>Mr. Alopaus por Encargado de Negocios. - -:í. 7 '\ ' V.^ . El ciud. Bourgoing, Ministro de la República francesa , ha presentado sus credenciales a Mr. de Erenheim, Presidente de la Charicijflería de Estado. " Mr. de Ehrensward, recien nombrado Ministro de est^ corte qn P</t>
  </si>
  <si>
    <t>Ministro de la República francesa en esta corte</t>
  </si>
  <si>
    <t>voy ingles de 32 velas, escoltado por dos navios de guerra. El ciud. Bourgoing, Ministro de la República francesa en esta corte , y los ciudadanos Mechain, Delaplace y Delambre, del instituto nacional de Francia, han sido nombrados socios honorarios extrangeros de la Real sociedad de ci</t>
  </si>
  <si>
    <t>Ministro de la República francesa en Ronía</t>
  </si>
  <si>
    <t>este ,Purpurado so hermano el Conde Consaivi. ¡ trícese que el clu i. Gacault, Ministro de la República francesa en Ronía, se halla actualmente en Florencia. En la audiencia que el primer Cónsul dio el día 21 !e presentó el Ministro de Relaciones exteriores el Barón de .Amb 'ch, C</t>
  </si>
  <si>
    <t>Ministro de la República oátavaí sp ba despedida ya</t>
  </si>
  <si>
    <t>ocios extrangeros, y del Ajiídantfe general Conde íteMorneri c h í a Air. Buys, Ministro de la República oátavaí sp ba despedida ya de¡ este Soberano, y no tardará,en if de aquí i Petenhurgo con einmisiao carádteft</t>
  </si>
  <si>
    <t>Ministro de laceóte de Nápoles</t>
  </si>
  <si>
    <t>res durante la ausencia del Conde ,de Cobentzel. Añaden qué el Marques detallo. Ministro de laceóte de Nápoles, espera .en Viena pasaportes del gobierno francés paradriá París á tratar de par entre su Soberano y Francia. Finalmente, dicen las propias cartas que ei Emper</t>
  </si>
  <si>
    <t>Ministro de las cortes septentrionales de Alemama</t>
  </si>
  <si>
    <t>a de Alemania el mismo día que las envió al referido Conde de Cxoerifc-éi b Los Ministros de las cortes septentrionales de Alemama y de varios Príncipes de la Alemania meridional opináron y. vótaron comó cl Ministro de Braudembui'go. El dél-Elector de. Maguncia. votó. sufrplemente fori ja fátifteacion dél trata</t>
  </si>
  <si>
    <t>Ministro de las exteriores</t>
  </si>
  <si>
    <t>emnización fixa, que señalarán los .Cónsules, sobre la relación que les hará ei Ministro de las exteriores: los fondos necesarios á este objeto, y para los gastos de oficina de dicha Comisión se sacarán del producto á que asciendan las deducciones de los créditos de</t>
  </si>
  <si>
    <t>Ministro de las potencias neutrales</t>
  </si>
  <si>
    <t>nia. .Mi. de Crawfurth, Ministro ingles, le dio un convite á que asistiéron los Ministros de las potencias neutrales, el General Dumourier y otras personas. Algunas cartas de Constantinopla refieren que el exército del^Gran Ví¿ir* ha atacado á los franceses, consiguiendo forz</t>
  </si>
  <si>
    <t>Ministro de las Rentas</t>
  </si>
  <si>
    <t>n especial de trés individuos nombrados por el primer Cónsul á propuesta de los Ministros de Relaciones exteriores y de las Rentas, m. Esta Comisión estará encargada de recibir y examinar Jos títulos de los créditos de los españoles, de verificar la legitimidad de ellos con arreglo á las d</t>
  </si>
  <si>
    <t>Ministro de lo Interior</t>
  </si>
  <si>
    <t>casa de educación llamada Pritaneo francés: le acompañaban el Cónsul Lebrun, el Ministro de lo Interior, y los Genérales Lasries y Ca£fárelly: recorrió todas las aulas, deteniéndose mas en las de matemática* examinó á muchas alumnos sobre puntos de historia, de m</t>
  </si>
  <si>
    <t>s. Condes de Liorna vlitárón el día 10 la casa de moneda: iba obstqui ndolts el Ministro de lo Interior. Ef Director y los Administradores sJi&amp;on á recibirles, y los conduxéron á los diversos tálleres y oficinas.</t>
  </si>
  <si>
    <t>.mismo Sr. Conde de Liorna: no fué ménos brillante y concurrida que las de jos Ministros de lo Interior y de Relaciones ^exteriores: la* alegorías=eraa ' mistares. Entre los Generales, que asistiéron, á la funcion estuvq Moreau. después de la cena se echó un globo aereostitioo ,</t>
  </si>
  <si>
    <t>Ministro de lo Interior asistió el dia</t>
  </si>
  <si>
    <t>e paz, y quando dicha noticia se había recibido en los mencionados puertos.” El Ministro de lo Interior asistió el dia 16 á la distribución de premios de la escuela de medicina de París, y luego festejó en su casa á los profesores y a los discípulos premiados. De Luñevilie ha s</t>
  </si>
  <si>
    <t>Ministro de lo Interior diciéndole que el Sub-prefecto del distrito</t>
  </si>
  <si>
    <t>ercio y para la marina. El Prefecto del departamento del Charente ha escrito al Ministro de lo Interior diciéndole que el Sub-prefecto del distrito de Ruffsc ha encontrado en el pueblo de Ebreon un anciano de 108 años de edad. Es viñador, y conserva tales fuerzas que cultiva por sí mismo su vina, y portea car</t>
  </si>
  <si>
    <t>Ministro de lo Interior diciéndole que en</t>
  </si>
  <si>
    <t>mprendió un viage aerostático el ciud. Garnerin, y al dia siguiente escribió al Ministro de lo Interior diciéndole que en 3 horas había andado 15 leguas con las 3 personas que le acompañaban, siendo una de ellas su muger. Añade que volvía á elevarse con uno de sus compañeros para</t>
  </si>
  <si>
    <t>Ministro de lo Interior fueron á ver en el Louvre</t>
  </si>
  <si>
    <t>se capitule: Jo que .no es de temer.” El ¿2 de este mes los tres Cónsules y el Ministro dé lo Interior fueron á ver en el Louvre las producciones de la industria nacional expuestas en ico pórticos: los recorrieron todos, examinando los primorosos objetos de las artes que contienen. El Minist</t>
  </si>
  <si>
    <t>Ministro de lo Interior ha dirigido á los Cónsules</t>
  </si>
  <si>
    <t>que valerse del pretexto de que son relativos á los prisioneros de guerra. 1:1 Ministro de lo Interior ha dirigido á los Cónsules de la República la siguiente consulta: „Ciudadanos Cónsules. Todo lo que pertenece á la gloria del pueblo francés merece vuestra atención, y ahora os pido me la conc</t>
  </si>
  <si>
    <t>Ministro de lo Interior ha encargado á los ciudadanos Jussitu</t>
  </si>
  <si>
    <t>tripulaciones de dos barcos de Burdeos apresados por dicho corsario ingles. El Ministro de lo Interior ha encargado á los ciudadanos Jussitu , naturalista, Regnault, pintor, y Raimcnd, arquitecto (todos ellos individuos del instituto) que acompañen al General ruso Sprengportem y á las personas de su</t>
  </si>
  <si>
    <t>Ministro de lo Interior ha resuelto lo que sigue</t>
  </si>
  <si>
    <t>rancos por el mejor quadro que representase la referida acción de Nazareth : el Ministro de lo Interior ha resuelto lo que sigue. Se ofrece una medalla del valor de 12® francos por premio del mejor quadro que represente la batalla de Nazareth. Los artistas que concurran á este premio pre</t>
  </si>
  <si>
    <t>Ministro de lo Interior ha resuelto se restaure el grupo</t>
  </si>
  <si>
    <t>e pólvora. Se prendió á las personas que ocultaban estas armas y municiones. El Ministro de lo Interior ha resuelto se restaure el grupo de Laocoon que está en la galería de las antigüedades del museo. Esta pasmosa obra, trabajada por Agesandro, Atenodoro y Polidoro, la halló en el mismo e&amp;tado en</t>
  </si>
  <si>
    <t>Ministro de lo Interior había mandado disponerle</t>
  </si>
  <si>
    <t>r.” &gt; El día 6 llegó á París Mr. Kalitschew, y se apeó en el alojamiento que el Ministro de lo Interior había mandado disponerle. Por todo su camino en territorio francés fue recibido con los honores debidos á su carácter, y obsequiado con festejos en Strasburgo, Nancí, Chalons y otras c</t>
  </si>
  <si>
    <t>Ministro de ló Interior hagatraducir ifen</t>
  </si>
  <si>
    <t>ca en el palacio nacional de? ciencias y artes. Ha encargado el primckCónsul ál Ministro de ló Interior hagatraducir ifen¿ frartces las obra^ de Strab«ñ^ .fU f * &gt;0 : « -:n Deseoso el gobiemode!socorrer. pof todos medios al exército.de Egipcio., ha señalado &gt;uh;'premia de 40 por 1</t>
  </si>
  <si>
    <t>Ministro de lo Interior han prohibido los Cónsules por decreto</t>
  </si>
  <si>
    <t>aron á su destino las 6 cañoneras y otra lancha.” De resultas de un informe del Ministro de lo Interior han prohibido los Cónsules por decreto de i.° de este mes la entrada en Francia de caballos ingleses, bajto las mismas penas señaladas parados que introducen géneros ó mercancías de Inglaterra. Dicho i</t>
  </si>
  <si>
    <t>Ministro de lo Interior le ha dado gracias en nombre</t>
  </si>
  <si>
    <t>s maestros, muchas de ellas raras y preciosas, y todas muy bien conservadas. El Ministro de lo Interior le ha dado gracias en nombre del "gobierno. % Hay actualmente en París 340 imprentas, 455 tiendas y 71 puestos de librero, 149 enquadernadores, 327 grabadores, 85 estampadores, y 49 mercaderes</t>
  </si>
  <si>
    <t>Ministro de lo Interior regaló el gobierno á la escuela</t>
  </si>
  <si>
    <t>ió. Dióse el combate á vista de las costas de los dos países. A proposición del Ministro de lo Interior regaló el gobierno á la escuela de medicina de Montpeller un busto de Hipócrates de bronce. El</t>
  </si>
  <si>
    <t>Ministro de lo Interior se están imprimiendo aquí en árabe</t>
  </si>
  <si>
    <t>París Mr. de Koerner, Consejero de Estado del Emperador de Rusia. Por órden del Ministro de lo Interior se están imprimiendo aquí en árabe y en francés las observaciones astronómicas que han hecho los árabes durante el siglo xvm. Antes de ayer se hizo la abertura del Tribunado y del Cuerpo legislati</t>
  </si>
  <si>
    <t>Ministro de lo Interior una suma</t>
  </si>
  <si>
    <t>o de los Cónsules de 15 de Enero de este año se señaló y puso á disposición del Ministro de lo Interior una suma de 12 millones de francos sobre los fondós del año 9.0 republicano, para la compostura de 20 caminos reales. Yá se han gastado 9'millones, "distribuyéndolos por d</t>
  </si>
  <si>
    <t>Ministro de lo Intetiorha escrito la siguiente circulara</t>
  </si>
  <si>
    <t>pV uno de sus Nuncios, el que está nombtado'para este honorífico encargo.- ' El Ministro de lo Intetiorha escrito la siguiente circulara *,Entre los medios qüe pueden adoptarse para fomentar nuestras fibricas, no" hay otro m $ poderoso que el de vestirnos de sus géneros, y de adornar con ellos n</t>
  </si>
  <si>
    <t>Ministro de lo Iúteriqrjha</t>
  </si>
  <si>
    <t>ificación del Congreso al último tratado con Francia. i Parbis de iMay o. . E 1 Ministro de lo Iúteriqrjha. comunicado,á,fos Cónsules un estado general del comercio de Francia .dotante: el año, 8.° republicano, por el qual se ve que los géneros y frutos introducidos</t>
  </si>
  <si>
    <t>ministro de los diferentes cu'tos</t>
  </si>
  <si>
    <t>er al nombramiento del primer Cónsul sug&lt;,tos aptos á desempeñar los empleos de ministros de los diferentes cu'tos : examinar, antes de su publicación en Francia, todos los res.ripios, bulas y breves pontificios; y «seguir ,1a correspondencia interior relativa á estos punto</t>
  </si>
  <si>
    <t>Ministro de los Electores de Maguncia</t>
  </si>
  <si>
    <t>inará luego dicho plan, y acordará el concliisum. La diputación se compondrá de Ministros de los Electores de Maguncia, Bohemia, Saxonia y Baviera, de los Príncipes de Magdeburgo, Bremen* Wurtemberg y Wurtzburgo, de dos diputados de las ciudades, y el de los Condes protestantes</t>
  </si>
  <si>
    <t>Ministro de los Estados-Unidos á la corte de Madrid</t>
  </si>
  <si>
    <t>nte, el Ministro de Relaciones exteriores le presentó á Mr. Pindiney, que va de Ministro de los Estados-Unidos á la corte de Madrid, y el ciud. Strick de Linschoten, Ministro que fue de la República bátava en Stuttmmd. Habiendo sabido este gobierno por un correo extraordinario que el Rey de</t>
  </si>
  <si>
    <t>Ministro de los Estados-Unidos americanos cerca del Directorio bátavo</t>
  </si>
  <si>
    <t>También se han enviado tropis á ias mismas islas. Haya 21 de Mayo. Mr. Murray, Ministro de los Estados-Unidos americanos cerca del Directorio bátavo, ha salido de aquí p ira Paris á fin de proceder ai cange de las ratificaciones del último tratado concluido entre Francia y dichos Estados. Desempeñada su com</t>
  </si>
  <si>
    <t>Ministro de los santiguos</t>
  </si>
  <si>
    <t>uspendido ;el arregio.definitivo del nuevo fninis-% terio. Hasta ahora solos 31 Ministros de los santiguos .se han retirado^ y son el Lord Grenville, el Conde de Spencer y Mr; Windham. Mr. Pitt, el Lord Canciller y Mr. Dundas debían retirarse.ayer; pero es probable</t>
  </si>
  <si>
    <t>Ministro de Maguncia defeia votar en Ja Dieta á favor</t>
  </si>
  <si>
    <t>¡01%bt1íg I&amp;dtJVcVrZO* ■ { !% •» Así oue el Comisario. ingí?5 Wickam supo que^l;Ministro de Maguncia defeia votar en Ja Dieta á favor de la ratificación de la paz, aviso.al. Elector que-podía considerar como concluido elpratadr?, de subsi^s pop Inglaterra. -tas tropas que guarnecen á Nuru..be;g</t>
  </si>
  <si>
    <t>Ministro de Marin</t>
  </si>
  <si>
    <t>Sr. D. Ignacio Múzquiz tuvo el mismo dia su audiencia de despedida. ' Acaba el Ministro de Marin^ de dirigir circulares á los Prefectos marítimos previniéndoiés^que débef observarse la prohibición hecha á los corsarios franceses de apresar y perseguir los</t>
  </si>
  <si>
    <t>Ministro de Marina</t>
  </si>
  <si>
    <t>289 El ciud. Jborfaít, Ministro de Marina, ha comunicado al primer Cónsul imareiacien del combate sostenido contra la fragata añglo-americana nombrada Boston, por una corbeta de Ja República, llamada e</t>
  </si>
  <si>
    <t>os, y convocó inmediatamente una junta extraordinaria, á la qual asástiéron los Ministros de Marina y de Negocios extrangeros, y el Almirante Dewinter. Concluida la junta se expidieron correos á todos los puertos holandeses; y ahora se asegura que la corte de Petersburgo avisa que en</t>
  </si>
  <si>
    <t>L E 1 diario que el Prefecto marítimo de Egipto ha remitido desde Alexandría al Ministro de Marina, con fecha de 16 de Marzo, dice substancialmente así: 1, Dia i.° de Marzo. Vientos variables del O. al O. N. O. algo fuertes y tiempo borrascoso. A las 2 dé la</t>
  </si>
  <si>
    <t>nturas de marina , modelos de navios , y obras hidráulicas que está en casa del Ministro de Marina. Los discípulos que.quisieren estudiar por dichos quadros, podrán, hac-rió dirigiendo su solicitud ¿\ eiud. Hus, pintor de la mtrina, y conservador de aquella</t>
  </si>
  <si>
    <t>en el Haya tuvo muchas conferencias con individuos del gobierno bitavo, con ios Ministros de Negocios extranjeros y dé Marina 1 y con él Enviado dé Francia.</t>
  </si>
  <si>
    <t>no tardará en llegar á Francia.” * El Prefecto marítimo de Toíort ha escrito al Ministro de Marina, con fecha de 6 del corriente , diciéndole: „ Acaba de entrar en este puerto un parlamentario ingles despachado en fuerza de la capitulación del General Bellia</t>
  </si>
  <si>
    <t>Ministro de Marina con igual fecha</t>
  </si>
  <si>
    <t>os horas los perdí de vista.” El Prefecto marítimo de Egipto escribe al tpistpo Ministro de Marina con igual fecha de 16 de Marzo oiciéndole¡:,, No habiendo el Ósíris podido salir ayer, me aprovecho de su detención j&gt;ara informaros que el General en xefe Menou llegó el dia 11</t>
  </si>
  <si>
    <t>Ministro de Marina desde la altura del cabo de Gata</t>
  </si>
  <si>
    <t>do y Comandante de la esquadra que salió de Brest el 23 de Enero, ha escrito al Ministro de Marina desde la altura del cabo de Gata, á 10 de Febrero, informándole dé su navegación desde su salida del puerto. Empieza así: „ Descubiertos en nuestro viage por muchas embarcaciones neutrales: ob</t>
  </si>
  <si>
    <t>Ministro de Marina en estos términos</t>
  </si>
  <si>
    <t>rante Latouche, comandante de la esqu^driha ligera de. la Mancha, ha escrito al Ministro de Marina en estos términos: „Botona j6 de Agosto. Tuve Ja honra de informaros en mi carta, del dia 5 del com-bate del 4, en qqe la sola vanguardia de la escuadrilla ligera hizo vanas tod</t>
  </si>
  <si>
    <t>Ministro de Marina un aviso á los Capitanes de navío</t>
  </si>
  <si>
    <t>ercio que anteriormente hacia, excepto él de la pesca dé coral. Ha publicado el Ministro de Marina un aviso á los Capitanes de navío y de fragata., y á los demas oficiales, previniéndoles que el 20- *de Febrero se pasará revista general al cuerpo de marina en los departamentos de Brest* Tolon,</t>
  </si>
  <si>
    <t>Ministro de Marina'há'dado orden pará que se desarme</t>
  </si>
  <si>
    <t>lector de SjxonKi, y al ciud. Dumoutietf páfá^ccrétário^dé^ii'légácion.^ n , El Ministro dé Marina'há'dado orden pará que se desarme la. esquádri11a ligera, lo.qual sé éxCcutáirá en el puerto de Dunquerke: ha mandado también que las ;tr?pulacionés de todos los buques de la República sé poh¿ gan</t>
  </si>
  <si>
    <t>Ministro de Marinaseiidugar del Conde Spencer</t>
  </si>
  <si>
    <t>Grenvilje. El Al ñútante Conde de S* Vicente! primer ■ Lord def Almirantazgo 6 Ministro de Marinaseiidugar del Conde Spencer.¿Él Lordüobart,, teeñír plaza á Mr. Dundas , y Mr. Gárlos Yorke á Mr. Windham , Secretario de Guerra. El Lord Arden es Director de las casas de moneda. El Cond</t>
  </si>
  <si>
    <t>Ministro de Mecklemburgo</t>
  </si>
  <si>
    <t>quesa de «Rusia Elena Pawlowna. Los Barones Krudner, Embajador ruso f y¿Lutzow, Ministro de Mecklemburgo, salieron á recibir á S. A. I.; y el Conde idé Vosi, Chambelán de^.M., fué también i su encuentro á íegej para cumplimentar en nombre de los Reyes á estos ilus</t>
  </si>
  <si>
    <t>Ministro de Msrina una carta</t>
  </si>
  <si>
    <t>io. Y-, Taris 3 de Agosto. ]Íl Contra-Almirante Latouche-'TréviUe ha escrito al Ministro de Msrina una carta, cuyo extracto es como sigue: ,,Campamento de la Torre d'Ordre} cerca de Bolofjáy 8 de Julio. La división de cañoneras que estuvo mucho tiempo detenida en Cala</t>
  </si>
  <si>
    <t>Ministro de NeEn otra carta de Meaou</t>
  </si>
  <si>
    <t>na la mayor actividad.” cuerpo de ingenieros y del d c¡ud_ Tai¡eyrand Perigord, Ministro de NeEn otra carta de Meaou . , -yue por ]0 tocante á la seguridad gocios extraogeros, dtce a&lt;f&gt;e el ¡^r Cónsul creer que ningún pode Egipto pueden la Repubhcay dg bs manos del exército d</t>
  </si>
  <si>
    <t>Ministro de Negocios extrangeros</t>
  </si>
  <si>
    <t>reo á París, cuya respuesta llegó aquí el 26, y al dia siguiente se comunicó al Ministro de Negocios extrangeros. Mr. Addington, nuevo Canciller del Echiquier, ha declarado en la Cámara baxa que la actual forma del gobierno de Francia no será un obstáculo para las negocia</t>
  </si>
  <si>
    <t>Revel y Riga á examinar el estado de ambos puertos; y el Conde de Paain, nuevo Ministro de Negocios extrangeros, ha empezado ya á despachar este ministerio. Copenhague JO de Abril. H a respondido el Almirante Parker á Mr. de Lisakewitz, Ministro ruso, diciéndole que apén</t>
  </si>
  <si>
    <t>gero que no ha ido á- Id coponacíon del Emperador. Habiendo el Conde dé Panin j Ministro de Negocios extrangeros, obtenido la dimisión de este empleo, ha emprendido un vi Age á Alemania, •n ei qvlal , segutl dicen , empleará 3 años. Ei Conde dé* Kdtsehubey ,* qué eirá Min</t>
  </si>
  <si>
    <t>Ministro de Negocios extrangeros al Conde de Woronzow</t>
  </si>
  <si>
    <t>ro tanto con las de las potencias del Norte.—El mismo Soberano ha nombrado para Ministro de Negocios extrangeros al Conde de Woronzow. a Viena jo de Abril. ./xntes de ayer noche dio felizmente á luz la Emperatriz una hija, que se bautizo ayer mañana con la acostumbrada solemnidad y salva de a</t>
  </si>
  <si>
    <t>Ministro de Negocios extranjeros</t>
  </si>
  <si>
    <t>Ministro de Ñipóles</t>
  </si>
  <si>
    <t>denales y Prelados, el caballero Vargas, Ministro de España, el Cardenal Ruifo, Ministro de Ñipóles, el Encargado,, de negocios de Portugal y el de Genova. Los demás Ministros extrangeros no .se hallaban aquel dia en Roma. ' Génova // de Octubre, H a sido gra</t>
  </si>
  <si>
    <t>Ministro de otras cortes</t>
  </si>
  <si>
    <t>z entre el Austria y Francia, no se admitirá en el congreso de Luneville ningún Ministro de otras cortes: y así, los diputados de los Príncipes seculares del Imperio que tienen que tratar.intereses con Francia, entablarán directamente sus negó,daciones en París co</t>
  </si>
  <si>
    <t>Ministro de Policía</t>
  </si>
  <si>
    <t>dos, se Íes darán los pasaportes después qúe su solicitud se haya comunicado al Ministro de Policía. ' ! Entre varias patentes de privilegio exclusivo por tiempo determinada» éoncedidás por el gobierno á váriás personas que han inventado ó perfeccionado algún</t>
  </si>
  <si>
    <t>Ministro de policía general</t>
  </si>
  <si>
    <t>ierno, y á proposición de los Cónsules.he^’ cha en fuerza de representación del Ministro de policía general,y'/consulta-:: do prpyiameqtp^pl Cqnsejo dp Estado, ha aprobado el Sellado conservador un acto guberjíativo, como providencia dirigida á conservar la constítij</t>
  </si>
  <si>
    <t>Ministro de policía general y el comandante de las tropa</t>
  </si>
  <si>
    <t>ayer tarde se cerráron interinamente las dos Cámaras, lo qual se executó por el Ministro de policía general y el comandante de las tropa* bátavas, según la orden del Directorio, y la aprobación de los presidente* de ambas Cámaras. Todo* Se hizo sin disturbios, y sin la menor oposición. Después l</t>
  </si>
  <si>
    <t>Ministro de policía que se h</t>
  </si>
  <si>
    <t>s comiéron aquel dia con el primer Cónsul. •El Prefecto de Mayeña ha escrito al Ministro de policía que se h^ descubierto el último repuesto de armas y municiones que los ingleses te-, nian en aquel país, el qual consiste en varios caxones de balas de obús, casas de m</t>
  </si>
  <si>
    <t>Ministro de Portugal á’ h</t>
  </si>
  <si>
    <t>edente de Lisboa, en la qual se halla el Sr. de Araujo, que viene en calidad de Ministro de Portugal á’ h;cer proposiciones de paz al gobierno de Francia; pero que no ha sido.admitido por este. El número de tropas francesas, que quedan por ahora, en Holanda al suel</t>
  </si>
  <si>
    <t>Ministro de Portugal cerca del Rey de Cerdeñ</t>
  </si>
  <si>
    <t>ados á S„. A. R. el cakalléro-j4oksófi&gt; -Mínistrónbrit mico, y él Sr. de Sousa, Ministro de Portugal cerca del Rey de Cerdeñ&gt;. Este Soberano permanece aun aquí; y no se advierte que naga disposiciones párá embarcarse, e ir á sus estados. —, Liorna 3 de Setiembre. - • t A mes de; ayer</t>
  </si>
  <si>
    <t>Ministro de Portugal cerca del Stathouder</t>
  </si>
  <si>
    <t>su antecesor pasaba por parcial de los ingleses. El Comendador Araujo, que fue Ministro de Portugal cerca del Stathouder, se embarcó el dia 28 en Roterdam en una embarcación parlamentaria para Inglaterra, adonde lleva un encargo muy importante de su corte. El Conde de Sternbach,</t>
  </si>
  <si>
    <t>Ministro de Portugal en esta corte</t>
  </si>
  <si>
    <t>pacíficas/ En el último paquebot de Lisboa ha venido aquí el caballero Araujo,1 Ministro de Portugal en esta corte. w'-.i En ambas Cámaras del Parlamento se han repetido estos dias los debates con motivo del examen y aprobación de los preliminares de paz. Los vocales que lo</t>
  </si>
  <si>
    <t>Ministro de Príncipes'y Estados</t>
  </si>
  <si>
    <t>de S. M. I. relativa á la paz se. ha comunicado aquí i todos jos Emfaaxadores y Ministros de Príncipes'y Estados del*! Imperio. No se duda que se adopte el sistema de secularización, i fin de indemnizar á los Estados que quedan perjudicados por la piz. El Conde de Cobentzel h</t>
  </si>
  <si>
    <t>Ministro de Prusia</t>
  </si>
  <si>
    <t>ños de encierro en un castillo. * Ratisbona 28 de Febrero. f Ll Conde de Gortz, Ministro de Prusia, ha comunicado á la Dieta una dilatada nota sobre la necesidad de ratificar quanto antes la paz; y sobre que atendiendo á la ventaja común se hagan los sacrifi</t>
  </si>
  <si>
    <t>ario del Emperador para las conferencias de Lúneville. El Marques de Luchesini, Ministro de Prusia, presentó luego á Bonaparte el Conde de Linange; y el Almirante español Mazarredo tuvo su audiencia de despedida. El Arzobispo Galeppi, nombrado Nuncio de Sf.</t>
  </si>
  <si>
    <t>uerto eL 24. -?bus Capitanes jáan declarado que el día 21 recibiéron orden, del Ministro de Prusia , residente en Londres, y del Cónsul de la misma rucipnencHull, paraqué saliesen inmedia*-1 tímente al mar. Igual orden -tirviérmp los: Capitanesde embarcacion</t>
  </si>
  <si>
    <t>usia. Esta resolución se ha notificado de oficio al Embaxador de Suecia y á los Ministros de Prusia y Dinamarca. Stockolmo 8 de Marzo., L ., : . ^ os regimientos de milicias siguen marchando á Carlscrona, á Scania y Gothemburgo. El Rey dio en este ultimo puerto providenc</t>
  </si>
  <si>
    <t>rawfort, Ministro., inglesase ajustó el dia 7 un nuevo convenio á presencia del Ministro de Prusia. Contiene ios 'artículos siguientes:. i.° se restablece la neutralidad del Elba. Toda embarcación de. qualquiet potencia que sea podrá salir y entrar librement</t>
  </si>
  <si>
    <t>particular; v entre tanto celebran muchas conferencias con el Conde de Goertz, Ministro de Prusia.</t>
  </si>
  <si>
    <t>ese que es el Barón de Harnemberg quien irá al congreso de Amiens en calidad de Ministro de Prusia. Dase por cierto que en el tratado de paz entre Francia y Rusia hay artículos secretos relativos á los intereses de los Príncipes de Alemania que tienen algún</t>
  </si>
  <si>
    <t>arques de Cornwallis asistió á la de este último , y también Mr. de Lucchesini, Ministro de Prusia. Ayer concurrieron los Consejeros de Estado Thibaudeau, Marmont, y Regnault de $. Juan de Angelí al mismo Cuerpo legislativo, y ei primero leyó una exposición</t>
  </si>
  <si>
    <t>Ministro de Prusia en esta ciudad</t>
  </si>
  <si>
    <t>y salieron de allí al dia siguiente para Copenhague. * El Barón de Hochstetten, Ministro de Prusia en esta ciudad, ha notificado al Círculo del Alto-Rhin que el dia 26 llegará cerca de Wetzlar ufl cuerpo de tropas rusas, que de Francia se restituye á su patria pasando por</t>
  </si>
  <si>
    <t>Ministro de Prusia en esta corte</t>
  </si>
  <si>
    <t>buscar cargamentos y fletes. . ' &lt; Dresde jp de Diciembre,. M r. de Brokhausen, Ministro de Prusia en esta corte, ha recibido órde* de su gobierno para obsequiar lo mejor que pueda al ciud. Luis Bon.ípme, que según dicen ha ido á Varsovia, y vendrá á esta ciudad pasando p</t>
  </si>
  <si>
    <t>Ministro de Prusia en la Dieta ha declarada</t>
  </si>
  <si>
    <t>en Petersburgo el Feld-Mariscal Príncipe de Repnin. Ratisbona 2$de Junio. E il Ministro de Prusia en la Dieta ha declarada, según dicen, de ^átfe de su Soberano que si los Estados eclesiásticas de Alértianla se sóml^én'il1 secularizaciones para indemnizar á los Príncipes que han pe</t>
  </si>
  <si>
    <t>Ministro de Prusia ha</t>
  </si>
  <si>
    <t>petidos aplausos del concurso; Por la noche se iluminó toda la ciudad.— Como el Ministro de Prusia ha. protestado nuevamente contra esta elección, hay dudas sobró ai el Príncipe La aceptará. ... Acaba el Archiduque^ Fernando de enviar á los cabildos de Munster</t>
  </si>
  <si>
    <t>Ministro de Reía cienes exteriores introJuxo y presento el dia</t>
  </si>
  <si>
    <t>anto Domingo con la división del General Rochambeau. París 13 de Noviembre. E i Ministro de Reía cienes exteriores introJuxo y presento el dia 9 al Marques de Cornwallis, Ministro plenipotenciario de &amp;. M. Británica p:ira el congreso de Arniens, en la audiencia del primer Cónsul, que conferenció con é</t>
  </si>
  <si>
    <t>Ministro de Relaciones</t>
  </si>
  <si>
    <t>Ministro de Relaciones exteriores</t>
  </si>
  <si>
    <t>.Consejo de. presas. 4.0 Se .encarga el cumplimiento de estas disposiciones al Ministro de Relaciones exteriores, y al de la Marina y las Colonias/’................. ,¡Orden del Conseja .del Rey.de IngL3¿err.ay del.dia 14 de Enero. Informado S. M, .de que gran número deja</t>
  </si>
  <si>
    <t>gó á París el 20 de este mes á las 7 de la mañana:* pasó al instante á casa del Ministro de Relaciones exteriores, quien le conduxo á la quinta de Maimíusón, y lo presentó al primer Cónsul, em cuyas manos puso una carta del Emperador de Rusia. En su viage desde Petersburgo</t>
  </si>
  <si>
    <t>es y españoles, quedarán sujetas á la decisión de los Cónsules, dando cuenta el Ministro de Relaciones exteriores, v. Sobre los créditos de los españoles se harán las mismas deducciones que se han hecho en España sobre los de los franceses en virtud de órdenes de S. M. Cat</t>
  </si>
  <si>
    <t>o de la República francesa en el Haya, Iva escrito con fecha del 29 de Marzo al Ministro de Relaciones exteriores, diciéndole que por el telégrafo acababa de saberse que los ingleses hiciéron la noche anterior una tentativa contra la isla de Corea;</t>
  </si>
  <si>
    <t>Piamonte han venido á París, y tuviéron el 29 de Mayo su primera Audiencia del Ministro dé Relaciones exteriores. Hállase también en París Mr. MurrayV que ha venido de Holanda ¿ concluir los asuntos relativos al último tratado ajustado entre la República francesa y los Es</t>
  </si>
  <si>
    <t>simiente sacó media de aceyte. &lt; Paris 30 de:Junio. £ J ciudadano Tayllerand , Ministro de Relaciones exteriores, salió dé aquí el 28 por la tarde para las aguas de Borbon-Larchambault. Créese que estará ausente 15 0 20 dias. Queda encargado interinamente del despacho de</t>
  </si>
  <si>
    <t>lica francesa en nombre del pueblo francés al ciud. Carlos Mauricio Talleyrand, Ministro de Relaciones exteriores; y S. M. el Emperador de todas las Rusias al Sr. Arcadio Conde de MarcofF, su Consejero prir vado actual, caballero de la orden de S. Alexandro Newski, y Gran</t>
  </si>
  <si>
    <t>El Marques de Cornwallis ha dado una gran comida al ciud. Joseph Bonaparte, al Ministro de Relaciones exteriores, á varios Ministros extrangeros y Generales, como también al Ayudante general Duroc, que acaba de llegar de Rusia, y al xefe de brigada Lauriston, que fue el q</t>
  </si>
  <si>
    <t>Ministro de Relaciones exteriores al primer Cónsul</t>
  </si>
  <si>
    <t>Azara, Embaxador dé España recieñ llegado aquí, fué presentado el dia 23 por el Ministro de Relaciones exteriores al primer Cónsul», á quien entregó sus credenciales. Su antecesor el Sr. D. Ignacio Múzquiz tuvo el mismo dia su audiencia de despedida. ' Acaba el Ministro de Marin^ de dirigi</t>
  </si>
  <si>
    <t>nipotenciario de S. A. S. el Elector de Saxonia, fuéron presentados ayer por el Ministro de Relaciones exteriores al primer Cónsul, á quien entregaron sus credenciales. En seguida Mr. de Cetto presentó en la misma audiencia pública á Mr. Pourkart, Consejero de legación : el Conde de Bunau</t>
  </si>
  <si>
    <t>Ministro de Relaciones exteriores comuaicó al Prefecto de PoiLí</t>
  </si>
  <si>
    <t>la misma noche con hachas y gran solemnidad, conforma al aviso que el referido Ministro de Relaciones exteriores comuaicó al Prefecto de PoiLí . Se asegura que no tardará en firmarse también la paz de Francia con el Gran Señor, que es la única que falta. Han llegado de Londres á París muchos ingleses,</t>
  </si>
  <si>
    <t>Ministro de Relaciones exteriores de dicha República cisalpina</t>
  </si>
  <si>
    <t>e la inauguración del foro de Bonaparte. Acompañaba una carta muy lisonjera del Ministro de Relaciones exteriores de dicha República cisalpina. ^ .yi'- v'&gt; ;■ ■ M -¿ ■. ..l S :/- '-"v; ' ‘ Génova g'de Juntó. ’ ; é asegura qpe el Almirante Gántbeauhié lleva órden de desembarcar quanto ántés sea posible</t>
  </si>
  <si>
    <t>Ministro de Relaciones exteriores de la Re</t>
  </si>
  <si>
    <t>iente oficio al Ministró directorial de Maguncia. , 1 Extracto de una carta del Ministro de Relaciones exteriores de la Re* pública al ciud. Bacher-----París 26de Mesidor (ó 15 de Julio). Fecurri-, reis a la Dicta, y os quejareis de que los ingleses reclut n por todas parres en el</t>
  </si>
  <si>
    <t>Ministro de Relaciones exteriores decretan lo que sigue</t>
  </si>
  <si>
    <t>tenor es el siguiente: „Los Cónsules de la República sobre la presentación del Ministro de Relaciones exteriores decretan lo que sigue: Alt. 1. La oferta hecha por el Sr. Embaxador de España en nombre de S. M. Católica de- proceder y&gt;or vía de negociación á la exeeucion del artículo 10 del tra</t>
  </si>
  <si>
    <t>Ministro de Relaciones exteriores dio el dia</t>
  </si>
  <si>
    <t>ía 20 J como correo; no tardará en llegar también el mencionado Embaxador. ‘ El-Ministro de Relaciones exteriores dio el dia 17 con motivo de la paz una grao fiesta á que asístiéron los tres Cónsules, los Ministros y Con</t>
  </si>
  <si>
    <t>Ministro de Relaciones exteriores durante la ausencia del Conde</t>
  </si>
  <si>
    <t>dimisión de todos sus empleos ; y &lt;jue el Conde dc Trautmansdorlf está nombrado Ministro de Relaciones exteriores durante la ausencia del Conde ,de Cobentzel. Añaden qué el Marques detallo. Ministro de laceóte de Nápoles, espera .en Viena pasaportes del gobierno francés paradriá París á tratar de par e</t>
  </si>
  <si>
    <t>Ministro de Relaciones exteriores el Barón</t>
  </si>
  <si>
    <t>en Florencia. En la audiencia que el primer Cónsul dio el día 21 !e presentó el Ministro de Relaciones exteriores el Barón de .Amb 'ch, Consejero de .Regencia del Elector de Saxonia , el Barón de ívoi,, Gentilhombre del Principe de Nassau Orange, el Senador Rodde , .diputado..de Lubcc</t>
  </si>
  <si>
    <t>Ministro de Relaciones exteriores el siguiente tratado</t>
  </si>
  <si>
    <t>o plenipotenciario en la negociación de la paz con el Austria, para entregar al Ministro de Relaciones exteriores el siguiente tratado: ,, Igualmente ansiosos S. M. el Emperador Rey de Hungría y de Bohemia, y el primer Cónsul de la República francesa, en nombre del pueblo francés, de poner fin</t>
  </si>
  <si>
    <t>Ministro de Relaciones exteriores han decretado</t>
  </si>
  <si>
    <t>a República francesa. París jo de fimos* ( 20 de Enera). , -« A proposición del Ministro de Relaciones exteriores han decretado los</t>
  </si>
  <si>
    <t>Ministro de Relaciones exteriores le presentó á Mr</t>
  </si>
  <si>
    <t>ríncipe de Nassau-Siegen, General de los exércitos de S. M. Cat. Igualmente, el Ministro de Relaciones exteriores le presentó á Mr. Pindiney, que va de Ministro de los Estados-Unidos á la corte de Madrid, y el ciud. Strick de Linschoten, Ministro que fue de la República bátava en Stuttmmd.</t>
  </si>
  <si>
    <t>Ministro de Relaciones exteriores obsequió el dia</t>
  </si>
  <si>
    <t>te el qual quedará completa la navegación interior desde Burdeos hasta León. El Ministro de Relaciones exteriores obsequió el dia 8 á los Sres. Condes de Liorna con una fiesta muy brillante, y en la qual se advirtieron muchas alegorías, siendo una de ellas la entrada de dichos Soberanos e</t>
  </si>
  <si>
    <t>Ministro de Relaciones exteriores presentó al ciud</t>
  </si>
  <si>
    <t>uecia, Rusia, Dinamarca, Prusia, y del Elector palatino de Batiera. Asimismo el Ministro de Relaciones exteriores presentó al ciud.Guigáes, nombrado para ir á la China en calidad de Residente de Francia. El Marques de Cornwaliis llegó á París el dia 7 á las 4 de la tarde: le acompañan el L</t>
  </si>
  <si>
    <t>Ministro de Relaciones exteriores una audiencia del primer Cónsul</t>
  </si>
  <si>
    <t>d. Duroc para Petersburgo. # Air. de Kalitscheff , Embaxador de Rusia, pidió al Ministro de Relaciones exteriores una audiencia del primer Cónsul, la qual se verifico el día 25 totes de la parada. Fné el Embaxadór conducido al palacio de las Tullems por dicho Ministro, y entrego al primer Cónsul una cart</t>
  </si>
  <si>
    <t>Ministro de Relaciones exteriores y con el Almirante francés Bruix</t>
  </si>
  <si>
    <t>Petersburgo al Haya un Almirante ruso : ha tenido ya ▼arias conferencias con el Ministro de Relaciones exteriores y con el Almirante francés Bruix; y de resultas se despacharon correos á París y Petérsburgo. El caballero Araujo, Ministro plenipotenciario que fué de Portugal en esta República, ha recibido</t>
  </si>
  <si>
    <t>Ministro de Relar ciones exteriores</t>
  </si>
  <si>
    <t>testificado y resulten en regia, ix. Las cuentas de liquidación visadas por el Ministro de Relar ciones exteriores, se comunicarán al Ministro de Rentas, y este ordenará el pago según las disposiciones y tenor de estos artículos, x. Los Comisarios franceses recibirán y deba</t>
  </si>
  <si>
    <t>Ministro de Rentas</t>
  </si>
  <si>
    <t>quidación visadas por el Ministro de Relar ciones exteriores, se comunicarán al Ministro de Rentas, y este ordenará el pago según las disposiciones y tenor de estos artículos, x. Los Comisarios franceses recibirán y debatirán las proposiciones generales de l</t>
  </si>
  <si>
    <t>Ministro de rentas</t>
  </si>
  <si>
    <t>se le ha nombrado sucesor, y parece que su empleo se reunirá con el de Agente ó Ministro de rentas, que se ha conr ferido ai ciud. Abbema, en lugar del ciud. Gagel, que lo servia. » \ Berna 3 de Octubre. 1 A caba el ciud. Vérninac de presentar al Consejo exe</t>
  </si>
  <si>
    <t>Ministro de Rentas en Constantinopla</t>
  </si>
  <si>
    <t>salió de aquí elEmbaxador turco, que sirvió este empleo 3 años, y está nombrado Ministro de Rentas en Constantinopla. Su sucesor llegará en todo este mes. \ ■- ’ Berlín $ de Enero* E 1 exército de neutralidad permanece en la línea de demarcación sin hacer movimientos ni recib</t>
  </si>
  <si>
    <t>Ministro de Rentas son encargados cada uno</t>
  </si>
  <si>
    <t>los créditos de los españoles con arreglo á lo dispuesto én el artículo 50. Los Ministros de Relaciones exteriores y de Rentas son encargados cada uno en la parte qué le toca de la execucion del presente decreto.Ei primer Cónsul.^ Firmado: Bonaparte.nPor el primer Cónsul: El Secretario de Estado. = Firmado: H</t>
  </si>
  <si>
    <t>Ministro de Rusia</t>
  </si>
  <si>
    <t>ficio y la respuesta del Elector se han comunicado por órden suya á Mr. Buhler, Ministro de Rusia, y al General Hegmann, Ministro de Prusia cerca de S. A. Electoral. Con esta solicitud del ministerio austríaco se ha aumentado el descontento que había entre</t>
  </si>
  <si>
    <t>rece que se hizo este primer acto de justicia en fuerza de representaciones del Ministro de Rusia, el quai há despachado un correo á su corte informándola de este acontecimiento. Petersburgo 24 de Diciembre. S e ha firmado aquí el convenio de neutralidad po</t>
  </si>
  <si>
    <t>cos en Constantinopla, y la declaración recien hecha á ía Sublime Puerta por el Ministro de Rusia, son sin duda las causas dé esta marcha, la qual no es de extrañar desde que se sabe que la córte dé Petersburgo no ve con gusto el infiuxo que el gabinete bri</t>
  </si>
  <si>
    <t>Jas Siete torres al arrabal de Pera, lo que ha conseguido por i atarvención del Ministro de Rusia. .... Ademas de las amenazas ahechas por la Puerta á los} estados berberiscas ;qoe han ajustado paz con Era acia, ha mandado seqjie$trar aquí todas sus embarca</t>
  </si>
  <si>
    <t>. Añaden que el Conde de Woronzow no exerce todavía en Londres las funciones de Ministro de Rusia; y se cree que las primeras proposiciones hechas al gabinete de S. Jámes en nombre del nuevo Emperador, no han sido aprobadas como debían serlo. Semlin j de Ma</t>
  </si>
  <si>
    <t>de Mayo. f ^ *1 13 dio el Rey audiencia con grande aparato al Barón da Budberg, Ministro de Rusia, el qual entregó á S. M. las nuevas credenciales-de su Soberano. Un extraordinario de Petersburgo ha traído hoy la noticia de que la es</t>
  </si>
  <si>
    <t>para Palermo en el navio Arcbímedes el General Acton, el Duque de Gravina y el Ministro de Rusia. Conforme al tratado de paz han evacuado nuestras tropas las plazas de Oriritello, el Castillo-Felipe , Monte-Argentario , Puerto Hércules, Telamón, Puerto de</t>
  </si>
  <si>
    <t>uatro semanas para hacer aquel viage. Berlín 14 de Julio. E I Barón de Krudner, Ministro de Rusia, ha entregado á S. M. Prusiana una carta del Emperador su amo. En todo este mes se espera aquí al Rey de Suecia. El General Macdonald, que va á Copenhague en c</t>
  </si>
  <si>
    <t>Ministro de Rusia con pliegos para dicho Soberano</t>
  </si>
  <si>
    <t>le el pésame. La misma noche llegó de París un extraordinario despachado por el Ministro de Rusia con pliegos para dicho Soberano, quien después de leerlos determinó salir al dia siguiente para Ñapóles con su familia y comitiva, á fin de embarcarse para la isla de Cerdeña. Dos mayordomos</t>
  </si>
  <si>
    <t>Ministro de Rusia destinado á la corte de Ñapóles</t>
  </si>
  <si>
    <t>rno por un correo ex* traordinario. Permanece todavía aquí el Príncipe Gagarin, Ministro de Rusia destinado á la corte de Ñapóles, y se dice que no emprenderá su viage hasta que se firme el tratado definitivo de paz. S. M. Siciliana ha nombrado al Condé de Carinóla para su Ministro en Pet</t>
  </si>
  <si>
    <t>Ministro de Rusia en el exército turco</t>
  </si>
  <si>
    <t>enderse de la autoridad del General otomano. Parece positivo que Mr. Franchíni, Ministro de Rusia en el exército turco, fué envenenado ó asesinado el 25 de Enero-----Los comerciantes gozan en Egipto de tanta protección como seguridad en sus operaciones mercantiles: los derechos</t>
  </si>
  <si>
    <t>Ministro de Rusia en la corte de Lisboa</t>
  </si>
  <si>
    <t>DE DICIEMBRE DE 1801. Petersburgo jo de Octubre. E 1 Barón de Maltitz, que era Ministro de Rusia en la corte de Lisboa, pasa con igual destino á la ciudad de Francfort del Mein. Ei día 20 se recibió aquí la noticia de haberse ñrmado los preliminares de paz entre Inglaterra y Fr</t>
  </si>
  <si>
    <t>Ministro de Rusia en Paris</t>
  </si>
  <si>
    <t>tre las dos potencias para.convenir en el u t do definitivo de paz. Mr. Marcow, Ministro de Rusia en Paris, firmara allí dicho convenio en nombre de su Soberano. Ha habido en Eskiísuna, de Sudermania, un fuerte temblor de ti rra: muchas casas se desplomaron, y otras</t>
  </si>
  <si>
    <t>Ministro de Rusia los de Inglaterra</t>
  </si>
  <si>
    <t>para Petersburgo, donde ha de celebrarse un congreso, al qual asistirán con los Ministros de Rusia los de Inglaterra, Prusia, Suecia y Dinamarca. Basilea Jj de Junio. N o quedan en Suiza mas que 3© hombres de tropas francesas, las quales no se han retirado ya porque el gobier</t>
  </si>
  <si>
    <t>Ministro de Rusia que reside</t>
  </si>
  <si>
    <t>pliegos, unos para Viena y otros para Francia» También va á París la esposa del Ministro de Rusia que reside, cerca de los Cónsules. De Berlín escriben que el gabinete prusiano no está en ánimo de consentir en que el Archiduque Antonio, electo Príncipe Obispo de Munst</t>
  </si>
  <si>
    <t>Ministro de Rusia se verileará quanto ántes</t>
  </si>
  <si>
    <t>la ventaja. ___Se espera que el cange de prisioneros franceses apoyado- por- el Ministro de Rusia se verileará quanto ántes. Recientemente se habían embarcado 45 marineros franceses en fragatas turcas, en las quales les obligaban á trabajar como galeotes, y aun á servir contra sus p</t>
  </si>
  <si>
    <t>Ministro de su confianza</t>
  </si>
  <si>
    <t>la exposición que se le ha hecho sobre el particular, apoyada en el dictamen de Ministros de su confianza, que conocen bien la importancia del fomento de este ramo, se permita la exportación de Ja seda á países extrangeros por los puertos de Alicante, Cartagena y B</t>
  </si>
  <si>
    <t>Ministro de Suecia</t>
  </si>
  <si>
    <t>o el Almi'ranta/gode Londres, en fuerza de las representaciones que luciéronlos Ministros de Suecia y .Dinamarca ¡antes deretirárse de Inglaterra, ha dado pasaportes para que se restituyan dichos barcos al mencionado puerto. II Barón de Ehrensward irá á París e</t>
  </si>
  <si>
    <t>6 de este mes fuéroh presentados muchos sugétos extrangeros por los respectivos Ministros de Suecia, Rusia, Dinamarca, Prusia, y del Elector palatino de Batiera. Asimismo el Ministro de Relaciones exteriores presentó al ciud.Guigáes, nombrado para ir á la Chi</t>
  </si>
  <si>
    <t>ada de Pillau han dado todos sin excepción á la costa. El Barón de Oxénstierna, Ministro de Suecia, ha salido hoy de esta ciudad para Stockolmo llamado por su Soberano. La semana pasada atravesáron el Sund 92 embarcaciones de varías potencias. Semlin de Novi</t>
  </si>
  <si>
    <t>Ministro de Suecía en aquella corte</t>
  </si>
  <si>
    <t>io al Conde de Lowendhal, Enviado dinámarqaes en Rusia, y al BaVon.de Steading, Ministro de Suecía en aquella corte, la resolución de S. M. I. de levantar el embargo de Jas embarcaciones británicas en los puertos del Imperio; pero añadió qué aunque su Soberano anulaba una di</t>
  </si>
  <si>
    <t>Ministro de Suecia en esta corte</t>
  </si>
  <si>
    <t>ue ig de Octubre. A caba de llegar de Stockoimo el ciud. Duroc. Mr. Oxenstiern, Ministro de Suecia en esta corte, le ha entregado de parte del Rey su amo una carta y un presente traído por un correo extraordinario.</t>
  </si>
  <si>
    <t>Ministro de Suepia</t>
  </si>
  <si>
    <t>. v77*' 7 V *1 ' E 1 Lord Carisford, Ministro de Inglaterra, entregó ayer á los Ministros de Suepia y DÍnaiíiatrca un,oficio, por eh/qvál, pide una explicación definitíryá,- jcatpgóricá ^b«*lqs mueyoá^píices, dé ^^r^pectivas cortés con de Riísid;, añadiendo, qm? énjcaso\qii^Ac</t>
  </si>
  <si>
    <t>Ministro de Toscsna cerca del Directorio de Francia</t>
  </si>
  <si>
    <t>sean restablecidos en sus empleos. El caballero de Angiolini, que fué el último Ministro de Toscsna cerca del Directorio de Francia, después de detenerse aquí algunos dias ha salido para París, en donde debe hallarse á la llegada del nuevo Soberano'de Toscana.</t>
  </si>
  <si>
    <t>Ministro de Tréveris</t>
  </si>
  <si>
    <t>Ministro de un Príncipe católico confie su voto</t>
  </si>
  <si>
    <t>650 este uno de los pocos exemplares de que el Ministro de un Príncipe católico confie su voto, en caso de ausencia, á un Ministro protestante. Londres ay de Mayo. E scnbe el Lord Minto desde Viena que el Gran Visir, después de la batalla del .21, se pus</t>
  </si>
  <si>
    <t>Ministro de un Príncipe protestante</t>
  </si>
  <si>
    <t>ra votar por Mr. de Rechberg, Enviado del Elector de Baviera, supuesto que como Ministro de un Príncipe protestante, no podía representar á un Príncipe católico; pero sin embargo de quanto se alegó sobre esto, ha quedado admitido el voto de Mr. Goertz. Londres jo de Mayo. D</t>
  </si>
  <si>
    <t>Ministro de varios Príncipes</t>
  </si>
  <si>
    <t>Ministro de' Austria</t>
  </si>
  <si>
    <t>ia al mismo Conde de Goertz, quien de resultas tuvo muchas conferencias con los Ministros de' Austria, Francia, y de algunas rPríhdpes reculares de Alemania. Según lo qüe se ha divulgado, trata la corte de Berlín de oponerse á que sé nombre sucesor al Elector d</t>
  </si>
  <si>
    <t>Ministro de'Marina</t>
  </si>
  <si>
    <t>rioridad. ' Maya q de Setiembre. E l'i.° de este mes • á dé la'tátdé recibió el Ministro de'Marina &gt;un correo de Briel con noticia de qué- lá-esquadra del Almiráñté Nélsori se habia presentado á vista de aquellas costas. Comunicóse al instante este -avisfcxá</t>
  </si>
  <si>
    <t>Ministro debían haberla hecho mucho ántes</t>
  </si>
  <si>
    <t>no pudo hacerse la paz en circunstancias mas convenientes, pues pienso que los Ministros debían haberla hecho mucho ántes;. pero no culpo ce esto á los actuales, que desde que entraron en el ministerio han tratado seriamente de ajustarla , y lo han conseguido.” Con el mismo motivo</t>
  </si>
  <si>
    <t>Ministro debidamente autorizados</t>
  </si>
  <si>
    <t>nta un interregno como el que habría ahora: pues sé hallaría sin Soberano y sin Ministros debidamente autorizados. Han baxado los fondos públicos; lo qual se atribuye en parte á l s no*ticias recibidas de Prusia, de las que nada se ha transpirado .hasta ahora en el público</t>
  </si>
  <si>
    <t>Ministro deGuarra</t>
  </si>
  <si>
    <t>ÜOr. r el -cfodw-Comí, Ministro deGuarra. Para esté áltitno minister io está nom* erado ¿i ciud* Bdtío , que ^ya la sirvió; anterÍQrtnente.b ^ He El daai^se aeiefóóvá^uf qqiIí-madKaetsQlemmdájd lá dic</t>
  </si>
  <si>
    <t>Ministro deí culto</t>
  </si>
  <si>
    <t>ón es restablecer el buen arden y la ttanquilicííid^ ^dar par a ia EürbjprájliL-Ministros deí culto. 'ElC^élalctomáricferifé ié» %éféKi^'eriéargi ptevehiros que^escribe al Stói Páifife ^ará^á^^iWle^^'Stí^intléticíohbs ¿ad tífibaí, y “dé E peira íntéligbhciíf^</t>
  </si>
  <si>
    <t>Ministro déJa República en Suecia</t>
  </si>
  <si>
    <t>República envía á Petérsburgo;y el Directorio eligió aliciud. Wv Büys , que fue Ministro déJa República en Suecia, el qual lia salido ya para Rusia con el carácter de Embaxador bátavo. jry * Roma 12 de Febrero. Príncipe heredero de Nápoles, á quien acompaña el General Acto</t>
  </si>
  <si>
    <t>ministro del altar</t>
  </si>
  <si>
    <t>s de la Iglesia y sus misterios.,, ordenanzas eclesiásticas que deben saber los ministros del altar, con el origen de, todas Jas ceremonias: décima impresión hecha en Madrid con todo esmero, añadida y corregida : un tomo en 4.0 Se hallará en la librería de Qu</t>
  </si>
  <si>
    <t>Ministro del Consejo de Hacienda y en cuyo destino</t>
  </si>
  <si>
    <t>o falleció en esta corte á los 70 años cumplidos de edad el Sr. D- Juan Moreno, Ministro del Consejo dé Hacienda y en cuyo destino, en los dé Contador dél libre comerció de Indias en Cádiz , Contador y Administrador general de Ja renta de tabaco del Reyno, y otros, sirvió á S. M. mas de 50</t>
  </si>
  <si>
    <t>Ministro del Consejo de las Ordenes</t>
  </si>
  <si>
    <t>alde de la Real casa y corte, vacante por promoción de D. Luis Mclendez Bruna á Ministro del Consejo de las Ordenes, á D. Joseph María Perez Valiente; y para</t>
  </si>
  <si>
    <t>Ministro del Consejo do las Ordenes</t>
  </si>
  <si>
    <t>rar á D. Luis Melendez Bruna, Alcalde de su Real casa y corte, para la plaza de Ministro del Consejo do las Ordenes, vacante por haber nombrado S. M. por su Ministro Plenipotenciario cerca de la santa Sede al Sr. D. Antonio de Vargas y Laguna. El Consejo,á consulta de la Com</t>
  </si>
  <si>
    <t>Ministro del Crimen en el tribunal llamado Chátelet</t>
  </si>
  <si>
    <t>Conde de Albi, que había nacido en Barcelona el año 1729. Fué Abogado en París, Ministro del Crimen en el tribunal llamado Chátelet, Teniente general de policía, del Consejad» Estado, y Secretario del despacho universal de Marina desde 1774 hasta 1787. Nuzca hubo en Parts tanto cui</t>
  </si>
  <si>
    <t>Ministro del despacho á los Sres</t>
  </si>
  <si>
    <t>le sirvió un magnífico refresco. Florencia jo de Agosto. O. M. ha nombrado para Ministros del despacho á los Sres. Gianni, Mar-, jtini, Ciani y Biondini. Esta elección ha merecido la aprobación del' público, el qual no olvida que al primero de estos sugetos debe la Toscana</t>
  </si>
  <si>
    <t>Ministro del despacho ó ramo de ciencias y artes</t>
  </si>
  <si>
    <t>ca del gobierno francés; y al ciud. Mohr, Canónigo que ha sido de Lucerna, para Ministro del despacho ó ramo de ciencias y artes. Toda la artillería de Baviera, que había quedado e« Philipsburgo, se ha restituido al gobierno bávaro conforme al convenio firmado en VVels el 6 de Noviembre,</t>
  </si>
  <si>
    <t>Ministro del Elector de Baviera</t>
  </si>
  <si>
    <t>r /todas las partes del mundo. Berlín 7 de Octubre, E 1 caballero Debray, nuevo Ministro del Elector de Baviera, ha tenido tu primera audiencia del Rey. Espérase aquí en breve á Mr. de Dohm, que está llamado por la corte ^ara darle nuevas instrucciones en orden al nombra</t>
  </si>
  <si>
    <t>Ministro del Elector de Saxóniá</t>
  </si>
  <si>
    <t>rá. . Berlín 14 de Agosto. S e ha despedido de éste Soberano el Conde de Bunan, Ministro del Elector de Saxóniá; y se asegura que" irá á residir á París con el mismo carácter. Hasta que llegue aquí otro Ministró de la corte de Drésde despachará Mr. de Helbig los asuntos</t>
  </si>
  <si>
    <t>Ministro del Emperador</t>
  </si>
  <si>
    <t>tísimo el fin^de los muchos males que afligen á Italia. . El Marques Ghislieri, Ministro del Emperador , celebró el dia 22 la paz de Francia con el Austria y con Nápoles, dando un espléndido banquete, á que asistieron todos los individuos del cuerpo diplomático,</t>
  </si>
  <si>
    <t>Ministro del Emperador de Alemania</t>
  </si>
  <si>
    <t>10*4 , También ha llegado el Conde de Raunitz-Rittberg, Ministro del Emperador de Alemania. Se han hecho á ia vela para el mar del Norte un navio de línea nuevo y una fragata, al mando del Chambelán Conde de Bille. tí El General Macdonald , Embaxadór</t>
  </si>
  <si>
    <t>Ministro del Emperador de la China Lu-Mo-Sing</t>
  </si>
  <si>
    <t>el Almirante Keyth. &gt; En las últimas noticias del Asia se refiere que el primer Ministro del Emperador de la China Lu-Mo-Sing, que era igualmente su valido,-y contribuyó mucho á la calda del Ministro su antecesor, ha incurrido también en la desgracia de su amo. Para librarle de la afr</t>
  </si>
  <si>
    <t>Ministro del Emperador en el Círculo de Franconía</t>
  </si>
  <si>
    <t>se tratará de impedir que entren en el resto de Alemania. El Condé de Erchliok, Ministro del Emperador en el Círculo de Franconía, se halla en camino para Arensberg, en donde asistirá en calidad de Ministro imperial á la elección del nuevo Arzobispo de Colonia. Mr. de Henkel, Capitán y En</t>
  </si>
  <si>
    <t>Ministro del Emperador residente em enta cotte</t>
  </si>
  <si>
    <t>mbién contra BasVvan-Oglow. 'k .. L : •-:! Berlín 2 f de; Octuple* ;, . i ( E 1 Ministro del Emperador residente em enta cotte, ha comunicado á la suya el resultado de las conferencias que ha tenido cón este ministerio sobre el asunto de las indemnizaciones.. . Escriben de Copenhague q</t>
  </si>
  <si>
    <t>Ministro del Emperador sigha</t>
  </si>
  <si>
    <t>na^óti.vijd^d* y quedas* en eLa'ctnáie¿tado:deiiaái;eosas nb aonviéheaqsi» los, Ministros del Emperador sigha^mamíéitsibdosideímoíá* losideí gc^bikrnp ■ iránc¿si Ppr&lt;veoj)s|¿uíerh f© &gt;és ^re«eiigó) absübveis.Llon el!os ^ís atéheíibnksíy .muramieotps débidps enp» tre "M</t>
  </si>
  <si>
    <t>Ministro del Gran Duque último</t>
  </si>
  <si>
    <t>s reglamentos hechos por el Gran Duque Leopoldo, qué se habían derogado por los Ministros del Gran Duque último. Quiere dicho General que todos los años el 15 de Abril se Celebre una fiesta en memoria de aquel Príncipe filosofo y legislador. Escriben de Ñápeles que el 14</t>
  </si>
  <si>
    <t>Ministro del Margfave de Badén</t>
  </si>
  <si>
    <t>l Rhm. Tamb.cn han pa?adoPíor aquí para la misma ciudad el Barón de Edelsheim . Ministro del Margfave de Badén, y Mr. de Reutgen, Consecro de legación del Rey 46 Un Comisario ordenador francés se presentó el 21 de Febrero en la junta delCírculo de Suabia, que se celebra</t>
  </si>
  <si>
    <t>Ministro del ptro</t>
  </si>
  <si>
    <t>lar sobre ísus Émbaxadpt’es ó Ministros respectivos. Cada gobierno concederá al Ministro del ptro:una guardia de honor , y la jurisdicción sobre las personas de su nación que se hallen en el pais en que residen , y ademas, le. señalará casa para su alojamie</t>
  </si>
  <si>
    <t>Ministro del Rey de Cerdeña</t>
  </si>
  <si>
    <t>mperador. En la gazeta de esta corte se ha publicado que habiendo el Sr. Balbi, Ministro del Rey de Cerdeña^ residente aquí, dado motivo de disgusto á este Soberano , mando S. M. Imperial que saliese- de Petersburgo en ei término de 3 horas, y en el de 36 de los domi</t>
  </si>
  <si>
    <t>do ya grandes partidas á Inglaterra. Berlín 2$ de Julio. E i Conde de Va Honre, Ministro del Rey de Cerdeña, ha emprendido sh viage a Petersburgo, y ha pasado ya por Koenisberg. Hasta principios de Setiembre no se espera en Potsdam al.Rey de Suecia. Mr. Pontanus, Te</t>
  </si>
  <si>
    <t>Ministro del Rey de Diñamdrca</t>
  </si>
  <si>
    <t>de 3. días hizo su vh.ge desde Munich.. Han llegado también el Conde de Qísen* Ministro del Rey de Diñamdrca, qtie'va á París -pasando por' Luoeville*y el Marques de Gallo.Embaxador de. Ná potes ^éq Vtefri él' -mismo' que firmo como met diador el tratado de, Caropc£Fb</t>
  </si>
  <si>
    <t>Ministro del Rey de España</t>
  </si>
  <si>
    <t>el ajuste de los preliminares de paz. Berlín iG de Noviembre. E 1 Sr. O-Farrií, Ministro del Rey de España, ha recibido la respuesta de esta corte al oficio que había presentad©, pidiendo qué S. M. reconociese al nuevo Rey de Etruria. En dicha respuesta reconoce fqr</t>
  </si>
  <si>
    <t>Ministro del Rey de Gerdeña</t>
  </si>
  <si>
    <t>mida al Cardenal Consalvi. Pasado mañana saldrá de París el Conde-de S* Marsan, Ministro del Rey de Gerdeña. No se sabe si va á Ñapóles ó á Callan. Los vecinos de la ciudad de Sables lian remitido al éiud. Otto, que está en Londres, 728 trancos para socorrer á alguno</t>
  </si>
  <si>
    <t>les franceses de marina qué van á Nápoles , como también el Conde de S. Marsan, Ministro del Rey de Gerdeña, que vuelve de París. ; Turin 27 de Setiembre. S egun las varias disposiciones que sigue adoptando la Francia para el gobierno de este pus, puede creerse que a</t>
  </si>
  <si>
    <t>Ministro del Rey de Ñápeles én Francia</t>
  </si>
  <si>
    <t>ue á nadie toquen mas de 15 acciones. Parts x.° de Junto* E 1 Marques dé Gallo, Ministro del Rey de Ñápeles én Francia, salió de aquí antes que llegase el Sr. Conde de Liorna. ■ Los diputados del Piamonte han venido á París, y tuviéron el 29 de Mayo su primera Audiencia del Min</t>
  </si>
  <si>
    <t>Ministro del Rey de Nápoles</t>
  </si>
  <si>
    <t>o; pero el parque de artillería se ha llevado á Perusa. El caballero Micheroux, Ministro del Rey de Nápoles, permanece en el quartel del General Murat esperando al negociador francés para ajustar la paz definitiva___ Los refugiados napolitanos comprehendidos en el úl</t>
  </si>
  <si>
    <t>Ministro del Rey de Ñapóles</t>
  </si>
  <si>
    <t>entes á dicha orden quedan libres de toda carga de guerra. El Marques de Gallo, Ministro del Rey de Ñapóles, llegó de París aquí el 30 de Mayo. El mismo día el Elector bávaro-palatino salió de Carisrue con su esposa para Munich¿ Londres 6" de Junio. A yer se publicó</t>
  </si>
  <si>
    <t>Ministro del Rey de Prusia</t>
  </si>
  <si>
    <t>nnóvér escriben que la Regencia de aquel Eíectdrádó'haí ^blitrdo á Mr. de Dohm, Ministro del Rey de Prusia, una íiota en 4»^ fé allega -con la níayor eficácia haga de modo que salgan quanto árités de jaquel país las tropas prusianas que se hallan todavía en él. Ha m</t>
  </si>
  <si>
    <t>Ministro del supremo Consejo de Castilla</t>
  </si>
  <si>
    <t>de en su Real casa y corte, conseqiiente á otro del Sr. D. Sebastian de Torres, Ministro del supremo Consejo de Castilla, de *5 de Abril del a fio próximo pasado , ante el Escribano de provincia D.-Juan Bazatégui , se hace saber á Don Diego i D. .Manuel , Dofia Francisca y. Dofia</t>
  </si>
  <si>
    <t>del Sr. D. Juan Antonio López Altamirano, caballero de'íijf órden de Santiago, Ministro del supremo Consejo dé Castilla| Jüez protector y privativo de las memorias que en la viíla de Argete fundó el limó. Sr. D. Juan? Alonso de Móscoso , Obispo que fué de Málaga , se ha mandado</t>
  </si>
  <si>
    <t>Ministro del supremo Consejo de la Guerra</t>
  </si>
  <si>
    <t>oslservlcios y mérito de D&gt; Eugenio Izquierdo le ha concedido el Rey honores de Ministro del supremo Consejo de la Guerra. Al Brigadier D. Antonio Alvares de Bohorques, Teniente Coronel del regimiento de dragones de Nmnancia, le ha concedido S. M. el empleo de Mariscal de ¿Campos,</t>
  </si>
  <si>
    <t>Ministro del tribunal de la Contaduría mayor de Cuentas</t>
  </si>
  <si>
    <t>al de Propios y zlrbitrios del Réyno, se ha servido S. M. concederle honores de Ministro del tribunal de la Contaduría mayor de Cuentas. En América. El Rey se ha servido nombrar para el Arcedianato de-la</t>
  </si>
  <si>
    <t>Ministro déla Guerra</t>
  </si>
  <si>
    <t>de división F. Andreosi, xefe de ía plan* miyor del exército galo-báta vo', al Ministro déla Guerra. „Quarl el general de Herzogen- Aurach 20 de Diciembre. Después de la batalla de Burg-Eberach dádá el dia 3, ¿1 exército galo-bátavo se apostó al otro ladodel</t>
  </si>
  <si>
    <t>ministro demas empleados de dicha mezquita</t>
  </si>
  <si>
    <t>Ministro den cuenta de las catísas que</t>
  </si>
  <si>
    <t>Europa. Antes que. aprobemos nuevos tributos y nuevas tropas, exijamos que los Ministros den cuenta de las catísas que .han movido una confederación tan extraña. Concluyó Mr. Grey su discurso diciendo que en vez de desalentarnos al considerar en 'nuestra apurada situación, conv</t>
  </si>
  <si>
    <t>Ministro desvaneciéron sus objeciones</t>
  </si>
  <si>
    <t>os vocales de una y otra Cámara censuráron los artículos ¿del tratado; pero los Ministros les contestaron y desvaneciéron sus objeciones. En la Cámara baxa se ha aprobado un número de 58$ hombres, inclusos 7© inválidos, para las guarniciones de la Gran Brexaña, las islas de Jersey y Guernsey: y</t>
  </si>
  <si>
    <t>Ministro diéron su consentimiento</t>
  </si>
  <si>
    <t>canos no habia servido) al Lord Canciller para que sellase y firmise. Los demás Ministros diéron su consentimiento; y á las 7 el Lord Hawkesbury y el ciud. Otto firmaron los preliminares en Downing-Street. El mención ido Lord Hawkesbury escribió inmediatamente al Lord Corre</t>
  </si>
  <si>
    <t>Ministro DÍnaiíiatrca un</t>
  </si>
  <si>
    <t>Ministro Dinamarca</t>
  </si>
  <si>
    <t>Ministro dinamarqués</t>
  </si>
  <si>
    <t>puesta de Copenhague, y hasta recibir la resolución dé SU corte. Mr. dé Blorne, Ministro dinamarqués, que viene de-l campaménto del Principé dé Hessé, Generalísimo de las tropas de Dinamarca, desmiente las voces qué han corrido de haber los ingleses pasado ya</t>
  </si>
  <si>
    <t>r nes para cpndúpirse en aquel caso. El Almirante envió am cúter. en busca: del Ministro dinamarqués, y_nO'íperinitÍQ ííueu^T paquebot entrase en los. ppertpsLde^^llúblka^iSiUí^mb/rgPídeiq^e llegaba.-bandera «p&amp;rfymén$ariai.l Los fondos públicos hablan sgbjdor</t>
  </si>
  <si>
    <t>Ministro dinaroar-r ques cerca dei Congreso</t>
  </si>
  <si>
    <t>us papeles y despachos están escritos en la propia lengua---- Mr. Blecheroísen, Ministro dinaroar-r ques cerca dei Congreso, liego el 16 de Junio áFiladdfia, y poco despueií siguió á la ciudad de Washington, en donde ha de residir. Acaban de regresar a este puerto los dos navios de</t>
  </si>
  <si>
    <t>Ministro directoría</t>
  </si>
  <si>
    <t>-Ca$s&lt;?! y Darmstard; pero como los primeros forman la mayoría, ha entregado el Ministro directoría! en una conferencia que hubo hoy el proyecto de resolución, acompañando una especie de mamón.i sobre quanto tiene relación con dicha obra, como también ios pla</t>
  </si>
  <si>
    <t>Ministro directorial de Maguncia</t>
  </si>
  <si>
    <t>. ' Rátisbóna 72 de Marzo. : JUn una conferencia, qué hubo el dia 4 en casa del Ministro directorial de Maguncia, comunicó el Conde de Goertz, Ministro de S. M. Prusiana, las instrucciones que había recibido de su-Soberano, las quales dicen-suba</t>
  </si>
  <si>
    <t>ictámen de S. M. Prusiana en orden á dichas deliberaciones. Mr. de Steigentech, Ministro directorial de Maguncia , ha propuesto se forme una junta de 8 6 10 estados del Imperio para que propongan á la Dieta un plan sobre las indemnizaciones que deben darse á los Príncipes</t>
  </si>
  <si>
    <t>Ministro directorial de Maguncia comunicó inmediatamente esta no</t>
  </si>
  <si>
    <t>e se adopten las m didas mas severas para impedir estos enganches ilícitos.” El Ministro directorial de Maguncia comunicó inmediatamente esta no</t>
  </si>
  <si>
    <t>Ministro directorial de Maguncia copia de una carta del Ministro</t>
  </si>
  <si>
    <t>no Bacher, Enviado de la República francesa, el quát comunicó inmediatamente al Ministro directorial de Maguncia copia de una carta del Ministro de Negocios extrangeros, escrita el 24 de Agosto, que dice así: „EI primer Cónsul ha sabido por Berlín que S. M. Prusiana ha enviado orden al Conde de Goertz para</t>
  </si>
  <si>
    <t>Ministro directorial de Maguncia de que ha recibido una carta</t>
  </si>
  <si>
    <t>asión en Crimea ó en Albania. Ratísbona 4 de Junto. H a Informado á la Dieta el Ministro directorial de Maguncia de que ha recibido una carta del Archiduque Carlos, relativa á la proposición del Rey de Suecia sobre erigirle en esta ciudad una estatua como libertador de Alemania. Se muestra el Príncipe su</t>
  </si>
  <si>
    <t>Ministro directorial está encargado de participarlo así á aquel Príncipe</t>
  </si>
  <si>
    <t>oposición del Rey de Suecia sobre erigir una estatua al Archiduque Carlos; y el Ministro directorial está encargado de participarlo así á aquel Príncipe. El Colegio de las ciudades imperiales ha enviado diputados á Mr. de Fatznenberg para entregarle una representación que dirigen al Emperador, y en la qual le e</t>
  </si>
  <si>
    <t>Ministro directorial ha vuelto á presentar á la deliberación</t>
  </si>
  <si>
    <t>a diputación del Imperio, han dado ya avisó de que admitían su nombramiento. El Ministro directorial ha vuelto á presentar á la deliberación de la Dieta la proposición de S. M. Sueca sobre erigir un monumento^al Archiduque Cirios, y ha pedido á los demás Ministros celebren una conferencia particular para</t>
  </si>
  <si>
    <t>Ministro dixo</t>
  </si>
  <si>
    <t>mi voto.” Volvió Mr. Pitt á tomar la palabra, y hablando •de la dimisión dedos Ministros dixo: ,»Mis compañeros y yo recomendamos una disposición que en el momento en que se trataba de la unión -de Irlanda é Inglaterra nos parecía de la mayor importanci</t>
  </si>
  <si>
    <t>Ministro dlrectorial de Maguncia ha entregado finalmente el conclusum</t>
  </si>
  <si>
    <t>ones del Obispo de Munster y del Elector de Colonia. Ratisbona 6 de Octubre. Í1 Ministro dlrectorial de Maguncia ha entregado finalmente el conclusum .de la Dieta al Comisario imperial, y este lo expidió el día 3 á Viena, El colegio de las ciudades imperiales pedia que se encargase al Emperador la decisión d</t>
  </si>
  <si>
    <t>Ministro do los Estados-Unidos residente</t>
  </si>
  <si>
    <t>. GAZETA DE MADRID DEL VIERNES *6 DE JUNIO DE 1801. Filadelfia &lt;T de Abril. A 1 Ministro do los Estados-Unidos residente «n Londres ha ofrecido et gobierno británico que tomará providencias para que los corsarios ingleses gis molesten la navegación de esta República, como lo hace</t>
  </si>
  <si>
    <t>Ministro do Marina salvosconductos al gobierno británico</t>
  </si>
  <si>
    <t>io, y conseguir mas pronto la cesación absoluta de hostilidades, ha dirigido el Ministro do Marina salvosconductos al gobierno británico. El Almirantazgo de Inglaterra enviará igualr mente los suyos á Francia, y desde luego se repartirán por los puertos de la República, y se entregaran á,las emb</t>
  </si>
  <si>
    <t>Ministro durante fa guerra</t>
  </si>
  <si>
    <t>n averiguaciones sobré él estado general de lá naciOñ, sobre la conducta dé los Ministros durante fa guerra ¿ y sóbrelas delaciones políticas de la Gran Bretaña con las po^ fenicias extrangerasjpero se desecháron sus propuestas en ambas Cámaras, ¿n la de los Pares pb</t>
  </si>
  <si>
    <t>Ministro Electoral</t>
  </si>
  <si>
    <t>tados para resolverlo. Hantíóver 2(5de Agosto. D esde principio de este mes los Ministros Electoral y Prusiano se han entregado recíprocamente 6 oficios relativos á la permanencia de las tropas de Prusia en este Electorado; pero de ello nada ha resultado ventajoso p,¡ra el país; y la Regencia acaba de</t>
  </si>
  <si>
    <t>Ministro en</t>
  </si>
  <si>
    <t>bras esterlinas por 100© ó mas de cada testamentaría: este aumento lo regula el Ministro en 120© esterlinas; otras 60© producirá el de derechos por los actos y documentos expedidos en pergamino; 30© dará el aumento de media guinea sobre los permisos p</t>
  </si>
  <si>
    <t>Ministro én</t>
  </si>
  <si>
    <t>cumplimentar á S. A. R. én Color no, y comiéron con el Príncipe. Iban los tres Ministros én; un jtóíéli , 1 . A4 ciud.;Moréaú Saint&gt;Mery, Ministre rplétnpÓténéiário de Francia^ fe ha entregado el ciud. Scarabelli, Ministro de la República cisalpina ei</t>
  </si>
  <si>
    <t>Ministro en Copenhague</t>
  </si>
  <si>
    <t>o de cazadores y dos húsares: llevaba cartas del gobierno de Inglaterra para su Ministro en Copenhague. La fragata británica saludó al castillo, y este correspondió según costumbre. Por dos embarcaciones que ayer noche llegaron del mar del Norte se sabe que la é</t>
  </si>
  <si>
    <t>Ministro en estos térmi-j nos</t>
  </si>
  <si>
    <t>Moncey&gt; que se halla en Roveredo.” Asimismo el General Bruñe ha escrito á dicho Ministro en estos térmi-j nos: „Vicenza£ de Enero, Recibo, ciud. Ministro, vuestra carta de i.° de este mes. Se cumplirán las intenciones del gobierno- No se concluirá armisticio sino media</t>
  </si>
  <si>
    <t>Ministro en Génova al ciud</t>
  </si>
  <si>
    <t>República cisalpina en Florencia al ciud. Tassoni, que se halla en Génova; para Ministro en Génova al ciud. Cometti, y para igual destino en la República helvética ai ciud. Venturí. El 8 de este mes se sintió en Bolonia un temblor de tierra, que por fortuna no causó</t>
  </si>
  <si>
    <t>Ministro en la corte de España</t>
  </si>
  <si>
    <t>ratados de amistad que hay entre las dos poten* leías. f Mr. Humphreys, nuestro Ministro en la corte de España, se retira de aquel ministerio, y no tardará en volver aquí, en atención á que ningún Enviado americano puede estar ausente de su patria mas de 8.años, y hace</t>
  </si>
  <si>
    <t>Ministro en la corte de Roma</t>
  </si>
  <si>
    <t>'de Setiembre. E 1 Elector de Baviera ha nombrado al Barón de Frauenberg por su Ministro en la corte de Roma. ' ' De Inspruck salió el 7 de este mes el Archiduque Juan para Ruff&lt;feiní El mismo dia el Marques de Ghateler entregó las insignias de la orden de María Teres</t>
  </si>
  <si>
    <t>Ministro en orden á las desavenencias movidas con las potencias</t>
  </si>
  <si>
    <t>a Cámara no debe exigir que se proceda á una averiguación de la conducta de los Ministros en orden á las desavenencias movidas con las potencias del Norte, antes de pensar en adoptar y sostener esta nueva contienda..__ Siguieron hablando algunos vocales á favor de la proposición de Mr. Grey, y. otros perora</t>
  </si>
  <si>
    <t>Ministro en Petersburgo en lugar del Duque tle Se'rra-Ciprio</t>
  </si>
  <si>
    <t>ado definitivo de paz. S. M. Siciliana ha nombrado al Condé de Carinóla para su Ministro en Petersburgo en lugar del Duque tle Se'rra-Ciprio la, que ha pedido su retiro. El cíud. frunces Sebastiani, que lleva á Constantinoplá 3a ratificaCÍoh ‘del tratado de paz entre Francia y la Puerta otomana, llegó</t>
  </si>
  <si>
    <t>Ministro encargado del ramo de comercio ha dado aviso á</t>
  </si>
  <si>
    <t>que en 1794 saliese á luz un diccionario de la lengua rusa en 6 tomos.en 4.0 El Ministro encargado del ramo de comercio ha dado aviso á los principales ncgcciantts de esta capital de haberse ajustado las desavenencias entre P usi ¡ é Inglaterra; y que por consiguiente podian seguir sus especulacion</t>
  </si>
  <si>
    <t>Ministro eran ios culpados</t>
  </si>
  <si>
    <t>e del exercito._ Mr. Jekyll dixo que por lo que había oido juzgaba que solo los Ministros eran ios culpados, y que debían dar cuenta de sft .c$$diícfá. Le replicó Mr. Dundas» y dio en su discurso algunas luces sobre el objeto de dicha tentativa. „No veo inconveniente</t>
  </si>
  <si>
    <t>Ministro extrang ros que el Conde de Cobe</t>
  </si>
  <si>
    <t>putación del Imperio. El Conde de Colloredó ha comunicado de oficio á todos los Ministros extrang ros que el Conde de Cobe.ntzel sirve y despacha baxo su Inmediata dirección las dep-.ndenci.~s del ministerio de Negocios extranjeros. Se ha suprimido .1 r.uno de.podcía de esta capita</t>
  </si>
  <si>
    <t>Ministro extrangeros</t>
  </si>
  <si>
    <t>numeroso y lucido el concurso de Grandes, Diputados délos Reynos, Embaxadores y Ministros extrangeros , y otras personas de distinción que cumplimentaron á SS. MM. y AA. con tan plausible motivo, y el de ser igualmente dias del Rey de Ñipóles y del Sr. Infante</t>
  </si>
  <si>
    <t>lucido y numeroso el concurso de Grandes, Diputados de los Reynos, Embaidores y Ministros extrangeros, y otras personas de distinción que cumpíimentAron á SS. MM. y A A. con tan plausible motivo, y el de ser igualmente dias de los Reyes de Toscana. En los regim</t>
  </si>
  <si>
    <t>meroso y lucido el concurso de Grandes, Diputados de los Rey nos, Embaxadores y Ministros extrangeros, y otras personas de distinción, que con tan plausible motivo cumplimentaron á SS. .MM. y A A. Con motivo de la muerte del Emperador de todas las Rusias; Pablo</t>
  </si>
  <si>
    <t>umeroso y lucido el concurso de Grandes, Diputados de los Reynos, Embaxadores y Ministros extrangeros, y otras personas de distinción que cumplimentáron á SS. MM. y AA. con tan plausible motivo, y el de ser igualmente dias del Sr. Infante D. Carlos María, de la</t>
  </si>
  <si>
    <t>omida al ciud. Joseph Bonaparte, al Ministro de Relaciones exteriores, á varios Ministros extrangeros y Generales, como también al Ayudante general Duroc, que acaba de llegar de Rusia, y al xefe de brigada Lauriston, que fue el que llevó á Londres la ratificación de los pr</t>
  </si>
  <si>
    <t>cido y numeroso el concurso de Grandes, Diputados de los Rey nos, Embaxadores y Ministros extrangeros, y otras personas distinguidas , que con tan plausible motivo cumpiimentáron á SS. MM. y A A. ■ El Rey se ha servido nombrar para el Arcedianato de Ledesma, Di</t>
  </si>
  <si>
    <t>Ministro extrangeros cerca de ella</t>
  </si>
  <si>
    <t>en la ciudad de Berna, donde reside el gobierno dé la República helvética y los Ministros extrangeros cerca de ella, se ha establecido una ca^a de comisiones, calle du Marché, núm. 41 , que se encargará dé todos los negocios civiles y mercantiles, ya sea para lo interior de</t>
  </si>
  <si>
    <t>Ministro extrangeros durante dicha estación</t>
  </si>
  <si>
    <t>e pasar el verano en su casa de campo de Bujukdere, que es en donde residen los Ministros extrangeros durante dicha estación. Antes de ayer recibió el Encargado de Negocios de Dinamarca, Barón de Hubsch, un correo con la respuesta del gobierno de Francia relativa al cange de prisione</t>
  </si>
  <si>
    <t>Ministro extrangeros fuéron presentados á SS</t>
  </si>
  <si>
    <t>va de artillería durante su marcha hasta el palacio de Pitti. Los Embajadores y Ministros extrangeros fuéron presentados á SS.MM., quienes en seguida salieron á uno de los balcones para contentar al pueblo que deseaba verlos. Luego se procedió á las demas ceremonias de etiqueta; y por</t>
  </si>
  <si>
    <t>Ministro extrangeros no</t>
  </si>
  <si>
    <t>ro de Ñipóles, el Encargado,, de negocios de Portugal y el de Genova. Los demás Ministros extrangeros no .se hallaban aquel dia en Roma. ' Génova // de Octubre, H a sido grandísima y general la alegría que ha causado en esta ciudad la noticia de la paz , la qual s</t>
  </si>
  <si>
    <t>Ministro extrangeros para Moscow</t>
  </si>
  <si>
    <t>año. * Petersburgo JQ de Setiembre. H án salido de esta capital casi todos los Ministros extrangeros para Moscow. El Coronel Chitroff, cuñado del Embaxador ruso en París, ha venido de aquella ciudad como correo, no habiendo tardado mas que 16 dias en su viage. El 7 de est</t>
  </si>
  <si>
    <t>Ministro extrangeros que se hallan en esta corte</t>
  </si>
  <si>
    <t>Berlín j de Mayo. S on sumamente activas las conferencias entre los diferentes Ministros extrangeros que se hallan en esta corte: de suerte que parece imposible que no resulte algún suceso de gran importancia. Mr. Adams, Ministro plenipotenciario de los Estados-Unidos americanos cerca de</t>
  </si>
  <si>
    <t>Ministro extrangeros residentes cerca de su persona</t>
  </si>
  <si>
    <t>coronación de SS. MM.; y de orden del Emperador se han dado de oro á todos los Ministros extrangeros residentes cerca de su persona. El Conde de Schemeretjen, que es el vasallo mas rico del Imperio (pues sus rentas ascienden á cerca de un millón de rublos ó pesos fuertes), ha dado á S. M. I</t>
  </si>
  <si>
    <t>Ministro extrangeros residentes en esta corte una nota firmada por</t>
  </si>
  <si>
    <t>s favores con que los honra. Por órden de S. M. Imperial se ha comunicado á los Ministros extrangeros residentes en esta corte una nota firmada por los Condes Rostopchin y Panin, concebida en estos términos : „S. M. el Emperador de todas las Rusias ha recibido los informes mas circunstanciados en órden á la re</t>
  </si>
  <si>
    <t>Ministro extranjeros</t>
  </si>
  <si>
    <t>tSi ciudad hubo «1 sábado último révísta general ,á que asistiéron ci Rey ¿ los Ministros extranjeros y todas Ini personas «de la corte, y presenciaron las evoluciones desde la tienda de campaña de S. M. El Príncipe Real mandó las maniobras que hiciéron las tropas,cuyo numero era d</t>
  </si>
  <si>
    <t>Ministro extranjeros saldrán pasado mañana</t>
  </si>
  <si>
    <t>801. Pettrsburgo 12 de Setiembre. óy salen de aqtií SS^MM. II. para Moscow. Los Ministros extranjeros saldrán pasado mañana; y las demas personas, que han deseado ver la cere* -monia de la coronación, han adelantado algunos dias su viage, á ñn de que no haya apuro en las posadas. Po</t>
  </si>
  <si>
    <t>Ministro extraordinario</t>
  </si>
  <si>
    <t>antes hará un viage á Egipto. Mr. Straton, que ha de reemplazarle en calidad de Ministro extraordinario, llegará quanto antes á Viena. Una fragata inglesa, que ha venido de Alcxandría, tráxo ios primeros tributos de Egipto para el Gran Señor, los quales consistía</t>
  </si>
  <si>
    <t>Ministro extraordinario a</t>
  </si>
  <si>
    <t>ar de ellos nn solo cu-.rpo. Se asegura que el Elector de Baviera ha enviado un Ministro extraordinario a la* corte de Roma para tratar de asuntos relativos ai clero bávaro. •- Muniák j&amp;'dé Noy&amp;m&amp;ne. . ~ ................................................ X or orden de 1</t>
  </si>
  <si>
    <t>Ministro extraordinario de Génova en Paris</t>
  </si>
  <si>
    <t>or Alexandría le cumplimentó en nombre de esta República el ciud. Lupi, que fué Ministro extraordinario de Génova en Paris, y actualmente es Comisario de este gobierno en NcvL El Principé lo recibió con la mayor benignidad: manifestó sentimientos de la amistad mas sincera hacia la</t>
  </si>
  <si>
    <t>Ministro extraordinario de la República francesa</t>
  </si>
  <si>
    <t>\A T- -a- s.r.:¿.L Sq1 ' ■ * : Tz/rítt 2 de Eneros - \ rr; .El General Jonrdan, Ministro extraordinario de la República francesa, ha comunicado en carta del 2 5 á; da Junta executiva del‘gobierno interior de Piamonte haberle escrito el Ministró de Relaciones exteriores&gt;de Prancii qííé él</t>
  </si>
  <si>
    <t>Ministro extraordinario de Rusia</t>
  </si>
  <si>
    <t>de de Murawiew, que el dia 14 tuvo su audiencia de despedida del Emperador como Ministro extraordinario de Rusia, se restituye á Petersburgo haciendo su viage por Italia. . ; , . Se asegura que todos los Gobernadores de provincia de los estados austríacos vqndr¿n. á esta</t>
  </si>
  <si>
    <t>Ministro extraordinario de Suecia</t>
  </si>
  <si>
    <t>haberse entreg ido M ita á los ingleses. Antes de ayer el Barón de Ehrensverd , Ministro extraordinario de Suecia, llegó aquí encargado por su corte de hacer representaciones á S. M. sobre la tropelía que algunas naves de la marina Real británica cometieron con un buque su</t>
  </si>
  <si>
    <t>Ministro extraordinario de Suecia en la corte de Londres</t>
  </si>
  <si>
    <t>o con S. M. También ha llegado el Barón de Ehrenswerd, que estuvo en calidad de Ministro extraordinario de Suecia en la corte de Londres. Por orden Real del dia 2 se rebaxan los derechos de aduana que pagan las embarcaciones suecas y las neutrales que entren ó salgan de los puertos de Suecia con</t>
  </si>
  <si>
    <t>Ministro extraordinario francés Petiet recibio el</t>
  </si>
  <si>
    <t>la población actual de la República cisalpina asciende á 3.857,668 almas. . El Ministro extraordinario francés Petiet recibio el 22 un correo de París con pliegos, por los quales comunica de oficio á este gobierno el tratado de Luneville. A proposición de la junta de gobierno ha decretad</t>
  </si>
  <si>
    <t>Ministro fingles</t>
  </si>
  <si>
    <t>rcial Pac-ketylo Íl!évó:alí Weser,_y lo puso de venta en Bremen. Mr. Crawfutt,. Ministro fingles:, residente aquí, remitid inmediatamente al Magistrado de aquella ciudad libre é imperial, un oficio intimándole se opusiese á la venta de la presa, y que de l</t>
  </si>
  <si>
    <t>Ministro francés</t>
  </si>
  <si>
    <t>e en cohseqitértcia todos los actó§ die la ¡unta executiva, aprobados por dicho Ministro francés, tendrán fuerza de ley* í : ; : : ? : , Dicha junta executiva ha hecho abrir esta universidad yjr ha nombrado loe profesores para las cáted ras de economía pol</t>
  </si>
  <si>
    <t>una diputación para cumplimentarle. D^sde el año de 1793 ño había en Francfort Ministro francés. Por disposición del gabinete de Viena se han suprimido las oficinas civiles de los exércitos austriacos en Italia y Alemania; y los oficialas que hasta ahora</t>
  </si>
  <si>
    <t>s son las únicas que se permite entren en dichos puertos. , , El ciud.’CaCíUlt, Ministro francés, que reside actualmente en Florencia, ha enviado proposiciones, al Gran Duque de Toscana relativas á la. plaza de Porto-Ferrayo en la isla de Elba. a Parece qu</t>
  </si>
  <si>
    <t>s que ha. perdido en Italia. Dicho Príncipe se halla actualmente en Treviso. El Ministro francés. Bacher ha instado nuevamente en que los del ImÍ&gt;erio juntos en Dicta’ traten y aceleren las negociaciones pendientes sobre as- mudanzas que han de hacerse en</t>
  </si>
  <si>
    <t>íritu de dicho tratado; 6.° que en efecto así se declaró en los oficios que los Ministros francés y prusiano presentaron en Ratisbona antes de la elección, y 7.0 que el difunto Elector de Colonia no pidió coadjutor para el obispado de Munster, en un tiempo en que después de concluido el tratado de Luneviile, lo.</t>
  </si>
  <si>
    <t>Ministro francés ha presentado dos notas al gobierno helvético</t>
  </si>
  <si>
    <t>ones entreíFrAnda y Suiza, que empezaron en París, Jse continuarán en Berna. El Ministro francés ha presentado dos notas al gobierno helvético : por-la^primera‘pide' qué esta-República, mantenga id®hombres j que han dé permanecer én ella hastia- .el' arreglo definitivo de str lluevo gobierno. En la se</t>
  </si>
  <si>
    <t>Ministro francés lo comunicó inmedi Mínente al Directorio executivo</t>
  </si>
  <si>
    <t>l ciud. Semotiville con aviso de haberse firmado los preliminares de la paz. El Ministro francés lo comunicó inmedi Mínente al Directorio executivo, el qual mandó que esta feliz nueva se anunciase al público con salva de artillería. Esta noche habrá iluminación gener 1. Muchos habitantes de la provincia de</t>
  </si>
  <si>
    <t>Ministro francés Petiet y el General en xefe Murat</t>
  </si>
  <si>
    <t>tamente se convocó una junta extraordinaria de gobierno, á la que asistieron el Ministro francés Petiet y el General en xefe Murat. Duró f</t>
  </si>
  <si>
    <t>Ministro francés Reinhard ha apoyado esta solicitud</t>
  </si>
  <si>
    <t>, en atención á que no quedan en el pais cuerpos franceses para defenderlas. El Ministro francés Reinhard ha apoyado esta solicitud. j» Roma 23 de Noviembre. I A Rey y la Reyna de Cerdeña, que de Frascati se habían restituido á esta-capital, saliéron de ella el dia 19 para Ñapóles, con casi</t>
  </si>
  <si>
    <t>Ministro frunces Petiet</t>
  </si>
  <si>
    <t>metropolitana , con asistencia de la junta de gobierno, del General Murar , el Ministro frunces Petiet, el cuerpo diplomático y los xefes de todos los ramos. Por la noche hubo en los teatros representación y bayle gratuito.</t>
  </si>
  <si>
    <t>Ministro Generales</t>
  </si>
  <si>
    <t>Ministro Grenville</t>
  </si>
  <si>
    <t>276 otros vocales, en particular el Ministro Grenville, se esmeraron en desvanecer los cargos hechos al ministerio.} y al fin solo iy vocales votaron centra la respuesta en ]os términos que la proponía el Duque de</t>
  </si>
  <si>
    <t>marina. El Ministro Lord Pclh m, para contestar á las reconvenciones de los ex-Ministros Grenville y Wiudham, hizo un cotejo de las condiciones de los preliminares con 1 .s que el antiguo ministerio propuso en las negociaciones de 1796 y 97, y deduxo que la diferencia</t>
  </si>
  <si>
    <t>Ministro Grenville le replicó que quando sé</t>
  </si>
  <si>
    <t>sa cerca de 8© hombres éntre heridos,. muertos .y extraviados ó prisioneros. El-Ministro Grenville le replicó que quando sé ,comunicasen á la Cámara los documentos relativos á la mencionada expedición , satisfária á quantas objeciones le hiciesen, y que por ahora rio té*nia mas que</t>
  </si>
  <si>
    <t>Ministro haciendo disposiciones para retirarse</t>
  </si>
  <si>
    <t>nda toda correspondencia con él Ministro ingles, y que de resultas Redaba dicho Ministro haciendo disposiciones para retirarse. Añaden que ha</t>
  </si>
  <si>
    <t>Ministro han decretado los Cónsules que ademas de las armas</t>
  </si>
  <si>
    <t>para ser-» vir en el cuerpo de observación del Gironda. A proposición del mismo Ministro han decretado los Cónsules que ademas de las armas de fuego que debe haber en las plazas de guerra, se forme en algunas un depósito de fusiles nuevos de reserva, y no puedan sacarse sino en virtud de decreto de lo</t>
  </si>
  <si>
    <t>Ministro Hawkesbury</t>
  </si>
  <si>
    <t>En la misma gazeta extraordinaria se ha publicado otra carta del Lord Elgin al Ministro Hawkesbury, fecha en Constantinopla á 9 de Mayo, cuyo extracto es como sigue. „ Habiendo vuelto de Egipto Mr. Morriez, puedo comunicaros noticias mas circunstanciadas que</t>
  </si>
  <si>
    <t>Ministro Holanda</t>
  </si>
  <si>
    <t>Ministro imperial</t>
  </si>
  <si>
    <t>tienen el valor que representan. Berlín 6 de Noviembre. Q uando. Mr. Stadion , Ministro imperial, comunicó á este gabinete la elección de los Obispos de Munster y Colonia, declaró qué S. M. I. habia convenido en ella por miramiento á la constitución, y por</t>
  </si>
  <si>
    <t>Ministro imperial á la elección del nuevo Arzobispo de Colonia</t>
  </si>
  <si>
    <t>e Franconía, se halla en camino para Arensberg, en donde asistirá en calidad de Ministro imperial á la elección del nuevo Arzobispo de Colonia. Mr. de Henkel, Capitán y Encargado de Negocios del Rey de Dinamarca en esta ciudad, íué asesinado el día 19 en su cama por un judío: prendieron al instante al</t>
  </si>
  <si>
    <t>Ministro imperial Ghysliery se ha transferido de aquí á Civitavecchia</t>
  </si>
  <si>
    <t>s se concluyó, salieron los Cardenales Ruífo y Albani en posta para Ñapóles. £1 Ministro imperial Ghysliery se ha transferido de aquí á Civitavecchia; y los Duques de Chaláis han marchado también á Nápoles. Parece cierta la próxima venida de tropas francesas á esta capital. Bolonia 5 de Junio. A visan de Ver</t>
  </si>
  <si>
    <t>Ministro imperial tuvo aviso de ello</t>
  </si>
  <si>
    <t>ía tramado pasar á cuchillo ú todos los europeos, y saquear luego sus casas. El Ministro imperial tuvo aviso de ello, y lo comunicó á este gobierno. Desde luego se prendieron los principales reos, y algunos han sido ya castigados con pena de muerte. JE.I nuevo Emperador ha de</t>
  </si>
  <si>
    <t>Ministro in</t>
  </si>
  <si>
    <t>tanica.,.-rTTI¿ jrrusia ocupa aun el ’ÍIannoyer: y seguir Ips principios deí ex-Ministro in,gjes, ya que se debe consdrV^r jorque'se ha tomado , ja Prusia conservaría* también el’ riajonqver. Este ^Ipctora.do no se halla en ninguno de lo$ casos, indic</t>
  </si>
  <si>
    <t>Ministro ingles</t>
  </si>
  <si>
    <t>a á Petersburgo la ratificación del convenio de neutralidad. El Lord Carisford, Ministro ingles, ha hecho representaciones en nombre de su Soberano Sobre lai accesión de esta corte á dicho convenio; y en una nota que acaba de presentas asegura que d Rey d</t>
  </si>
  <si>
    <t>. . Acaban de llegar dos correos de Londres con pliegos para el Lord Carisford, Ministro ingles. Dícese que ha recibido orden de entablar negociaciones con el gabinete prusiano relativamente á las desavenencias.movidas entre Inglaterra’y-.las cortes del N</t>
  </si>
  <si>
    <t>que el Gran Señor ha mandado que el Diván suspenda toda correspondencia con él Ministro ingles, y que de resultas Redaba dicho Ministro haciendo disposiciones para retirarse. Añaden que ha</t>
  </si>
  <si>
    <t>e asistieron el General Beurnonville, Ministro de Francia, y el Lord Carisford, Ministro ingles; y se noto que estaban sentados el uno al lado del otro. El ciud. Hultmann, que ha venido aquí por orden del Directorio de Holanda para arreglar las indemnizac</t>
  </si>
  <si>
    <t>odas las personas de su servidumbre permanecen en Franconia. .Mi. de Crawfurth, Ministro ingles, le dio un convite á que asistiéron los Ministros de las potencias neutrales, el General Dumourier y otras personas. Algunas cartas de Constantinopla refieren</t>
  </si>
  <si>
    <t>Ministro ingles en Turquía</t>
  </si>
  <si>
    <t>gado á Jamayca. AI volver de Constantinopla á Trieste Mr. Spencer-Smith, último Ministro ingles en Turquía, hubo de perecer, por haber dado á la costa en la isla de Coos el barco en que venia. Tuvo la fortuna de librarse de aquel peligro, y ha llegado ya á Viena. Ex</t>
  </si>
  <si>
    <t>Ministro ingles Lord Saint-Helens y el gabinete de Rusia</t>
  </si>
  <si>
    <t>o positiva la accesión completa de este gobierno al convenio concluido entre el Ministro ingles Lord Saint-Helens y el gabinete de Rusia. Un barco que llego de la isla de Santa Cruz á Londres con cargamento de azúcar se disponía á venderlo quando recibió permiso de no descargarlo; y de ello se i</t>
  </si>
  <si>
    <t>Ministro ingles no entiende mejor de política qug</t>
  </si>
  <si>
    <t>nes que adquirió el Austria en el, repartimiento de Polonia.;_-Parece que el ex-Ministro ingles no entiende mejor de política qug, de guerra: y no seria extraño que tuviese tan pocas, luces que no llegase á ver que el estado de la Inglaterra es en el día absolutamente el mismo que :el de</t>
  </si>
  <si>
    <t>Ministro ingles residente en Dresde se ha</t>
  </si>
  <si>
    <t>ientes á dos comercian* tes: dé aquel puerto. ! . L . Dícese que por órderi del Ministro ingles residente en Dresde se ha* detenido en aquella ciudad , y depositado hasta nueva orden , una suma de $00© libras, que es la última parte del subsidio que este gobierno ofreció al*Empera</t>
  </si>
  <si>
    <t>Ministro ingles se propone ostentar allí ei mayor aparato</t>
  </si>
  <si>
    <t>l Marques de Cornwallis con algunas personas de su servidumbre. Parece que este Ministro ingles se propone ostentar allí ei mayor aparato, pues ha mandado traer de Inglaterra muebles muy preciosos para su casa. Se ha recibido aquí impresa una ley de la República cisalpina, por la qual manda aquel</t>
  </si>
  <si>
    <t>Ministro ingleses</t>
  </si>
  <si>
    <t>Cronstadt ha entrado una fragata inglesa parlamentaria con proposiciones de los Ministros ingleses ; se ignora su tenor. Copenhague jo de Mayo. D esde el 21 de Abril han pasado por las costas de Elseneur 28 buques de guerra ingleses procedentes del mar del N</t>
  </si>
  <si>
    <t>Ministro ingleses Drammond</t>
  </si>
  <si>
    <t>ado también los cuerpos destinados á servir en todas estas fortificaciones. Los Ministros ingleses Drammond y V^nsittart, que se retiraron de aquí el día 21, fuéron á Efseneur, v allí se emb ircáron el dia siguiente en la fragata inglesa la Blanca. El primero, poco antes</t>
  </si>
  <si>
    <t>Ministro ingleses hablan en términos moderados</t>
  </si>
  <si>
    <t>apitán francés se disponía á dar el abordage. Extracto del Monitor. „Los nuevos Ministros ingleses hablan en términos moderados y según conviene á una nación ilustrada y poderosa, y enteramente diferentes de los que usaban sus antecesores. Si ha de juzgarse por lo que dicen en el Parlamento, desean verdaderam</t>
  </si>
  <si>
    <t>Ministro ingleses no justificasen las esperanzas de la Europa</t>
  </si>
  <si>
    <t>ier cosa, mas bien que en pagar algunos robos y algunos asesinatos. Pero si los Ministros ingleses no justificasen las esperanzas de la Europa: si creyesen, como sus antecesores, que no puede hacerse la paz á no estar fundada en la destrucción de una de las dos naciones; y si en fuerza de ello quisies</t>
  </si>
  <si>
    <t>Ministro ingleses para Egipto</t>
  </si>
  <si>
    <t>ste jo de Junio. E spérase en breve aquí á las tropas suizas destinadas por los Ministros ingleses para Egipto. El comandante de la esquadrilla británica que debe escoltarlas ha publicado un aviso, por el qual declara que deben considerarse como bloqueados todos los pue</t>
  </si>
  <si>
    <t>Ministro ingleses que estaban en Copenhague</t>
  </si>
  <si>
    <t>la entrado aquí la fragata inglesa nombrada la Blanca, á cuyo bordo vienen los Ministros ingleses que estaban en Copenhague, de donde salidron para emb;arcarse en Jmseneur. De Tforbay zaipó-el *0 de Marzo una esquadra de 12 navios de línea lina fraapata baxo las órdenes dH Almirante</t>
  </si>
  <si>
    <t>Ministro íntimo de gabinete</t>
  </si>
  <si>
    <t>de las relaciones de amistad entre los dos Soberanos. El Conde de Alvensleben , Ministro íntimo de gabinete , ha ofrecido dos premios, uno de 20 y ©tro de 10 federicos de oro , á las dos memorias que mejor resuelvan la siguiente qüestion: ,,Qual seria el modo mas yen</t>
  </si>
  <si>
    <t>Ministro la primera de las glorias</t>
  </si>
  <si>
    <t>equilibrio en las varias partes del mundo. Obrando de este modo conseguirán los Ministros la primera de las glorias, la de haber pacificado al mundo, y de haber erixugado las lágrimas de tantos millares de familias. Los hombres imparciales acusan á aquel nuevo ministerio de</t>
  </si>
  <si>
    <t>Ministro les contestaron</t>
  </si>
  <si>
    <t>Ministro Lord Hawkesbury diciendo</t>
  </si>
  <si>
    <t>cluido entre S. M. y la Sublime Puerta en el mes de Enero de 1799.” Contestó el Ministro Lord Hawkesbury diciendo: „Nada se opone á que se comunique dicho tratado, ni hasta ahora había yo echado de ver que no se había presentado á la Cámara* pero puedo declarar desde luego</t>
  </si>
  <si>
    <t>Ministro Marina os darán cuenta de nuestra situación</t>
  </si>
  <si>
    <t>Ministro mas capaces</t>
  </si>
  <si>
    <t>ición de Mr. Grey era por iter la dirección de los negocios públicos á cargo de Ministros mas capaces</t>
  </si>
  <si>
    <t>Ministro mas cercano</t>
  </si>
  <si>
    <t>rece ilegal y supuesta de sus bienes libres , ha tomado intervención én ella eí Ministro mas cercano de 5. M. en Farma D. Nicolás Blasco de Orozco t cuyo aviso se da para que sirva do gobierno á los que se crean con derecho á dichos bienes y estados que poseía la</t>
  </si>
  <si>
    <t>ministro método tan</t>
  </si>
  <si>
    <t>Ministro mis compañeros</t>
  </si>
  <si>
    <t>robaré que en las circunstancias, infinitamente mejores que aquellas en que los Ministros mis compañeros y yo nos hallábamos , han contratado los actuales con mucha mas desventaja que lo que nosotros lo hubiéramos hecho. En aquella época estaba el pueblo ingles desalentado: el banco</t>
  </si>
  <si>
    <t>Ministro ni</t>
  </si>
  <si>
    <t>quedará el Bríncipe baxo las ©bdenes Jnñíediatas de S'J- sin depender de ningún Ministro ni;-Consejo. Añaden que está ya nombíadb comandante: desala izquierda’ del exército grande austriaco que se extiende desde las fronteras de Italia hasta Bohemia:</t>
  </si>
  <si>
    <t>Ministro no comunicasen al Parlamento noticia alguna sobre el</t>
  </si>
  <si>
    <t>; ¿ EÍ día 8mánifqst&lt;5enlaCámaraalta el, Lord Darnley su extrañeza; de que los Ministros no comunicasen al Parlamento noticia alguna sobre el e$? tado de las negociaciones entabladas con Francia , siendo así que en breve {^concluirán las actuales sesiones. En los propios .términos habló Mr. Jones en la</t>
  </si>
  <si>
    <t>Ministro no presentaban los documentos que se pedían</t>
  </si>
  <si>
    <t>Mr. Sidney-Sroi'th, cuyo honor (dixo Mr, Sheridan) onedaria comprometido si los Ministros no presentaban los documentos que se pedían: pues si aquel, oficial se excedió en sus poderes, no basta decirlo, sino .que es fuerza Y ,no se, interesas ménos en ello la lealtgd de la nación inglesa quej</t>
  </si>
  <si>
    <t>Ministro nombrado para residir en los Estados-Unidos de América</t>
  </si>
  <si>
    <t>paña Mr. Sick, oficial de la secretaría de dependencias extrangeras. Mr. Olsen, Ministro nombrado para residir en los Estados-Unidos de América, ha salido de aquí para embarcarse en Burdeos. Va especialmente encargado de entablar relaciones de comercio con aquella República. En esta Real sociedad de ci</t>
  </si>
  <si>
    <t>Ministro novadores</t>
  </si>
  <si>
    <t>declarar qué solo porque.sábe todo esto aprobaba los subsidios que pidiesen los Ministros novadores?..1..Con razón creé la Cámara que el nuevo mi1</t>
  </si>
  <si>
    <t>Ministro ó Secretarios de Estado</t>
  </si>
  <si>
    <t>ey de Etruria, despuss.de la toma de posesión de sus dominios, hit nombrado sus Ministros ó Secretarios de Estado.. c v d' Una esquadrilla tunecina de 4 xábcqües y unas galeota cruza á la. altura de Capo de Anzo, y ha cogido ya 14 embarcaciones napolitanas. - r; El General</t>
  </si>
  <si>
    <t>Ministro otomanos</t>
  </si>
  <si>
    <t>ia del Gran Señor se celebrádioy «n divan © consejo* á que asistieron todos loS Ministros otomanos. Dícese que en él se trato sobre uni representación enérgica que el General Tamara, Embaxador de Rusia, liá héchp contra la expedición de los ingleses á Egipto</t>
  </si>
  <si>
    <t>Ministro para este efecto comparar los tres canales propuestos anteriormente</t>
  </si>
  <si>
    <t>de abrir una comunicación por agua entre París y los Países-bélgicos. H. rá el Ministro para este efecto comparar los tres canales propuestos anteriormente, que son el llamado de S. Quintín (mediante el qual se reuní</t>
  </si>
  <si>
    <t>Ministro para juzgar si trabajarán de buena fe</t>
  </si>
  <si>
    <t>Ministro Petiet comunicó estas noticias al gobierno cisalpino</t>
  </si>
  <si>
    <t>á Pescara, adelantando siis puestos ha&amp;a el Sangro , sin pasar de este rio. El Ministro Petiet comunicó estas noticias al gobierno cisalpino. Strasburgo 1 $ de Abril. L a guarnición de esta plaza salió de aquí el dia 12 para lo interior de Francia. La reemplazarán algunas tropas del exércita del Rhi</t>
  </si>
  <si>
    <t>Ministro pira examinarlos</t>
  </si>
  <si>
    <t>obentzel por ua correo despachado de Luneville; y al instante se convocaron los Ministros pira examinarlos y resolver sobre su contenido. Se ha abierto en esta capital una subscripción á favor de los marineros ingleses detenidos ó: pre.sos en Rusia de resultas del embargo; y ha producido ya 7® l</t>
  </si>
  <si>
    <t>Ministro plenipotenciario</t>
  </si>
  <si>
    <t>Ehrensward, que entregó sus’credenciales en calidad de Enviado extraordinario y.Ministro plenipotenciario de $.'M. el Rey de SuecÜi; Mr. de Rentarward, Secretario de la misma embaxada, el</t>
  </si>
  <si>
    <t>Reía cienes exteriores introJuxo y presento el dia 9 al Marques de Cornwallis, Ministro plenipotenciario de &amp;. M. Británica p:ira el congreso de Arniens, en la audiencia del primer Cónsul, que conferenció con él bastante tiempo. Los militares y los empleados que form</t>
  </si>
  <si>
    <t>ocerá quanto ántes el gobierno de esta República, á cuyo efecto enviará aquí un Ministro plenipotenciario. Se han recogido los telégrafos que había en nuestras costas, y se han llevado á los arsenales con la artillería gruesa que desde el principio de la guerra est</t>
  </si>
  <si>
    <t>Ministro plenipotenciario cerca</t>
  </si>
  <si>
    <t>el Mantear del dia ,Xa República cisalpina ha elegido af ci.ñdv; Vénturi por su Ministro plenipotenciario cerca» jde S. Mi el Réy do Tbscaña, y para reconocerle en esta calidad en nombre de ü República.' Los gobiernos helvético y liguriano habrán ya nombrado ios Ministro</t>
  </si>
  <si>
    <t>Ministro plenipotenciario de España</t>
  </si>
  <si>
    <t>26 de Agosto. E n la primera audiencia que el caballero D. Ignacio de Gorra.l, Ministro plenipotenciario de España, tuvo del Gran Señor, le acompañaban 14 personas de su comitiva. No se han recibido noticias de oficio sobre la continuación de las empresas militares de los a</t>
  </si>
  <si>
    <t>Ministro plenipotenciario de Francia</t>
  </si>
  <si>
    <t>andera nacional en la - torre de -palacio;.’ Por la noche el c£ud., Seiñonviüe, Ministro plenipotenciario de Francia,dio con este motiToruna funciou.de bayle. ;.r, U,, ,r% .JZ I;, l^el ex4rcito galo-bátavo escriben^que fes?trqpas. de7Sí*a República se lui^ puesto eomarcha par</t>
  </si>
  <si>
    <t>Ministro plenipotenciario de Francia en esta corte</t>
  </si>
  <si>
    <t>los daños. Florencia de Setiembre. A ntes de ayer llegó aquí el General Clarke, Ministro plenipotenciario de Francia en esta corte. Algunos dias antes habían venido sus secretarios-. El 12 siguió el Emo. Caprara su viage á París: se detuvo en esta capital 4 dias, y mereció las mayores aten</t>
  </si>
  <si>
    <t>Ministro plenipotenciario de Holanda</t>
  </si>
  <si>
    <t>lió de aquí para Berlín el ciud. Huitín aun» que residirá en aquella corte como Ministro plenipotenciario de Holanda. Lleva consigo un secretario de embaxada. La ésquadra del Texel está pronta á salir para el mar del Norte. Por orden del gobierno se han embargado por 15 dias</t>
  </si>
  <si>
    <t>Ministro plenipotenciario de Holanda en Rusia</t>
  </si>
  <si>
    <t>el puerto. Parece que en su lugar entrarán allí los prusianos.. El eiud..Bruix, Ministro plenipotenciario de Holanda en Rusia, llegó á Petersburgo el 2t de Marzo, 4 dias antes de la repentina muerte de Paulo I. Aquel Soberano le dió audiencia el 23, y le aseguró de su buen afecto á la</t>
  </si>
  <si>
    <t>Ministro plenipotenciario de la Gran Bretaña en la República francesa</t>
  </si>
  <si>
    <t>onaparte, Embaxador que ha sido de Francia cerca de S. M. Católica. Mr. Jakson, Ministro plenipotenciario de la Gran Bretaña en la República francesa, llegó el 22 á Calais, de donde siguió su viage á esta capital. También ha venido de Italia'el General Moncey. » Murcia 2 j de Noviembre. f «sta Real sociedad</t>
  </si>
  <si>
    <t>Ministro plenipotenciario de la República bátavS</t>
  </si>
  <si>
    <t>tos; pero de estos hay 4 va-cantes. in Berlín 23 de Abril. JlLI ciud. Hultmann, Ministro plenipotenciario de la República bátavS, ilegó el día 20 á esta capital, acompañándole un oficial de húsares de su nación, y el segundo secretario de embaxada. Antes de ayer tarde tuvo su primera aud</t>
  </si>
  <si>
    <t>Ministro plenipotenciario de la República cerca de la Puerta Otomana</t>
  </si>
  <si>
    <t>l mismo cuerpo Diettmaa -y Lameth. Créese que va á Constantinopla en calidad de Ministro plenipotenciario de la República cerca de la Puerta Otomana. Hállase de vuelta en París el xefe de brigada Lauriston , Edecán de Bonaparte, que llevó á Londres la ratificación de este gobierno á los preliminares de paz.</t>
  </si>
  <si>
    <t>Ministro plenipotenciario de la República francesa en el Haya</t>
  </si>
  <si>
    <t>po de 12© hombres para ocupar á Otranto, Tárenlo y Brindis. El ciud. SemonviHe, Ministro plenipotenciario de la República francesa en el Haya, Iva escrito con fecha del 29 de Marzo al Ministro de Relaciones exteriores, diciéndole que por el telégrafo acababa de saberse que los ingleses hiciéron la no</t>
  </si>
  <si>
    <t>Ministro plenipotenciario de la República francesa en esta corte</t>
  </si>
  <si>
    <t>n el gobierno de Francia. Dresde 10 de Noviembre. E 1 ciud. de Larochefoucault, Ministro plenipotenciario de la República francesa en esta corte, dio ayer con motivo dé la paz una brillante fiesta, en la que hubo mas de 300 personas: á la comida asistieron todos los Ministros de gabinete, los Generales</t>
  </si>
  <si>
    <t>Ministro plenipotenciario de los Estados-Unidos</t>
  </si>
  <si>
    <t>presentó á Mr. Levetzer, Sargento mayor de caballería. Finalmente, Mr. Murray, Ministro plenipotenciario de los Estados-Unidos, presentó á Mr. Stori ¿ ciudadano de dichos Estados. r &gt; Se habían interrumpido los enlaces de amistad que subsistían entre la República francesa y dichos Esta</t>
  </si>
  <si>
    <t>Inglaterra y Francia en el congreso de paz. Ha llegado á Nantes Mr. Liwingston, Ministro plenipotenciario de los Estados-Unidos. El Prefecto le obsequió con una espléndida comida,á que asistiéron su familia y los empleados de su embaxada. Desde el dia 22 se ha restablecido y sigue direc</t>
  </si>
  <si>
    <t>Ministro plenipotenciario de los Estados-Unidos cerca de la República francesa</t>
  </si>
  <si>
    <t>Mr. Roberto Levingston, Canciller que fué del estado de Nueva-Yorck, y ahora es Ministro plenipotenciario de los Estados-Unidos cerca de la República francesa-. desembarcó el dia 12, y en breve llegará aquí con su familia y con Mr. Soinpten, su secretario de embaxada. Ha nombrado eí primer Cónsul para Comisario genera</t>
  </si>
  <si>
    <t>Ministro Plenipotenciario de Portugal cerca</t>
  </si>
  <si>
    <t>rff ni el referido Ducado de Berg. Roma 20 de Junio. E 1 Sr. de Sousa Coutinho, Ministro Plenipotenciario de Portugal cerca</t>
  </si>
  <si>
    <t>Ministro plenipotenciario de Prusia</t>
  </si>
  <si>
    <t>Mr. de Hardenberg, que según dicen asistirá al congreso de Amiens en calidad de Ministro plenipotenciario de Prusia. También se asegura que de resultas de haber llegado á Munich un correo francés se han interrumpido las negociaciones que habiá entre el Em-» perador de Aleman</t>
  </si>
  <si>
    <t>Ministro plenipotenciario del Duque de Wurtemberg</t>
  </si>
  <si>
    <t>? {; -' v Lunéville ii.de Enero, • E I dia 8 ílegáron aquí el Barón dé Norman, Ministro plenipotenciario del Duque de Wurtemberg, y él Barón de Béckendoríf, secretario de legación. El 9 comíérpn *en casa dsd Conde de Cobentz.el, y él io en la del ciud. Joseph Bo ñapar te.Lanoche de esté</t>
  </si>
  <si>
    <t>Ministro plenipotenciario del Elector Bávaro Palatino en esta República</t>
  </si>
  <si>
    <t>, los quales de lo contrario les dan muerte. Haya 26 de Junio. M r. de Georges, Ministro plenipotenciario del Elector Bávaro Palatino en esta República, ha sido presentado al Directorio executivo. La esquadra del Almirante Dickson sigue cruzando á la altura de la isla de Gorea. Las fuerzas navales inglesas que</t>
  </si>
  <si>
    <t>Ministro plenipotenciario del Emperador cerca de la santa Sede</t>
  </si>
  <si>
    <t>llegó de Ñipóles aquí el 26 de dicho mes, acompañindola el Marques de GhisUeri, Ministro plenipotenciario del Emperador cerca de la santa Sede. El 29 llegó igualmente Mr. Maníredini, General austríaco. El Cardenal Consaivi, Secretario de Estado, dió el domingo último una espléndida comida al ciuJ. Cac</t>
  </si>
  <si>
    <t>Ministro plenipotenciario del Emperador de Rusia en esta corte</t>
  </si>
  <si>
    <t>l Conde de Woronzow ha recibido nuevas credenciales de Enviado extraordinario y Ministro plenipotenciario del Emperador de Rusia en esta corte, y el dia 4 las presentó á S. M. en audiencia privada. ; La esquadra del Almirante Dickson, compuesta de 6 navios de línea, 2 fragatas y 2 cuters, volvió el di</t>
  </si>
  <si>
    <t>Ministro plenipotenciario del Emperador para las conferencias de Lúneville</t>
  </si>
  <si>
    <t>y Agentes de potencias extrangeras, fué presentado Mr. Cobentzel en calidad de Ministro plenipotenciario del Emperador para las conferencias de Lúneville. El Marques de Luchesini, Ministro de Prusia, presentó luego á Bonaparte el Conde de Linange; y el Almirante español Mazarredo tuvo su audiencia de despedida.</t>
  </si>
  <si>
    <t>Ministro plenipotenciario del gobierno francés</t>
  </si>
  <si>
    <t>ios, y sin la menor oposición. Después llamó el,Directorio al ciud. Semonville, Ministro plenipotenciario del gobierno francés, y al General Augereau, para darles razón de su proyecto y de su execuclon. Al mismo tiempo, y á fin de mantener la tranquilidad pública , se ha confiido al re</t>
  </si>
  <si>
    <t>Ministro plenipotenciario del Rey de Ñapóles</t>
  </si>
  <si>
    <t>ropa han publicado, y algunas de Francia han repetido, que el Marques de Gallo, Ministro plenipotenciario del Rey de Ñapóles, estaba nombrado para asistir al congreso de Luneville, y que el gobierno de Francia rehusaba admitirlo. Bien notoria es la constancia con que el pueblo francé</t>
  </si>
  <si>
    <t>Ministro plenipotenciario en la Puerta</t>
  </si>
  <si>
    <t>l gobierno británico se niega á reconocer un tratado abierto y Concluido por su Ministro plenipotenciario en la Puerta, por el comandante de sus fuerzas navales destinadas á obrar contra la expedición de Égip-; to ; convenio que aquel plenipotenciario; aquel comandante firmó ju</t>
  </si>
  <si>
    <t>Ministro plenipotenciario para el congreso de Amiens</t>
  </si>
  <si>
    <t>y terrestres de la Gran Bret .ña. Por orden del Marques de Cornwallis, nombrado Ministro plenipotenciario para el congreso de Amiens, se está disponiendo un magnífico coche para su viage. Dícese que el primer Cónsul le ha escrito ene irgándole que acelere su partida; pero es dable que aun se</t>
  </si>
  <si>
    <t>Ministro plenipotenciario que fué de Portugal en esta República</t>
  </si>
  <si>
    <t>de resultas se despacharon correos á París y Petérsburgo. El caballero Araujo, Ministro plenipotenciario que fué de Portugal en esta República, ha recibido orden de su corte para que vaya inmediatamente á Lisboa; y en efecto, desde Inglaterra pasará á Portugal así que desempeñe la comisión con que ha</t>
  </si>
  <si>
    <t>Ministro plenipotenciarios de los Estados-Unidos en Francia fueron'rect</t>
  </si>
  <si>
    <t>s pa ra conseguir amistosamente este punto* Los Enviados extraordinarios y. Jos Ministros plenipotenciarios de los Estados-Unidos en Francia fueron'rect*bidos por el primer Cónsul con toda la atención y miramiento debido á su carácter, y se nombraron tres personas con poderes equivalentes para tra^r con ellos.</t>
  </si>
  <si>
    <t>Ministro plenrfbtéhciaric</t>
  </si>
  <si>
    <t>ici francesa en el congreso de AmieOs; al ciud. Aléxándrb¿ LárOchefoucaült para Ministro plenrfbtéhciaric^cerca ^de S: A. Sv ¿I Elector de SjxonKi, y al ciud. Dumoutietf páfá^ccrétário^dé^ii'légácion.^ n , El Ministro dé Marina'há'dado orden pará que se desarme la.</t>
  </si>
  <si>
    <t>Ministro plentpotenci trio de la República francesa en Suiza</t>
  </si>
  <si>
    <t>y 30 heridos/’ . í -'y*' El ciud. Vernime,.Prefecto de! Rhód tno, está nombrado Ministro plentpotenci trio de la República francesa en Suiza. t Extracto del Mantear del dia ,Xa República cisalpina ha elegido af ci.ñdv; Vénturi por su Ministro plenipotenciario cerca» jde S. Mi el Réy do Tbscaña, y pa</t>
  </si>
  <si>
    <t>Ministro pliegos de ja isla</t>
  </si>
  <si>
    <t>s quales hay algunas de gran valor. . ■ , ;.v; ; • ; i Antes de ayer recibió e! Ministro pliegos de ja isla de: Curazao. Parece^ cierto que los ingleses han vuelto á apoderarse de aquella posesión holán-, des a. ' , ' . ' , Mr. Jones ha renovado en la Cámara de los Comu</t>
  </si>
  <si>
    <t>Ministro podrá decirnos</t>
  </si>
  <si>
    <t>ando qüerramos exáminar en que se han invertido los caudales públicos, el nuevo Ministro podrá decirnos1, que no es asunto de su competencia porque aun np era Ministro quando se aprobáron los subsidios. Y si nos dirigimos á Mr. Pitt, que tanta priesa manifiesta a</t>
  </si>
  <si>
    <t>Ministro por quienes corran los gastos</t>
  </si>
  <si>
    <t>esponsabilidad de que se ha hablado, diré solo que recae forzosamente sobre los Ministros por quienes corran los gastos. No •dudaría Mr. Harrison aprobar ios subsidios que se piden, si tuviese seguridad de que el nuevo ministerio se apartaba de los principios que ha seguido el a</t>
  </si>
  <si>
    <t>Ministro presentasen los documentos que para ello se necesitan</t>
  </si>
  <si>
    <t>río de Portugal; concluyó pidiendo la explicación de aquel artículo, y que los Ministros presentasen los documentos que para ello se necesitan. Contestóle el Lord Pelham, y no ocultó el sentimiento que tenia al ver que un sujeto como Mr. Grenville negase su apoyo á las medidas del gobierno: añadió que</t>
  </si>
  <si>
    <t>Ministro presentó el dia</t>
  </si>
  <si>
    <t>rrieron todos, examinando los primorosos objetos de las artes que contienen. El Ministro presentó el dia 24 á los Cónsules los individuos que formaban la junta encargada de reconocer y juzgar el mérito de dichos objetos , y los fabricantes y artífices que han sido</t>
  </si>
  <si>
    <t>Ministro principal de Real Hacienda de Truxillo</t>
  </si>
  <si>
    <t>a, vacante por muerte de D. Joseph Julián Hernández, á D. Juan Ortiz de Letona, Ministro principal de Real Hacienda de Truxillo: para esta resulta á D, Gaspar Pilona, Interventor de la administración de alcabalas de León de Nicaragua en aquel Reyno; y para oste destino á D. Joseph Ariza</t>
  </si>
  <si>
    <t>Ministro principales</t>
  </si>
  <si>
    <t>tarde me hice á.Ia vela para Curazao en el rácat'ruz que me preparaban aquellos Ministros principales. El 16 á las 7 de la mañana, estando ya en la punta que llaman de Candela de aquella isla, nos alcanzó una goleta inglesa de seis cañones de á 8, y 26 hombres</t>
  </si>
  <si>
    <t>Ministro propongan que se aprueben</t>
  </si>
  <si>
    <t>para los ingleses que promover nuevas guerras. Es muy extraño, añadió, que los Ministros propongan que se aprueben y sostengan sus desconcertadas providencias. En vista de una conducta que.en sus efectos acredita incapacidad, y atendiendo al desgraciado uso que han hecho de su .poder y de nuestro dinero , debe la Cám</t>
  </si>
  <si>
    <t>Ministro protestante</t>
  </si>
  <si>
    <t>e el Ministro de un Príncipe católico confie su voto, en caso de ausencia, á un Ministro protestante. Londres ay de Mayo. E scnbe el Lord Minto desde Viena que el Gran Visir, después de la batalla del .21, se puso en marcha para Egipto al frente de 15© hombres</t>
  </si>
  <si>
    <t>ministro protestante en Boston en Ja América septentrional</t>
  </si>
  <si>
    <t>obras de dicho autor. .'. Relación de la conversión del Sr. Juan Thayer, ántes ministro protestante en Boston en Ja América septentrional, y convertido á la religión católica en Roma el dia ag de Mayó de 1783 , escrita por él mismo: se añaden dos cartas, la una i un hermano suyo, en la que respon</t>
  </si>
  <si>
    <t>Ministro prusiano</t>
  </si>
  <si>
    <t>ron algunas representaciones á la Dieta sobre que no se admitiese á Mr. Goertz, Ministro prusiano, para votar por Mr. de Rechberg, Enviado del Elector de Baviera, supuesto que como Ministro de un Príncipe protestante, no podía representar á un Príncipe cató</t>
  </si>
  <si>
    <t>ikr i.a de Julio. L a nota qite este ministerio entrégó últimamente á Mr. Dohm, Ministro prusiano, hace relación dé las caUsas que diéron motivo á que las tropas prusianas ocupasen este Electorado: tales son: i.a Las desavenencias movidas entre Inglaterra y</t>
  </si>
  <si>
    <t>ó S. M. en ello; y debía procederse á la elección quando se recibió la nota del Ministro prusiano, la quál contenía subst-ncialmente lo siguiente: „ El artículo 7.® del tratado de Luneville debe cumplirse; y según su tenor los estados seculares del Imperio</t>
  </si>
  <si>
    <t>etiembre. F n la respuesta que esta corte ha dado á ia nota de Mr. de Haugwltz, Ministro prusiano , sobre el nombramiento del Obispo de Munster, decora que la elección del Archiduque en nada se opone al articuló de las secula-riz clones; que la solicitud de</t>
  </si>
  <si>
    <t>ron;cpii los de América. Ei Ministro de Hannóver en una audiencia que ¡tuvo del Ministro prusiano^ volvió á insistir en la evacuación de aquel Electorado; y asimismo el Lord Carisford, Embaxadon británico, repitió sus oficios sobre el asunto, haciendo propo</t>
  </si>
  <si>
    <t>Ministro prusiano á Mr</t>
  </si>
  <si>
    <t>tableciese la libertad de la navegación del Elba---- Declaró al mismo tiempo el Ministro prusiano á Mr. Pelrichs, Diputado de Bremen, que igualmente se respetará la navegación del Weser, y que las tropas prusianas evacuarán el territorio de Bremen , como también</t>
  </si>
  <si>
    <t>Ministro prusiano Barón de Dohm</t>
  </si>
  <si>
    <t>L del exército de observación permanece en Bremen, en donde se halla todavía el Ministro prusiano Barón de Dohm, que está encargado de todo lo relativo al acopio de víveres para dichás tropas. . . . : Francfort 4 de Junio. ■ ?.■ • : * R egúlase en 20© hombres el número;</t>
  </si>
  <si>
    <t>Ministro prusiano Conde</t>
  </si>
  <si>
    <t>rovisionalmente entite el ciud. C^illard por parte de la República bátava, y el Ministro prusiano Conde de.Haugvvitz, en el tratado' de Berlín de 7 de'Agosto de 1795; 4«° que el principio de las secularizaciones está expresamente estipulado en el tratado del Lunevii</t>
  </si>
  <si>
    <t>Ministro prusiano Conde de Goertz</t>
  </si>
  <si>
    <t>Ministro de Baviera, ha salido de aquí para Petersburgo, y ha dexado su voto al Ministro prusiano Conde de Goertz; siendo</t>
  </si>
  <si>
    <t>Ministro prusiano Mr</t>
  </si>
  <si>
    <t>sminuyese él exército dé bbsérvación ¿ como también los gastos que ocasiona.-El Ministro prusiano Mr. de Dohm ha dirigido íJ todos ellos una circular enérgica; y entre otras cosas dice que dichos gastos son de cortísiiña consideración: que el Rey costea lamayo</t>
  </si>
  <si>
    <t>Ministro prusiano presentaron en Ratisbona antes de la elección</t>
  </si>
  <si>
    <t>Ministro prusiano que</t>
  </si>
  <si>
    <t>icia á este Príncipe, especialmente por la parte que tuvo en la paz,.observa el Ministro prusiano que .dicho monumento serviría para perpetuar una memoria ¿olorosa á los alemanes, recordando á la posteridad la guerra mas desastrada y la ménos necesaria que jama</t>
  </si>
  <si>
    <t>Ministro prusiano resida nte aquí a</t>
  </si>
  <si>
    <t>Ilamburgo y Lubeck con su respectivo territorio? y según dicen hoy comunicó el Ministro prusiano resida nte aquí a! Senado esta resolución de su corte. Se asegura también que el ministerio de Berlín consiente en restablecer la libre navegación del Weser y del Elba. &gt; Viena</t>
  </si>
  <si>
    <t>Ministro Prusiano se han entregado recíprocamente</t>
  </si>
  <si>
    <t>Ministro prusianos</t>
  </si>
  <si>
    <t>nombre del Emperador de Alemania j y ha tenido aquí varias conferencias con los Ministros prusianos. En gen era! se advierte que ios gabinetes de Viena y Berlin tratan de obrar de acuerdo en los asuntos políticos del dia. Wessel 14 de Junio. A .1paso que se a</t>
  </si>
  <si>
    <t>Ministro quando se aprobáron los subsidios</t>
  </si>
  <si>
    <t>Ministro podrá decirnos1, que no es asunto de su competencia porque aun np era Ministro quando se aprobáron los subsidios. Y si nos dirigimos á Mr. Pitt, que tanta priesa manifiesta ahora, nos dirá entonces que ya no es Ministro. Esperemos pues á que los nuevos Ministros concurran</t>
  </si>
  <si>
    <t>Ministro que</t>
  </si>
  <si>
    <t>bre de ü República.' Los gobiernos helvético y liguriano habrán ya nombrado ios Ministros que1 han de ir «á Florencia con el mismo encargo.__ S. S. ha expedido un breve credencial para que el nuevo Rey sea reconocido como tal, y cumpliméntadoLen Su nomb</t>
  </si>
  <si>
    <t>Ministro que declararon guerra á la Francia</t>
  </si>
  <si>
    <t>Mr. fiurdet debía hacer la proposición de que se averiguase la conducta de los Ministros que declararon guerra á la Francia; pero Mr. Sheridan pidió que se suspendiese hasta mas adelante, no paree iéndole conveniente que se tratase de este asunto durante las negociaciones de paz; y</t>
  </si>
  <si>
    <t>Ministro que fué de Francia</t>
  </si>
  <si>
    <t>mayor parte de los anglo-turcos se han acercado á Alexandría. El ciud. Ruffin, Ministro que fué de Francia, y los individuos de su legación, salieron hoy del castillo de las Siete-torres; y todos los prisioneros de la misma nación ,que desde principio de la guerra s</t>
  </si>
  <si>
    <t>Ministro que fue de la República bátava en Stuttmmd</t>
  </si>
  <si>
    <t>ro de los Estados-Unidos á la corte de Madrid, y el ciud. Strick de Linschoten, Ministro que fue de la República bátava en Stuttmmd. Habiendo sabido este gobierno por un correo extraordinario que el Rey de,« Inglaterra habla ratificado los preliminares de paz, ha dado también el primer Cóns</t>
  </si>
  <si>
    <t>Ministro que ha sido de Rusia en Francia</t>
  </si>
  <si>
    <t>ey. En la misma audiencia se despidió del primer Cónsul el caballero Kalitchew, Ministro que ha sido de Rusia en Francia; y concluida la audiencia pública, la tuvo el Conde de Marcow, enviado por Alexandro 1 para suceder á Mr. Kalitchew. Carta del General en xefe Murat al Ministr</t>
  </si>
  <si>
    <t>Ministro qüe lktt de'fOrinar iá dlptítadíon’ extÍraordmari</t>
  </si>
  <si>
    <t>-1 • Noviembre, :J ^egnn las últimas cartas de Ratisbona están ya nombrados/los Ministros qüe lktt dé'fOrinar iá dlptítadíon’ extÍraordmari«a'del imperio, y: son los siguientes: i.° Maguncia: el Conde de Fréigentesch. 2.0’Saxonla: el Conde ~de Hohsnthal. 3.® Bohemia: ej Conde de Cólloredo. 4.0 Bran</t>
  </si>
  <si>
    <t>Ministro que se esperan</t>
  </si>
  <si>
    <t>Se han señalado varias casas de las mayores de esta ciudad para alojar a otros Ministros que se esperan, y se¡ advierte la mayor actividad éú las demás disposiciones paré la-abertura del cbngtestú ; 5 '* / ’ Parir Wríd.,:' ldiáiáttégd i TktU él General Djísblíésy</t>
  </si>
  <si>
    <t>Ministro que se ocupan en ellas</t>
  </si>
  <si>
    <t>a Práctica de la administración y cobranza de las rentas Reales y visita de Jos Ministros que se ocupan en ellas: por D. Juan de la Ripia. . EN LA IMPRENTA REAL.</t>
  </si>
  <si>
    <t>Ministro quiera reunirse con el exército grande</t>
  </si>
  <si>
    <t>e concederá el paso del Mein por Hallstatt al Barón de Albini, en caso que este Ministro quiera reunirse con el exército grande. La línea de los acantonamientos del exército del Rhin: cu la inmediación del exército. galo-bátavo se extenderá de Ratisbona á Neumarck, y de Neumarck á Gemsh</t>
  </si>
  <si>
    <t>Ministro Rc-ynard ha pedido que se execute la permuta antes</t>
  </si>
  <si>
    <t>o. Un breve se verificará la cesión del Valais á la República francesa, pnes el Ministro Rc-ynard ha pedido que se execute la permuta antes del cange de las ratificaciones de. la paz ; y este Consejo exetutivo ha encargado al clud. Glayre, que se halla en París con poderes para arreglar las fronteras d</t>
  </si>
  <si>
    <t>Ministro Residente de Alexandro i</t>
  </si>
  <si>
    <t>ró de Roma, ha llegado estos dias aquí, y vuelve á aquella ciudad en calidad de Ministro Residente de Alexandro i. Los estados del Tirol han pedido al Emperador el privilegio de guarnecer y guardar su pais, á lo ménos en tiempo de paz; ofrecen formar á su costa varios cuer</t>
  </si>
  <si>
    <t>Ministro residente en París</t>
  </si>
  <si>
    <t>ipes de Alemania , y que á este efecto ha’dado las órdenes mas terminantes á su Ministro residente en París.</t>
  </si>
  <si>
    <t>Ministro residentes aquí</t>
  </si>
  <si>
    <t>ona 2 de■ Noviembre■» A&lt; .caba el Ministro- austríaco de notificar á los. demas Ministros residentes aquí, que en fuerza de un arreglo hecho entre el Emperador, el gobierno de Francia y el Rey de Prusia, la diputación del Imperio celebrará sus juntas en esta ciudid</t>
  </si>
  <si>
    <t>Ministro resistiesen comunicar las luces que se requieren para probar</t>
  </si>
  <si>
    <t>dad personal de algunos vocales; pero le replicó Mr. Tierney extrañando que los Ministros resistiesen comunicar las luces que se requieren para probar la existencia de un número de tropas que cuestan á la nación 6oo2&gt; libras esterlinas cada año. Mft Sheridan pidió el mismo día se comunicasen á la Cámara varios d</t>
  </si>
  <si>
    <t>Ministro resolver sobre su contenido</t>
  </si>
  <si>
    <t>Ministro respectivos</t>
  </si>
  <si>
    <t>s austríaco y francés han hecho un arreglo particular sobre ísus Émbaxadpt’es ó Ministros respectivos. Cada gobierno concederá al Ministro del ptro:una guardia de honor , y la jurisdicción sobre las personas de su nación que se hallen en el pais en que residen</t>
  </si>
  <si>
    <t>Ministro ruso</t>
  </si>
  <si>
    <t>n Memel; pero quando iba á salir para Inglaterra, fué embargado á solicitud del Ministro ruso. Los cuerpos prusianos, que entraron en Cuxhaven, están mandados por él Coronel Wédel. Como aquella ciudad, por ser reducida, no tiene proporción de alojar á t</t>
  </si>
  <si>
    <t>emas de las tropas francesas que han venido ya, se esperan otros 5® hombres. Un Ministro ruso, que va á residir cerca del Rey de Nápoles, entró aquí ayer: le venia escoltando un destacamento de caballería que el General Murat envió á su encuentro. Hoy l</t>
  </si>
  <si>
    <t>Estas observaciones no desvaneceh ios motivos alegados en la representaCion del.Ministro ruso , en la quai se sienta por principio, que. el objeto del gabinete británico es conquisa tar á Egipto para conservarlo ¿así como lo ha hecho cónlaislá de Malta</t>
  </si>
  <si>
    <t>lín, hk{comunicado k aquel gabinete una nota remitida por el Lord Grefcville al Ministro ruso^ la qual contiene fuertes quejas sobre el embargo de las embarcaciones inglesas en los puertos de Rusia. La nota de Mr. Garisford concluye así: „E1 infrascript</t>
  </si>
  <si>
    <t>avía en, la rada de Baschiktar. El LordElgin, Embaxador ingles, y Mr. deTamara, Ministro ruso, fuéron estos dias á visitar al Capitán Baxá en su navio almirante. Stockolmo24.deMarzo A noche liego aquí un correo despachado por el Rey ,y de resultas se ce</t>
  </si>
  <si>
    <t>456 poles; pero el Ministro ruso, después de haber entregado las insignias de la orden de S. Andrés, que llevaba para el Rey y otras personas, se ha puesto en camino para restituirse á su patr</t>
  </si>
  <si>
    <t>Copenhague JO de Abril. H a respondido el Almirante Parker á Mr. de Lisakewitz, Ministro ruso, diciéndole que apénas tuvo noticia de las disposiciones amistosas del nuevo Emperador, mandó suspender toda hostilidad contra rusos, dinamarqueses y suecos. D</t>
  </si>
  <si>
    <t>ferencia con el Ministro Conde de Bernstorff.. También visitó á Mr. Lizakewitz, Ministro ruso, con quien comió, y fuá quien le presentó á Mr. BernstorfF._~El Comendador dinamarqués Mr. Bille envió-un oficial á bordo de la fragata inglesa para cumpliment</t>
  </si>
  <si>
    <t>á tierra mas de 6 marineros juntos. Copenhague 21 de Julio. M r. de Lisakewitz, Ministro ruso, ha entregado á este ministerio una nota en que le propone acceda al convenio recien firmado en Pet rsburso. No se duda que así lo haga, tanto mas que el tenor</t>
  </si>
  <si>
    <t>Ministro ruso en esta corte</t>
  </si>
  <si>
    <t>ompañándole dos secretarios de legación. Dícese no obstante que Mr. Lysakewitz, Ministro ruso en esta corte, tiene orden de salir de aquí. Los navios de línea que actualmente se están armando son 16 , con proporcionado número de fragatas; y parece que se armarán otro</t>
  </si>
  <si>
    <t>de neutralidad'adoptadas entre ellas. Igualmente se dice que Mr. de Lizakewltz, Ministro ruso en esta corte, ha recibido pliegos de la suya en que le avisan que el Emperador Alexandro ha aprobado la tregua ajustada por el gabinete de Copenhague; pero que no renuncia</t>
  </si>
  <si>
    <t>Ministro ruso fué á Sicilia para acelerar la salida</t>
  </si>
  <si>
    <t>de Marzo. L os ingleses han evacuado á Nápoles llevándose todos sus efectos. El Ministro ruso fué á Sicilia para acelerar la salida de los que hay en aquélla isla : les dieron de término 24 horas., y no han podido llevar mas víveres que los que necesitaban para ir de allí á Malta. A la entrada del</t>
  </si>
  <si>
    <t>Ministro ruso ha hecho recientemente á este gobierno</t>
  </si>
  <si>
    <t>cruzar ai Mediterráneo, y otros que vendrá á sostener ¡as proposiciones que el Ministro ruso ha hecho recientemente á este gobierno. Ya se 'dice que la Sublime Pusrta suspenderá los preparativos para Jeconquistar á Egipto; y en tal caso no podrán los ingleses hacer grandes empresas contra a</t>
  </si>
  <si>
    <t>Ministro ruso residente aquí</t>
  </si>
  <si>
    <t>mpo ha condecorado S. M. con las insignias del Aguila roxa ai Barón de Krudner, Ministro ruso residente aquí. Finalmente, hoy han salido para Petersburgo un oficial superior de plana mayor y uavSecretarío de embaxada ; van encargados de una negociación de estado, qiie</t>
  </si>
  <si>
    <t>Ministro ruso se dirigió al Sultán</t>
  </si>
  <si>
    <t>una ésquadra rusa de 16 velas: al principio querían impedirle el paso; pero el Ministro ruso se dirigió al Sultán, y S. A. fiando que aquel estrecho quede libre en todo tiempo para los navios rusos. ' Se coníirma que las tropas de Raswan-Oglow han entrado en Valaquia, y de</t>
  </si>
  <si>
    <t>Ministro ruso y con el ciud</t>
  </si>
  <si>
    <t>762 poco después de su llegada empezó sus conferencias con el Ministro ruso y con el ciud. Duroc. - T Semlm jo de Jimio. M uchos partidarios de Baswan-Oglow, que desde la victoria que el Hospodar de Valaquia consiguió contra ellos se mostraban sumis</t>
  </si>
  <si>
    <t>Ministro rusos</t>
  </si>
  <si>
    <t>apitán Freemantle, á quien Mr. Hide-Parker habia despachado para tratar con los Ministros rusos. Otros avisos posteriores añaden que la esquadra británica se alejó de Revel temiendo indisponer á la corte de Rusia si permanecía en aquellas aguas. No tardar</t>
  </si>
  <si>
    <t>Ministro se comunique á los diferentes estados esta proposición</t>
  </si>
  <si>
    <t>o á aquel heroe, objetó de la veneración universal. En conseqüencía ruega dicho Ministro se comunique á los diferentes estados esta proposición, y se la recomienden en los términos mas convenientes.” Munich 24 de Mayo. S e ha dado aviso á todos los Dicasterios de que habiendo el Elector hecho un conven</t>
  </si>
  <si>
    <t>Ministro se han visto forzados á hacerla sin alternativa</t>
  </si>
  <si>
    <t>é otras razones. Si una necesidad fatal nos ha reducido á hacer la paz v si los Ministros se han visto forzados á hacerla sin alternativa, es disculpable su conducta, y les debemos gracias, no por lo que han adquirido á su país, sino porque lo han salvado &amp;c.” Contestóle Mr. Addington procurando</t>
  </si>
  <si>
    <t>Ministro se retiran</t>
  </si>
  <si>
    <t>pensables; pero tampoco lo conseguirán. ¿No es cosa ridicula querer, porqué los Ministros se retiran, y que no •están elegidos sus sucesores, que no se señalen los subsidios en un momento en que.son tan graves las urgencias? Creo que la menor dilación seria su</t>
  </si>
  <si>
    <t>Ministro seguir ín los principios de sus antecesores</t>
  </si>
  <si>
    <t>iento contra el ministerio: observó que Mr. Pitt había declarado que los nuevos Ministros seguir ín los principios de sus antecesores. ,,Me alegraría saber (añadió) hasta que punto se extiende el empeño que ha tomado en so nombre. ¿Se proponen acaso los nuevos Ministros seguir la guerra hasta</t>
  </si>
  <si>
    <t>Ministro seguir la guerra hasta que se</t>
  </si>
  <si>
    <t>se extiende el empeño que ha tomado en so nombre. ¿Se proponen acaso los nuevos Ministros seguir la guerra hasta que se, restablezca en Francia el antiguo gobierno?</t>
  </si>
  <si>
    <t>Ministro según conviene á una</t>
  </si>
  <si>
    <t>Ministro Semonville tuvieron la menor part</t>
  </si>
  <si>
    <t>eptar este manió para asegurar mejor él sosiego p&amp;biictí. Ni este General ni el Ministro Semonville tuvieron la menor part*.en</t>
  </si>
  <si>
    <t>Ministro si se extendiese mas sobre las c</t>
  </si>
  <si>
    <t>anda. Temería el Príncipe de Orange agraviar los sentimientos de S. M. y de sus Ministros si se extendiese mas sobre las c\u$a$ que le han movido á hacer esta representación.’* Hi il gado de Calais á Douvrcs el Lord Minto, que ha hecho desde Vie na su viage por tierra pasando por F</t>
  </si>
  <si>
    <t>Ministro sostengan sus desconcertadas providencias</t>
  </si>
  <si>
    <t>Ministro su antecesor</t>
  </si>
  <si>
    <t>ina Lu-Mo-Sing, que era igualmente su valido,-y contribuyó mucho á la calda del Ministro su antecesor, ha incurrido también en la desgracia de su amo. Para librarle de la afrenta de morir en un cadahalso le hicieron el íavor de ahorcarlo á puerta cerrada. Dexa</t>
  </si>
  <si>
    <t>Ministro sueco en Ratisbona</t>
  </si>
  <si>
    <t>ipto dél Rey de Suecia., dado en Malmoe a 19 de Abril,y dirigido á Mr. de BUdt, Ministro sueco en Ratisbona. Dice substancialmente asi: ,, AI cabo de una lucha de 8 años se ha concluido finalmente la paz del Imperio germánico; y aunque unas conmociones tan violentas</t>
  </si>
  <si>
    <t>ministro superiores</t>
  </si>
  <si>
    <t>s tablas por D. Juan de la Reguera Vaidelomar: la primera correspondiente á los ministros superiores, y la seguida á los oficiales subalternos de aquel tribunal. Se manifiestan, resumidas por co unas, con la debida distinción, todas las obligaciones, ca-idad y</t>
  </si>
  <si>
    <t>Ministro supernumerarió del misino Tribunal</t>
  </si>
  <si>
    <t>arpió con las dos terceras partes de su sueldo, al Sr. D. Francisco Monsagrati, Ministro supernumerarió del misino Tribunal, con [2. otra tercera parte del sueldo, conservándole aí mismo tiempo el que obtiene dé Caballero Procurador general de dicha orden, hasta tanto que entre en e</t>
  </si>
  <si>
    <t>Ministro supernumerario del propio Tribunal</t>
  </si>
  <si>
    <t>misma plaza se ha dignado nombrar á D. .Francisco Xavier González de Castejon, Ministro supernumerario del propio Tribunal, con el goce del otro medio sueldo : para la Fiscalía del Crimen de la Audiencia de Sevilla, vacante por muerte ‘de D. Antonio Fernandez Soler, á D. Ramón Nava</t>
  </si>
  <si>
    <t>Ministro todas Ini personas</t>
  </si>
  <si>
    <t>Ministro togado del Real y supremo Consejo de la Guerra</t>
  </si>
  <si>
    <t>sta corte á la edad de 68 años el Sr. Don Ju n Bautista de San M- rtin y N^vaz, Ministro togado del Real y supremo Consejo de la Guerra. Empezó á servir á S. M. el año de 1763 , en que fue nombrado Juez para la visita de Escribanos del Reyno perteneciente aí p .rtido y obispado de Cádiz, con Gi</t>
  </si>
  <si>
    <t>Ministro turco</t>
  </si>
  <si>
    <t>Támara , Embaxadprde Rusia, tuvo dot dias después oirá'conferencia con el mismo Ministro turco¿ * ^ &gt; ■ El Capitán Baxá ha dexado en las aguas dé Aiexandría 3 navios de Ifc nea y 4 fragatas baxo las órdenes de su Capitan-Bey, ó Vice-Almirante, y con el r</t>
  </si>
  <si>
    <t>Ministro turcos</t>
  </si>
  <si>
    <t>usia. En una de las muchas conferencias que el Embaxador ruso ha tenido con los Ministros turcos, les ha intimado que si el Gran Señor tardaba en hacer la paz con los franceses y echar á los ingleses de sus tfondníos, le declarará guerra el Emperador su am</t>
  </si>
  <si>
    <t>Ministro tuviéron el</t>
  </si>
  <si>
    <t>ía ir dicho dia al Parlamento. Esta suspensión se-atribuye a varias causas. Los Ministros tuviéron el 28 en la secrtítaría del «Duque de Portland una junta, en la qual hubo poca unanimidad de pareceres: pues unos querían que se aguardase la llegada de muchos vo</t>
  </si>
  <si>
    <t>Ministro un mes</t>
  </si>
  <si>
    <t>s francesas. : En el café de Lloyd se han hecho apuestas á que Mr. Pitt no será Ministro un mes , y que para entonces ya se. habrán entablado negociaciones con Francia. ) ....; • fel dia 5 no asistid Pitt al Parlamento á causa de hallarse indispuesto. Han</t>
  </si>
  <si>
    <t>Ministro va á tomaros el juramento de fidelidad</t>
  </si>
  <si>
    <t>r-j ría que ilustraron á la Toscana en tiempo de los Médicisy los Leopoldos. Su Ministro va á tomaros el juramento de fidelidad: el Cielo ha recibido ya ef suyo de haceros felices.” . Cléves j de Agosto. e orno los empleados públicos deben hacer promesa de fidelidad al gobier-, no franc</t>
  </si>
  <si>
    <t>Ministro Venturi</t>
  </si>
  <si>
    <t>ombrado este gobierno á los ciudadanos Antonio Litta, Alfonso Vizc;onti y el ex-Ministro Venturi, para que vayan á Turin en calidad de diputados de la Cisalpina, para cumplimentar en nombre de la República á los Reyes de Toscana. El ciud. Venturi los acomp</t>
  </si>
  <si>
    <t>Ministro Wiudham</t>
  </si>
  <si>
    <t>Ministro y Agentes de potencias extrangeras</t>
  </si>
  <si>
    <t>ido reir.” En la audiencia que dio el primer Cónsul el dia 7 á los Embaxadores, Ministros y Agentes de potencias extrangeras, fué presentado Mr. Cobentzel en calidad de Ministro plenipotenciario del Emperador para las conferencias de Lúneville. El Marques de Luchesini, Ministro de Pr</t>
  </si>
  <si>
    <t>Ministro y Agentes en</t>
  </si>
  <si>
    <t>. En conseqüencia $. M. I. ha encarg dó á sil ministerio • doti fique -i- :¡ós .Ministros y Agentes en - plises -ejetrangeros que ,es&gt; tá dispuesto á rtnovar, su anterior correspondencia con aquel gobierno,, qwo las negociaciones sobre este ^sunto se hall an «n</t>
  </si>
  <si>
    <t>Ministro y Con</t>
  </si>
  <si>
    <t>17 con motivo de la paz una grao fiesta á que asístiéron los tres Cónsules, los Ministros y Con</t>
  </si>
  <si>
    <t>Ministro y Cónsules</t>
  </si>
  <si>
    <t>es. Para el año corriente se han señalado 8$3b.dolares para sueldos de nuestros.Ministros y Cónsules, en Europa y Africa^y siis -secretarios,, 30© para el Presidente y Vice-Presidente del Congreso, 209,470 para el Senfedo y la Cámara de Representantes, 480,396</t>
  </si>
  <si>
    <t>Ministro y el de aquel Electorado</t>
  </si>
  <si>
    <t>a la elección de Elector de Colonia hubo una altercación muy reñida entre dicho Ministro y el de aquel Electorado. Ni Mr, Hugel, Comisario imperial, ni Mr. Faklemberg, Enviado austríaco, llamados por mediadores, quisieron tomar parte en su desavenencia. Francfort 2/ de Set</t>
  </si>
  <si>
    <t>Ministro y el Director general de la tesorería</t>
  </si>
  <si>
    <t>e hacienda, que se celebra eri igual dia todos los meses; al qual concurren los Ministros y el Director general de la tesorería.- El médico Corvisart cree que el primer Cónsul podrá sin perjuicio de su salud asistir á la fiesta pública del 14 de Julio. Ha llegado de Roma á París el Duqu</t>
  </si>
  <si>
    <t>Ministro y Presid nte de la Cámara áulica de Rentas</t>
  </si>
  <si>
    <t>plimentar en su nombra al nuevo Soberano de Rusia. Asimismo el Conde de Saurau, Ministro y Presid nte de la Cámara áulica de Rentas, está nombrado Embaxador extraordinario en la* corte de Rusia con 60® florines de sueldo. S. M. le ha conferido al propio tiempo la gran cruz de la orden de S.</t>
  </si>
  <si>
    <t>Ministro y sobre la guerra</t>
  </si>
  <si>
    <t>rzos. Finalmente , propuso-se hiciese una averiguación sobre la conducta de ios Ministros y sobre la guerra. Le con</t>
  </si>
  <si>
    <t>Ministro yo nos hallábamos</t>
  </si>
  <si>
    <t>Ministro zelosos</t>
  </si>
  <si>
    <t>inar el asunto, y resultando por la consulta del Consejo Real y por informes de Ministros zelosos, á quienes oyó S. M. sobre el particular, ser en el dia conveniente y aun necesaria la extracción de aceyte, la qual no solo producirá el primer obje to de man</t>
  </si>
  <si>
    <t>Minto, Lord</t>
  </si>
  <si>
    <t>Lord Minto</t>
  </si>
  <si>
    <t>y en otros términos quanto hacen los ingleses en Turquía.” 'i Viena 11 de Febrero. Ideclaración il Lord Minto, Embaxador británico, ha entregado al Emperador una del Rey su amo, por la quaí le dexa libre de los empeños que habla contr .'ido en su último tratado con Inglaterra. El 27 4el m</t>
  </si>
  <si>
    <t>General Abercrombie. Prosigue recobrándose el Archiduque Cárlos. Así el gabinete austríaco como el Lord Minto han recibido cartas recientes de Constantinopia con noticia de que el General Abercrombie h* desembarcado un cuerpo de 60 hombres en Egipto hacia Damieta, y otro igual en las cerc</t>
  </si>
  <si>
    <t>gnacio María de Corral , Ministro plenipotenciario de S. M. Católica cerca de la Puerta Otomana. El Lord Minto, Ministro de Inglaterra en esta corte, ha obtenido su retiró, y no tardará en restituirse á su patria. Mr. Straton, Secretario de embaxada, queda por Encargado de Negocios hasta l</t>
  </si>
  <si>
    <t>lico confie su voto, en caso de ausencia, á un Ministro protestante. Londres ay de Mayo. E scnbe el Lord Minto desde Viena que el Gran Visir, después de la batalla del .21, se puso en marcha para Egipto al frente de 15© hombres___ _ Este gobierno envía muchos refuerzos á aquel pais: de los pu</t>
  </si>
  <si>
    <t>pero entonces será sin dada uno de los templos mas hermosos de todo el mundo. Viena 18 de Mayo, E 1 Lord Minto recibió el dia 10 un correo con noticias dé Egipto, y de ellas ha publicado únicamente que los ingleses se han apoderado de una altura que domina parte de la ciudad de Alexandría,</t>
  </si>
  <si>
    <t>arado libre &gt;peto como esto perjudicaría al de Trieste, es dudoso que consiga su pretensión. _ * El Lord Minto ha recibido en pliegos de Constantinopla la noticia dé que las tropas despachadas, de Bombay han llegada al mar Roxo- y desembarcado en Suez.. ■ 1 Según voces publicas no tardará</t>
  </si>
  <si>
    <t>. £1 dia 17 se embarcó en Cuxhaven un correo ruso con pliegos para Londres. Vierta rp de Junio. E 1 Lord Minto ha recibido un correo con cartas del Lord Keith, quien le avisa que el General Hutchinson atacó el 9 de Mayo á los franceses cerca de Rhamanieh: hiciéron los enemigos alguna resis</t>
  </si>
  <si>
    <t>r esta ciudad el dia 28. Va á Londres con pliegos para el gobierno británico, y ha dexado cartas al Lord Minto, Embaxador de Inglaterra. De resultas se ha divulgado que los ingleses consiguiéron apoderarse de una partida de 200 camellos, que jban del Alto-Egipto con víveres para Alejandría</t>
  </si>
  <si>
    <t>n y robáron una caravana que salía dé aquella» pUr ¿a para Níácedonia. » &gt; - Viena /p de Jplio. Í 1 Lord Minto, Embajador británico, expidió el dia -15-jan. correo á Con** t.T.ntitippja con pliegps de Lóndres para eU Lord. Elgin. En breve llegará aquí el Xord Pagct, sucesor del Xprd Minto.</t>
  </si>
  <si>
    <t>orre también otro aviso, que se supone dado por el ministerio, eníei qual se dice que una carta del Lord Minto hace mención de la entrega del Gayro, y de que' 4© franceses capitularon con la condición de ser .enviados á Francia prisioneros b, xo su p.¡labra. El oficial de que habla el Lord</t>
  </si>
  <si>
    <t>llegar aquí el Embaxador de Francia, para el qual ha cuidado esta corte de disponer alojamiento. El Lord Minto, Ministro de S. M. Británica cerca de S. M. I., está haciendo preparativos para su marcha á Inglaterra, y la emprenderá así que llegue su sucesor. Avisan de Inspruck que el Genera</t>
  </si>
  <si>
    <t>bre. J~Ia pasado por aquí Mr. Paget, que va á Viena en calidad de Embaxador ingles como sucesor del Lord Minto. Durante su viage por Francia le acompaña un mensagero de estado ingles, nombrado al intento por el gabinete de S. Jámes. Poco ántes habían transitado igualmente por esta ciudad M</t>
  </si>
  <si>
    <t>erlinas* : El dia 4 fondearon en Douwres dos barcos procedentes de'Calais: en uno de ellos viene el Lord Minto con su familia: el otro traía prisioneros ingleses y pliegos. En el golfo, de México ha zozobrado el buque ingles de guerra el Meleagro, del mando de Mr. Capel. Los oficiales y la</t>
  </si>
  <si>
    <t>ducen de contrabando por las fronteras de Holanda y por el Escalda. Strasburga 14 de Noviembre. E í Lord Minto, Embaxador que fué de Inglaterra en Viena, llegó aquí el di-a que se celebraba la fiesta de la paz; y después de asistir á ella con mucho gusto, salió el dia 11 para París, de don</t>
  </si>
  <si>
    <t>sobre las c\u$a$ que le han movido á hacer esta representación.’* Hi il gado de Calais á Douvrcs el Lord Minto, que ha hecho desde Vie na su viage por tierra pasando por Francia. Cinco navios da línea de la esquadrá de la Mancha han salido, según se dice, pira las Indias occidentales baxo</t>
  </si>
  <si>
    <t>Mioilis, General</t>
  </si>
  <si>
    <t>General Mioilis</t>
  </si>
  <si>
    <t>dos por Mrs, Damas y VintimilW. iNósotros.«piamos,en todo hombres que oponer á aquellas fuerzas. El General Mioilis los hizo mar oíióbrar con tanto 4eierto eoraodeíieídad; y &gt;despues: de &gt;,i8P(irsar y-asombrar com-nflá marcha.r¿eidpiá&lt;loslanstr&lt;)ftoseifros, que se habían apoderad» 'de Arezko y €ort</t>
  </si>
  <si>
    <t>Mioílis, General</t>
  </si>
  <si>
    <t>General Mioílis</t>
  </si>
  <si>
    <t>e su mansión en este país, destruyeron el monumento que los franceses habían erigido a Virgilio. El General Mioílis, comandante de Mantua, ha propuesto á la junta administrativa del departamento del Mincio que se restaure el referido monumento , y que entro tanto se coloque el busto del poeta m</t>
  </si>
  <si>
    <t>Miollis, General</t>
  </si>
  <si>
    <t>General Miollis</t>
  </si>
  <si>
    <t>s Magistrados al -ver que los insurgentes^^adelantaban contra la capital. Noticioso de todo esto el General Miollis reunió ¡¡su* fuerzas, que en todo no pasaban de 2© hombres, y poniéndose a su-frente salid en busca de los enemigos. Los .encontró y ■ los derroto y d ispersáridotos de modo que ¡</t>
  </si>
  <si>
    <t>go Tuéron á incorporarse casi todos con el exército grande. *&gt; •' Florencia g de Enero. A Sí que él General Miollis entró en Arezzo , después de arrojar de todo el país á los napolitanos y á los insurgentes, dirigió al pueblo de aquella ciudad im aviso idieiéndole : ,, He. traído todos los conciu</t>
  </si>
  <si>
    <t>e granaderos de dicho cuerpo, y la segunda en Parma. Desde el quartel general de Sena ha escrito el General Miollis á este gobierno dándole cuenta de la batalla del dia 14, en la qual una parte de la div ¡5 ion del General Pino derrotó al cuerpo napolitano mandado por el General Damas, lo persi</t>
  </si>
  <si>
    <t>s Si 151 millas tnais/acartíe la íejudad4e Sena y de Woual-se Hallaban fa*bie« dueños, .El cwrpmdel General Miollis los ataco «1 hv ganó sns únfetosaVanz^dos,i derr ibo á caflonaeosvlaspuprtas deSena» viM&amp;M ¡¿tóBabnigoí eon,l^4tei^of¿5uc.«)»Meia?ne;ll»r&gt;&lt;to»t. darpom'&amp;hosasí'de- matehds iy-de;comba</t>
  </si>
  <si>
    <t>l xefe de esquadron Lafite la siguiente relación de la ba-j talla de Sena dada eí 14 de Enero: „ El General Miollis , después de saber que los napolitanos formados en 3 colunas se adelantaban, hacia Florencia# reunió» su división, compuesta de 2 500 hombres t para, atacar un cu^rpo enemigo de 4</t>
  </si>
  <si>
    <t>í parte , ha mandado que sus tropas penetrasen en Toscana adonde han venido á ser derrotadas por el General Miollis. Como quiera, la guerra pro-i ducé tantos males, que el gobierno francés busca todos los medios de evH taria. Evacuad pues todos los estados del Papa y el castillo de Sant-Ange-?</t>
  </si>
  <si>
    <t>* nos dura la suerte de ios prisioneros, ya que no puede esperarse que la mejoren los enemigos.” El General Miollis, que se halla en Milán, ha hecho colocar en un patrage publico y decente de Ferrara los restos y cenizas de Ariosto. Mr. Dawson, Enviado extraordinario de los Estados-Unidos en Pa</t>
  </si>
  <si>
    <t>Mir, Ramón</t>
  </si>
  <si>
    <t>Ramón Mir</t>
  </si>
  <si>
    <t>promover á Teniente de. granaderos al de fusiieros Don Manuel de Mendoza; á Teniente al Subteniente D. Ramón Mir; í Subteniente de compañía al de bandera D, Plácido Duro* y a Subteniente de bandera al Cadete D. Fernando Otal. c .. , En cumplimiento de los Reales decretos y cédalas de S. M. d</t>
  </si>
  <si>
    <t>Mirtin Mármol</t>
  </si>
  <si>
    <t>an de Olivares, D. Gregorio Gómez de Ap iricio, D. Joseph de la Barreda, D. Agustín García de Arce, D. Mirtin Mármol, D. Andrés Vázquez, D. Andrés Ximenez, Don Fernando Antonio del Mármol, D. Joseph María del Toro, D. Antonio Bravo y D. Joseph de Jesús Paderes: últimamente á Subtenientes de band</t>
  </si>
  <si>
    <t>Miteau de Blánville</t>
  </si>
  <si>
    <t>los principios de esta ciencia y la aplicación que ha de hacerse de ellos: escrita en francés |ior Mr. Miteau de Blánville, y traducida por D. Joseph Cabredo: obra útil y compendiosa, en que con claridad y método se enseña quanto es necesario en esta materia. Véndese á 3 rs. en casa de Claros , calle</t>
  </si>
  <si>
    <t>Miyares y Mancebo, Fernando</t>
  </si>
  <si>
    <t>Fernando Miyares y Mancebo</t>
  </si>
  <si>
    <t>D. "Feché ElRey se ha servidonombrar Ayudantes de Ingeniero de sus exórcitds^ plazas y irpnreras á D. Fernando Miyares y Mancebo, segando Teniente de! regimiento de infantería de León; á £&gt;. Eugenio Iraurgui, primer Subtenie nte del de Zamora, y á los segundos Subtenientes 4el de h i</t>
  </si>
  <si>
    <t>Mnldonado, Joseph</t>
  </si>
  <si>
    <t>Joseph Mnldonado</t>
  </si>
  <si>
    <t>moriales hasta el dia 15 de Mayo próximo para su provisión, dirigiéndolos á la Justicia de la viüa. Don Joseph Mnldonado, cirujano y vecino de la ciudad de Toledo, ha establecido un método de curar las úlceras y carbunclos , como lo han experimentado Varios pacientes , que en poco tiempo nati conseg</t>
  </si>
  <si>
    <t>Mnrat, General</t>
  </si>
  <si>
    <t>General Mnrat</t>
  </si>
  <si>
    <t>al del exército austríaco. - ; -• *' ■* ■ **' ;; 5 •* \ Se ha-publicado éh; FIbféñciá un5 aviso del General Mnrat concediéndó " en nombre del gobierno francés ún indulto general á favor de quantos de-* xen Jas armas; pero perseguirá á'los qüe así no lo hicieren*.__ El gobierno-’ de aquella ci</t>
  </si>
  <si>
    <t>Mo, Joseph</t>
  </si>
  <si>
    <t>Joseph Mo</t>
  </si>
  <si>
    <t>ntinqpla en el ano de 1784, lntrodüctibn á la Historia natural y á la escrito de orden superior por D. Joseph Mo­ Geografía física de España, por D. Guireno. Un tomo en4.° de marca mayor , ador­ llermo Bowles. Un. tomo, en 4.0 á 14 rs. en nado con viñetas, cabeceras, un mapa gran­ papel regu</t>
  </si>
  <si>
    <t>Moaré, General</t>
  </si>
  <si>
    <t>General Moaré</t>
  </si>
  <si>
    <t>Obispo de Munster. Londres 12 de Noviembre. E 1 lunes por la tarde llegó de Egipto á Portsmouth el General Moaré con1 pliegos del General Hntchinson; y el Capitán Olter llegó también con cartas del Lord Keith. Contienen la noticia de oficio de haber los ingleses tomado posesión de Alexandría</t>
  </si>
  <si>
    <t>Moctezuma y Róxas, Joseph</t>
  </si>
  <si>
    <t>Joseph Moctezuma y Róxas</t>
  </si>
  <si>
    <t>, i y al ’pie una compañía del regimiento de Jaén; Porcia aiotíhe concurriéron á casa del¿Brigadier D. Joseph Moctezuma y Róxas ; Teniente dé- S; A. R., lc&amp; indiv¡dups;del cuerpo , la .nobleza de ¿ambos nsexí$$d ly Jos oficiales. ’de vafÍ9s¡ cuerpos que se hallaban en esta capital ;y]se:sirvió, un exquisit</t>
  </si>
  <si>
    <t>Mofean, General</t>
  </si>
  <si>
    <t>General Mofean</t>
  </si>
  <si>
    <t>El'Archiduque Carlos ha regalado á dicho:General Mofean 50 caballos húngaros para su cuerpo de guias, y dos carros de vino de lokay. Igualmente el Elector de Baviera le ha regalado un broche o presilla valuada en 50® francos, trabajada</t>
  </si>
  <si>
    <t>Moiicey, General</t>
  </si>
  <si>
    <t>General Moiicey</t>
  </si>
  <si>
    <t>?kfc6^iüía.^ ^,bd:l¿60.íía. éía^'iy' '.íi : «-o.-■ ?r/it i; empleo de Conseferó de Estadol Queda di General Moiicey mandando interinaiuente el exdcito de Italia. ;/</t>
  </si>
  <si>
    <t>Moiío, Fulgencio</t>
  </si>
  <si>
    <t>Fulgencio Moiío</t>
  </si>
  <si>
    <t>dro Zuloaga. En el de infantería Suizo de Schwaller á Capitán primero de fusileros al de granaderos D. Fulgencio Moiío; á esta resulta al Capitán segundo D. Agustin Petitpierre; á Capitán segundo al Teniente de granaderos, graduado de Capitán, D. Ventura Rougemont; á Teniente de granaderos al de f</t>
  </si>
  <si>
    <t>Moitland, General</t>
  </si>
  <si>
    <t>General Moitland</t>
  </si>
  <si>
    <t>ra qué el Lbrd’St; Helérisvaya á París á entablar negociaciones de paz. ^ ’ i r ■ Se asegura que el General Moitland irá á* las Indias occidentales coi* él objeto-ádapoderarse dé las colonias dinamarquesas, y qüe eti esta expedición Se emplearán las trop'ar qué están ya embarcadas en Pbrtsfriíbt</t>
  </si>
  <si>
    <t>Móles, Joachín</t>
  </si>
  <si>
    <t>Joachín Móles</t>
  </si>
  <si>
    <t>olía Isabel de Bórbón, hermana mayor de la Reyna Ntra. Sra. ''traducidas por D; Joachin Móles , presbítero. == Dirección para la confesión, y "pequeño exeréieie cotidiano de S. Francisco de Salea, can estampas para la misa *y estampa del Santo.= Meditaciones de los sietes dolores de la</t>
  </si>
  <si>
    <t>Moles, Joachiñ</t>
  </si>
  <si>
    <t>Joachiñ Moles</t>
  </si>
  <si>
    <t>br» las indulgencias : sacadas principalmente del concilio de Trento ; traducidas ám* bas obras por D. Joachiñ Moles, presbítero. Se hallarán en la librería de Blas* ques* calle de las Carretas, núm; a. .. ; 1 i La tdiiMti'dé-' ¿Tai pofjósué : drama sacro en dos actós para répresentatee es el co</t>
  </si>
  <si>
    <t>Moles, Joachín</t>
  </si>
  <si>
    <t>Joachín Moles</t>
  </si>
  <si>
    <t>mple coa el precepto pascual sino en la propia parroquiatraducidas ámbas por D„ Joachin Moles, presbítero. Se hallarán en la iibrería de Blanques, calle de las Carretas, núm. a. El Viagero universal, ó noticia del mundo, antiguo y nuevo) obra recopilada' de los mejores viagero* por D.</t>
  </si>
  <si>
    <t>modo que se le debe la adoración , procurando enmendar muchos abusos : traducida al castellano por D. Joachin Moles, presbítero : 3.a edición. Se hallará en la imprenta y librería de Blánques , calle de las Carretas , núm. 2. Colección de 6 muestras nuevas de letra bastarda de todos tamaños par</t>
  </si>
  <si>
    <t>Molí, Francisco</t>
  </si>
  <si>
    <t>Francisco Molí</t>
  </si>
  <si>
    <t>ubteniente de granaderos D. Francisco César Phíuoger, y á Subteniente de granaderos al de fusileros D. Francisco Molí. También ha promovido S. M. en el regimiento de caballería de España á primer Teniente aí segundo D. Joseph de! Carmen Quintana; y asimismo ha conferido el Rey ía Comandancia de e</t>
  </si>
  <si>
    <t>Molina, Agustín</t>
  </si>
  <si>
    <t>Agustín Molina</t>
  </si>
  <si>
    <t>apitán de granaderos del de Asturiafc D. Pedro Linares. ;á primer Teniente al segundo de granaderos D. Agustín Molina ; á esta resulta al segando Teniente D. Juan del Azabal; á segundo Teniente al Subteniente de granaderos D. Agustín Vallancour; á Subteniente de graUad^ros ;al pdméro ¡dé, fusiler</t>
  </si>
  <si>
    <t>Molina, Antonio</t>
  </si>
  <si>
    <t>Antonio Molina</t>
  </si>
  <si>
    <t>apitán de granaderos al de fusileros D. Joseph Graulier; á Capitan al primer Teniente de granaderos D. Antonio Molina;, á esta resulta a¡ primer Teniente D. Manuel Artola; á primer Teniente al segundo Don* Bernardo Sevillana segundo Teniente ai Subteniente de granaderos Don^ Tgan Yustiniany; á Su</t>
  </si>
  <si>
    <t>Molina, Miguel</t>
  </si>
  <si>
    <t>Miguel Molina</t>
  </si>
  <si>
    <t>e Hevia y Lorieri: para otra Canongía de la catedral: de Albárr^cia, ívacante' por fallecimiento de D. Miguel Molina,i D. Miguel Valero Sana, Rector ó Cura párroco del lugar de Pozondon, en dicha diócesis : para una Canongía de la colegial de Manrésa^diócesis de Vique, á D. Antonio Abadía de Bar</t>
  </si>
  <si>
    <t>Moliror, General</t>
  </si>
  <si>
    <t>General Moliror</t>
  </si>
  <si>
    <t>pasa por aquella ciudad , no va á Suiza, como se h ibia asegurado, sino que viene á esta plaza. El General Moliror llegó el dia 18 á Kempten con las tropas de su mando. El quartel general del exército del Rhin salió de Saltzburgo el dia 19 para Munich,y los varios cuerpos del exército están ma</t>
  </si>
  <si>
    <t>Moncalm, Luis</t>
  </si>
  <si>
    <t>Luis Moncalm</t>
  </si>
  <si>
    <t>D. Luis Moncalm........ Marques de Moncalm y Margarita Lajambera....................... Id. en id.......... 45}, 10. D. Francisco Patis...... D.Juan y Doña G“rtruais Veas. Aviñon............. 34.</t>
  </si>
  <si>
    <t>Moncey, General</t>
  </si>
  <si>
    <t>General Moncey</t>
  </si>
  <si>
    <t>donald penetrará por la Engadina y los Grisones al Tirol, y sostendrá por. la derecha al cuerpo del General Moncey, que pertenece al exército de. Italia, y por la izquierda al del General.Xecourbe. El Teniente;. General Grenier: seguirá por Ja derecha del Danubio con sus tropas y y auxiliárá ,</t>
  </si>
  <si>
    <t>le del Brenta. Nuestros puestos avanzados están en Levico; y comunicamos por nuestra derecha con el General Moncey&gt; que se halla en Roveredo.” Asimismo el General Bruñe ha escrito á dicho Ministro en estos térmi-j nos: „Vicenza£ de Enero, Recibo, ciud. Ministro, vuestra carta de i.° de este me</t>
  </si>
  <si>
    <t>laJ ,nuevo, arreglo interino del e?éreito cijsalpino y francés en esta República ,.se supo que- el General Moncey: estaba nombrado; comandante en xefe desdicho , ejército , eon grado de Teniente General, y sentará su quart^ef efi Crpmpna,, Este ,^reltO;Toriutó;.una,.^pea;.-4«iiífCVerPiia • ha</t>
  </si>
  <si>
    <t>cesa, llegó el 22 á Calais, de donde siguió su viage á esta capital. También ha venido de Italia'el General Moncey. » Murcia 2 j de Noviembre. f «sta Real sociedad económica en cumplimiento de sus estatutos , y en celebridad de los dias de nuestro augusto Monarca, celebró el 4 del corriente ju</t>
  </si>
  <si>
    <t>Moncey, Teniente General</t>
  </si>
  <si>
    <t>Teniente General Moncey</t>
  </si>
  <si>
    <t>llería de Davoult hizo gran número de prisioneros. El General Del mas atravesó por Monzanhano; y el Teniente General Moncey pasó después. Pusimos á los enemigos en derrota completa. Los Generales de brigada Mermet y Calvin quedaron heridos, como también varios oficiales de plana mayor. Al General Delma</t>
  </si>
  <si>
    <t>anando terreno, y hoy ocupa el exército los siguientes puestos: el ala izquierda, á las órdenes del Teniente General Moncey, tiene I* cabe¿a de sus colunas en* Azzolo, y mediante varios puestos comunica con el centro mandado por el Teniente General Souchet. La vanguardia se¿ ha establecido en Salvároza</t>
  </si>
  <si>
    <t>e ívray, y encontró en la cabeza de puente 5 cañones y-2 obuses. Mientras se dabaifestos ataques el Teniente General Moncey tenia ocupados á los enemigos en las alturas de Valleggio: su acierto y su valor merecen elogios. El Ayudante general Dalton fue gravemente herido, y ha muerto con sentimiento de</t>
  </si>
  <si>
    <t>alogía; y sin duda la publicará en París j para donde saldrá uno de estos dias. Milán 6 de ÁbriL Ül Teniente General Moncey ha dirigido ál Ministro extraordinario Petiet una carta diciéndole que en virtud del tratado de paz entre Francia y Ñipóles, la vanguardia delexército de observación del mediodía,</t>
  </si>
  <si>
    <t>Moncharaz, Félix</t>
  </si>
  <si>
    <t>Félix Moncharaz</t>
  </si>
  <si>
    <t>de Mas villas siguientes. rrr Alamo. Memoria de D. 'Nicolás Delgado : una partéatela casa mesón de D. Félix Moncharaz, tasada en 2800 rs. Una vi ña «de quatro aTanzadas, npm*brada la Paneta, en 3Ó00. Memoria deDpfia AnaOrdofiez : ama tierra en él cerro de Gabriel, de 2 fanegas y&lt;5 celemines, Tasa</t>
  </si>
  <si>
    <t>Moncousú, Capitán</t>
  </si>
  <si>
    <t>Capitán Moncousú</t>
  </si>
  <si>
    <t>ndo igual ascenso al Capitán *de fragata Touífet, que mandó el navio Indomable después de muerto su Capitán Moncousú en el combate de Algecíras. Habiendo sido muerto en el Formidable el Capitán de navio Nicolás Francisco Isidro Loindet-Lalonde, se ha «eñaladq á su viuda una pensión dé 6oó francos:</t>
  </si>
  <si>
    <t>Monet y Don, Juan Antonio</t>
  </si>
  <si>
    <t>Juan Antonio Monet y Don</t>
  </si>
  <si>
    <t>Subteniente de granaderos D. Antonio Bray; á Subteniente» de granaderos á los primeros Subtenientes D. Juan Antonio Monet y Don1 Crispía Moya; á primeros Subtenientes á los segundos D. Christobal Gar-^ cía, D. Pedro Antonio Fernandez y D. Ramón de Veíasco; y á segundos Subtenientes á los Cadetes D. Juan Ti</t>
  </si>
  <si>
    <t>Monet, Juan Antonio</t>
  </si>
  <si>
    <t>Juan Antonio Monet</t>
  </si>
  <si>
    <t>ntes al primer Subteniente,, graduado de Teniente, D. Carlos Kersech y al Subteniente de granaderos D. Juan Antonio Monet; á Subteniente de granaderos al primer Subteniente D. Ramón de Lara; á primeros Subtenientes á los segundos D. Juan Vázquez y D; Nicolás Gamarra,. y á segundos Subtenientes a D. J</t>
  </si>
  <si>
    <t>Monge, Mateo</t>
  </si>
  <si>
    <t>Mateo Monge</t>
  </si>
  <si>
    <t>y D. Manuel Ouarteraro y O-Donovan: en el de la Princesa á Capitán al primer Teniente de granaderos D. Mateo Monge; á primer Teniente de granaderos al de fusileros D. Rafael de la Puente; á primer Teniente al segundo de granaderos D. Joseph Marin Ordoñez; á esta resulta al segundo Teniente D.</t>
  </si>
  <si>
    <t>Monnicr, General</t>
  </si>
  <si>
    <t>General Monnicr</t>
  </si>
  <si>
    <t>uso' en estos últimos un oficial*"... Después de los elogios cpncíuye esta relación diciendo que el General Monnicr se dirigió hácia Mantua coa a Igunas 1</t>
  </si>
  <si>
    <t>Monnief, General</t>
  </si>
  <si>
    <t>General Monnief</t>
  </si>
  <si>
    <t>226 firmada el 17 por el General Monnief , consta de los 14 artículos siguientes* ,, Artículo* i.° Entre' el comandante austríaco dd loi castiifos de detona y el General francés que manda las tropas del sitio, se ajustar</t>
  </si>
  <si>
    <t>Monnier, General</t>
  </si>
  <si>
    <t>General Monnier</t>
  </si>
  <si>
    <t>este mes por Polo l otros puntos. Ocupó luego á Verona, y el General Bruñe marchó hacia dcenza. El General Monnier es el que manda ahora eí bloqueo de Mantua, en donde los austríacos han dexado una crecida guarnición. Ya habrá llegado de Riga á Verona el General Rochambeau, y M cdonald sigue mar</t>
  </si>
  <si>
    <t>He. traído todos los conciudadanos vuestros á quienes he podido dar libertad. Desde la llegada del General Monnier os habéis conducido de tal modo que se olvidará lo pasado: os lo ofrezco y aseguro con la mas completa satisfacción. Ya conocéis á la nación francesa: y ¡tengo el gusto de creer q</t>
  </si>
  <si>
    <t>fiesta pública, que durará todo el dia y la noche. Bolonia JO de Marzo. H a vuelto aquí de Milán el General Monnier, que al frente de la división de su mando va á incorporarse con el exército de observación. Un regimiento de húsares y dos de dragones marcharán igualmente al propio exército, el</t>
  </si>
  <si>
    <t>Monreal, Joseph María</t>
  </si>
  <si>
    <t>Joseph María Monreal</t>
  </si>
  <si>
    <t>z, Sargen.to mayor de aquella plaza. Correspondientes ¿ su herencia existen 300 rs. va. en poder de D. Joseph María Monreal, presbítero, que vive en Madrid en ia calle de las Veneras, casa mim. t.°, quárto segundo, y entregará dicha cantidad á la viuda, hijo ó heredero inmediato de dicho X&gt;, Alonso, qu</t>
  </si>
  <si>
    <t>Monrignany, Carlos</t>
  </si>
  <si>
    <t>Carlos Monrignany</t>
  </si>
  <si>
    <t>Te»iente al Sübtenieme de granaderos D. Amonio Pchsun ; á Subteniente de gramdéíos al de fusileros D. Cárlos Monrignany ; á primer Subteniente al segundo 0. Jayme AltXaftdría, y á segundo Subteniente al. Cadete del de América D. Ventura Escario: en el de América á primer Subteniente al segundo D. A</t>
  </si>
  <si>
    <t>Monroy, Francisco</t>
  </si>
  <si>
    <t>Francisco Monroy</t>
  </si>
  <si>
    <t>infantería de España , Don Tomas Monroy, D. Estanislao Monroy , colegial en el mayor de Salamanca , Don Francisco Monroy , presbítero , y á los hijos de Doña María Monroy, acudan ante el Alcalde mayor de la ciudad de Málaga , y escribanía de Joseph Manuel Romero, á percibir lo que les pertenezca en</t>
  </si>
  <si>
    <t>Monroy, Joseph</t>
  </si>
  <si>
    <t>Joseph Monroy</t>
  </si>
  <si>
    <t>Doña Gertrudis Monroy, la qual lo fué de D. Pedro Ramcs, Oidor de la Real Audiencia de Sevilla , á D. Joseph Monroy, Alférez del regimiento de infantería de España , Don Tomas Monroy, D. Estanislao Monroy , colegial en el mayor de Salamanca , Don Francisco Monroy , presbítero , y á los hijos de</t>
  </si>
  <si>
    <t>Monroy, María</t>
  </si>
  <si>
    <t>María Monroy</t>
  </si>
  <si>
    <t>o Monroy , colegial en el mayor de Salamanca , Don Francisco Monroy , presbítero , y á los hijos de Doña María Monroy, acudan ante el Alcalde mayor de la ciudad de Málaga , y escribanía de Joseph Manuel Romero, á percibir lo que les pertenezca en la herencia de los bienes que quedaron por falleci</t>
  </si>
  <si>
    <t>Monroy, Tomás</t>
  </si>
  <si>
    <t>Tomás Monroy</t>
  </si>
  <si>
    <t>la Real Audiencia de Sevilla , á D. Joseph Monroy, Alférez del regimiento de infantería de España , Don Tomas Monroy, D. Estanislao Monroy , colegial en el mayor de Salamanca , Don Francisco Monroy , presbítero , y á los hijos de Doña María Monroy, acudan ante el Alcalde mayor de la ciudad de Má</t>
  </si>
  <si>
    <t>Monroya, Fernando</t>
  </si>
  <si>
    <t>Fernando Monroya</t>
  </si>
  <si>
    <t>ia : para él Beneficio de la parroquial dé Mnriel, 'en' la diócesis dé Avila, vacante por muerte de D. Fernando Monroya* á D. Berriardó Herreró, Cüra de la parroquial del lugar de Gallinas Í en el obispado de Valladolid: para otro de la de S. Bartolomé de la ciudad de Murcia, obispado de Cartagena,</t>
  </si>
  <si>
    <t>Monsagrati, Francisco</t>
  </si>
  <si>
    <t>Francisco Monsagrati</t>
  </si>
  <si>
    <t>ión que S, M. ha concedido aI Sr. Conde del Carpió con las dos terceras partes de su sueldo, al Sr. D. Francisco Monsagrati, Ministro supernumerarió del misino Tribunal, con [2. otra tercera parte del sueldo, conservándole aí mismo tiempo el que obtiene dé Caballero Procurador general de dicha orden, h</t>
  </si>
  <si>
    <t>Montalban, Pedro Alonso</t>
  </si>
  <si>
    <t>Pedro Alonso Montalban</t>
  </si>
  <si>
    <t>Andreu...................................... ...¿..i....vi 522,595. D. Martin Enseña...... 72,287. D. Pedro Alonso Montalban........ . 769,561. Antonio Calleja.................................... 732,647. r D. Juan Saenz de Santa María....... 732,662* Fr. Joseph Perez Zaviá...................... 401,758</t>
  </si>
  <si>
    <t>Móntalbo, Manuel María</t>
  </si>
  <si>
    <t>Manuel María Móntalbo</t>
  </si>
  <si>
    <t>ustín de Zurita y Adorno, este graduado de Teniente Coronel; y á segundos Tenientes á los Alféreces Don Manuel María Móntalbo y D. Liberato María Victor, este de granaderos. En el de infantería de Granada á primer Teniente de granaderos al de fusileros D. Agustín Tealdo: en el de España á segundos Subtenient</t>
  </si>
  <si>
    <t>Montchoisí, General</t>
  </si>
  <si>
    <t>General Montchoisí</t>
  </si>
  <si>
    <t>an en esta República mas que 3 medias brigadas francesas y un regimiento de caballería al mando del General Montchoisí. En los tres batallones helvéticos se hará también alguna reforma. El ciud. Venturi, que reemplaza al ciud. Cometti en el empleo de Encargado de Negocios de la República cisalpina</t>
  </si>
  <si>
    <t>Montchoisy, General</t>
  </si>
  <si>
    <t>General Montchoisy</t>
  </si>
  <si>
    <t>República francesa. Hasta ahora estaba aquel pais sujeto, en quanro á sus relaciones militares, al General Montchoisy, Comandante de las tropas francesas en Suiza ; pero acaban de reunirlo á la división de Piamonte, baxo las órdenes del</t>
  </si>
  <si>
    <t>Monteagudo, Manuel</t>
  </si>
  <si>
    <t>Manuel Monteagudo</t>
  </si>
  <si>
    <t>........... $9, 10. Manuel Monteagudo............... Miguel.... ..... Juana Ibsfiez...... Garaguer........ S. Felipe......... 4&lt;5. ao. Diego Callejas..,. Diego........... JosephaTurriaga. Logroño......... Id</t>
  </si>
  <si>
    <t>Monteliu, Joseph</t>
  </si>
  <si>
    <t>Joseph Monteliu</t>
  </si>
  <si>
    <t>............ 11. 4. Joseph Monteliu,........ Lúeas y Aosa Pena Antoni......... Caín.ellas en el Rosellon...... .. n. ay,</t>
  </si>
  <si>
    <t>Montemayor-y, Juan</t>
  </si>
  <si>
    <t>Juan Montemayor-y</t>
  </si>
  <si>
    <t>ente de fusileros; Tenencias de esta clase á D. Antonio de Zea y Zea, Subteniente de granaderos, y. D. Juan Montemayor-y*Priego, Subteniente de fusileros; la Subtenencia de granaderos á D. Luis de Sousa, Subteniente de fusileros, y empleo de esta clase á D Joseph de Lara, Cadete del. mismo cuerpo: e</t>
  </si>
  <si>
    <t>Montengon, Pedro</t>
  </si>
  <si>
    <t>Pedro Montengon</t>
  </si>
  <si>
    <t>l y el Temora, poemas épicos de Osian, antiguo poeta céltico, tra— 'ducidos al verso castellano por D. Pedro Montengon : tomo i.° en 4.0 Apenas habrá literato ni hombre de gusto que no aprecie las poesías de Osian, prefiriéndolas muchos á las de Homero, por parecerles su lectura mas agradable y am</t>
  </si>
  <si>
    <t>e las viruelas. Se vende en la librería de Castillo á 4 q narros. Frioleras eruditas y curiosas por D. Pedro Montengon: contiene varios asun* tos científicos , entresacados de muchas obras'de erudición, útiles á la vida humana, y necesarios en el uso de la sociedad civil: .un tomo en 8.° Se vende</t>
  </si>
  <si>
    <t>Montero y Losada, Francisco Xavier</t>
  </si>
  <si>
    <t>Francisco Xavier Montero y Losada</t>
  </si>
  <si>
    <t>aer en el exercito. _ l U se h’i dignado nombrar para la Vara de Alca.de mayor de a vi,, a iNnbna á D. Francisco Xavier Montero y Losada : para la del Qmmanar de ía Orden á D. Agustín de la Azuela: para ¡a de Segura de León á D. Toachín Gonzalo Rodríguez ; y para la de Villafranca a Don Ventura Martínez de Carballa</t>
  </si>
  <si>
    <t>Montero y Mira, Antonio Joseph</t>
  </si>
  <si>
    <t>Antonio Joseph Montero y Mira</t>
  </si>
  <si>
    <t>de las Alpujarras del Reyno de Granada á D. Rafael Aynar y Sala: para el de la villa de Estepona á D. Antonio Joseph Montero y Mira: para el de la vi-* lia de Carrion á D. Joseph Vinuesa: para el de la población de Gíbraltar, que reside en S. Roque, á D. Ignacio Perez Vizcaíno; y para la Vara de Alcalde mayor</t>
  </si>
  <si>
    <t>Montero, Antonio</t>
  </si>
  <si>
    <t>Antonio Montero</t>
  </si>
  <si>
    <t>á dichos bienes, juntos ó separados, acuda ante la Justicia de la expresada ciudad y escribanía de D. Antonio Montero, y también ante el Sr. Corregidor de esta propia villa, y secretaría de D. Darnian Celestino de Vega, Escribano principal de dicho Real pósito. Por providencia del Sr. D. Luis Mel</t>
  </si>
  <si>
    <t>Montero, Joseph</t>
  </si>
  <si>
    <t>Joseph Montero</t>
  </si>
  <si>
    <t>o de Capitán ,D. Ramón de Cova: y asimismo ha conferido S. M. en el de Pavía el empleo de Alférez á D. Joseph Montero, Sargento de la Real brigada de Carabineros. En América, S. ha concedido en el Reyno de Nueva España la Administración de tabacos, pólvora y naypes de Gafisamey á D. Joseph de Sot</t>
  </si>
  <si>
    <t>Montes, Christobal</t>
  </si>
  <si>
    <t>Christobal Montes</t>
  </si>
  <si>
    <t>ero al supernumerario; D.JoachSnLópez: por; Exento supernumerario al Brigadier de la misma compañía D. Christobal Montes: para ésta resulta al Subrigadier D. Mariano Garcés; y para la que este dexa á D. Rafael Manglano. Xanabien ha conferido e* Rey en la compañía Americana el &gt;empleo de Brigadier al</t>
  </si>
  <si>
    <t>Montoya, Felipe</t>
  </si>
  <si>
    <t>Felipe Montoya</t>
  </si>
  <si>
    <t>o de 97, y se educan en la casa de ellos, dotada por S. M. en esta capital^ al cargo de su director D. Felipe Montoya, Canónigo Lectora! de esta santa iglesia; cuyo examen, con respecto á las edades de cada uno desde 8 hasta 15 años, fué de leer, escribir, contar; doctrina christiana, geometría,</t>
  </si>
  <si>
    <t>Montresor, Coronel</t>
  </si>
  <si>
    <t>Coronel Montresor</t>
  </si>
  <si>
    <t>á alistando un buque para llevar á Argel el Eüvi. Jo de aquella Regencia y su comitiva. El Teniente Coronel Montresor y el Capitán Curry, que llegáron po** co hace d¿ Egipto en la chalupa de guerra el Mondovi, salieron la semana última de Portsmouth en el mismo buque con la íespuesta a las cartas que</t>
  </si>
  <si>
    <t>Monvel</t>
  </si>
  <si>
    <t>nte ai coliseo de la Calle de la Cruz. Clementina y Desorilles r comedia nueva en cinco actos , por Mr. Monvel, traducida por D. Vicente Rodríguez de A rellano, la qual se está representando en él coliseo de la calle de la Cruz. Se hallará en 8.° í 3 rs. en la librería de Quiroga, calle de</t>
  </si>
  <si>
    <t>Móore, General</t>
  </si>
  <si>
    <t>General Móore</t>
  </si>
  <si>
    <t>ara toda la ésquadra inglesa, y está muy bien situada para ir directamente á la costa de Egipto. El General Móore ha ido á Acre, y nosotros saldremos de aquí luego que nos .hayamos provisto de agua y leña. En todo el mes próximo sabremos si los franceses quieren capitular ó exponerse á la sue</t>
  </si>
  <si>
    <t>Moore, General</t>
  </si>
  <si>
    <t>General Moore</t>
  </si>
  <si>
    <t>-La pérdida de los ingleses en la del 2 i; se regula en 4® hombres, y la de los franceses en 3©. El General Moore y otros muchos oficiales de! exército británico han muerto dé resultas de sus heridas. x. «‘¿Lñs ítígft&amp;és *y los turcos seguian recibiendo refuerzos , y quedaban ha-*' ciendo dispo</t>
  </si>
  <si>
    <t>ido de esta corte en Copenhague* para reemplazar al Lord Elgin en la embaxada de Constantinopla. El General Moore se retira del exército de Egipto á causa de sus heridas. • . . Algunas cartas de oficiales de nuestro exdrcito de Abukir expresan que se ha mudado el plan'de operaciones de Egipto</t>
  </si>
  <si>
    <t>cuyo bordo venían el Coronel Abercrombie y Mr. SidneySmith con la capitulación de aquella plaza. El General Moore salió 19 dias después del Coronel Abercrombie. Todos los oficiales desembarcaron en Portsmouth, y han llegado á Londres. Mr. Smith venia con trage turco, sin faltarle el turbante,</t>
  </si>
  <si>
    <t>Mor de Fuentes, Joseph</t>
  </si>
  <si>
    <t>Joseph Mor de Fuentes</t>
  </si>
  <si>
    <t>se gradúa imparcíalmente el mérito de las comedias sentimentales, que algunos.llaman llorqnas: por D. Joseph Mor de Fuentes, Se hallará á 4 rs. en la librería de Castillo, frente á Ja* gradas de S. Felipe. ' Seis sonatina.^ de ¡Ciernenti, obra 39 í 11 áyres favoritoá de Pleyel^ y tin célebre minué de D</t>
  </si>
  <si>
    <t>Morales Carrero, Joseph</t>
  </si>
  <si>
    <t>Joseph Morales Carrero</t>
  </si>
  <si>
    <t>bo , á D. Antonio Aguado: para;otra de la de Mondoñédo ¿¿vacante por muerte de'Di Bernardo Pardo, á D. Joseph Morales Carrero: para la Ración de la metropolitana de Toledo, vacante por fallecimiento'de D. Mateo Gerónimo Añchuelo, á D. Luis Alfonso Vázquez, Capellán de Coro de la misma iglesia : para él B</t>
  </si>
  <si>
    <t>Morales, Antonio</t>
  </si>
  <si>
    <t>Antonio Morales</t>
  </si>
  <si>
    <t>ante por fallecimiento de D. Estépan Mipgo,,i D. Bernardo Sánchez: para otra, vacante por muerte de D. Antonio Morales, á D. Juan Francisco Angel: para otra, vacante por fallecimiento de D. Manuel Medina, á D. Bruno Francisco López y Pascual : para el oficio regular de Sacristán menor y Prior de S</t>
  </si>
  <si>
    <t>Morales, Buenaventura</t>
  </si>
  <si>
    <t>Buenaventura Morales</t>
  </si>
  <si>
    <t>dino Fañola, D. Pedro Moralesy al paisano D. Juan Joseph de, OJaneta; á Subteniente de granaderos á.D. Buenaventura Morales ;.á Subtenientes de fusileros á los Sargentos primeros D. Juan Calvo y Antequera, D. Fernando Rodríguez, D. Mariano Cevallós, D. Gregorio Alagon, D. Luis Vargas y D. Diego Orellan</t>
  </si>
  <si>
    <t>Morales, Francisco</t>
  </si>
  <si>
    <t>Francisco Morales</t>
  </si>
  <si>
    <t>te de la segunda de Almería D. Nicolás Rodríguez; y Subteniente al Sargento distinguido de la misma D. Francisco Morales. En el regimiento de dragones de Pavía se ha servido promover el Rey á Comandante dél tercer esquadron al Coronel Marques de Malespina, Sargento mayor del de Almansa; y á Teniente</t>
  </si>
  <si>
    <t>Morales, Juan</t>
  </si>
  <si>
    <t>Juan Morales</t>
  </si>
  <si>
    <t>te al Subteniente de granaderos D. Joseph Roca; á Subteniente de granaderos al primero de fusileros D. Juan Morales; á primer Subteniente al segundo I). Cárlos Jaso , y á segundo Subteniente al Cadete D. Joachín de la Fuente: en el de Valencia á primer Teniente al segundo de granaderos del cita</t>
  </si>
  <si>
    <t>Real cárcel de vi!!a.j : • En la gazeta de Madrid del viernes 31 de Enero de 1800 se previno que á D. Juan Morales , caballero que fué del hábito dé Santiago , y sus descendientes en primer lugar DofiaJuliana de Morales y los suyos en segur do, hijos á albos del Sr. D. Francisco de Mótales Sal</t>
  </si>
  <si>
    <t>Moralesy, Pedro</t>
  </si>
  <si>
    <t>Pedro Moralesy</t>
  </si>
  <si>
    <t>os Subtenientes D. Mariano González, D. Bernardo Flores, D. Feliciano Candía, D. Bernardino Fañola, D. Pedro Moralesy al paisano D. Juan Joseph de, OJaneta; á Subteniente de granaderos á.D. Buenaventura Morales ;.á Subtenientes de fusileros á los Sargentos primeros D. Juan Calvo y Antequera, D. F</t>
  </si>
  <si>
    <t>Moran de Loredo, Ángel</t>
  </si>
  <si>
    <t>Ángel Moran de Loredo</t>
  </si>
  <si>
    <t>doñedo Compañías de fusileros á los Tenientes de cazadores y granaderos D. Joseph Perez S. Martin y D. Angel Moran de Loredo; la Tenencia de granaderos á D. Tomas Pardo, Teniente de fusileros; y otra de esta clase á D. Joseph Padrman, Subteniente de granaderos, y Subtenencia de bandera á D. Joseph Ramón</t>
  </si>
  <si>
    <t>Moran, Joseph</t>
  </si>
  <si>
    <t>Joseph Moran</t>
  </si>
  <si>
    <t>mérica. En el regimiento de dragones de México se ha servido ef Rey promover á‘ Teniente af Alférez D. Joseph Moran, y1 á Alférez al Fóirtügriion D; Agustín G&amp;lmfcfó';' ; &gt; ■ ? ‘ f‘ ~ El Rey sé Hit servido nómbrar J&gt;ara éí eriíplea dé Contador de íá Reáf aduana de Lima , vacante por faMecimient</t>
  </si>
  <si>
    <t>Morand, General</t>
  </si>
  <si>
    <t>General Morand</t>
  </si>
  <si>
    <t>rd con 5 batallones, 300 caballos y parte del cuerpo auxiliar., estaba en el Egipto-Superior ; y el General Morand, con una media brigada, un batallón de otra, 200 caballos y una compañía.de artillería ligera, se</t>
  </si>
  <si>
    <t>Morcan</t>
  </si>
  <si>
    <t>s.” Se han dado á luz tres estados de la deuda nacional de Inglaterra : según el primero, que es de Mr. Morcan, asciende á 506.136,972 libras: el segundo, por Mr. Tierney, la reduce á 490.009,846; y según el tercero , presentado al Parlamento por el Canciller del Echiquier, y aprobado por</t>
  </si>
  <si>
    <t>Morcan, General</t>
  </si>
  <si>
    <t>General Morcan</t>
  </si>
  <si>
    <t>se conformen, con esta disposición.” * ;; &gt;. \ .;&gt; H-.: v Salízburgo 14 de Enero. .y a impuesto el General Morcan al Círculo de Baviera 900® francos men-’ syales de. contribución pagadera durante 3 meses. Estos dias se divulgó la voz de que no tardarían en renovarse las hostia Ii4ades; pero‘e</t>
  </si>
  <si>
    <t>Morcillo, Isidoro</t>
  </si>
  <si>
    <t>Isidoro Morcillo</t>
  </si>
  <si>
    <t>. Julián de Castro; y en el de Lusitania á Ayudante al Teniente de granaderos, graduado ae Capitán, D. Isidoro Morcillo: habiéndose servido también nombrar S. M. Capellán del tercer batallop del de Reales Guardias Walonas á Fr. Francisco Planas y Ros, Capellán del de Suizos de Betschart. En los reg</t>
  </si>
  <si>
    <t>More</t>
  </si>
  <si>
    <t>ompañan el Lord Drome, su hijo, Mr. Serigteten, su yerno, los Coroneles Nígthing. 11 y Littehalles, Mr. More y 15 personas dé comitiva. Halló en su posada una guardia de honor; y un crecido destacamento de caballería vino escoltando los 4 coches que trae. Habiéndose movido dudas en algunos</t>
  </si>
  <si>
    <t>More, General</t>
  </si>
  <si>
    <t>General More</t>
  </si>
  <si>
    <t>,, que hoy finaliza,.concluirá también ti fatal infiuxo del gobierno británico en el continente. El General More¿u ha cscriíoque acababa de dar fin á la.ca'mpána :y a la guerra mediante un aimifticio concluido conr el Príncipe Cirios , el qual pone ipor mñcho tH’mpo á la ¿asá de Austria en l</t>
  </si>
  <si>
    <t>Moreau, General</t>
  </si>
  <si>
    <t>General Moreau</t>
  </si>
  <si>
    <t>acercarse los austríacos. Atendida la situación de las tropas francesas en Alemania, se cree que el General Moreau se propone obligar á los austríacos á que se retiren al otro lado del Inn, pasar luego aquel rio dirigiéndose á Lintz, y entrar de allí en el Archiducado de Austria. El General Le</t>
  </si>
  <si>
    <t>noticia de nuestra marcha, y evacuaron con tiempo la ciudad. Había sabido Augercau por un aviso del General Moreau que el cuerpo austríaco de Mr. Klcnau se reunía en Neumack, en donde debía reforzarse con parte de las tropas del General Meerfelu ; y supo también que los enemigos habían reunido</t>
  </si>
  <si>
    <t>ridos, perdieron toda su artillería.^_Ei_exército austríaco se ha retirado á MuhldorfF, en donde el General Moreau se propone atacarlo quanto ánt--s. Un cuerpo de ulítanos austríaco destacado del cuerpo del General Klenau entró la noche ó A 2 al 3 en la ciudad de Freysingen , y sorprehendió á</t>
  </si>
  <si>
    <t>Rednitz, y marchan en retirada,hacia el Alto-f alatinad©. ~ Acaba de recibirse la noticia de que el General Moreau sigue adelantándose pon todo su exército, y que ha pasado el Inn por varios puntos. Su quartel'general Sé hallaba el dia 7/ett Múhldocff, pn donde poco ántes había estado él) ejér</t>
  </si>
  <si>
    <t>Moréau, General</t>
  </si>
  <si>
    <t>General Moréau</t>
  </si>
  <si>
    <t>Ágimorá. - *•' t . .7, * de Dicteml^e. , i D, esde qué llego el aviso de.lá. victoria ganada por el General Moréau en Ilohenlinden „han subido 1 considerablemente los‘,fondos .públicos en la bd¿f *. i/L+ í , • • i Jta. * J * C i &gt; i ■ . -i ' .'ó ' 1 y t í ;■ : - ' , .,.A * i i. &lt;*" C ¿.1 r " '■</t>
  </si>
  <si>
    <t>onando1 los enemigos 4 piezas de artillería, y 400 hombres que quedaron prisioneros. Había hecho el General Moreau sus disposiciones para atravesar el Salzach entre LauíFen y Salzburgo; y en conseqiiencia mandó á Lecourbe se dirigiese á la derecha del Saal, y al General Decaen marchase á LauíF</t>
  </si>
  <si>
    <t>e que $. A. llegó á dicho exército, y ha tomado, ya el mando en xefe. , Munich 20 de Diciembre. E 1 General Moreau, después de apoderarse de Salzburgo, publicó una orden avisando al exército de Su marido que iba á entrar en los estados here-r ditaríos de la casa de Austria: exhorta á sus tropa</t>
  </si>
  <si>
    <t>Móreau, General</t>
  </si>
  <si>
    <t>General Móreau</t>
  </si>
  <si>
    <t>patas, ctros tantos capotes, muchos cueros, y una partida de hierro; pero se cree que por orden del General Móreau se rebaxará parte de esta contribución.. y 1 París 4 de Enero^de 180j. : - á Í ij^Tiji puñada, el Cuerpo legislativo, el Senado ¡conservador,'.el Consejó "de estado, el Instituto</t>
  </si>
  <si>
    <t>or la tarde el Conde de Mersbourg, Enviado del Emperador, para entablar negociaciones de paz con el General Moreau. . . / Como la división del General Ney* ocupa el Innvirtcl, está cortada toda comunicación entre Jos estados austriacos, los de Baviera y Suabia. Por su parte los austriacos , pa</t>
  </si>
  <si>
    <t>Moreaú, General</t>
  </si>
  <si>
    <t>General Moreaú</t>
  </si>
  <si>
    <t>uier costa la paz, despachó el Archiduque el dia 20 á Mr. MeerfekLpara que pidiese un armisticio al General Moreaú. ' La división francesa del General Colaud ocupa la ciudad de Passau, y la del General de Laborde habrá entrado ya en Ratisbona. &gt; Londres 24 de Diciembre. . ¿ E 1 General Abercom</t>
  </si>
  <si>
    <t>ue se firmó en Steyer el armisticio; pero esta noticia necesita confirmación. Dícese también que el General Moreau ha impuesto una contribución de 10 millones de francos al Austria-Superíor, inclusa la ciudad de Lintz, cuyos habitantes hiciéroa fuego á,nuestras tropas/* tt París 11 de Eneró. n</t>
  </si>
  <si>
    <t>es 24 de Diciembre, víspera del día 'en que se firmo ef armisticio entre el Archiduque Cárlos y él General Moreau. Poco antes se había intimado orden á esta guarnición para que saliese inmédj a tapie rite á campana; y se publicó un llamamiento y exhortaciojq'á Tos' estudiantes de Viena para q</t>
  </si>
  <si>
    <t>í muchos correos ffericeses y austríacos. Uno’de: ellos» que ;V3í4e?’Wei¿a é. Eanis, asegura qüe el General Moreau quiclaba en aqtielilacapiterL V'-- b ■ ■ /• J. «vd-v. j". -/ ;■?)■': i :: £1^General austríaco Mecserg y el Príncipe de I-ichtenacein, hechos prisioneros;por las tropas del Genera</t>
  </si>
  <si>
    <t>3 meses. Estos dias se divulgó la voz de que no tardarían en renovarse las hostia Ii4ades; pero‘el General Moreau acaba de recibir pliegos del Archiduque Qáriosqúedesvahecen estos rumores harto acreditados: pues parece cierto; que ¿se: habían movido nuevas dificultades, especialmente en quant</t>
  </si>
  <si>
    <t>ul de Francia ha enviado al General en xefe Moreau un precioso sable turco con esta inscripción: Al General Moreau , conquistador de ¡a paz” Una carta del Presidente de la Real sociedad de Londres al instituto nacional de Francia indica como el mas importante descubrimiento un remedio poderoso</t>
  </si>
  <si>
    <t>na habrá 750 hombres de los regimientos del Emperador con igual número de soldados republicanos. El General Moreau ha repetido sus instancias para que el Círculo de Suabia pague inmediatamente la contribución mensual, habiéndola rebaxado de 1,200,000 francos á 840®. La junta de aquellos estado</t>
  </si>
  <si>
    <t>¿__Xa Diirqucsaile Áftóis;¿se.íúJseílt^áé Clagqnfurtji al acercarse ájaqueka dudad |l exército del General Moreau. Créese que el mencionado General francés no trasladará su quartel desde Saitzburgó á¿Muiikíh ‘hasta seJáíyan ^iiaado^ios ^rdKtiilnares de paz. Ayer pasaron por aquí 18 piezas de</t>
  </si>
  <si>
    <t>llas de Bavíera, ha conseguido su libertad por recomendación del Archiduque Carlos, que escribió al General Moreau diciéndole que aunque sabia que no era regular pedir la libertad de un oficial prisionero de guerra, miraba como obligación suya mediar por la de un General, que habiendo sido su</t>
  </si>
  <si>
    <t>esta capital un empréstito de un millón de florines para pagar las contribuciones impuestas por el General Moreau. ■ - ¿.- ;■ . - A beneficio, dé los soldados heridos se ha dado aquí una especie de concierto, que produxo. florines; El Emperador contribuyó. por su parte conmil. ■ ■■ . 1 Berlín</t>
  </si>
  <si>
    <t>i^ado cerca de ioopara Stuttgard. &lt;• Muy en Frejidenstadt ^ ingenieros francéses encargados rpbr el General Moreau de levantar el plan de aquella, parte de'la Selva Negra. « $■ . -El ciud. Xnis ’Elpnaparte,;que! llego de Berlín á Francfort * vino ayfté. aquí, y comió con el Príncipe de Hesse-Cass</t>
  </si>
  <si>
    <t>a noche estuvo iluminada la posada en que se alojó. Esta tarde «ale cficho Embaxador pata París. El General Moreau, que fué de aquí á'Luneville el día 25, volvió ayer con su esposa, á la que encontró cerca de Nanci ¿ y asistió al convite , á la comedla y al bayle con que se obsequió al Conde d</t>
  </si>
  <si>
    <t>anconia y Bav¿éra., así que los franceses hubiesen'évaéuado ia ribera derecha «dej JRhin,; pero ,el General Moreau &amp;e ha opuesto á..esta disposición, y rde resultas varias divisiones de su exército han recibido orden de detenerse, y aun.de¿volver.á sus antiguos acantonamientos del obispado de</t>
  </si>
  <si>
    <t>a. Se ha disuelto la junta del Círculo de Suabia, que se había convocado en Augsburgo por orden del General Moreau. Los estados de Augsburgo han comprado los almacenes que los franceses tenían en aquella ciudad, en la" quai está todavía el quartel del General Decaen, cuya división ha llegado á</t>
  </si>
  <si>
    <t>r de Rusia se muestra muy propenso ¿ Ja paz. Stuttgard 27 de Abril. E I Elector de Baviera pidió al General Moreau le enviase tres oficiales de su exército para dirigir el nuevo arreglo y las mudanzas que quiere hacer en sus tropas, las quales han de ponerse en el mismo pie que las de Eran* ci</t>
  </si>
  <si>
    <t>estarán hasta que se terminen las negociaciones sobre los resarcimientos. .... ,, , , , r , . , El General Moreau salió de Stuttgard el día 3, y llego a Manheim, de donde al dia siguiente se trasladó con su esposa á Carlsruhe para despedirse del Margrave de Badén y de su f milia. Comió con aq</t>
  </si>
  <si>
    <t>rio oculta cuidadosamente las circunstancias y resultas de la batalla del 21. París 26 de Mayo. E 1 General Moreau llegó el dia 22 á esta ciudad, y casi sin detenerse sU guió ¿ Orsay, en donde se halla su suegra. En Strasburgo entráron el diá 21 dos regimientos de caballería, que son las últim</t>
  </si>
  <si>
    <t>Moréaude, General</t>
  </si>
  <si>
    <t>General Moréaude</t>
  </si>
  <si>
    <t>ala derecha al Rednitz, ocupó á Nurqirrberg y Forchekn, como puestos avanzados, y esperó así que el General Moréaude; informase de la situación de la izquierda de su exército. ,El 14 por la tarde, recibió el General en xefe un extraordinario con la noticia de que Motean había pasado el Inn; y el</t>
  </si>
  <si>
    <t>Moreno Daoiz, Joseph</t>
  </si>
  <si>
    <t>Joseph Moreno Daoiz</t>
  </si>
  <si>
    <t>rvido el Rey promover á Capitán al primer Teniente y Comandante de granaderos, graduado de Coronel, D. Joseph Moreno Daoiz; a Comandantes de granaderos y cazadores á los primeros Tenientes D. Joseph de Lila F antoni y Don Juan de Escovedo y Torres, y á primer Teniente al segundo de granaderos D. Franc</t>
  </si>
  <si>
    <t>Moreno de Aguilar, Diego</t>
  </si>
  <si>
    <t>Diego Moreno de Aguilar</t>
  </si>
  <si>
    <t>l Beneficio servidero de la villa de Coria» en la diócesis do Sevilla, vacante por fallecimiento de D. Diego Moreno de Aguilar, á D. Pedro Joseph de Contreras. En la Real brigada de Carabineros ha nombrado el Rey Alférez al Sargento de la misma D. Pedro Serrano. En el regimiento de infantería de Jaén se h</t>
  </si>
  <si>
    <t>Moreno de Aígarin, Pedro</t>
  </si>
  <si>
    <t>Pedro Moreno de Aígarin</t>
  </si>
  <si>
    <t>Ronda á Capitán al Teniente D. Salvador Linares y Tuboada; á Teniente de cazadores al de fu sileros D. Pedro Moreno de Aígarin; á Tenientes de fusileros á los Subtenientes D. Tadeo Ortiz y Moreno, D. Manuel Gil de Ja Torre y D. i'oseph Alvarez de Escovar, y á Subtenientes de granaderos y cazadores á*los d</t>
  </si>
  <si>
    <t>Moreno de Tejada, Juan</t>
  </si>
  <si>
    <t>Juan Moreno de Tejada</t>
  </si>
  <si>
    <t>ijas de Jerusalen no inquieten ni despierten á su amada hasta que ella de suyo despierte : la grabó D. Juan Moreno de Tejada. Las dos se venden sueltas en las librerías de Sancha y de Bustamante, en las quales se hallan los dos tomos de dicho. Cántico, EN LA IMPRENTA REAL.</t>
  </si>
  <si>
    <t>Moreno de Vargas, Juan</t>
  </si>
  <si>
    <t>Juan Moreno de Vargas</t>
  </si>
  <si>
    <t>o y Avellan : para la de la de Truxiilo á D. Manuel Perez de los Ríos: para la de la de Antequera á Don Juan Moreno de Vargas: para la de la de Purchena'á D. Fernando de la Torre Aponte y Sardina: para la de la villa de Aimansa á D„ Domingo Francisco Fernandez : para la de la de Medellin á D. Pedro Soter</t>
  </si>
  <si>
    <t>Moreno, Antonio</t>
  </si>
  <si>
    <t>Antonio Moreno</t>
  </si>
  <si>
    <t>a Ración á D. Bartolomé Cabello, Cura de Santa María: para la Canongía vacante por fallecimiento de D. Antonio Moreno, á Don JosephRamon Aldama: para la Ración, que este de*a,á D. Nicolás Maestre: para la Media-Ración de este á D. Francisco Armenta y Godoy: para la Ración vacante por fallecimient</t>
  </si>
  <si>
    <t>Moreno, Fulgencio Antonio</t>
  </si>
  <si>
    <t>Fulgencio Antonio Moreno</t>
  </si>
  <si>
    <t>y. 164,588 , con el último endoso á favor de Manuel Donayre. Quién los'naya enV contrado alisará á D. Fulgencio Antonio Moreno , Vécinó d&lt;f dicha piucíad de1 Llerena ¿ ó á D. Juan Camps y cotúpafíía , del comercio de ésfch .corlear’ j Por el Lie. D. Manuel Angel Carrancio, Juez comisiónalo’para le en a ge</t>
  </si>
  <si>
    <t>Moreno, Ignacio Ramón</t>
  </si>
  <si>
    <t>Ignacio Ramón Moreno</t>
  </si>
  <si>
    <t>Real colegiata de Ntra. Sra. de Guadalupe, extramuros de la ciudad de México, vacante por muerte de D. Ignacio Ramón Moreno , á D. Mariano Velez de Escalante, Canónigo Magistral de la misma iglesia: para la primera de las dos Raciones, vacantes en la catedral de -Arequipa, á D. Juan de Urizar y Almonac</t>
  </si>
  <si>
    <t>Moreno, Joseph</t>
  </si>
  <si>
    <t>Joseph Moreno</t>
  </si>
  <si>
    <t>ha servido Mv promover eti ei ■ regimiento de caballería de Mo'nfesa á Portaestandarte-al Sargento D. Joseph Moreno. (■ Atéñdiendo á los méritos de D. Juaiv Nepomuc^no Guerra, Subdelegado de rentas de TalaYera’yse há servido el Réy concederle los honores de -Conríísario de guerra.•' 1 4 -Lés ac</t>
  </si>
  <si>
    <t>Moreno, Manuel</t>
  </si>
  <si>
    <t>Manuel Moreno</t>
  </si>
  <si>
    <t>itán de granaderos al de fusileros D. Julián de Sequera; á Capitán al primer Teniente de granaderos D. Manuel Moreno; á primer Teniente de granaderos al de fusileros* 0. Juan Miquélerena ; á primer Teniente al segundo de granaderos D. Vicente trónzales Moreno; á esta resulta al segundo Teniente</t>
  </si>
  <si>
    <t>Moreno, Pedro</t>
  </si>
  <si>
    <t>Pedro Moreno</t>
  </si>
  <si>
    <t>ora; á Subtenientes de granaderos al Cadete, D. Bartolomé Gallardo y ai Sargento segundo voluntario D. Pedro Moreno: á Subtenientes de fusileros al Cadete D. Joseph Ramón Islas, al Sargento segundo voluntario D. Manuel Cortes y Obel, y á los paisanos D. Vicente García Seijo, D. Francisco Timote</t>
  </si>
  <si>
    <t>Morenoy Gk-f, Agustín</t>
  </si>
  <si>
    <t>Agustín Morenoy Gk-f</t>
  </si>
  <si>
    <t>D. Joachin Torres: para la Ración 'du£ esté óbd ftéüé én la misma iglesia, y resultaráUváfeante, á D. Agustín Morenoy Gk-f tiho'y^Gurá dél Sagrárió dé aquella Ciudad: para la Ganoiigía vacante éf? dicha santa iglesia* por fatíecmiíétítb^dé ©.Joteph María Castrillón j ai Ría</t>
  </si>
  <si>
    <t>Moreo, Gerónimo</t>
  </si>
  <si>
    <t>Gerónimo Moreo</t>
  </si>
  <si>
    <t>oachín Tortosa: en el primer batallón de Voluntarios de Aragón á Capitán primero aí primer Ayudante D. Gerónimo Moreo; á esta resulta al Capítan segundo D. Simón Ibarra; á Capitán segundo al primer Teniente Don Joseph Torres; á primer Teniente al segundo D. Pedro Gasea; á segunde Teniente al prim</t>
  </si>
  <si>
    <t>Moresqui, Antonio</t>
  </si>
  <si>
    <t>Antonio Moresqui</t>
  </si>
  <si>
    <t>ia, vacante por fallecimiento de D. Juan Antonio Llaguno. En atención al mérito y circunstancias de D. Antonio Moresqui se ha servido S. M. concederle honores de Comisario de Guerra de sus exércitos. Desde el dia i.° del próximo mes de Diciembre se recibirán en la Tesorería mayor y en las de exérci</t>
  </si>
  <si>
    <t>Morgado, Antonio</t>
  </si>
  <si>
    <t>Antonio Morgado</t>
  </si>
  <si>
    <t>Salazar; á primer Subteniente al segundo D. Saturnino Fernandez, y á segundo Subteniente al Cadete D. Antonio Morgado: en el de Mallorca á primer Teniente al segundo de granaderos D. Juan Sarri; á segundo Teniente de granaderos al de fusileros D. Bernabé Chauri ; á segundo Teniente al Subteniente</t>
  </si>
  <si>
    <t>Morgan</t>
  </si>
  <si>
    <t>profundizarlos de modo que en las baxas mareas tengan á lo ménos 40 pies de agua. Según cálculos de Mr. Morgan, la deuda publica de Inglaterra asciendo á 558 millones de libras esterlinas'', suma igual al numero de vocales de que</t>
  </si>
  <si>
    <t>Morí, Carlos</t>
  </si>
  <si>
    <t>Carlos Morí</t>
  </si>
  <si>
    <t>al supernumerario D. Andrés de Castro: en lá compañía Italiana primer Teniente al segundo Teniente D. Cárlos Morí-; para esta resulta al Alférez D. Antonio de Gregorio; para la de Alférez al Exento D. Joseph Marazzani; para el Bastón de numero, que esta de xa, al Exento su pernumeraTÍó^D. Fran</t>
  </si>
  <si>
    <t>Mori, Manuel</t>
  </si>
  <si>
    <t>Manuel Mori</t>
  </si>
  <si>
    <t>orden de S. Benito, de la universidad de Oviedo, y demas compatronos de las memorias que fundó Frey D. Manuel Mori, del orden de Caíatrava. Y para que llegue á noticia de los interesados, ó da sus herederos y sucesores, y usen de su derecho como les convenga, en virtud de providencia de la Rea</t>
  </si>
  <si>
    <t>Móricey, General</t>
  </si>
  <si>
    <t>General Móricey</t>
  </si>
  <si>
    <t>aquel orden admirable que es presagio de. grandes triunfos, y que siempre los alcanza. Le seguía el General Móricey. No pudo todo el ejército tomar parte en la acción; pero vivamente acosados Jos enémigos, se desordenaron sus filas, y solo la noche pudo librarlos de una derrota completa. Su pér</t>
  </si>
  <si>
    <t>Morillo, Blas</t>
  </si>
  <si>
    <t>Blas Morillo</t>
  </si>
  <si>
    <t>o Bayotiá Ayudante mayor al Teniente D. Joseph Lomgoria : á Teniente de granaderos al cíe fusileros D. Blas Morillo: á Tenientes á los Subtenientes D. .Joseph Pardo , D. Fernando .Julián Pastor y Don Francisco Arce: a Subtenientes de compañía al de bandera D. Joseph Portocarrero , al Cadete D.</t>
  </si>
  <si>
    <t>Morínier, General</t>
  </si>
  <si>
    <t>General Morínier</t>
  </si>
  <si>
    <t>á jenjbu^n estadov C^ perdíéron gran nú.ibero de artilleros.^—. Incluyo-la intiniacipn.hpcha por el General Morínier, y la capitulación sübseqiieijte.’*. r ; , La intimación, hecha el 16 de Enero, dice así: „ Mottnier, General de división y comandante del sitio de los castillos de Verona, al Ten</t>
  </si>
  <si>
    <t>Morj, General</t>
  </si>
  <si>
    <t>General Morj</t>
  </si>
  <si>
    <t>la 'ciudad ,y dicho almacén había caído en manos de lós franceses^ El Archiduque Carlos escribió al General Morj re^u informándole del piadosoidestino, de aquel repuesto,, y pidiéndole Jél tuviese en,consideración. Gontestó el GenefaL que no, era su. ánimo apode-, rarse de unos víveres y efe</t>
  </si>
  <si>
    <t>Moron, Manuel</t>
  </si>
  <si>
    <t>Manuel Moron</t>
  </si>
  <si>
    <t>de infanter ía de Africa^ so ha servido promover el Rey 5 Capiinn al primer Teniente de granaderos D. Manuel Moron; á primer Tenienté dé granaderos al de fusileros D. Ramón Domenech; á primer Tejiente al segundo ¿^granaderos, graduadode Capitán , D. Joseph Ahumada; á segundo Temente dé granade</t>
  </si>
  <si>
    <t>Moron, Manuel Joachín</t>
  </si>
  <si>
    <t>Manuel Joachín Moron</t>
  </si>
  <si>
    <t>Consejo de S. M. en el de la Suprema;, y para el de Vallad ©lid, vacante por fallecimiento del Sr. D. Manuel Joachín Moron, al Sr. D. Juan Antonio Hernández de Larrea, Dean de la iglesia de Zaragoza. En e¿ fegimknto de infantería de Zamora se ha servido el Rey promover á primer Subteniente al segundo</t>
  </si>
  <si>
    <t>Morrier</t>
  </si>
  <si>
    <t>el referido Almirante Keith y el Lord Elginr Ministro británico cerca del Gran Señor. Envió este á Mr. Morrier, su secretarioal cámpotdel Gran V^ para proponer una nueva capitulación á los franceses; y al volver desu comisión fué preso en el quartel general de Mr. Áb&amp;rcrombie, puesto en co</t>
  </si>
  <si>
    <t>Morriez</t>
  </si>
  <si>
    <t>bury, fecha en Constantinopla á 9 de Mayo, cuyo extracto es como sigue. „ Habiendo vuelto de Egipto Mr. Morriez, puedo comunicaros noticias mas circunstanciadas que hasta ahora sobre los acontecimientos de aquel pais. Salió del campamento de Alexandría el 22 de Abril. Quedaban entonces los</t>
  </si>
  <si>
    <t>Moseoso, Agustín</t>
  </si>
  <si>
    <t>Agustín Moseoso</t>
  </si>
  <si>
    <t>icolás Sánchez, D. Alexandro Vega, D. Rafael Lobaton y Don Isidro Pugi, y Subtenencias de bandera á D. Agustín Moseoso y D. Juan Altainirano. &lt; Al tiempo que. ha dado cuenta el Capitán general de la provincia de Venezuela de la entrega que por convenio ha hecho á los ingleses de la isla de Curazao el</t>
  </si>
  <si>
    <t>Mosquera, Luis Antonio</t>
  </si>
  <si>
    <t>Luis Antonio Mosquera</t>
  </si>
  <si>
    <t>a: para el de letras de la de Toro á D. Antonio Urizar de Aldaca :para el de la villa de Albacete á Don Luis Antonio Mosquera : para el de la de Molina de Aragón á D. Ignacio Yañcz Ribadeneyra *. para la vara de Alcalde mayor mas moderna de ía ciudad de Cádiz á D. Francisco Xavier Lozano y Avellan : para</t>
  </si>
  <si>
    <t>Motean, General</t>
  </si>
  <si>
    <t>General Motean</t>
  </si>
  <si>
    <t>al cerca de Phi!ipsburgo._El General austriaco Chatelier ha ido á Salzburgo para concertarse con el General Motean sobre la evacuación del Jiro1. De Berna avisan que el Ministro francés Reinhard ha comunicado de oficio al gobierno helvético que los Cónsules habían dado cuenta al Cuerpo legisla</t>
  </si>
  <si>
    <t>Motezúmá y Roxas, Joseph</t>
  </si>
  <si>
    <t>Joseph Motezúmá y Roxas</t>
  </si>
  <si>
    <t>rcia. Por la noche se sirvió en casa ael Brigadier de los Reales; cxércitos D.&lt; Joseph Motezúmá y Roxas, Teniente de S. A. R., un exquisito y abundante refresco, ha-r biendo concurrido á él la nobleza de .ambos sexos y oficialidad de varios cuerpos, y después se siguió orquestra basta las 3 d</t>
  </si>
  <si>
    <t>Mountñoreuse</t>
  </si>
  <si>
    <t>Plenipotenciario en Francia. Para Agente del comercio de los Estados-Unidos en Paris está nombrado Mr. Mountñoreuse; y también lo están los sugetos que con el mismo título han de residir en Nántes, Burdeos, Havre, Marsella, Brest, Rúan, Morlaix y Dunkerque. Un corsario de la Isla de Francia ha</t>
  </si>
  <si>
    <t>Moyano, Buenaventura</t>
  </si>
  <si>
    <t>Buenaventura Moyano</t>
  </si>
  <si>
    <t>ue sigue: ; „Para la Canongía de la santa iglesia de Toledo, que resultará vacante por promoción de D. Buenaventura Moyano al obispado de Palencia, y otra de Sevilla, que se halla vacante por muerte de D. Rodrigo de Sierra y L!anes, nombro á Don Felipe Cassoni, Arzobispo de Perges. Tendráse entendido</t>
  </si>
  <si>
    <t>aquio Moreno, del Consejo y Cámara de Castilla, y el Exc. Sr. Marques de Villafjranca. Al limo. Sr. D. Buenaventura Moyano, Obispo de Sebastópolis, ¡Auxiliar de Toledo: padrino el cabildo de la misma santa iglesia , y en su .nombre el referido limo. Sr. D". Joseph Eustaquio Moreno, D. Francisco Acedo</t>
  </si>
  <si>
    <t>Moyano, Rafael</t>
  </si>
  <si>
    <t>Rafael Moyano</t>
  </si>
  <si>
    <t>para una Prestamera de la Micción de Villaverd.e, diócesis de Córdoba, vacante por fallecimiento de D. Rafael Moyano, á D. Antonio Rebollar: para otra de la villa de los Molares, en el arzobispado de,Sevilla, vacante por muerte de D. Miguel Gascón, á D. Pedro García Buelta; y para el Btmñcio de</t>
  </si>
  <si>
    <t>Mr Eliot</t>
  </si>
  <si>
    <t>os Ministros de gabinete, los Generales y los individuos del cuerpo dqVnmático. Mr Eliot, Ministro de Inglaterra, llevó consigo varios oficialas ingleses, á quienes el Embaxador francés obsequió mucho. Francfort 2/ de Noviembre. H an rpresado últimamente los ingleses dos embarc</t>
  </si>
  <si>
    <t>Mr, Capitán</t>
  </si>
  <si>
    <t>Capitán Mr</t>
  </si>
  <si>
    <t>.” El Comisario Otro recibió el 3 de Marzo una carta de parte del gobierr no ingles, escrita por él Capitán Mr. George en respuesta á su nota de 2 de Febrero sobre ta referida orden del ministerio británico de perseguir i ios pescadores $ y traducida dice así: «Desde que tuve esta mañana e</t>
  </si>
  <si>
    <t>Asia, que acaba de llegar de la costa de Guinea, se sabe que el nombrado Melpómene, mandado por el Capitán Mr. Carlos Hamilton, atacó infructuosamente la isla del Senegal: el Teniente y otros io hombres perdieron la vida, y muchos quedaron gravemente heridos. Los médicos de Piimouth y otr</t>
  </si>
  <si>
    <t>Almirantes R. Calder y Gower. La fragata Melampo de 36 cañones pereció en las costas de Yucatán. Su Capitán Mr., Moore ha llegado aquí: su primer Teniente y 40 hombres de la tripulación lograron aportar á Veracruz. Haya 2 de Noviembre. H állanse prontos á zarpar de Vlissingen los navios Br</t>
  </si>
  <si>
    <t>Munárriz, Francisco</t>
  </si>
  <si>
    <t>Francisco Munárriz</t>
  </si>
  <si>
    <t>darte D. Francisco de Paula Márquez: en el de Santiago á segundo Teniente al Alférez de carabineros D. Francisco Munárriz: en el de Carabineros de la Reyna María Luisa á Portaestandarte al Cadete D. Joseph Cavazelize: en el de Húsares Españoles á Alférez al Cadete D. Antonio Marcoleta; y en el de dra</t>
  </si>
  <si>
    <t>Munarriz, Joseph Luis</t>
  </si>
  <si>
    <t>Joseph Luis Munarriz</t>
  </si>
  <si>
    <t>S. Felipe. Lecciones sobre la retórica y las bellas letras, por Hugo Blair : las traduxo de! ingles D. Joseph Luis Munarriz. Tomo 4.0 y último. Contiene las lecciones sobre ¡a poesía lírica, la didáctica y la descriptiva, la de los Hebreos, !a épica y la dramática, con las adiciones y aplicaciones á nu</t>
  </si>
  <si>
    <t>Munarriz, Miguel</t>
  </si>
  <si>
    <t>Miguel Munarriz</t>
  </si>
  <si>
    <t>tancia de su actual poseedor, y está tasada en la cantidad de in,a8g rs., acuda ante el Sr. Alcalde D. Miguel Munarriz, y escribanía de provincia de D. Miguel de la Madrid en el término de 30 dias contados desde el 19 de este mes. La Real dirección de abastos de Madrid avisa al público que admitir</t>
  </si>
  <si>
    <t>Munchauseu, Barón</t>
  </si>
  <si>
    <t>Barón Munchauseu</t>
  </si>
  <si>
    <t>I-, y Mr. de Grunn, Coronel de dragones del propio Soberano. Asimismo Mr. de Luchesini presentó al Barón Munchauseu, Chambelán de S. M. Prusiana, y al Conde Stolberg-Wernigerode. Finalmente, el ciud. Marescaíchi, Ministro de la República cisalpina ; presentó ai General cisalpino Lechi, y á los</t>
  </si>
  <si>
    <t>Muñoz de Ai, Ramón</t>
  </si>
  <si>
    <t>Ramón Muñoz de Ai</t>
  </si>
  <si>
    <t>va á prím* Teniente al segundo D. Jacobo Echegaraya; á símindoTeni-nte al Subteniente de granaderos D. Ramón Muñoz de Ai&gt; tacho; á Subteniente de granaderos' al primer Subtemeóte D Rafael MI— • rauda; á primer Subteniente al segundo í&gt;. Manuel Rubiales; segundo Subteniente al Sargento primero de gra</t>
  </si>
  <si>
    <t>Muñoz de Torces, Bartolomé</t>
  </si>
  <si>
    <t>Bartolomé Muñoz de Torces</t>
  </si>
  <si>
    <t>á las^órdenes comunicadas por S. M. en él asuntó , acudirán ánte el misn o Sr. Juez, y por medio de D. Bartolomé Muñoz de Torces, Seéte— rano de S. M., Escribano de Cámara mas antiguo, y de gobierno del Consejó jr dé 'la 'referida comisión ; con prevención de que para* su' remate ha señalado di^ cho Señor e</t>
  </si>
  <si>
    <t>Muñoz del Castillo, Joseph</t>
  </si>
  <si>
    <t>Joseph Muñoz del Castillo</t>
  </si>
  <si>
    <t>ileros al Subteniente D. Fernando Fernandez de Arroyo, y á Subteniente de cazadores al de fusileros D. Joseph Muñoz del Castillo: en el de Alcázar de S. Juan á Subteniente de granaderos al de fusileros D. Andrés Villaseñor, y á Subtenientes de bandera 4 D. Juan Ramón LouTes y Peña y D, Vicente de León; y en</t>
  </si>
  <si>
    <t>Muñoz y Borjas, Nicolás</t>
  </si>
  <si>
    <t>Nicolás Muñoz y Borjas</t>
  </si>
  <si>
    <t>ste dexa en la misma iglesia, al Chantre D. Felipe Antonio de Artieda: para la Chantría al Canónigo D. Nicolás Muñoz y Borjas: para ,la Canongía al Racionero D. Xuis Joseph de Artajona: para la Ración al Medio-Racionero-D.'Mariano Pe* rez Uriondo; y para esta resulta á D. Luis Joseph de Arjona. El Rey se</t>
  </si>
  <si>
    <t>Muñoz y Gómez, Francisco</t>
  </si>
  <si>
    <t>Francisco Muñoz y Gómez</t>
  </si>
  <si>
    <t>Granada, vacante por promoción de D. Baltasar Melchor Carretero á una Ración de la misma iglesia, á D. Francisco Muñoz y Gómez: para otra Media-Ración de la catedral de Valladolid, vacante por promoción de D. Antonio Ceruelo Sanz á una Canongía de Orihuela, á Don Simón Valles y Dávila;y para el Beneficio</t>
  </si>
  <si>
    <t>Muñoz y Quintana, Francisco</t>
  </si>
  <si>
    <t>Francisco Muñoz y Quintana</t>
  </si>
  <si>
    <t>; para la Prestamefa dé Villsnueva del Rio, en la diócesis de Sevilla, vacante por fallecimiento de D. Francisco Muñoz y Quintana, á D. Francisco Gómez Morcillo; y para el Beneficio simple que en la villa de S. Estéban, diócesis de Jaén, tenia D. Alexo Ramírez, y los dos simples servideros V</t>
  </si>
  <si>
    <t>Muñoz, Benito</t>
  </si>
  <si>
    <t>Benito Muñoz</t>
  </si>
  <si>
    <t>uñoz » Fiel de la Real casa de moneda de Goatemala, se ha servido el Rey nombrar para este empleo ¿ D. Benito Muñoz : para el de Ministro Contador de las Reales Caxas de Comayagua, vacante por muerte de D. Joseph Julián Hernández, á D. Juan Ortiz de Letona, Ministro principal de Real Hacienda d</t>
  </si>
  <si>
    <t>Muñoz, Fernando Antonio</t>
  </si>
  <si>
    <t>Fernando Antonio Muñoz</t>
  </si>
  <si>
    <t>nchez de la Guerra; á primer Subteniente al.segundo D. Manuel Virizucla, y á esta resulta al Cadete D. Fernando Antonio Muñoz; en el de Navarra á Comandante del tercer batallón al Sargento mayor del de León, graduado de Teniente Coronel, D. Julián de Sequera: en el de la Princesa á primer Subteniente al</t>
  </si>
  <si>
    <t>Muñoz, Joachín</t>
  </si>
  <si>
    <t>Joachín Muñoz</t>
  </si>
  <si>
    <t>esde Palma en Mallorca el Comendador Frey D. Nicolás Armengol, con endoso único al Comencfador Frey Don Joachin Muñoz, Recibidor de la orden de S. Juan en esta corte, un vale,ReaI de 300 pesos, creación de i.° de Enero, nüm. 107,018: y no habiéndose recibido, el sugeto en cuyo poder se halle lo e</t>
  </si>
  <si>
    <t>Muñoz, Joseph</t>
  </si>
  <si>
    <t>Joseph Muñoz</t>
  </si>
  <si>
    <t>a; á Ayudante al primer Teniente D. Gaspar Bigodet; á primer Teniente de granaderos al de fusileros D. Joseph Muñoz; á primeros Tenientes de fusileros á los segundos de granaderos D. Francisco Gijon y D. Manuel Casaus; á segundos Tenientes de granaderos á los de fusileros D. Agustín Fuensalida,</t>
  </si>
  <si>
    <t>n el de España á Capitán de granaderos al de fusileros D. Guillermo Chichery; á Capitán al Ayudante D. Joseph Muñoz; á Ayudante al primer Teniente de granaderos D. Gerónimo Alemany; á primer Teniente de granaderos al de fusileros D. Antonio León; á primer Teniente al segundo de granaderos D. Jo</t>
  </si>
  <si>
    <t>Muñoz, Juan Bautista</t>
  </si>
  <si>
    <t>Juan Bautista Muñoz</t>
  </si>
  <si>
    <t>l en la librería de Escribano, calle de las Carretas. Carta crítica sobre la Historia de América de D. Juan Bautista Muñoz , escrita de Roma por D. Francisco Iturri, presbítero español. Se hallará á 4 rs. en la librería de Castillo, y en la de la. viuda de Cerro, red de S. Luis. • Vida christiana, ó p</t>
  </si>
  <si>
    <t>Muñoz, Ramón</t>
  </si>
  <si>
    <t>Ramón Muñoz</t>
  </si>
  <si>
    <t>factoría de tabacos de Ciudad Real, Reyno de Guatemala, vacante por renuncia del que lo obtenía, á D. Ramón Muñoz. El Consejo á consulta de la Comisión gubernativa, y con aprobación de S. M. ha acordado la decimonona amortización de 317 Vales de 300 pesos de i.° de Julio; 107 de 600 pesos de</t>
  </si>
  <si>
    <t>Muñoz, Tomás</t>
  </si>
  <si>
    <t>Tomás Muñoz</t>
  </si>
  <si>
    <t>uan Antonio de la Riba á otra igual en la de Guadalaxara, á D. Juan Bazo y Berri. Por jubilación de D. Tomas Muñoz » Fiel de la Real casa de moneda de Goatemala, se ha servido el Rey nombrar para este empleo ¿ D. Benito Muñoz : para el de Ministro Contador de las Reales Caxas de Comayagua, vac</t>
  </si>
  <si>
    <t>Munte, Pedro</t>
  </si>
  <si>
    <t>Pedro Munte</t>
  </si>
  <si>
    <t>ia en id.... P- 23. Pedro Munte............... Joseph y Rosa Ramonadié......... Delsolé en id.... p. 23» Antonio Rubie........... . Antonio y Mariana Miran......... SaBoleria en</t>
  </si>
  <si>
    <t>Murar, General</t>
  </si>
  <si>
    <t>General Murar</t>
  </si>
  <si>
    <t>ente orden á las tropas del quartel general de Ginebra: „En conseqiiencia de lo que ha dispuesto el General Murar, comandante en xefe del cuerpo de observación, la vanguardia se dirige á Italia por el monte pequeño de S. Bernardo tn 3 ccíunas, mandadas la i.a por el xefe de brigada Herculaie,</t>
  </si>
  <si>
    <t>Deum en acción de gracias en la iglesia metropolitana , con asistencia de la junta de gobierno, del General Murar , el Ministro frunces Petiet, el cuerpo diplomático y los xefes de todos los ramos. Por la noche hubo en los teatros representación y bayle gratuito.</t>
  </si>
  <si>
    <t>Murat, General</t>
  </si>
  <si>
    <t>General Murat</t>
  </si>
  <si>
    <t>j-I ¿: n-• k&lt;-KSié^ikUrgmMSudésJ^cun^sújiáui •i‘&gt;ca?!ít5{fóH' Jpor,Í elcuerpo 1 dé observación del General Murat, que debla?féptrárrNái.HaHil ntonté pequeno dlb S. Betáurdíí kha refiibido coattaótdeíu y li hí an■n</t>
  </si>
  <si>
    <t>para acantonarse en las Inmediaciones de aquella ciudad, en la qual se esperaba el dia 11 al mismo General Murat. ■ , Dícese que el Archiduque Carlos ha admitido mando en el ejercito austríaco con tal qué el Emperador si* hermano pase también al exército y tome su mandoi en xefe^í- pues deoe</t>
  </si>
  <si>
    <t>ara conquistarla; y que hasta tanto que me comunique su intención, segqiré yo mis operaciones. — EL General Murat con el cuerpo de observación está en marcha'pata A neón a.” Carta del General F. Andreossi, xefe de la plana mayor del exército galo-bdtavoy al Ministro de Guerra. »Qtuirtel gener</t>
  </si>
  <si>
    <t>adecido gran pérdida^ Milán 6 de Enero. ^ : E I dia y entró aquí la primer coluna de las tropas del General Murat, mandada por el General Sarracín. Siguen retirándose los austríacos. El dia 2 llegó á Pesaro uno de sus cuerpos, que descansó algunas horas, y siguió su marcha á la Romana. En Rom</t>
  </si>
  <si>
    <t>vación, ha dirigido al Ministro de Guerra la carta siguiente; Milán 13 de Enero. Ciud. Ministro. El General Murat recibió vuestras órdenes en Ginebra; y al instante se puso en marcha el cuerpo de observación^ Una de sus divisiones pasó los Alpes del monte pequeño de S. Bernardo, otra atravesó</t>
  </si>
  <si>
    <t>rlengo de la santa romana Iglesia. Milán Amtes de ayer salió de aquí 12 de Uñero. la vanguardia del General Murat, que va á pasar el Po, y seguirá su marcha por Plasencia y Parma. El quartei general de Bruñe se hallaba últimamente en Vicenza. Los republicanos entráron en Trento el día 2, habi</t>
  </si>
  <si>
    <t>equencia^ no dudando hallar reciprocidad por vuestra parte.” . V;?. r. Extracto de la respuesta del General Murat. „ Florencia 2$ de Enero» El gobierno de Francia os informó hace cerca de un mes de qué S. M. el Emperador de Rusia se interesaba por el Rey de Ñapóles, y que esto movía al primer</t>
  </si>
  <si>
    <t>aban antes de la entrada de los franceses. Florencia 23 de Enero. E 1 dia 21 llegó á esta ciudad el General Murat, y se encargó del mando general de Toscana. Ademas de las tropas francesas que han venido ya, se esperan otros 5® hombres. Un Ministro ruso, que va á residir cerca del Rey de Nápo</t>
  </si>
  <si>
    <t>mortal libertador. Parts j8 de Febrero. C on fecha de 31 de Enero respondió el Cardenal Consalvi al General Murat en estos términos: „ Roma jj de Enero. Excmo. Sr. Como se restituyen á Florencia los dos oficiales franceses que V. E. despachó con su carta al Sto. Padre, faltaría yo á mi obligaci</t>
  </si>
  <si>
    <t>s de plana mayor de su exércitó, al Cardenal RulFo, al referid# ciud. Lagrauge, y á un Ayudante del General Murat. . Al paso que las tropas napolitanas siguen retirándose, sé ha adelantado el exércitó francés de Perusa á Foligno.—.La Princesa Mariana, hermanadel Emperador de Alemania, ha veni</t>
  </si>
  <si>
    <t>de primer Ministro , ha despachado desde aquella ciudad un oficial de graduación para tratir con él General Murat y concluir un armisticio con Francia. Se espera quanto ántes aquí á dicho General francés, cuyas tropas no pasarán probablemente de Civita-Castellana. j El Emperador de Rusia mandó</t>
  </si>
  <si>
    <t>ve i; Francia. De Milán escriben qne se ha ajustado el armisticio entre las tropas fran-j cesas del General Murat y los exércitos del Rey de Ñapóles , y que no tardará en concluirse la paz. S. M. Sicili: na ha nombrado para tratarla al Caballero Micheroux, que era Ministro siciliano en la República c</t>
  </si>
  <si>
    <t>eseaba que dicho General pasase á ella; y en efecto, fué con algunos oficiales, pero sin tropas. El General Murat estaba comiendo quando le Heváron la noticia de la paz. El Papa mandó que se iluminase la ciudad. Bareeloha J $ de Margo. E n la villa de Agramunt, corregimiento de Cervera, deseand</t>
  </si>
  <si>
    <t>tripulación, entró antes de ayer en este puerto y arrió bandera. Hace 22 diasque salió de Malta. Ki General Murat ha ahulado todas las sentencias dadas por la junta que los austríacos formaron para juzgar las presas hechas por corsarios íranceses. ' Se acopian aquí muchos víveres destinados,</t>
  </si>
  <si>
    <t>Hámburgb se reunirán coala monarquía prusiana. ^ . j» ' Ancona 5 de Marzo, v . . í¡,v. K ít. I Irl General Murat ha mandado levantar-el seqüest/ó ? que se habia puesto en todos los almacenes de géneros de Inglaterra^ ;d$fIe6Vanté;y^omól-poe ello no ha exigido contribución alguna, están los.</t>
  </si>
  <si>
    <t>llevado á Perusa. El caballero Micheroux, Ministro del Rey de Nápoles, permanece en el quartel del General Murat esperando al negociador francés para ajustar la paz definitiva___ Los refugiados napolitanos comprehendidos en el último indulto de S. M. Siciliana , que quieran volver á Ñapóles ,</t>
  </si>
  <si>
    <t>apolitanos Pignatelli Moliterno y PignatelIi-StrongoJi. Para mantener á estas tropas ha impuesto el General Murat dos millones de francos por via d.- contribución militar, pagaderos por las personas acaudaladas de Toscana, d- hiendo comprehenderse en esta suma los ico© escudos con que han de cont</t>
  </si>
  <si>
    <t>ra el exército. Otras embarcaciones despachadas del Adriático y del Mediterráneo, f un Ayudante del General Murat llegáron también a aquel puerto. Las noticias" que trae el Osíris son que el General Abercrombie hizo el 8 de dicho mes su desembarco en Abukir con un cuerpo de' 13 á 14© hombres.</t>
  </si>
  <si>
    <t>lexandría antes que entregar esta importante plaza.—.El General en xefe habrá recibido noticias del General Murat por un barco que llegó de Ancona el día 8, en el qual ha venido su Ayudante Didier , que el diá 9 pasó por Damenhour.” Carta del Capitán de navio Ricker , Comandante de la fragata</t>
  </si>
  <si>
    <t>entregados por sus mismos compañeros) serán juzgados en consejo de guerra. Las declaraciones que el General Murat recibió de los oficiales y soldados de aquellos cuerpos prueban que la tropa lué seducida por agentes de Inglaterra. Milán 4 de Mayo. E stá nombrado Ministro de Guerra el General</t>
  </si>
  <si>
    <t>o de Francia cerca de S. S., y el General de brigada Poulet.__ Dicho Ministro fué con la esposa del General Murat á ver á Venecia, en donde estuvo dos dias. Se han presentado á vista de Porto-Ferrayo varios buques ingleses, con lo quai hsn cobrado nuevo aliento los habitantes; pero como los s</t>
  </si>
  <si>
    <t>utado toscano portador de estos'pliegos acompaña un oficial de plana mayor, que lleva una carta del General Murat, el qual hace á aquel vecindario las mismas proposiciones, y le da las propias seguridades. Ambos sUgetos se embarcaron aquí ayer mañana. No por esto se suspenden los preparativos</t>
  </si>
  <si>
    <t>ses que se hallan allí prisioneros. , L , Liorna. 10 de Agostos . os diputados de Toscana y lostdel General Murat, que- fueron á Porto-Ferrayo, han vuelto sin haber concluido un ajuste:-pues 300 hombres que los ingleses desembarcaron en aquella ciudad han infundido nuevo aliento en los sitiad</t>
  </si>
  <si>
    <t>os habían suspendido su trabajo. La nobleza se hallaba reunida en palacio para recibir á SS. MM. El General Murat los esperó en la puerta de S. Galo con su plana mayor, un destacamento militar, y un crecido cuerpo de cazadores franceses. El Infante D. Carlos Luis, Príncipe heredero , fué el primero</t>
  </si>
  <si>
    <t>Murat, Teniente General</t>
  </si>
  <si>
    <t>Teniente General Murat</t>
  </si>
  <si>
    <t>e en los puertos de la Gran Bretaña se embarguen las embarcaciones prusianas. Milán /p de Enero. Ll Teniente General Murat, comandante en xefe del exército de observación , salió de aquí el dia 15 para Bolonia; y ántes de ayer llegó un correo de Florencia que encontró en Módena la primer coluna de gra</t>
  </si>
  <si>
    <t>Florencia 28 de Enero. Por ni i últiiua relación os habréis enterado de las causas qué moviéron al Teniente General Murat &amp; xSctipkr á Toscáhá,'^ eñviair la brigada dél Geheral Paulet á tóriiar poseSidirdé la ciudad y castillas rite Ancona, cedidos en vfrtÚd déí árfrdsticíb ¿keiy^éfcitb dé Italia. De</t>
  </si>
  <si>
    <t>Muratllegó, General</t>
  </si>
  <si>
    <t>General Muratllegó</t>
  </si>
  <si>
    <t>voluntario. ** • Génova 8 de Febrero* . P or un correo extraordinario de Liorna se ha sabido que el General Muratllegó: á aquella «ciudad , é intimó á los comerciantes ingleses saliesen dé ella en; el término de 3 horas* y dertoda Toscana en el de 24. Mandó luego seqiiestrai todos los (efectos per</t>
  </si>
  <si>
    <t>Muriel, Matías</t>
  </si>
  <si>
    <t>Matías Muriel</t>
  </si>
  <si>
    <t>a colegial del Salvador de dicha dudad de Sevilla, vacante por fallecimiento dé D, Gabriel Tormo, á D. Matías Muriel, Cura de S. Miguel; para otra Canongía vacante en la propia colegial por fallecimiento de D. Juan Parra, á D. Juan Tason; y para la Ración de la colegial de Xerez de la Frontera,</t>
  </si>
  <si>
    <t>Murray</t>
  </si>
  <si>
    <t>y: la mandará el Capitán Hawker. También se han enviado tropis á ias mismas islas. Haya 21 de Mayo. Mr. Murray, Ministro de los Estados-Unidos americanos cerca del Directorio bátavo, ha salido de aquí p ira Paris á fin de proceder ai cange de las ratificaciones del último tratado concluido</t>
  </si>
  <si>
    <t>ordinario de S. M. Dinamarquesa, presentó á Mr. Levetzer, Sargento mayor de caballería. Finalmente, Mr. Murray, Ministro plenipotenciario de los Estados-Unidos, presentó á Mr. Stori ¿ ciudadano de dichos Estados. r &gt; Se habían interrumpido los enlaces de amistad que subsistían entre la Rep</t>
  </si>
  <si>
    <t>Murray, Capitán</t>
  </si>
  <si>
    <t>Capitán Murray</t>
  </si>
  <si>
    <t>ipal de aquellas fuerzas navales.* el Almirante Totty quedaba con otra división cerca de Borholmtel Capitán Murray, mandando una esquadra pequeña, se hallaba delante de Dantzick; y el Lord Powleé cruzaba con algunos buques á vista de Rostock. El total de las fuerzas británicas en aquellos mare</t>
  </si>
  <si>
    <t>nte aviso del Comisario de marina de San Malo: „La fragata inglesa de 40 cañones nombrada el Jasen, Capitán Murray, ha barado delante de este puerto/Hallamos en sus. bate** ríasnvéinfe*y ocho cañones de á 16 y doce de-32. No hace año y medio que se habia construido.” : r ; ’• ’ Madrid j8 de Ag</t>
  </si>
  <si>
    <t>Murray, Coronel</t>
  </si>
  <si>
    <t>Coronel Murray</t>
  </si>
  <si>
    <t>¿morteros. Linos 700 u Sbo habitantes de la -Meca y de Yambo aumentaban su guarnición. El Teniente Coronel Murray, que mandaba en la plaza,; supo nuestras ventajas;; y desdé luego principió á tomar precauciones de seguridad, mandando embartar su artillería y parte de las tropas algunos dias a</t>
  </si>
  <si>
    <t>ket permanecía en el mar Roxo ;con su esquadra; y que las tropas despachadas de Bombay al mando del Coronel Murray habían hecho su desembarco , y tomado posesión de la isla de Babelmandel----- Por otros avisos consta que el cuerpo enviado á Suez tuvo que detenerse en Cosseir por los vientos co</t>
  </si>
  <si>
    <t>MurrayV</t>
  </si>
  <si>
    <t>el 29 de Mayo su primera Audiencia del Ministro dé Relaciones exteriores. Hállase también en París Mr. MurrayV que ha venido de Holanda ¿ concluir los asuntos relativos al último tratado ajustado entre la República francesa y los Estados-Unidos americanos. Sin embargo de la conclusión y ra</t>
  </si>
  <si>
    <t>Musante, Antonio Juan Bautista</t>
  </si>
  <si>
    <t>Antonio Juan Bautista Musante</t>
  </si>
  <si>
    <t>ederos, para comunicarles un asunto de enti^ dad. Se dará noticia de ello i X&gt;. Antonio Juan Bautista Musante, Secretario del Sr. Encargado de Negocios de la República ligurlana en esta cortr Iastitutiones Juris Canonici, in tres partes ac sea tomos distrjbutae , quibud Tetus et nova Ecclesiae discip</t>
  </si>
  <si>
    <t>Muzo, Joseph Joachín</t>
  </si>
  <si>
    <t>Joseph Joachín Muzo</t>
  </si>
  <si>
    <t>D. Joseph Rodríguez, D. Miguel Márquez y D. Joseph Casaus, y a segundos Subtenientes á los Cadetes D. Joseph Joachín Muzo,'1 D. Joseph Losada, D. Andrés Rodríguez, D. Manuel Gallardo, D. JuarF de Torr.es Coca, D-Joseph Martinez y D. Joachín Casaus , y á los Sargen-r tos primeros Di Poiicarpo de Frías</t>
  </si>
  <si>
    <t>Múzquiz, Ignacio</t>
  </si>
  <si>
    <t>Ignacio Múzquiz</t>
  </si>
  <si>
    <t>o de Relaciones exteriores al primer Cónsul», á quien entregó sus credenciales. Su antecesor el Sr. D. Ignacio Múzquiz tuvo el mismo dia su audiencia de despedida. ' Acaba el Ministro de Marin^ de dirigir circulares á los Prefectos marítimos previniéndoiés^que débef observarse la prohibición hecha</t>
  </si>
  <si>
    <t>Nadal y Guarda, Ramón</t>
  </si>
  <si>
    <t>Ramón Nadal y Guarda</t>
  </si>
  <si>
    <t>viado, quien los tuviere ios remitirá á dicho Gheraldi en Cádiz, al referido Pou en Barcelona, y ,á D. Ramón Nadal y Guarda en Madrid, calle de Alcalá, hum. 13. Én virtud de Real facultad de S. M. y Sres. de su Real y supremo Consejo de lh Cámara de Castilla se vende el soto'‘llamado de Bervel , campo de</t>
  </si>
  <si>
    <t>Nandin, Francisco</t>
  </si>
  <si>
    <t>Francisco Nandin</t>
  </si>
  <si>
    <t>o: el empleo de Alférez de carabineros del de Milicias urbanas de caballería de lea al de fusileros D. Francisco Nandin: Tenencia en el esquadron de Milicias urbanas de caballería de Moquegtia al Subteniente D. Agustín Hurtado Zapata: empleo de Portaguión del regimiento de Milicias urbanas de drago</t>
  </si>
  <si>
    <t>Narciso Carre- María Ca</t>
  </si>
  <si>
    <t>... 16, 8. Francisco Morua. Joseph...........Francisca Lucía.«4 Atou....... Pamplona....... *4. 10. D. Narciso Carre- Doña María Ca- ; ^terp,,p.B, Eteuterio. taima.............. ^ladnd •••• • ••• Idem 134. as. Alejandro SanchezToma*.......... María Rüdrigusz. Madrid.»..,... .Idem».;!........ 118.10. Martin Garc</t>
  </si>
  <si>
    <t>Narciso de Terrazas, Manuel</t>
  </si>
  <si>
    <t>Manuel Narciso de Terrazas</t>
  </si>
  <si>
    <t>el Zorrilla : en el de Reales Guardias Walonas á Alféreces á los Cadetes D. Bruno Joseph dei Pratsj D. Manuel Narciso de Terrazas, D. Aquíles de Bureau y D. Joachin de Ezpeieta: en el de infantería de España á segundo Subteniente al Cadete D. Faustino Manuel Martínez: en el regimiento de granaderos Voluntari</t>
  </si>
  <si>
    <t>Narciso Lafuente</t>
  </si>
  <si>
    <t>Casaus , y á los Sargen-r tos primeros Di Poiicarpo de Frías, D. Francisco Barrera, de granaderos, D. Narciso Lafuente y D, Joseph Cembrano; en el de Irlanda á Capitán de granaderos al de fusileros D. Carlos O-Donell; á Capitanes al Ayudante te; de granaderos, al de tusiieros u. Patricio MesKeii; a pr</t>
  </si>
  <si>
    <t>Narciso LaJana</t>
  </si>
  <si>
    <t>á D. Manuel Franco, D. Guillermo Olleta, D. Francisco Zapater, D. Felipe Gradan, D. Mateo Zapater, D. Narciso LaJana, D. Anselmo Rueda, D. Juan Antonio Lacosta, D. Xavier Echeverría, D. Marcos Antonio Ames, D. Jacinto Aznar y J&gt;. Pascual Grasa. Concluida la distribución, el Exc. Sr. Capitán gene</t>
  </si>
  <si>
    <t>Narciso Manresa</t>
  </si>
  <si>
    <t>a á Portaestandarte al Cadete D. Juan Cruz de Uzirbe: en el de Aígarbe á Alférez al Portaestandarte D. Narciso Manresa,' y á esta resulta al Cadete Di. Manuel Miranda en el deCalatrava á segundo lenierite; al Alférez D. Luis de Leyva ;á; Alférez ai Portaestandarte Doj* Francisco Vigarra , y á Port</t>
  </si>
  <si>
    <t>Narciso Varelp, Francisco</t>
  </si>
  <si>
    <t>Francisco Narciso Varelp</t>
  </si>
  <si>
    <t>ioma portugués traduxo al castellano para común utilidad y recreo espiritual «el pueblo, christiano D. Francisco Narciso Varelp. de Castro : un tomo en 4.0 Véndese en; rústica á 10 rs. en la librería de Escribano, calle de las Carretas. En la: librería, de Cámpins , calle de las Carretas, se hallan las obr</t>
  </si>
  <si>
    <t>Narni Mancinelli, Nicolás</t>
  </si>
  <si>
    <t>Nicolás Narni Mancinelli</t>
  </si>
  <si>
    <t>ál primer Teniente D. Francisco Villavicencío; en el de dragones de la Reyna á Teniente al Alférez D. Nicolás Narni Mancinelli; j en el regimiento de caballería de Calatrava ha conferido S. M. Compañía D. Manuel Ayala, Cadete de ¡a compañía Española del Real cuerpo de Guardias de Corps. , En América. En e</t>
  </si>
  <si>
    <t>Narvaez, Antonio</t>
  </si>
  <si>
    <t>Antonio Narvaez</t>
  </si>
  <si>
    <t>. Joseph Francisco Coronado ; á Tenientes de fusileros á los Subtenientes de granaderos y cazadores D. Antonio Narvaez y D. Joseph Al faro ; y á Subtenientes de granaderos y cazadores á los de fusileros Dt Blas de Pinar y D. Joseph Zelaya : en el de Toledo á Capitán de cazadores al de fusileros D. Jos</t>
  </si>
  <si>
    <t>Narvaez, Joseph</t>
  </si>
  <si>
    <t>Joseph Narvaez</t>
  </si>
  <si>
    <t>Antonio Estepa; á primer Subteniente al segundo ID. Blas Bielsu, y á segundo Subteniente al Cadete D. Joseph Narvaez: en -el de America á segundo Teniente al Subteniente de granaderos *D. Vicenrte González-: á Subteniente de granaderos al primer Subteniente D. Francisco Plaseneia; á primer Subte</t>
  </si>
  <si>
    <t>Naudinjá, Vicente</t>
  </si>
  <si>
    <t>Vicente Naudinjá</t>
  </si>
  <si>
    <t>naderos, gradeado de Teniente, D.-Antonio Dolball; a Subteniente de granaderos S primer Subteniente D. Vicente Naudinjá esta resulta ai segundo Subtetóente D. Joseph Fernandez, y á segundo. Subteniente al Cadete D. Jayme Ribo!): en el de España á Capitán al primer 1 emente de granaderos D. Juan de Va</t>
  </si>
  <si>
    <t>Navarro Pingarron, Ramón</t>
  </si>
  <si>
    <t>Ramón Navarro Pingarron</t>
  </si>
  <si>
    <t>iscalía del Crimen de la Audiencia de Sevilla, vacante por muerte ‘de D. Antonio Fernandez Soler, á D. Ramón Navarro Pingarron: para la Vara de Alcalde mayor Teniente de Corregidor mas moderno de la villa de Madrid á O. Vicente Torres Cónsul: para el Corregimiento político de la ciudad de Ronda á D. Vicen</t>
  </si>
  <si>
    <t>Navarro y Vidal del Con, Joseph</t>
  </si>
  <si>
    <t>Joseph Navarro y Vidal del Con</t>
  </si>
  <si>
    <t>Quien quisiere hacer postura al todo de cichas fincas, *9á cualquiera de ellas , acuda ante el Sr. D Joseph Navarro y Vidal del Con. V ¿ M Alcalde de casa y corte, á quien está cometida dicha Real faStad y* escríbanla de provincia l D. Pedro de Valladáres, o ante la Justicia de dicha villa de Hernán! por lo re</t>
  </si>
  <si>
    <t>Navarro y Vidal, Joseph</t>
  </si>
  <si>
    <t>Joseph Navarro y Vidal</t>
  </si>
  <si>
    <t>stura en los ducados en vales» Quien quisiere mejorarla acuda en el térmico dé i«j diasantef el Sr. D. Joseph Navarro y Vidal, del Consejo de S. M. 9 su Alcalde de casa y&gt; corte, y por la escribanía dé provincia de í). Pedro de Valladares. La casa sita en esta corte en la calle de Vaiverde, núm. 31, mati</t>
  </si>
  <si>
    <t>Navarro, Antonio</t>
  </si>
  <si>
    <t>Antonio Navarro</t>
  </si>
  <si>
    <t>io Urruchurtu y D. Esréban Ximenez; á Tenientes de fusileros á los Subtenientes D. Cecilio Calonge, D. Antonio Navarro, D. Buenaventura Berrueco, D. Manuel Urruchurtu, D. Joseph María Gómez de Humaran, D. Manuel Pantoja, D. Joseph Ignacio García, D. Cayetano Revueltas, a! Cadete Don Domingo Urqiii</t>
  </si>
  <si>
    <t>Navarro, Joseph</t>
  </si>
  <si>
    <t>Joseph Navarro</t>
  </si>
  <si>
    <t>ura, Zamora, Princesa, Maillorca y León D. Pablo Alemán, D. Francisco Obregon, D. Joseph Landazeri, D. Joseph Navarro , D, Felipe de La Roque y D. Manuel Rotaeta: en el dVValencia á segundo Teniente al Subteniente de granaderos, gradeado de Teniente, D.-Antonio Dolball; a Subteniente de granadero</t>
  </si>
  <si>
    <t>ó el «4 de Febrero dé 1800 por los acreedores á la quiebra de D. Juan Llaguno, de que conoce el Sr; D. Joseph Navarro y "Vidal, del Consejo de S. M:, su. Alcalde de casa^y corte,.por la.escribanía de .provincia de D. Pedro, de Válladáres, sé hizo instancia por algunos á efecto dé que se celebrase o</t>
  </si>
  <si>
    <t>D. Francisco Castañera: en el de la princesa á segundo Subteniente al de esta clase del de Córdoba D. Joseph Navarro: en el de Jaén á Ayudante al primer Teniente de granaderos D. Lorenzo de Ascasso; á primer Teniente de granaderos al de fusileros D. Lorenzo Cenon Calvo; á primer Teniente al segu</t>
  </si>
  <si>
    <t>ltad de S. Jv¡. y Sres. de su Real y supremo Consejo de la, Cár ruara de Castilla , cometida ai Sr. D. Joseph Navarro, Alcalde de casa y corte, &lt; iy por, la escribanía de provincia de D. Pedro de Valladáres,,se vendían las finesa siguientes : la vega llamada de Alcolea y tierras adyacentes, denom</t>
  </si>
  <si>
    <t>Navarro, Manuel</t>
  </si>
  <si>
    <t>Manuel Navarro</t>
  </si>
  <si>
    <t>a imprenta feal, en ér Rea r sitio dé Afán juez en casa de D. Antonio Masarhau, y en Cádiz en la de D. Manuel Navarro. Por el Sr.' Di^icfebte '©omlhguéi'.de'' Prado, Cabalíero de la Real y distia-* guida órdénespañóla de Cárlos lII, Intendente de ‘ los Reales ejércitos y general de Toiedopcptóííf</t>
  </si>
  <si>
    <t>la imprenta Real, en el Real sitio de Aranjuez en casa de D. Antonio Masarnau, y en Cádiz en la de D. Manuel Navarro. D. Joseph Padrós, del comercio de Madrid, remitió el 16 de Enero último á D. Antonio Buenaventura Bailester, de Villanueva de Geltrú en Cataluña, 10 vales Reales, el uno de 150 p</t>
  </si>
  <si>
    <t>Navarro, Miguel</t>
  </si>
  <si>
    <t>Miguel Navarro</t>
  </si>
  <si>
    <t>arbe Marques de Castchlosrius; y ha nombrado Alférez del de caballería de Esp.mz al Portaestandarte Don Miguel Navarro. Asimismo ha promovido S. M. en el de cab.iHt-rí.t de Voluntarios de España á Capitán al Teniente D. Joseph de Soinnn: en el de drauones de la Reyna á Teniente Coron, i al agregad</t>
  </si>
  <si>
    <t>Navarro, Pedro</t>
  </si>
  <si>
    <t>Pedro Navarro</t>
  </si>
  <si>
    <t>er Subteniente D. Ramón d* Sas; á primer Subteniente al segundo Suoteniente , graduado de Teniente, D. Pedro Navarro, y á segundo Subteniente al Cadete D. Antonio Rodríguez Carassa; y en el batallón de Voluntarios de Tarragona á Capitán primero al segundo D. Manuel Gasset, á Capitán segundo al p</t>
  </si>
  <si>
    <t>Navarro, Tomás</t>
  </si>
  <si>
    <t>Tomás Navarro</t>
  </si>
  <si>
    <t>... . 2154. 1. Tomas Navarro... Tomas......... Francisca Durat... S*trel!....-...... Alicante.......... 182. 8. SalustianoSancho. Eugenio........ María Berrizo....í. Pozuelo</t>
  </si>
  <si>
    <t>Navarros, Manuel</t>
  </si>
  <si>
    <t>Manuel Navarros</t>
  </si>
  <si>
    <t>m*» prenta Real, en el Real sitio de Aranjuez en caso de- JD, Antonio Mastrnau, f en Cádiz en la de D. Manuel Navarros j; j Se halla vacante la plata de Médico de la villa dp Miranda del Castañar» •que vale i ooo taros: de vino al año. Quien* quisiere pretenderla, d jrigirásui memoriales í D. Feli</t>
  </si>
  <si>
    <t>Navas, Juan Joseph</t>
  </si>
  <si>
    <t>Juan Joseph Navas</t>
  </si>
  <si>
    <t>ñas; á esta resulta al primer Subteniente D. Joseph de Pedrosa , y á primer Subteniente ,al segundo D. Juan Joseph Navas: en el de Lean tá primer ¡Subteniente al segundo D. Francisco Mijares, y á;segundo Subteniente ai Cadete del de Africa D. Joachín María Salcedo: eñ el citado de Asturias á,Capitán</t>
  </si>
  <si>
    <t>Naveao y Ximenez, Antonio María</t>
  </si>
  <si>
    <t>Antonio María Naveao y Ximenez</t>
  </si>
  <si>
    <t>ias de compañía ík D. Juan Roldan y Baena y D. Ignacio Palacios del Pino; y las dos de ban^’ dera á D. Antonio María Naveao y Ximenez y D. Manuel Diaz y Zapa-’ da : en el de Córdoba Tenencia de fusileros á D. Joseph Ortiz y Fernandez, Subteniente de cazadores, y su resulta á D. Francisco Valdelomar, Subteniente de f</t>
  </si>
  <si>
    <t>Navona, Joseph</t>
  </si>
  <si>
    <t>Joseph Navona</t>
  </si>
  <si>
    <t>..... 81. a6, Joseph Navona............. Domingo y Honorata Fabret..... Tuy en el Rosellon............. 36. 4, Gerónimo Farreé......... Juan y Ines Viguna .................... Castelnpu en id. gg. 10.</t>
  </si>
  <si>
    <t>.... 47. a8. Joseph Navona.......... Joseph y Teresa Te 11 es............. Techia en id..... xa. ap. D. Juan Dubiena........ D. Juan y Doña María de Rollan................</t>
  </si>
  <si>
    <t>Ncison, Lord</t>
  </si>
  <si>
    <t>Lord Ncison</t>
  </si>
  <si>
    <t>nservibles. .&gt; La esquadra mandada por el Almirante Totty se dirigid el dia 13 a1 Báltico, y la del Lord Ncison se avistó el 12 cerca de la isla de Bornholm. El Lord Saint-Helens, que va á Petersburgo en calidad de Embaxador de S. M. Británica, llegó antes de ayer á este puerto en la fragat</t>
  </si>
  <si>
    <t>Nclson, Lord</t>
  </si>
  <si>
    <t>Lord Nclson</t>
  </si>
  <si>
    <t>Junio. U 11 parlamentario ingles traxo eT2 5 del mes anterior al Almirante Cronstedt otra carta del Lord Nclson, en que le decía que el Almirante Parker Labia declarado libre la navegación dé los suecos en el Báltico y el Cato* gzt; p»ro como la Suecia no habla hecho igual declaración á'fav</t>
  </si>
  <si>
    <t>Neander</t>
  </si>
  <si>
    <t>tido en Charlótemburgo ía experiencia de hacer de día señales con cohetes. Débese esta invt ncion á Mr. Neander, Teniente de Artillería, conocido ya por otros descubrimiento*útiles. k Ratisbona 2 j de Agoste, Í ' or orden del Rey ¡de Prusia se ha intimador á los estados de la Dieta que en a</t>
  </si>
  <si>
    <t>Nebon, Lord</t>
  </si>
  <si>
    <t>Lord Nebon</t>
  </si>
  <si>
    <t>eral, y 6 se-* manas mas contadas desde la primera abertura del Parlamento después de dicha piZ. El Lord Nebon ha entrado en Márgate con parte de los buques de su nundo: los demas han vuelto á Peal, y todos se dispenen á salir con crecidos refuerzos.</t>
  </si>
  <si>
    <t>Necker</t>
  </si>
  <si>
    <t>mismos'gastos á Óoo millones: y aun antes de la revolución subían á 610, como se ve en las obras de Mr. Necker. De 26 5 vocales, los 253 votaron i favor de dicha suma, y los 12 restantes contra ella. Ei General ruso Sprengporten y los oficiales que le acompañan asistieron el día 5 á la ses</t>
  </si>
  <si>
    <t>Negrete, General</t>
  </si>
  <si>
    <t>General Negrete</t>
  </si>
  <si>
    <t>or, ha asegurado ej cerco, y ataque de esta pla#a ; qüe¿ fie fiado á H quarta división al mando del General Negrete. El ardor é impaciencia de todos los xefes y tropa^ por venir á las manos con el enemigo os imponderable , asegura el éxito 4ei quanto .so emprenda, y, Iqs, 3cré4ita&gt;d*gní)* 4© ma</t>
  </si>
  <si>
    <t>Negron, Juan Joseph</t>
  </si>
  <si>
    <t>Juan Joseph Negron</t>
  </si>
  <si>
    <t>urbanas de caballería de Huanta al Sargento mayor D. Juan Antonio Beramendi, y Compañía al Teniente D. Juan Joseph Negron, Ayudante del mismo cuerpo: empleo de Comandante de esquadron en el de Milicias urbanas de dragones de Quispicanchi al Teniente Coronel agregado D. Bartolomé de Figueroa: igual as</t>
  </si>
  <si>
    <t>Neison'no, Lord</t>
  </si>
  <si>
    <t>Lord Neison'no</t>
  </si>
  <si>
    <t>s la vanguardia de ia esquadrilla ligera estaca, atracada á 500 toesas de la entrada del puerto; el Lord Neison'no se acercó á mas de 1800 toesas de la van-' guardia, y así distaba 2300 de dicha entrada. Desde ella hasta la mitad del puerto y hasta la ciudad hay todavía muchos centenares do to</t>
  </si>
  <si>
    <t>Neison, Lord</t>
  </si>
  <si>
    <t>Lord Neison</t>
  </si>
  <si>
    <t>uques menores, otros ocho entre bombardas y brulotes, y diez barcas cañoneras. Mr. Hide Parker y el Lord Neison van mandando estas respetables fuerzas, que se creen destinadas para el BUtico, mayor-, mente sabiéndose que Mr. Parker lleva 10 pilotos muy impuestos en la navegación de aquel mar. I</t>
  </si>
  <si>
    <t>Neíson, Lord</t>
  </si>
  <si>
    <t>Lord Neíson</t>
  </si>
  <si>
    <t>rcará en Yarmouth para el Báltico, en donde se encargará del mando de aquella esquadra en lugar del Lord Neíson, Basilea 10 de Junto. L as tropas francesas han evacuado enteramente esta ciudsd , en la qual no habrá mas que tropas suizas para su guarnición. Hdianse ya éñ tila la primera y la</t>
  </si>
  <si>
    <t>las gazetas de Londres, miran los ingleses como un asunto de la mayor importancia la expedición del Lord Neison cpntra el armamento de Boloña. Por los términos exagerados con que la refiere este-Aímimits, puede hacerse juicio del grado de confianza que merectvn las relaciones que los ingles</t>
  </si>
  <si>
    <t>Nejso, Lord</t>
  </si>
  <si>
    <t>Lord Nejso</t>
  </si>
  <si>
    <t>mbre. A .seguirán que en breve se enviará al Báltica una* división de buques dé guerra al mando del Lord Nejso». En..usa- jmita que ios principales* comerciantes dfe Londres celebraron el 28 del'pasado, r-esólviéroii pagar todfts las letras giradas de Rusia y aceptadas ya aquí; pero iás qu</t>
  </si>
  <si>
    <t>Nel, Almirante</t>
  </si>
  <si>
    <t>Almirante Nel</t>
  </si>
  <si>
    <t>obierno; pero nada consiguió del Baxá tripolino. Ha llegado á Londres el Almirante Parker. Queda el Almirante Nel— son mandando nuestra esquadra en el Báltico. En Portsmouth se está alistando á toda priesa una esquadrilla de cañoneras para defensa de las islas de Jersey y Guernsey: la mandará</t>
  </si>
  <si>
    <t>Carlscrona el cúter ingles el Hok, que habla salido de allí con la segunda respuesta á la carta del Almirante Nel* son, y traxo la siguiente contestación dirigida al Almirante sueco Cronstedt: ,, Navio S. Jorge, no lejos de Rostock&gt; d 26de Mayo. Acabo de recibir h carta deí día 24 con que V.</t>
  </si>
  <si>
    <t>Nelíoii, Almirante</t>
  </si>
  <si>
    <t>Almirante Nelíoii</t>
  </si>
  <si>
    <t>0^11^0©*'8©^ defendieronconunvalor sin igual. A •las 3 íde la tarde efnpcaóá ^fioxar^i canhneo-. el Almirante Nelíoii tremoló bandera blanca ;yquapdotemía ímicbtoiabUfdeo por Jestfar-ya»forzada nuestra ala derecha , despaché un patlahiíentyirio con uuaícárta , que aunque hablaba con el Príncipe R</t>
  </si>
  <si>
    <t>Nelsen, Lord</t>
  </si>
  <si>
    <t>Lord Nelsen</t>
  </si>
  <si>
    <t>Príncipes de Orange y de Hesse. * Londres 2 de Setiembre. S e han dividido las fuerzas navales del Lord Nelsen: parte de ellas se ha ■ hecho á la vela hácia el norte, y las restantes hácia poniente. No hay hasta ahora seguridad de que dicho Almirante haya salido en uno de estos armamentos.</t>
  </si>
  <si>
    <t>Nelsoa, Lord</t>
  </si>
  <si>
    <t>Lord Nelsoa</t>
  </si>
  <si>
    <t>üe lleven de aquí ¿ los mencionados cuerpos. 1- Permanece en las Dunas la fragata Amazona en que el Lord Nelsoa tiene tremolada su bandera. El dia i.° de Agosto salió de la isla de Santo Tomas y de otras inmediatas un convoy de a00 velas, que se espera quanto antes en nuestros puertos. Mr.</t>
  </si>
  <si>
    <t>Nelson</t>
  </si>
  <si>
    <t>, . ' 4^¡1 Itego,: en df Ayíidantr geñéral Lin* holm, á quien dixo Mr. Nelson: „Me he hallado en 105 combates : niit^ gano há sido tan terrible* como éste.” Habiendo conferenciado coa el Príncipe Real ¿ • tórestituya é bordos á Jhs 7 ^ yendói eri sir compañ</t>
  </si>
  <si>
    <t>.despachó á Inglaterra otros 2, que espera podrán aun servir haciéndoles grandes reparos.__ Qiiando Mr. Nelson se disponía á navegar hácia Revel, tuvo noticia de la muerte de Paulo 1. Dícese que de resultas se ha detenido.-__ Los ingleses pidiéron al gobierno de Dinamarca arboladura para 4</t>
  </si>
  <si>
    <t>e internó algo mas en el Báltico: de modo que ahora se halla surta entre Moen y Falster al nundo de Mr. Nelson. La qué ha llegado para reforzar las fuerzas navales inglesas én el Báltico consta de qúatro navios de 74 cañones, otro de 56, una fragata y* algunos buques menores. Todas estás n</t>
  </si>
  <si>
    <t>alcanzaban hastá dentro del puerto, con lo qnd espera aniquilar los armamentos que hay en él. Tomó Mr. Nelson tochs las precauciones para no maltratar á la ciud id, supuesto que su intención era únicamente destruir los preparativos militares del enemigo, hin embargo, padeció algo la ciuda</t>
  </si>
  <si>
    <t>Nelson, Almirante</t>
  </si>
  <si>
    <t>Almirante Nelson</t>
  </si>
  <si>
    <t>el corriente á las 4 de la tarde pasaron dos divisiones de la esquadra británica* mandadasporeiVice-Almirante Nelson, por delante de nuestra línea dé defensa; pero á tal distancia que no les alcanzaba el fuego de nuestra att i llería. Aíüciáron ámediamillaai E.&lt;de la luneta llamada de Quinto, y</t>
  </si>
  <si>
    <t>añana;’y como Hasta ahora no se han renovado las hostilidades, se infiere que el Príncipe Real y el Almirante Nelson están tratando de un ajuste. El Rey y la Princesa Real se han transferido al palacio ó quinta de Ro* semburgo. ¿ En las costar meridionales de Suecia se han apagado también todos lo</t>
  </si>
  <si>
    <t>afioxado mucho una hora antes de acabarse el combate. Varios buques ingleses, especialmente el del Almirante Nelson, no hacían casi fuego: y entonces fue quando durante el ni'yor conflicto dcs&lt; pacho aquel Almirante un parlamentario pidiendo treguas. Dos buques euje. migos habían arriado bander</t>
  </si>
  <si>
    <t>Comendador de la orden de la Espada. Elseneur u de Abril. E 1 día 9 por la tarde se ajustó entre el Almirante Nelson y el General Walterstoríf un tratado de armisticio, que consta de los j artículos siguienr tes: „ i.° Así que se firme esta tregua cesarán las hostilidades entre la esquadra del Almir</t>
  </si>
  <si>
    <t>á divulgarse, sin embargo de los medios que se tomaron para ocultar* ia. Parece no obstante que el Almirante Nelson se retiro á bordo sin sa-t berla; y es de creer que la esquadra inglesa se aleje de estas aguas sin tener conocimiento de dicho suceso. Hamburgo ig de Abril, S e ha encargado esta</t>
  </si>
  <si>
    <t>do 7 navios. De los i 2 qué el Almirante Nelson mandaba en dicho ataque, hay muchos que tuviéron grandes pérdidas , sobre todo en las tripulaciones : el nombrado Monarca tuvo 210 hombres entre muertos y heridos , el Edgard 133,</t>
  </si>
  <si>
    <t>un mozo'de 19 años llamado Villcmus, que mandaba una de las baterías flotantes; y según asegura el Almirante Nelson, causo mas daño que otra alguna á la esquadra inglesa. Elseneur I fj de Abril. P asa por cierto que el Almirante Parker de resultas del combate del dia 2 mando quemar 3 navios de</t>
  </si>
  <si>
    <t>rráneo varios transportes con tropas , municiones y víveres. i Parece cierto que se ha conferido al Almirante Nelson el mando de Ja esquadra del Báltico. La guarnición inglesa de la isla de Malta consiste actualmente en dos compañías de artillería, un destacamento de ingenieros y 6 batallones de i</t>
  </si>
  <si>
    <t>eó, tnxo al Almirante Parker la orden dé entregar el mando de la esquadra inglesa ert el Báltico al Almirante Nelson, y de que se restituyese inmediatamente á Inglaterra. En efecto, el día 3 pasó el Sund en una fragata, y el 16 la esquadra salió de la bahía de Kioege, y se internó algo mas en el</t>
  </si>
  <si>
    <t>DE 1801. Carlscrona 11 de Mayo. A yer llegó aquí un parlamentario ingles con la siguiente carta del Almirante Nelson al Vice-Almirante sueco Gronstedt: „ Navio S. Jorge 8 de Mayo. Habiendo el xefe de la esquadra inglesa del Báltico, mi antecesor, permitido á solicitud del Emperador de Rusia que</t>
  </si>
  <si>
    <t>ncia dada contra Napper-Tandi, pues la orden anterior solo la prorogaba hasta el 28 de Mayo. . . El Almirante Nelson ha escrito al gobierno haciendo dexacion del mando de la esquadra del Báltico, á causa de hallarse muy deteriorada su salud.__ Algunos oficiales de la mencionada esquadra escriben</t>
  </si>
  <si>
    <t>ra. Blseneur 27 de Mayo. D e Rostock escriben que el Emperador Alexandro 1 ha llamado á su corte'al Almirante Nelson. Asimismo refieren las cartas de Petersburgo que el 17 de este mes el Príncipe Gagarin comunicó á varios ingleses que aquel Soberano habia resuelto se levantase el seqiiestro de t</t>
  </si>
  <si>
    <t>te se sabe que dos. dias después se envió uiia giran partida de dinero á Francia. * La esquadia del Almirante Nelson celebró el 4 del corriente enWarnemunda, cerca de Rostock, ei cumpleaños de S. M. Británica con repetidas salvas de artillería.. Posteriormente salió,de allí el Lord Nelson, sin d</t>
  </si>
  <si>
    <t>r nuevas baterías en eíAmak, en cuyas obras hay empleados 1400 hombres de esta guarnición. Acaba el Almirante Nelson de comunicar su próxima partida á Inglaterra; y como han pasado por la rada de Elseneur dos navios ingleses y una fragata, se cree que dicho Almirante hace su viage en uno de aquello</t>
  </si>
  <si>
    <t>blos era como ei presagio de que sus gobiernos no tardarian en concertarse. El dia 4 al amanecer el Almirante Nelson con 30 naves de guerra de todos tamaños se presentó delante de Boloña. Una división de nuestra esquadrilla ligera se hallaba surta á 500 toesas fuera del puerto, y las 3 partes qu</t>
  </si>
  <si>
    <t>Madrid; y al profesor Barthez de Mompeller, que era ya individuo corresponsal de dicha sociedad. El Almirante Nelson, después del ataque. de la esquadrilla de Boloña/ dirigió á los buques de su mando unaocircular en-que decía: „ Me 'halfo* muy satisfecho déftino y acierto con que los Capitanes c</t>
  </si>
  <si>
    <t>de la vanguardia de ra. esquadrilla de Boloña que mas sobresalieron en los. dos combates contra el Almirante Nelson. Finalmente, en la parada del dia 23 repartió varias carabinas de honor á individuos del regimiento núm. 10 de cazadores de á caballo; y estos agraciados comiéron aquel dia con el</t>
  </si>
  <si>
    <t>salvarse. Los últimos temporales que ha habido en estos mares han dispersado nueitras esquadras. El Almirante Nelson, que salió con la suya de las Dunas el 24 por la mañana,solvió la misma tarde á aquel fondeadero á causa de los vientos contrarios y fuertes que impidiéron seguir su navegación. E</t>
  </si>
  <si>
    <t>Nelson, Lord</t>
  </si>
  <si>
    <t>Lord Nelson</t>
  </si>
  <si>
    <t>en adelante todos los vasallos del Electorado. 1 Londres 12 de Enero. E sta mañana salió de aquí el Lord Nelson para Piimouth, en donde tremolará su bandera en un navio de 112 cañones. Los nombrados Texel de 64 y Asistencia de 50 tienen orden de salir de Chatham para el mar del Norte. Se ha</t>
  </si>
  <si>
    <t>ntelir fgencia entre aquel comandante de mar y los de las tropas terrestres. Suponen algunos que el Lord Nelson irá á Constantinopla para aumentar el mfluxo que gozan allí los ingleses, y que entrará una ésquadra británica en el mar Negro si lo requieren las circunstanciáis. &lt;&gt; • .En* Portf</t>
  </si>
  <si>
    <t>estinada'para el mar del Norte: se asegura que lleva .por, segundo.: comandante al V ice-AI mirante Lord Nelson, que debía ir. alMediterraneo, , y por tercero al Contra-Almirante Fairfax. „ : , v ' 'AcaB'a de permitir éste gobierno la libre introducción y extracción de</t>
  </si>
  <si>
    <t>entonces 56 años para referir este suceso, y venir á informarse de la salud del Rey.” Ha salido el Lord Nelson con 6 navios de línea y varias fragatas para los mares del Norte; y de Portsmouth se han despachado algunos navios para reforzar los que va mandando. Antes de ayer volvió á subir</t>
  </si>
  <si>
    <t>meridional de la línea exterior de defería^UédÓ -destruida; pero el navio almirante, que montaba él Lord Nelson, y otroé 4 de línea, tuv iéron considerables danos: barjron todos f ,J y el diá 'aún h6 estaban á nado. Se asegura que 7 buques ingleses no podrán „ ya servir* 4¡a$i todos los dem</t>
  </si>
  <si>
    <t>a paz; y S. A; le aseguró que mas querría morir con honor que aceptar condiciones indecorosas.__ El Lord Nelson se trasladó sucesivamem te á 3 navios, porque los dos primeros que montaba fuéron acribillados á cañonazos; y toda su división quedó tan maltratada, que tuvo que pedie suspensión'</t>
  </si>
  <si>
    <t>s á favor del Principe de Orange. Londres 29 de Abril. L os últimos pliegos que se han recibido del Lord Nelson son de 14 de Abril: hallábase entonces indispuesto, y según dicen solicita volver á Inglaterra. Otros por el contrario aseguran que será el Almirante Parker el que vendrá, y que N</t>
  </si>
  <si>
    <t>retario de Estado" Conde de BernstorfF. Antes de entrar en Rusia irá Mr. Saint-Helensá verse con el Lord Nelson, cuya esquadra permanece á la altura- de Bornholm. Aunque se espera que quanto antes se restablezca la buena inteligencia1 entre Dinamarca é Inglaterra, se-prosigue no obstante co</t>
  </si>
  <si>
    <t>erías intenciones de la corte de Petersburgo son enteramente pacíficas, pues así lo ha asegurado al Lord Nelson el Almirante ruso TchiL chagoff, el qual en una fragata de su nación despachada de Petersburgo fué</t>
  </si>
  <si>
    <t>ejó de Revel temiendo indisponer á la corte de Rusia si permanecía en aquellas aguas. No tardará el Lord Nelson en ponerse en marcha para restituirse á Inglaterra. Le sucede en el mando de la esquadra el Almirante Pole. Una carta escrita en Egipto refiere que el Coronel Archdall al frente de</t>
  </si>
  <si>
    <t>or de esta capital la siguiente carta: „Con la mayor satisfacción os comunico que según pliegos del Lord Nelson del 27 de Mayo, parece que se ha levantado el embargo de las embarcaciones inglesas en los puertos de Rusia.” Dícese que aquí se levantará también en breve el embargo de las embarcaci</t>
  </si>
  <si>
    <t>os en dicho banco por personas así nacionales como extrangeras. Ayer escribió el Conde de Pahlen al Lord Nelson comunicándole las favorables disposiciones de S. M. I., en cuyo nombre le proponía se trasladase á esta corte. Respondióle el Almirante ingles que no podía ausentarse tanto tiempo</t>
  </si>
  <si>
    <t>barcaciones de su nación que se habhn embargado en Rusia. Copenhague 6 de Junio. I &gt;a esqundra del1 Lord Nelson ha vuelto á ia bahía de Kioege. El dia 3 se publicó una orden Rea! mandando que todos los vasallos de S. Al., que no se han alistado en los regimientos de milicias recien formados</t>
  </si>
  <si>
    <t>de aquella República. Léese en algunas gazetas de Londres que el ministerio de Rusta ha avisado al Lord Nelson que ningún navio de línea de aquella potencia saldrá al mar hasta que se arreglen enteramente las diferencias movidas entre Inglaterra y las potencias septentrionales. La subscrip</t>
  </si>
  <si>
    <t>cumpleaños de S. M. Británica con repetidas salvas de artillería.. Posteriormente salió,de allí el Lord Nelson, sin duda -para Inglaterra, con algunos navios,quedando el resto de la esquadra baxa las órdenes del Lord Pewlett. Scmlin C de Juma. . . Oegnn avisos de Turquía, Ras watt-Oglow de</t>
  </si>
  <si>
    <t>los mares consta de 25 navios de línea, 40 fragatas y muchas bombardas, cañoneras &amp;c. Parece que el Lord Nelson ha recobrado su salud; pero Mr. Graves está tan enfermo que no tardará en volver á Inglaterra. Acaba el Duque de Yorck de expedir una orden, por la qual permite que cLrto número d</t>
  </si>
  <si>
    <t>6 de la mañana salieron SS. MM. y las Princesas sus hijas para Weymouth. Él mismo dia desembarcó el Lord Nelson en Yarmouth : le recibió el pueblo con repique y muchas aclamaciones. Así que baxó á tierra, fue ai hospital á visitar á los marineros y soldados de su esquadra heridos ó enfermos.</t>
  </si>
  <si>
    <t>kerton era el que mandaba el navio Swiftsure, apresado por la esquadra del Almirante Gantheaume, El Lord Nelson, nombrado comandante en xefe de las fuerzas inglesasen los mares del Norte, salió esta mañana de aquí para Sheerness, y allí se embarcará en la fragata Amazona para su destino. Te</t>
  </si>
  <si>
    <t>onsejo privado en lugar del Lord Chatham, que ha reemplazado al Lord Cornwallis. La esquadra que el Lord Nelson manda actualmente consta de muchas naves pequeñas armadas, y el domingo ultimo se avistaba desde las alturas de Douvres: estaba surta en las costas de Francia delante de Boloña, y</t>
  </si>
  <si>
    <t>o. E ra grande y general la curiosidad del público sobre las resultas del ataque de la esquadra del Lord Nelson contra las cañoneras y otros barcos armados que los franceses han reunido en Boloná. Variaron mucho las noticias hasta que se reeibiérou cartas de dicho Almirante con fecha do ant</t>
  </si>
  <si>
    <t>zas marítimas sin que sucediese algún accidente do esta naturaleza. Antes d i ataque se trasladó ei Lord Nelson ai londro el Nilo, á ñn de acercarse m-s á las costas y dirigir por sí mismo las operaciones. En una carta privada expresa que las balas de los enemigos caían como granizo al rede</t>
  </si>
  <si>
    <t>las relaciones que los ingleses publican sobre acontecimientos acaecidos á mucha distancia. Dice el Lord Nelson que la ciudad de Boloña quedaba ardiendo. Lo cierto es que ni siquiera una bomba alcanzó al puerto ni á la ciudad, lo quíil es fácil de concebir, pues la vanguardia de ia esquadri</t>
  </si>
  <si>
    <t>- han salido de aquel puerto con tropas: se Cree van al Mediterráneo. El dia ii salió de Harwich el Lord Nelson en la fragata Medusa dirigiéndose al Sur con una división de buqués, que se reforzó con otros despachados de las Dunas. Aquella misma tarde ancló en el Peque rio-Nore, y después vis</t>
  </si>
  <si>
    <t>ualquier precia le cdnvénia alentar ef ánimo del pueolo/ Tal fué elobjeto del armamento confiado al Lord Nelson; pero como: aquella expe-» dicion se malogró, por decirlo así, debía producir un efecto contrarioaL que se había propuesto el:gabinete de S. James, el quai en este embarazo: no se</t>
  </si>
  <si>
    <t>legar un extr; or in.irio de Douvres con una carta-e^fit^r, i las io de la noche, que dice así: nEl Lord Nelson en el cúter ía Me</t>
  </si>
  <si>
    <t>Nélson, Lord</t>
  </si>
  <si>
    <t>Lord Nélson</t>
  </si>
  <si>
    <t>iderable pérdida en múejrtoí y hsíjd9S^;sijeíi»í d^ Air*0;du ésto4;el Gápitan Parker-, Ayudante del Lord Nélson,/’. f3¿ v ,,:í: og „ Estaapaíiana vino otro,expreso de Deal cpn. pliegos.d$Í, mismo i^TeJs©*A y del Almirante Lutwidge para el Almirantazgo. ,r. a : Po* órd^n-dal Rey. vuelven- i</t>
  </si>
  <si>
    <t>víó de línea ingles echado á pique. Dícese que es el nombrado el ELf .nte, un el qual se hallaba el Lord Nelson durante la b t día de 1 id- Abrí i. .. Los dos oficiales dinamarqueses sentenci dos á mu rte por no haber cumplido con su obligación en aquel combate , fuéron 11. vados esta mañana b</t>
  </si>
  <si>
    <t>uirá.) A. • .\ • ... •- . En otra gazetá extraordinaria del diar; 18 publicó la cortean a carta del Lord Nelson al secretario del Almirantazgo , :cscrita¡ á bdrdcLdóla Medusa’ dolante de Bocona el 16 de Agosto. Sú .extracto *ésá como sigue f,, Juzgué ¿propósito, intentar apoderarme de la és</t>
  </si>
  <si>
    <t>77 impreso'. extractos* .dLos^más- ímp6f.taipres-:sonT&lt;É&gt;s’dd$ -sigta!eflte¿: „ El Captan Parker al Lord Nelson. Conforme á las ordenes de V. me adelanté con la segunda- división de lanchas, y llegamos &gt;á los enemigos &amp; las-12 y media de la noche. Mandé que el Teniente Williams, que mandaba</t>
  </si>
  <si>
    <t>ose al mismo tiempo las posesiones que esta orden tiene en Francpnit* :. ... Lonaree de Agosto. E 1 Lord Nelson recibió el 22 por la noche orden de salir de las Dunas, jr el 23 por la mañana salió con rumbo al Norte en el Medusa dé 44 cañones. Llevaba baxo su mando el navio Leydeñ de 68, ot</t>
  </si>
  <si>
    <t>eri todo este mes. Extracto del Mánittf de i? del corriente. ■ „ Los Lores del Alniira'ntazgo y el Lord Nelson han publicado en sus "relaciones dé oficio que la vanguardia de la esqu2driiía ligera francesa, que en el combate dado la noche del if á 16 de Agosto ahuyentó al Lord Nelson, esta</t>
  </si>
  <si>
    <t>a dirisiom de fragatas: y el resto de aquellos mares hasta el Texél está á cargo de la esquadra del Lord Nelson, el qual se halla en las Dunas. Las divisiones de su mando se han reforzado mucho: pues ademas de los buques apostados delante de Boloña y en las costas de Flándes, tiene en las D</t>
  </si>
  <si>
    <t>derá luego sus sesiones, y por Navidad volverá á juntarse para enterarse del tratado definitivo. El Lord Nelson había salido nuevamente de Deal el i.° de este mes con la fragata Amazona y el navio Leyden de 64 cañones para las costas de Francia. El Almirantazgo le despachó sin pérdida de ti</t>
  </si>
  <si>
    <t>este mes; y en efecto, así se publico en la gazeta de ayer noche. . ■ ^ De Douwres-escriben que el Lord Nelson, e-n conseqiiencia. de las órdenes que tuvo, volvio el dia 4 las Dunas, y amo la bandera de mando. Su esquídra queda baxo las órdenes del Capitán Sutton. Ayer mañana salió de Yarm</t>
  </si>
  <si>
    <t>dadbs y marinaros del exército y esqu dra de Egipto, como también á Mr. Jayme Saumarez, de quien el Lord Nelson hizo un pomposo elogio. Desde la abertura del parlamento han baxado los fondos públicos i por ico. Parece que d empréstito que abrirá este año el gobierno ascenderá á millones de</t>
  </si>
  <si>
    <t>para muchas cortes extrangeras. La compañía de levante dió antes de ayer un espléndido banquete, al Lord Nelson y á Mr. Sidney-Smith. Entre los convidados estaban el Marques de Buckingham, el Lord Grenvillc, Mr. Guillermo Hamilton y Mr. Addington. De Portsmouth ha salido la fragata Macdstone</t>
  </si>
  <si>
    <t>a hay que nos obligue á nuevos empeños. El tratado de 1799 se firm° Poco después de la victoria del Lord Nelson, y posteriormente al de garantía concluido entre la Rusia y la Puerta. En el siguiente mes de Enero se hizo el tratado entre la Gran Bretaña y la Turquía, y según lo convenido se</t>
  </si>
  <si>
    <t>Nelspn, Almirante</t>
  </si>
  <si>
    <t>Almirante Nelspn</t>
  </si>
  <si>
    <t>en mar d en tierra , para que vuelvan á sus hogares^y permanezcan en ellos hasta el 16.de Julio. El Almirante Nelspn ha regalado á; la .academia-de C^tfe.tes ¡de marina dos medallas: la una representa su busto , vy la qtra la batalla de Abukir, acompañando los planes de los combates íenrmjg sfoh</t>
  </si>
  <si>
    <t>Nelton, Lord</t>
  </si>
  <si>
    <t>Lord Nelton</t>
  </si>
  <si>
    <t>de dicha enfermedad durante su navegación. Hoy se le cortó un muslo al Capitán Parker, Ayudante del Lord Nelton, que fue herido en el segundo ataque dado á la esquadrilla francesa del puerto de Boloña. El dia 7 á las ó de la mañana se sintió un terremoto en el Condado de Perth, y se extendi</t>
  </si>
  <si>
    <t>Nepeau</t>
  </si>
  <si>
    <t>55». . te, dirigida con fecha de iS de Marzo á Mr. Nepeau, secretario del Almirantazgo: ,, Abukir ha capitulado___ El mismo dia por la tarde llegó el Capitán Bey con 2 navios de línea, 405 fragatas ó corbetas, y alguna* naves menores.” S</t>
  </si>
  <si>
    <t>Netzel</t>
  </si>
  <si>
    <t>l Abercrombie insista én su expedición.Stockolmo 28 de Febrero. E 1 dia 17 envió esta corte orden á Mr. Netzel, Encargado de Negocios de Suecia enLóndres, para que se retire inmediatanunté de allí. Hace 6 dias salió de esta ciudad para restituirse á Inglaterra Mr. Talbot, que vino el veran</t>
  </si>
  <si>
    <t>Netztl</t>
  </si>
  <si>
    <t>nsverd, Plenipotenciario sueco en Lóndrés, habrá salido de -aquella ciudad quando llegue la orden á Mr. Netztl para que se retire. Helsingbprg 8 de Marzo. E 1 6 por la mañana llegó el Príncipe Real cíe Dinamarca desde Elseneur á está ciudad, en la qtíal se hallaba ya el Rey de Suecia, y sb</t>
  </si>
  <si>
    <t>Ney, General</t>
  </si>
  <si>
    <t>General Ney</t>
  </si>
  <si>
    <t>xtensión',,fueron muertos,’ cogidos’ó dispersos. La división de Greuchí, que sostenía el ataque del General Ney, acababa áe arrollar la reserva de los granaderos ^enemigos , quienes habían internado rodearle por la derecha. Los Generales Richepanse y Decan tuvieron que vencer en su"marcha l</t>
  </si>
  <si>
    <t>del Emperador, para entablar negociaciones de paz con el General Moreau. . . / Como la división del General Ney* ocupa el Innvirtcl, está cortada toda comunicación entre Jos estados austriacos, los de Baviera y Suabia. Por su parte los austriacos , para molestar nuestras comunicaciones, des</t>
  </si>
  <si>
    <t>Niajustado, Joseph</t>
  </si>
  <si>
    <t>Joseph Niajustado</t>
  </si>
  <si>
    <t>rita en ingles por Conyers MiddleTratado de Paz , Amistad y Comercio ton, traducida por el Exc. Sr. D. Joseph Niajustado entre el Rey N. Sr. y el Bey de colás de Azara. Quatro tomos en 4.a marquila Regencia de Túnez , aceptado y firmado 11a: adornada con 24 retratos de personages en 14 de Julio de 179</t>
  </si>
  <si>
    <t>Nicasio Be, Joseph</t>
  </si>
  <si>
    <t>Joseph Nicasio Be</t>
  </si>
  <si>
    <t>los 111, del Consejo de S. M., Alcalde de su Real casa y corte, y por la escribanía de provincia de D. Joseph Nicasio Be y tez se ha mandado sacar á pública subasta por téfcmino de 30 dias una casa perteneciente á cierta memoria de misas , que está á cargo de la iglesia parroouial de Sta. Eulalia de l</t>
  </si>
  <si>
    <t>Nicasio Beitez, Joseph</t>
  </si>
  <si>
    <t>Joseph Nicasio Beitez</t>
  </si>
  <si>
    <t>Quien quisiere hacer postura á ellas, acuda ante dicho Señor , y por la escribanía de provincia de D. Joseph Nicasio Beitez, que se admitirán las que se hicieren siendo arregladas^ previniéndose que solo se admiten posturas de la mitad en vales y la otra en metálico, de cuyo valor se rebaxarán las carg</t>
  </si>
  <si>
    <t>Nicasio Bey, Joseph</t>
  </si>
  <si>
    <t>Joseph Nicasio Bey</t>
  </si>
  <si>
    <t>e su Real casa y corte , á conseqiieneia de las Reales órdenes, y por la escribanía de provincia de D. Joseph Nicasio Bey tez $e ha mandado sacará pública subasta por término de 30 dias una casa perteneciente á cierta memoria de misas, sira en esta corte, calle de la Enccn bnda , núm. 19 , manz, 6a,</t>
  </si>
  <si>
    <t>q su Real casa y corte , á conseqüencia de las Reales órdenes., y por la escribanía de provincia de D. Joseph Nicasio Bey tez , se ha mandado sacar á pública subasta por término de 30 dias una casa perteneciente á cierta memoria de misas, que está i cargo del convento de PP. Carmelitas calzados de es</t>
  </si>
  <si>
    <t>Conseio de S. M., Alcalde de su Real Lucia de’las Reales órdenesy por k escribanía de provincia de D. Joseph Nicasio Bey tez. se ha mandado sacar a'publica subasta por termino de ^ojias una casa. per.itjneci.eqte. é cieí.t.a, meruoría. .d e misas &gt; qpe está á cargo oe la .cofradía de Animas del luga</t>
  </si>
  <si>
    <t>e de su Real casa y corte, i consequencia de las Reales órdenes y por la escribanía de provincia de Don Joseph Nicasio Bey tez, se ha mandado sacar á pública subasta por término de 30 dias, una casa perteneciente i cierta memoria de misas, que está á cargo de la iglesia parroquial de S. Justo y Pásror</t>
  </si>
  <si>
    <t>Nicasio Beytez, Joseph</t>
  </si>
  <si>
    <t>Joseph Nicasio Beytez</t>
  </si>
  <si>
    <t>e de su Real casa y corte , y á cónse.qüencia de Reales órdenes ? por la escribanía de provincia de D. Joseph Nicasio Beytez, se ha mandado sacar á pública subasta, por término de ao días, .una casa perteneciente; á cierta mepiória de misas que está á cargo de láTiglesia parroquial de Sta. Eulalia de ci</t>
  </si>
  <si>
    <t>Nicasio Reytez, Joseph</t>
  </si>
  <si>
    <t>Joseph Nicasio Reytez</t>
  </si>
  <si>
    <t>111 , del Consejo de S. M. , Alcalde dé su Real casa y corte , y por la escribanía de provincia de D. Joseph Nicasio Reytez; se ha mandado sacar á pública subasta por término de 30 dias üna casa sita en la calle/de Galatrava , núm, 21, manz. 109, perteneciente á ciertas memorias, cpmjpuesta de 930,3! p</t>
  </si>
  <si>
    <t>Nicholls</t>
  </si>
  <si>
    <t>á quantas objeciones le hiciesen, y que por ahora rio té*nia mas que decir. En la Cámara baxa habló Mr. Nicholls sobre la diminución que se advierte en la moneda de oro que circula, y propuso se formase una junta apara averiguar la causa de ello. El Lord Hawkesbury convino en que se tha acuñ</t>
  </si>
  <si>
    <t>muy impuesto, por haberlo'recorrido muchas veces siendo Capitán mercante. . El 31 de Diciembre hizo Mr. Nicholls en la Cámara de los Comunes la proposición que habia ofrecido relativa á la paz ¡pidió se presentase á S.M. un reverente recurso exponiendo á su consideración: r.° el infeliz esta-*</t>
  </si>
  <si>
    <t>a negociación de paz con Francia---- Dé 42 vocales, uno solo voto á favor de estas proposiciones de Mr. Nicholls. ' :' / ' / í • Con la gran cantidad (Je nieve que ha caído y se derritió al instante, sa? lió el Támesis de madre, inundó muchas tierras cultivadas, y puso impracticables los cam</t>
  </si>
  <si>
    <t>a'anunciada para el2 de^sté mes sobre qüe se ávéfiguhse el estado tactual de la‘ nación. Asimismo,’ Mr. Nicholls había manifestado su intención&gt; de proponer se diese á la Cárnará algún informe en órd n al propio asunto * de la. enfermedad del Rey; pero Mr. Sheridaii le disuadió de ello; ale</t>
  </si>
  <si>
    <t>Nichols</t>
  </si>
  <si>
    <t>hizo la censura de la conducta de Mr. Pitt. Y después de defender Mr. Dundas á los Ministros* tomó Mr. Nichols la palabra, y ha* bló con ménos comedimiento contra el ministerio: observó que Mr. Pitt había declarado que los nuevos Ministros seguir ín los principios de sus antecesores. ,,Me ale</t>
  </si>
  <si>
    <t>una gran parte de sus vasallos.*'^-Esta última frase fué motivo de que se hiciesen reconvenciones á Mr. Nichols, y de que se moviese disensión entre él y Mr. Pitt. Este dixo: „ Tiempo llegará en que podré manifestar las causas de mi conducta; y entonces se verá quan infundados son los cargo</t>
  </si>
  <si>
    <t>Nicocinchér</t>
  </si>
  <si>
    <t>roqmal de S. Salvador de la ciudad de PUsencia vacante por fallecimiento de D- Bernardo de Tovar, a D. Nicocinchér- oara el Beneficio del lugar de Ciguiñuela, en el obispado de VaHadcfikí, vacióte por muerte de D. Gracian Casado, a D Gabriel Ser, rano: para el Beneficio simple servidero de la p</t>
  </si>
  <si>
    <t>Nicolás Antonio</t>
  </si>
  <si>
    <t>gual aprecio han hecho de su mérito los sabios de nuestra nación, como el Mtro. -Feixoo, el erudito D. Nicolás Antonio y otros, que la gradúan de amena , copiosa, elegante y segura. En ella se trata con individualidad del origen de los Reyes del Perú ; su gobierno en paz y guerra ; dioses , idolatrí</t>
  </si>
  <si>
    <t>Nicolás Santiago</t>
  </si>
  <si>
    <t>...... *8. Nicolás Santiago,, Domingo...... Josepha Baxo;.*... Caí rasco..,..., Ledesma,.,.....; a r. 6. francisco García. Manuei.......... Simona Aparicio. Zu^nes...Soria....</t>
  </si>
  <si>
    <t>Nicole</t>
  </si>
  <si>
    <t>dose en estos ter-. minos: ,,Se han reconocido y examinado con la mayor escrupulosidad las obras de Mr. Nicole , que se hallaban suspensas hasta su eximen; y no encontrándose proposición alguna , íú doctrina que se oponga á nuestra santa religión y buenas 1 costumbres , se manifiestan para</t>
  </si>
  <si>
    <t>muchas obligaciones imporDel origen y de las reglas de la Música, tantes , escritos en Flanees por Mr. Nicole, con ¿a historia de sus progresos , decadencia y traducidos por D. Francisco Escarno : 4 y restauración', escrita en italiano por Don tomos á 12 rs. cada uno en rústica, y á 15 An</t>
  </si>
  <si>
    <t>Nielli, Almirante</t>
  </si>
  <si>
    <t>Almirante Nielli</t>
  </si>
  <si>
    <t>El Contra-Almirante Latouche-Treville está visitando varios puertos de nuestras costas; y el Contra-Almirante Nielli ha salido de Dunkerque para reconocer los ae Ostende, Nieuport, Ambéres y Flesinga. En muchos de ellos se trabaja con actividad en reparar y construir barcos chatos. El tribunal d</t>
  </si>
  <si>
    <t>Nieto, Andrés</t>
  </si>
  <si>
    <t>Andrés Nieto</t>
  </si>
  <si>
    <t>io á Ayudante al primer Teniente Don Gerónimo Riglós: ért el de España á Alférez al Portaestandarte D. Andrés Nieto, y á PórtaeMndarté ^ Cadete deí de Farnesici D. Miguel de Sóbrevilla: en el de la Costa de Cránadá a Capitán ál primer Teniente D. Francisco Villavicencío; en el de dragones de la</t>
  </si>
  <si>
    <t>Nieto, Lorenzo</t>
  </si>
  <si>
    <t>Lorenzo Nieto</t>
  </si>
  <si>
    <t>... . si. &lt;5. Lorenzo Nieto..... Juan............... Francisca Alvarez. Ledrada....... Béjar........ 4&lt;5. so. Domingo López... Juan............. N.*....... ................. Sta. María de</t>
  </si>
  <si>
    <t>Niplu, Teniente General</t>
  </si>
  <si>
    <t>Teniente General Niplu</t>
  </si>
  <si>
    <t>erador de restablecer en su empleo al Chambehnd Príncipe de Gailitzin, y ha&lt;oiQnibrado Senadores al Teniente General Niplu</t>
  </si>
  <si>
    <t>Nkasío' Beytez, Joseph</t>
  </si>
  <si>
    <t>Joseph Nkasío' Beytez</t>
  </si>
  <si>
    <t>su Real casa y corte t á cou'seqíieacia de las Reales órdenes , y por lá escribanía dé provincia de D. Joseph Nkasío' Beytez , se ha mandado sacar á pública subasta por término de 30 dias una casa perteneciente á cierta memoria de misas, que está á cargo de la iglesia parroquia!1 de S. Justo y Pastor de</t>
  </si>
  <si>
    <t>Noailles, Antonio</t>
  </si>
  <si>
    <t>Antonio Noailles</t>
  </si>
  <si>
    <t>os Voíuntariós d«J Estado: primera Subtenencia en el de infantería de Borbon al segundo Subteniente D. Antonio Noailles: esta resulta al Cadete D. Guillermo de Jau~ lin ; y Subtenencia en el Suizo de Yann al Cadete B. Xavier Zel ge r. . j Asimismo en el regimiento de dragones del Rey ha promovido S</t>
  </si>
  <si>
    <t>Nobua, Juan</t>
  </si>
  <si>
    <t>Juan Nobua</t>
  </si>
  <si>
    <t>ncia........ ai. 6. Juan Nobua...... Juan............. . María Rosa Noba. S. Pedro de ‘ '• ' Lincora...,. Chantada «*•*“*■• go. **. I</t>
  </si>
  <si>
    <t>Nogues, Miguel</t>
  </si>
  <si>
    <t>Miguel Nogues</t>
  </si>
  <si>
    <t>.......... 17a. 34. Miguel Nogues.... Miguel....... ... Antonia Maneso.. Borja.............. Idem...,....... 303. 10. Cabo i.° Mariano</t>
  </si>
  <si>
    <t>Normante, Lorenzo</t>
  </si>
  <si>
    <t>Lorenzo Normante</t>
  </si>
  <si>
    <t>gualmente los demas socios concúrrén;tes , distinguiendo con expresiones de gratitud al catedrático D. Lorenzo Normante,.á cuya actividad y estudio en 17 años de enseñanza se deben los'adeiantamientos de Ja ciencia económica y el aprovechamiento de los alumnos.-—Después en junta general de 26 de Di</t>
  </si>
  <si>
    <t>Notario y Ximenez, Miguel</t>
  </si>
  <si>
    <t>Miguel Notario y Ximenez</t>
  </si>
  <si>
    <t>s.’ lina cerca detras del mesón de la Gartuxa, de 7 cel. y 17 est. en íoox rs. 12 mrs. Patronato de D. Miguel Notario y Ximenez: una tierra en las Hazas, de t faneg'is, 3 celemines y 10 estadales,;tasada en s220 rs. Otra en JaHacefia, de 7 fa;n, y un cel. en 1417. Otra en dicho sitio, de 6 fan. y 8 c$l. en</t>
  </si>
  <si>
    <t>Madrid, para cuya, venta está comisionado D. Manuel \dngel Carrancio. v- &lt; S. Agustín. Patronato de D. Miguel Notario y Ximenez: una cerca junt# ¿ 1* baxada del prado del Quexío, de una fan. y un cel. en 173 rs. 3 mrs. Otra jan. to al prado del,Adan, de una.fan.. y, 8 cel. en ai6 rs, ao mrs. Otj*a en Dehes</t>
  </si>
  <si>
    <t>NothaTdt</t>
  </si>
  <si>
    <t>ouder de Holanda. Ha premiado S. M. con la medalla de la drden del Mérito y 20© thalers en dinero á Mr. NothaTdt,’Capitati del regimiento dé Graewenítz, por haber inventado unos fusiles para el exército, que'£esan 5 libras ménosqué los otros: son 6 pulgadas mas cortos que aquellos, y tienen</t>
  </si>
  <si>
    <t>Ntro, Príncipe</t>
  </si>
  <si>
    <t>Príncipe Ntro</t>
  </si>
  <si>
    <t>trasladaron los Reyes Ntros. Sres. del palacio de esta villa al Real sitio de S. Ildefonso; y ‘ ei Príncipe Ntro. Sr. y los Sres. Infantes al de S. Lorenzíó el Real. El Rey se ha servido nombrar para la Abadía primera silla de la colegial de Motril, en el arzobispado de Granada, vacante por</t>
  </si>
  <si>
    <t>de la fi stividad de la Concepción de nuestra Señora. Se juntó un numeroso capítulo, compuesto del Príncipe Ntro. Sr., los Sres. Infantes D. Carlos y O. Antonio, 32 caballeros Grandes Cruces, D. Tomas Lobo, Ministro Secretario,D. Ignacio Abadía, y Marques de Bondad Real, en calidad de Maestr</t>
  </si>
  <si>
    <t>ienes admitieron los Reyes Ntros. Sres. á besar su Real mano, habiéndoles dispensado igual honra el Príncipe Ntro. Sr. y las demas Personas Reales. El Rey ha nombrado para el Gobierno militar de la plaza de Olívenza al Brigadier D. Joachín de Mendoza, Coronel del Real cuerpo de Artillería. S.</t>
  </si>
  <si>
    <t>Nufiea de Castro, Alonso</t>
  </si>
  <si>
    <t>Alonso Nufiea de Castro</t>
  </si>
  <si>
    <t>de S. Fernando m, Rey de Castilla y León, protector dé la Real brigada de Carabineros ; escrita por D. Alonso Nufiea de Castro, cronista de S. M., con él retrato del Santo al frente : un tomo en 4.0 mayor, en pasta *8 rs. y en pergamino *4. Véndense en la librería de Gómez, calle de las Carretas, y en el</t>
  </si>
  <si>
    <t>Nunca de Haro y Peralta, Alonso</t>
  </si>
  <si>
    <t>Alonso Nunca de Haro y Peralta</t>
  </si>
  <si>
    <t>, y que divulgándose en todas partes, obre los insinuados efectos. -n 1,. tu t» Fl Fve. c limo. Sr. D. Alonso Nunca de Haro y Peralta, caballero PreJL-1 -*-A • . . 1-* 1 1* *.!___miAn cmnnli A n C .'jrlnt ttt las virjó siempre en adornar ““ de las lenguas tudes. Sobresalió «J^L, de Bolonia, donde fué Rector orie</t>
  </si>
  <si>
    <t>Núñez, Isidoro</t>
  </si>
  <si>
    <t>Isidoro Núñez</t>
  </si>
  <si>
    <t>da «*•*“*■• go. **. Isidoro Nuñez..... joseph.......... María Durantes... Quintanillade Qüeza........ Camón........... ys. Josep</t>
  </si>
  <si>
    <t>Núñez, Mateo</t>
  </si>
  <si>
    <t>Mateo Núñez</t>
  </si>
  <si>
    <t>en el de igual clase de la plaza de Cartagena á Capitanes á los Tenientes D. Joseph María Berrueco, D. Mateo Nuñez, D. Antonio Flor y Olmos, D. Hilario del Mueute, D. Domingo Verastegui y D. Ildefonso de la Barreda; á Tenientes de granaderos á los de fusileros D, Antonio Urruchurtu y D. Esréba</t>
  </si>
  <si>
    <t>Núñez, Tomás</t>
  </si>
  <si>
    <t>Tomás Núñez</t>
  </si>
  <si>
    <t>ipe, en las mismas provincias: para el empleo de Ayudante primero de la plaza de Manila al Teniente D, Tomas Nuñez, que lo era segundo de ella; y para Ayudante de la Real Fuerza de Santiago de las mismas islas Filipinas ai Subteniente D. Jóachin Pabon. El Rey se ha servido nombrar para la plaz</t>
  </si>
  <si>
    <t>O-Daly, Manuel</t>
  </si>
  <si>
    <t>Manuel O-Daly</t>
  </si>
  <si>
    <t>enientes de granaderos D...umios de Caumont y D. luán Idaría Narganes, y á los pnmero? Subtenientes D. Manuel O-Daly, D. Pedro Dejouy ,D. Pablo Rosello,D.Miguei 1 uictll,f)on Manuel de Olmedo, D. Joachín Buil, D. Carlos Stonor, D. Felipe Ancora v D. Benito Albini; á primeros Subtenientes a los s</t>
  </si>
  <si>
    <t>O-Donell, Carlos</t>
  </si>
  <si>
    <t>Carlos O-Donell</t>
  </si>
  <si>
    <t>D. Narciso Lafuente y D, Joseph Cembrano; en el de Irlanda á Capitán de granaderos al de fusileros D. Carlos O-Donell; á Capitanes al Ayudante te; de granaderos, al de tusiieros u. Patricio MesKeii; a primeros los segundos de granaderos D. Antonio Barellas, D. Isidoro Díaz y D. Lúeas Savage; á es</t>
  </si>
  <si>
    <t>O-Donoju y O-Rian, Juan</t>
  </si>
  <si>
    <t>Juan O-Donoju y O-Rian</t>
  </si>
  <si>
    <t>D. Joseph de Soinnn: en el de drauones de la Reyna á Teniente Coron, i al agregado t.-n esta clase D. Juan O-Donoju y O-Rian; y á Capitán en ti de Numancia á su caballero Page D. Eugenio Muría Ycbra. S. M. ha conferido el empico de Coronel del regimiento provincial de Truxiílo á D. Diego Carv. jal Roco</t>
  </si>
  <si>
    <t>Oabriel Anacleto</t>
  </si>
  <si>
    <t>ervido nombrar para la Abadía primera «illa de £a*£o3&amp; gial de Alabanza, diócesis de Pal ene ia , á D. Oabriel Anacleto ^arcíat dignidad de Chantre dé la catedral de Jaca, y Provisor y Vicario geoeralde aquél obispado: para seis Cancengías de la misma colegial á D. Francisco Antonio Martínez de Tor</t>
  </si>
  <si>
    <t>Oárlos, Archiduque</t>
  </si>
  <si>
    <t>Archiduque Oárlos</t>
  </si>
  <si>
    <t>áT estado actual de; las negociaciones pacíficas y sfe "restituirá á “Hungría. _Gon pasaportes: del Archiduque Oárlos hanidó á "ViénSi algunos oficiales'dsi exdrcito francés jpero^úoparece eiértbq[úé eí general Moreau haya ido también á aquella capital: pues se sabe búe qüedaba en Munich, de dond</t>
  </si>
  <si>
    <t>Obispa de Ermehnd, Príncipe</t>
  </si>
  <si>
    <t>Príncipe Obispa de Ermehnd</t>
  </si>
  <si>
    <t>cklemburgo y la Princesa su esposa llegaron el 19 á Dantziok: al dia siguiente comieron en casa del Príncipe Obispa de Ermehnd, en Oliva: cenaron aquella noche en casa del Gobernador Conde de Kalkreutz; y el 21 siguieron su-viage á Petersburgo. .i;;:, ó ; &gt; ’ Mmden j.° de Junio* . E ■spérase iaiquh x medi</t>
  </si>
  <si>
    <t>Obispe, Príncipe</t>
  </si>
  <si>
    <t>Príncipe Obispe</t>
  </si>
  <si>
    <t>ue las circunstancias políticas del dia no le permiten por ahora resolver en orden á su elección de Príncipe Obispe; pero encarga ai Cabildo continúe pagando las</t>
  </si>
  <si>
    <t>Obispo de Avila, Arzobispo</t>
  </si>
  <si>
    <t>Arzobispo Obispo de Avila</t>
  </si>
  <si>
    <t>cante por fallecimiento dei Exc. Sr. D. Felipe Fernandez Vallejo, al limo. Sn IX Rafael de Muzquiz, Arzobispo Obispo de Avila ; para í la Dignidad :de Prior y Canongía unida de la catedral* de ^londoúedo,: vácante por muerte de D. Francisco ViUamií' y Saayedraíj á D.-Juan Francisco Romero ^ Cura de la pa</t>
  </si>
  <si>
    <t>Obispo de Lubeck, Príncipe</t>
  </si>
  <si>
    <t>Príncipe Obispo de Lubeck</t>
  </si>
  <si>
    <t>se le pusiéron los nombres de Federico Cárlos Alexandro. Entre los testigos presentes se hallaba el Príncipe Obispo de Lubeck; los ausentes fueron la Emperatriz de Alemania, el Emperador y la Emperatriz de Rusia,, el Príncipe y la Princesa de Gales, el Archiduque Carlos, el Dtique' de Braunschweig, el Pr</t>
  </si>
  <si>
    <t>Obispo de Munstcr, Príncipe</t>
  </si>
  <si>
    <t>Príncipe Obispo de Munstcr</t>
  </si>
  <si>
    <t>, en las que parece se trata del asunto de las indemnizaciones , y quizá también de la elección del Príncipe Obispo de Munstcr. Transitan diariamente por esta ciudad caballeros rusos que van á Paris: pues son muchos los que viajan desde que el nuevo Emperador ha dado á sus vasallos libertad de salir de su</t>
  </si>
  <si>
    <t>Obispo de Munster, Príncipe</t>
  </si>
  <si>
    <t>Príncipe Obispo de Munster</t>
  </si>
  <si>
    <t>quí ha comunicado á este ministerio .el siguiente oficio: ,, Acaba de: morir él Elector de Colonia, Príncipe Obispo de Munster, prelado que gozaba de un aprecio general. S. M. el Reyde Prusia cree que sus intereses propios, los de sus coestados, y aun los de ttído el Imperio, que actualmente se halla en e</t>
  </si>
  <si>
    <t>Soberanos la elección del Archiduque Antonio á la dignidad de Elector y Arzobispo de Colonia, y de Príncipe Obispo de Munster; pero que al mismo tiempo declaren que aquellos Cabildos continuarán exerciendo h regencia de los dos estados hasta la conclusión y ajuste del asunto de las indemnizaciones. Refie</t>
  </si>
  <si>
    <t>dia y recibía en calidad de Gran Maestre de la orden Teutónica. Si, como es probable, laelección de Príncipe Obispo de Munster no produce mas consCqüencia que proporcionar al Archiduque Antonio una pensión considerable, es de creef que esta se señale sobre las rentas del Cabildo que son crecidísimas &amp;c."</t>
  </si>
  <si>
    <t>scriben que el gabinete prusiano no está en ánimo de consentir en que el Archiduque Antonio, electo Príncipe Obispo de Munster,, llegue á tomar posesión de aquel obispado. Los dos batallones de infantería y el regimiento de dragones destinados al Ducado ds Berg, llegaron el dia i.° á Muhlheim, y el siguie</t>
  </si>
  <si>
    <t>Obispo de Wurtzburgo, Príncipe</t>
  </si>
  <si>
    <t>Príncipe Obispo de Wurtzburgo</t>
  </si>
  <si>
    <t>aguncia una negociación con el Emperador para tomar á su sueldo 3® hombres de tropas imperiales. El Príncipe Obispo de Wurtzburgo ha vuelto á la ciudad de estfe nombre. Parece que el 6 de Mayo se pondrán en marcha las tropas prusianas que hay en los margraviatos, y saldrán al mando del Príncipe de Hohenlohe</t>
  </si>
  <si>
    <t>Obispo, Príncipe</t>
  </si>
  <si>
    <t>Príncipe Obispo</t>
  </si>
  <si>
    <t>osiciones ocuparán los austríacos la ciudadela de Wurtzburgo, guarnecida actualmente por tropas del Príncipe Obispo. Londres 20 de Abril. E 1 Rey se trasladó esta mañana al palacio de Kew, acompañándole el Príncipe de Gales, el Príncipe Adolfo recien llegado de Alemania, los Duques de Kent y Cu</t>
  </si>
  <si>
    <t>ler, despachado de aquí con pliegos p^ra el Emperador y p ira S. A. R. el Archiduque Antonio, nuevo Príncipe Obispo, liego á Vicna el 15 de Setiembre por la noche, y escribe que habiendo sabido que el Archiduque se hallaba en Gtatz, quiso seguir sin detenerse á la misma ciud J; pero el Emperado</t>
  </si>
  <si>
    <t>de Dohm, que está llamado por la corte ^ara darle nuevas instrucciones en orden al nombramiento del Príncipe Obispo tde Munster. Entre el Ministro Conde de Haugwitz y los Enviados de Francia y Austria, ha habido estos días muchas conferencias, cuyo objeto, según se cree generalmente, ha sido la</t>
  </si>
  <si>
    <t>Obregon, Francisco</t>
  </si>
  <si>
    <t>Francisco Obregon</t>
  </si>
  <si>
    <t>anteda de-Voluntarios de Castilla, Extremadura, Zamora, Princesa, Maillorca y León D. Pablo Alemán, D. Francisco Obregon, D. Joseph Landazeri, D. Joseph Navarro , D, Felipe de La Roque y D. Manuel Rotaeta: en el dVValencia á segundo Teniente al Subteniente de granaderos, gradeado de Teniente, D.-Ant</t>
  </si>
  <si>
    <t>Obrieit</t>
  </si>
  <si>
    <t>e Rusia y la.República b^tava. . ( ‘ N ' Hantburgá 16" de Febrero. S e ha|publicado un informe, que Mr. Obrieit, Cónsul de los EstadosUnidos en Argel, ha dirigido á su gobierno sobre las presas que las Regen-.? cías berberiscas han hecho durante los dos años últimos; y son, 27 embarcaciones</t>
  </si>
  <si>
    <t>Ocfaoa de Hondategui, Diego</t>
  </si>
  <si>
    <t>Diego Ocfaoa de Hondategui</t>
  </si>
  <si>
    <t>ública subasta la cabaña del ganado . lanar fina trashumante de las memorias pías que en ella fundó D. Diego Ocfaoa de Hondategui , unida coa sus pastos propios y de arrendamiento, casas, esquileo y demias ^fsetos anexos á este ramo de ganadería, que sustr.ncialmtnte se halla tasado e« esta forma. Las 13,190</t>
  </si>
  <si>
    <t>Ochan, Domingo</t>
  </si>
  <si>
    <t>Domingo Ochan</t>
  </si>
  <si>
    <t>ada........ 39- »7* Domingo Ochan... Manuel.......... María Caramesa.. Couselo....... Los Baños........ 39. 1 &lt;f. Joacbin Iraola..... Joseph........... Josepha González. Pamplona..... Idem..,..,..</t>
  </si>
  <si>
    <t>Ochoa, Miguel</t>
  </si>
  <si>
    <t>Miguel Ochoa</t>
  </si>
  <si>
    <t>del Consejo Real, D. Gabriel de Ilevia y Noriega, del Consejo de Ja suprema y general Inquisición,y D. Miguel Ochoa, Auditor de Rota de la Nunciatura; y al limo. Sr. D. Antonio Gaona, Obispo Prior dcUcles en la orden de Santiago:fué su padrino el Exc. Sr. Duque de Híjar, Presidente del Consejo</t>
  </si>
  <si>
    <t>Odescalchi, Duque</t>
  </si>
  <si>
    <t>Duque Odescalchi</t>
  </si>
  <si>
    <t>Ñapóles, con casi todas las personas de su corte. Igualmente salióron el Príncipe Giustiniani y el Duque Odescalchi, como también el Marques Massimi, aunque se hallaba enfermo. Permanecen todavía aquí los dos oficiales franceses que vinieron hace unos dias con pliegos de su gobierno. Qénova 2$</t>
  </si>
  <si>
    <t>ODonell, Alexandro</t>
  </si>
  <si>
    <t>Alexandro ODonell</t>
  </si>
  <si>
    <t>te al segundo D. Francisco de Velíseo* en el de Hibernia á Capitán al primer Teniente de granaderos D. Alexandro ODonell; á primer Teniente de granaderos al de fusileros D. Diego Clarke; á primer Teniente al segundo cíe granaderos D. Joseph Várela; á esta resulta al segundo Teniente D. Carlos de Cau</t>
  </si>
  <si>
    <t>OHvencia, Francisco</t>
  </si>
  <si>
    <t>Francisco OHvencia</t>
  </si>
  <si>
    <t>nez; á Subteniente de granaderos al de fusileros D. Calixto Sancho; á primer Subteniente al segundo Don Francisco OHvencia, y á segundo Subteniente al Sargento primero de gra</t>
  </si>
  <si>
    <t>Olaverri, Manuel</t>
  </si>
  <si>
    <t>Manuel Olaverri</t>
  </si>
  <si>
    <t>nombrado para este destino á D. Luis Angel Toledo, Vista primero de ella, y para el que este dexa á D. Manuel Olaverri, Vista segundo de la misma aduana. El Consejo á consulta de la Comisión gubernativa de Consolidación de Vales, y con aprobación de S. M., ha acordado la veinte y cinco amortizació</t>
  </si>
  <si>
    <t>Olegario Ximenez Estefanía</t>
  </si>
  <si>
    <t>omingo de la Calzada, obispado de Calahorra, por muerte de D. Manuel Jacinto Ximenez de Antillon, á D. Olegario Ximenez Estefanía, con retención del Beneficio que obtiene: parados Beneficios Préstamos de las villas de Villaoscusa de Haro y de Az-ñon, en la diócesis de Cuenca, vacantes por fallecimiento de D.</t>
  </si>
  <si>
    <t>Olgorouski JI, Príncipe</t>
  </si>
  <si>
    <t>Príncipe Olgorouski JI</t>
  </si>
  <si>
    <t>o lo intentaba; y al dia siguiente fué-ahorcado. * ■ Petersburgo 2 de Febrero. H a sido depuesto el Príncipe Olgorouski JI, comandante del castillo de S. Petersburgóy Teniente General. Le reemplaza en dicho mando el Mayor general Sofonow. El Emperador ha dado testimonios públicos de satisfacción al Vi</t>
  </si>
  <si>
    <t>Olivas, Francisco</t>
  </si>
  <si>
    <t>Francisco Olivas</t>
  </si>
  <si>
    <t>co, y en la sala que sirve de escuela, fueron graduados en primer lugar por sobresaliente exercicio D. Francisco Olivas, D. Pedro Lalane y Don Joseph Ainsa; el primero dio principio al acto por una disertacion'de las utilidades y progresos de la química, incluyendo en ella la historia natu-r ral, l</t>
  </si>
  <si>
    <t>Olivieri y Jos Tenientes, Capitán</t>
  </si>
  <si>
    <t>Capitán Olivieri y Jos Tenientes</t>
  </si>
  <si>
    <t>hicimos. Por. nuestra- parte tuvimos 15 muertos y. varios heridos , entre los quales se. cuentan el Capitán Olivieri y Jos Tenientes dignen y ChaIambord.&lt; Las yar-ias acciones que hubo este dia duraron desde las 9 de la mañana hasta la noche.’*,</t>
  </si>
  <si>
    <t>Olsen</t>
  </si>
  <si>
    <t>tralidad á Petersburgo: le acompaña Mr. Sick, oficial de la secretaría de dependencias extrangeras. Mr. Olsen, Ministro nombrado para residir en los Estados-Unidos de América, ha salido de aquí para embarcarse en Burdeos. Va especialmente encargado de entablar relaciones de comercio con a</t>
  </si>
  <si>
    <t>Olter, Capitán</t>
  </si>
  <si>
    <t>Capitán Olter</t>
  </si>
  <si>
    <t>or la tarde llegó de Egipto á Portsmouth el General Moaré con1 pliegos del General Hntchinson; y el Capitán Olter llegó también con cartas del Lord Keith. Contienen la noticia de oficio de haber los ingleses tomado posesión de Alexandría. Una hora después fondeó en Spithead la fragata Carmen,</t>
  </si>
  <si>
    <t>Orañez, Joseph María</t>
  </si>
  <si>
    <t>Joseph María Orañez</t>
  </si>
  <si>
    <t>Gómez : la de Cont ador Ordenador de segunda clase á Don Manuel Fernando Mascato: la de Archivero á D. Joseph María Orañez; !a Oficial de libros á D. Joseph María Teran; y las de Oficiales de glosa de primera, segunda y tercera clase á D. Manuel Tenorio de la Vanda,Don Manuel Arnaiz y D. Rafael Rincón</t>
  </si>
  <si>
    <t>Ordenanzas, Jorge</t>
  </si>
  <si>
    <t>Jorge Ordenanzas</t>
  </si>
  <si>
    <t>ión, conocimiento y manejo de Ivs na­ en pergamino, y 18 en pasta. vios y demas embarcaciones , por D. Jorge Ordenanzas para gobierno del Real SiJuan:, segunda edición, aumentada con una tio He Aranjuez , con un apéndice en qqe exposición de los principios del cálculo, no­ se contiene la Real Cédul</t>
  </si>
  <si>
    <t>Orderiz, Jorge</t>
  </si>
  <si>
    <t>Jorge Orderiz</t>
  </si>
  <si>
    <t>rar para la dignidad de Chantre de la catedral de Güamanga, en América, vacante por fallecimento de D. Jorge Orderiz, á D. Mariano Fernandez Bobadilla , Ctira en el obispado del Cuzco: para la Abadía de la Real colegiata de Ntra. Sra. de Guadalupe, extramuros de la ciudad de México, vacante por</t>
  </si>
  <si>
    <t>Ordoñez, Francisco</t>
  </si>
  <si>
    <t>Francisco Ordoñez</t>
  </si>
  <si>
    <t>á esta resulta al segundo Teniente D. Joseph Yarza; á segundo Teniente ai Subteniente de granaderos D. Francisco Ordoñez; á Subteniente de granaderos ai primer Subteniente D. Andrés Federic y Auge; á primer Subteniente al segundo D. Ildefonso Suarez, y á segundo Subteniente al Sargento primero de gr</t>
  </si>
  <si>
    <t>Ordoñez, Joseph</t>
  </si>
  <si>
    <t>Joseph Ordoñez</t>
  </si>
  <si>
    <t>primer Subteniente ai segundo Subteniente D. Angel Ponce de León* y á segundo Subteniente al Cadete D. Joseph Ordoñez: en el de Granada á segundos Subtenientes á los Cadetes D. Francisco de Paula Vázquez y D. Juan Pablo Sebastian: en el de España á Capitán de granaderos al de fusileros D. Guiller</t>
  </si>
  <si>
    <t>Ordoñez, Juan</t>
  </si>
  <si>
    <t>Juan Ordoñez</t>
  </si>
  <si>
    <t>. El Xefe de la primera división destacó el dia 4 un cuerpo de ella, al mando del Mariscal de Campo D. Juan Ordoñez , compuesto de un batallón de Guardias Españolas con su compañía de cazadores , otro de Walonas, 200 Voluntarios de Aragón, 80 Guardias rde Corps,, 40 Carabineros Reales y dos com</t>
  </si>
  <si>
    <t>Ordoño, Juan de Dios</t>
  </si>
  <si>
    <t>Juan de Dios Ordoño</t>
  </si>
  <si>
    <t>aderos al de fusileros D. Antonio Zazurca; á según-, dos Tenientes á los Subtenientes de granaderos D. Juan de Dios Ordoño y D. FranciscoWuliiez; á estas resultas á los primeros Subtenientes D. Medardo Ximenez de Bagues y D. Francisco Vileta; á primeros Subtenientes á los segundos D. Vicente Ibañez y D. I</t>
  </si>
  <si>
    <t>Ordos, Miguel</t>
  </si>
  <si>
    <t>Miguel Ordos</t>
  </si>
  <si>
    <t>Lrson, D. Joseph Buc y Palos y D. Francisco Arce35 Palaeió,. presentó á los* mismos juntamente con D. Miguel Ordos y íí^iol y. D¿. Ramón. García y Gal ve en los dias 17 ,, fT, 1-9 y 20 de Jimio-á ejercicios púbMeos en.castellano de aritmética, álgebra, geometría y proposiciones*fisicomatemáticas</t>
  </si>
  <si>
    <t>Ore, Rafael</t>
  </si>
  <si>
    <t>Rafael Ore</t>
  </si>
  <si>
    <t>Vicente de Couceyro, en aqudli dioet-sis: para otra Ración de la de Zamora, vacante por ascenso de D. Rafael Ore a una Canon, ía de Burgos, á D. Manuel de Cifuentes, Cun párroco de C astañeda, diócesis de Salamanca: para el Beneficio que obtenía D. Jos&lt;.ph de Roxas en S. Lúcar di Barrameda,.</t>
  </si>
  <si>
    <t>Oreilly, General</t>
  </si>
  <si>
    <t>General Oreilly</t>
  </si>
  <si>
    <t>rra y defensa. i. El General Lusignan ha llegado á Lemberg en calidad de comandante; y se espera al General Oreilly en la misma plaza, de la qual escriben con fecha de 2 y de Setiembre que la ciudad de Kracowiec, distante 9 millas de allí, ha quedado reducida á cenizas por un incendio. Ratisboita</t>
  </si>
  <si>
    <t>Orell, Ramón (coronel)</t>
  </si>
  <si>
    <t>Coronel Ramón Orell</t>
  </si>
  <si>
    <t>es, muchas armas y 4 carros de municiones. El día 2 se comisionó por aquellos Generales al Teniente Coronel Don Ramón Orell para acometer á Casteldavide con el batallón de Voluntarios de Barbastro de su cargo, y un esquadron de Borbon al mando del Teniente Coronel Vizconde de Zoliná: emprendió su comis</t>
  </si>
  <si>
    <t>Orellana, Francisco</t>
  </si>
  <si>
    <t>Francisco Orellana</t>
  </si>
  <si>
    <t>es D. Francisco Caballero, D. Jóseph Girón, D. Juan Vital, D. Joseph Arevaliilo, D. Luis de Ribera, Don Francisco Orellana, D. Laureano de Salas y D. Tomas dé Cear rote ;• á tenientes de granaderos á los segundos Subtenientes D. Joseph Urreay DortJ Pedro Mari ti y D. Pedro Pi riz , y;* pr ¡meros Subte</t>
  </si>
  <si>
    <t>Ornos, Gaspar</t>
  </si>
  <si>
    <t>Gaspar Ornos</t>
  </si>
  <si>
    <t>D. Alberto Soler sobre la trigonometría plana, y D. Juan Antonio Comat sobre geometría: el día 3.? D. Gaspar Ornos sobre la aplicación del álgebra á la geometría, y D. Rafael Bos Campesino sobre las secciones cónicas : en los segundos exámenes de matemática mixta D-. Felipe Martin sobre k diná</t>
  </si>
  <si>
    <t>Ortega, Antonio</t>
  </si>
  <si>
    <t>Antonio Ortega</t>
  </si>
  <si>
    <t>en el de Aragón á Capitán al Ayudante D. Juan Hungo de Velasco; á esita ¿resulta al primor Teniente D. Antonio Ortega,; á primer Teniente al segundo de granaderos D. Imiis de Soto; á-se.gnndo Teniente de granaderos al de fusileros D. Pedro -Zmoz; á segundo Teniente al Subteniente de granaderos D.</t>
  </si>
  <si>
    <t>Ortega, Joseph María</t>
  </si>
  <si>
    <t>Joseph María Ortega</t>
  </si>
  <si>
    <t>; á Teniente ele cazadores al de fusileros D. Víctor Joseph Marina, y á igual empleo de fusileros á D. Joseph María Ortega,Subteniente de la propia clase : en el de Murcia á Capitán de fusileros al Teniente D. Joseph Aldrete; á Teniente de fusileros al Subteniente de cazadores D. Luis loa** ñez, y á s</t>
  </si>
  <si>
    <t>Ortega, Luis</t>
  </si>
  <si>
    <t>Luis Ortega</t>
  </si>
  <si>
    <t>esta resulta al Subteniente D. Francisco López Ro«* mero : en el de Malaga Compañía de fusileros á D. Luis Ortega, Teniente de granaderos :.en el de Granada Tenencia de fusileros á D. Joseph Alvarez Campana, Subteniente de granaderos; esta resultad! Subteniente de fusileros Dé Antonio Naryaez</t>
  </si>
  <si>
    <t>Ortega, Pedro Miguel</t>
  </si>
  <si>
    <t>Pedro Miguel Ortega</t>
  </si>
  <si>
    <t>ey se ha servido nombrar para la Canongía de la catedral de Sigitenza, vacante por fallecimiento de D. Pedro Miguel Ortega, á D* Juan Basilio-Escantilla: para la que se halla vacante en la catedral de Santo "Domingo de la Calzada, obispado de Calahorra, por muerte de D. Manuel Jacinto Ximenez de Antil</t>
  </si>
  <si>
    <t>Ortiz de Letona, Juan</t>
  </si>
  <si>
    <t>Juan Ortiz de Letona</t>
  </si>
  <si>
    <t>stro Contador de las Reales Caxas de Comayagua, vacante por muerte de D. Joseph Julián Hernández, á D. Juan Ortiz de Letona, Ministro principal de Real Hacienda de Truxillo: para esta resulta á D, Gaspar Pilona, Interventor de la administración de alcabalas de León de Nicaragua en aquel Reyno; y para o</t>
  </si>
  <si>
    <t>Ortiz de Rozas, Ignacio</t>
  </si>
  <si>
    <t>Ignacio Ortiz de Rozas</t>
  </si>
  <si>
    <t>ule Corregidor de letr?s. - Asimismo ha nombrado S. M. al Mariscal de Campo de los Reales exércitos D. Ignacio Ortiz de Rozas para el Gobierno militar y político de San Lúcar de Barrameda, vacante por muerte de D. Manuel de Aguirre: para la Intendencia y Corregimiento político de la ciudad de Valladolid,</t>
  </si>
  <si>
    <t>Ortiz de Saracho, Diego</t>
  </si>
  <si>
    <t>Diego Ortiz de Saracho</t>
  </si>
  <si>
    <t>D. Juan Becerra; á primeros Subtenientes á los segundos D. Joseph de Mena, D. Juan de Dios Abolaña, D. Diego Ortiz de Saracho, D. Juan Regis Fernandez Costa y D. Lúeas Ortega, y á segundos Subtenientes á los Cadetes D. Joachín Palacios, D. Juan Manuel Carmona, D. Jesualdo de Vea y Murguia y D. Antonio Ma</t>
  </si>
  <si>
    <t>Ortiz y Fernández, Joseph</t>
  </si>
  <si>
    <t>Joseph Ortiz y Fernández</t>
  </si>
  <si>
    <t>onio María Naveao y Ximenez y D. Manuel Diaz y Zapa-’ da : en el de Córdoba Tenencia de fusileros á D. Joseph Ortiz y Fernandez, Subteniente de cazadores, y su resulta á D. Francisco Valdelomar, Subteniente de fusileros: en el de Pontevedra la Subtenencia de cazadores á D. Tomis Antelo, Subteniente de fusi</t>
  </si>
  <si>
    <t>Ortiz y Moreno, Tadeo</t>
  </si>
  <si>
    <t>Tadeo Ortiz y Moreno</t>
  </si>
  <si>
    <t>cazadores al de fu sileros D. Pedro Moreno de Aígarin; á Tenientes de fusileros á los Subtenientes D. Tadeo Ortiz y Moreno, D. Manuel Gil de Ja Torre y D. i'oseph Alvarez de Escovar, y á Subtenientes de granaderos y cazadores á*los de fusileros D. Joachin Tenorio y Giles y D. Francisco de Silva Berlan</t>
  </si>
  <si>
    <t>Ortiz y Sanz, Joseph</t>
  </si>
  <si>
    <t>Joseph Ortiz y Sanz</t>
  </si>
  <si>
    <t>taProntuario de dichos Tratados. .Quatro tomos en 8.a En papel á 27 rs., y en rústica á 30. dos por D. Joseph Ortiz y Sanz , Presbítero. Colección de los Tratados de Paz, Alian­ Un tomo en folio mayor. En papel á 172 rs.t za , Comercio tere,, ajustados por la Coro­ y en pasta á 200. na de España con l</t>
  </si>
  <si>
    <t>Ortiz y Teran, Joseph</t>
  </si>
  <si>
    <t>Joseph Ortiz y Teran</t>
  </si>
  <si>
    <t>D. Vicente Bracamonte; y á Ayudante en el de la Costa de Granada al primer Teniente de carabineros D. Joseph Ortiz y Teran: habiendo conferido igualmente la compañía suelta de fusileros del Reyno de Valencia al Teniente de ella D. Joseph Vicens. S. M. se ha dignado nombrar para la Vara de Alcalde mayo</t>
  </si>
  <si>
    <t>Ortiz, Francisco</t>
  </si>
  <si>
    <t>Francisco Ortiz</t>
  </si>
  <si>
    <t>s acordáron que á D¿-Juan del Campo y Valdes se fe diese la Historia de España, 9 tomos en folio; á D. Francisco Ortiz las obras de Quevedo, 11 tomos en 4.0; á D. Fernando de la Serna , Ayudante de Ingenieros, los Viages de Wanton , última edición; á D. tugenio Tourdinier la Araucana de Ercilla; á D.</t>
  </si>
  <si>
    <t>Ortiz, Joseph</t>
  </si>
  <si>
    <t>Joseph Ortiz</t>
  </si>
  <si>
    <t>gua griega , é ilustrados con algunas notas por N. Sr. y el ¡te La Gr,an Bretaña, firmado el mismo D. Joseph Ortiz. Dos tomos en 4." en Versalles á 3 de Setiembre de 1783. Pa­ Su precio 40 rs. en pasta, y 28 en papel; y pel en 4,0 á 7 rs. , y en rústica á 8. | en marquida 56 rs. en pasta , y 3</t>
  </si>
  <si>
    <t>Ortiz, Manuel</t>
  </si>
  <si>
    <t>Manuel Ortiz</t>
  </si>
  <si>
    <t>e Oficial prímero de la Contaduría de las Reates Caxás de Campeche., en la provincial de Yucatán, á D. Manuel Ortiz., en atención á sus servicios. El Prefecto de los Baxos-Pirineos en Francia ha publicado con fecha de ij de Diciembre último el decreto siguiente: „E! Prefecto de los Baxos-Pirine</t>
  </si>
  <si>
    <t>Ortuno, Nicolás</t>
  </si>
  <si>
    <t>Nicolás Ortuno</t>
  </si>
  <si>
    <t>Gironda; á segundos Tenientes á los Subtenientes de granaderos D. Juan Calderón, Joachín Benitez y D. Nicolás Ortuno, y al-primer Subteniente D. Leonardo Martines; á Subtenientes de granaderos á Josi primeros Subtenientes D. Joseph Galludo, D. Joseph Calíava y D. Rafael Ramiro; á primeros Subten</t>
  </si>
  <si>
    <t>Orue, Domingo</t>
  </si>
  <si>
    <t>Domingo Orue</t>
  </si>
  <si>
    <t>atro mesé^ y medio de su crucero. La Orué hacia el suyo á expensas de aquel consulado, y la mandaba D. Domingo Orue (de quien toma el nombre) , sugeto í quien S, M. en Marzo de 1799 concedió grado militar de la Real Armada por la gallarda defensa que hizo en el puerto de Haasco contra un corsar</t>
  </si>
  <si>
    <t>refrescos y reforzar la tripulación; pero los vientos le obligaron á mudar de pensamiento, y arribó D. Domingo Orue á YIo el 12 de Junio » desde donde comunicó estas noticias , las quales se han extractado de la extensa relación que se ha impreso.’* Madrid 7 de Julio de 1 Sai. E 1 Rey se ha ser</t>
  </si>
  <si>
    <t>Osorio Nieto de Paz, Christóbal</t>
  </si>
  <si>
    <t>Christóbal Osorio Nieto de Paz</t>
  </si>
  <si>
    <t>a Ración de la catedral de Mérida de Maracaybo, vacante por renuncia de D. Juan Antonio Trocouis, á D. Christóbal Osorio Nieto de Paz, Cura en el arzobispado de Santa Fe. En cumplimiento de lo mandado por S. M. en Real Pragmática Sanción de 30 de Agosto de 1800, y Real Cédula de 3 de Junio último, se presentaran</t>
  </si>
  <si>
    <t>Osorio, María</t>
  </si>
  <si>
    <t>María Osorio</t>
  </si>
  <si>
    <t>celemines y un estadal , tasados en 41,9^3 rs. 4 mrs. , pertenecientes á las memorias fundadas por Doña María Osorio; se ha hecho postura en la cantidad de su tasa en vales Reales , la que se ha admitido por dicho Señor Alcalde y mandado publicar. Quien quisiere hacer mejora (acuda ante S. Sría.</t>
  </si>
  <si>
    <t>zos de tierra sitos en el término del lugar de B&amp;llecas, pertenecientes á las memorias fundadas por Doña María Osorio, vecina que fué de esta villa, de caber todos ellos £4 fanegas, 10 celemines , un estadal y un tercio de otro, tasados en 41,763 rs. 4 mrs., y dan por dichas tierras la misma cant</t>
  </si>
  <si>
    <t>ha rematado una casa mesón, sita en la villa de Leganes, perteneciente é las memorias fundadas por Doña María Osorio, en la cantidad de 32,341 rs. en vales Reales, el qual se ha aprobado por el Sr. Intendente de esta provincia por su decreto de ó&gt;del corriente, y señalado 30 dias para la mejora</t>
  </si>
  <si>
    <t>y un estadal, sitos en el término del lugar de Baliteas, pertenecientes á las memorias fundadas por Doña María Osorio , vecina que fué de esta villa ; se rematáron el 17 de Agosto último, en la cantidad ;de ¿od rs. en moneda metálica ante el,Siv Alcaldep D. Manuel Prrez de Rozas,, y escribania.de</t>
  </si>
  <si>
    <t>Otal, Fernando</t>
  </si>
  <si>
    <t>Fernando Otal</t>
  </si>
  <si>
    <t>Mir; í Subteniente de compañía al de bandera D, Plácido Duro* y a Subteniente de bandera al Cadete D. Fernando Otal. c .. , En cumplimiento de los Reales decretos y cédalas de S. M. de i a y i y dé Tulió de 1707, y 22 y 29 de Noviembre dél mismo ano, se recibirán desde t.° del próximo mes de Ju</t>
  </si>
  <si>
    <t>Otano, Francisco</t>
  </si>
  <si>
    <t>Francisco Otano</t>
  </si>
  <si>
    <t>ién los dias 25 y 26 de Mayo los exámenes públicos de la cátedra de química, que dirige su profesor D. Francisco Otano; y hecho el correspondiente exercicio en el laboratorio químico inmediato al jardín botánico, y en la sala que sirve de escuela, fueron graduados en primer lugar por sobresaliente</t>
  </si>
  <si>
    <t>Otasa, Juan</t>
  </si>
  <si>
    <t>Juan Otasa</t>
  </si>
  <si>
    <t>iex en id.. 60. 30. Juan Otasa................. Juan y Engracia Rulen......... Fonrabiosa id... 81. a5. Lorenzo Guericot....... Raymundo y Teresa Rui........... S. Lorenzo de la</t>
  </si>
  <si>
    <t>Oteiza, Francisco</t>
  </si>
  <si>
    <t>Francisco Oteiza</t>
  </si>
  <si>
    <t>illeres en Leyes D. Rafael Bos, D. Christóbal Douden y D. Antonio Séta; y de i.° D. Fabian Lorente, D. Francisco Oteiza, Don’ Benito Sánchez y D. Francisco Bergcz, exercitando estos últimos sobre la ' doctrina de las Instituciones, ilustrada con las aplicaciones ménos difíciles á la práctica: los d</t>
  </si>
  <si>
    <t>Vazquez, Don , Rafael Bos y D. Fabián Lorente, por el orden que van nombrados, aproximándose á esté D. Francisco Oteiza, y se consideró á los demas en la clase de buenos; mereciendo todos no solo la aprobación de sus respectivos exercicios, sino la satisfacción de que Jos examinadores elogiasen su</t>
  </si>
  <si>
    <t>D. Isidoro Capilla, de primer año; y en la clase de buenos D. Rafael Bos Campesino, de tercer año, D. Francisco Oteiza, D, Benito Sánchez, D. Francisco Berges y D. Alfonso González de Araguz, de segundo año—_ Se celebraron también los dias 25 y 26 de Mayo los exámenes públicos de la cátedra de quí</t>
  </si>
  <si>
    <t>Otto</t>
  </si>
  <si>
    <t>an admitido las proposiciones de Bonaparte, y que se hayan desechado las negociaciones que proponía Mr. Otto.” Concluyó diciendo : w Si los nuevos Ministros ofrecen obrar en todo punto de un modo contrario á los antiguos: si en lugar de usar de ardides y sutilezas, proceden abierta y gen</t>
  </si>
  <si>
    <t>entregado de parte de su gobierno. E! 21 había tenido el Lord Hawkesbury una larga conferencia con Mr. Otto, en la quaí le comunicó el deseo de los Ministros de S. M. de entablar una negociación para el ajuste de la paz con la República francesa, y le encargó lo participase así á su gob</t>
  </si>
  <si>
    <t>do con 19 cañoneras , que han salido de Sheerness. Se ha restablecido por Calais la comunicación de Mr. Otto, como también la mayor parte de la de este pais con el Norte. Al mismo tiempo que se habla de expediciones de franceses y holandeses contra este pais, publican las gazetas inglesa</t>
  </si>
  <si>
    <t>de paz entre la Inglaterra y la Francia se han firmado esta tarde, por mí de parte de S. M., y por Mr. Otto de parte del gobierno fmnees. Os ruego publiquéis al instante esta noticia en la ciudad/' El nombre de la paz al cabo de 9 años de guerra, y quando ménos se esperaba, ha causado el m</t>
  </si>
  <si>
    <t>cang.áron hoy por el Lord Hawkesbury, uno de los principales Secretarios de Estado de S. M., y por Mr. Otto.’* Ei General trances Lauriston, Edecán de Bonapirte, llegó ayer con la ratificación del primer Cónsul, y fue á presentarla al ministerio acompañándole el ciud. Otto. Ei pueblo de</t>
  </si>
  <si>
    <t>Otto de Blome</t>
  </si>
  <si>
    <t>al colegio de Piessís. De Nancí escriben que el dia 17 pasaron por aquelia ciudad viniendo á París Mr. Otto de Blome, Chambelán de S. M. el Rey de Dinamarca, y Mr. Guillermo Dubenson, vocal de la Cámara de los Comunes de Inglaterra. El ciud. Eymar, Prefecto del departamento del Leman, ha hecho u</t>
  </si>
  <si>
    <t>Otway</t>
  </si>
  <si>
    <t>Paulo I; y esta mañana Mr. Otway, segundo Capitán de Mr. Hide- Parker, traxo al Almirantazgo pliegos, en que avisa aquel Almirante que el 2 de este mes hubo delante de Copenhague un combate muy sangriento entre n</t>
  </si>
  <si>
    <t>Oudinot, General</t>
  </si>
  <si>
    <t>General Oudinot</t>
  </si>
  <si>
    <t>e los puentes sobre el Adige, y las tropas en marcha para pasar dicho rio no léjos de Bucelingo. El General Oudinot, xefe.de la plana maybr de aquel exército, acuchilló á varios artilleros enemigos, y les cogió ün cañón. ' Posteriormente se ha publicado Ja siguiente carta del General Bruñe al M</t>
  </si>
  <si>
    <t>risioneros. Ei ala iz-&gt; quierda rodeó el Brenta, y va á entrar en Borgo de \ al-Su gana.” Carta del General Oudinot, xefe de la plana mayor del propio exército de Italia,fecha enVicenza el mismo dia. „ Ayer entró aquí et exército, co-; mo tuve la honra de avisároslo en mi anterior. En sus march</t>
  </si>
  <si>
    <t>al austríaco Bellegarde. Los austríacos han evacuado todo el país del lado de acá del Tagmmcnto. El General Oudinot, xefe de la plana mayor1, ha salido dé Treviso para París con las condiciones del armisticio.’* ' I Ha conferido el primer Cónsul eí ministerio de Jo Interior en propiedad al ciud</t>
  </si>
  <si>
    <t>Óudinot, General</t>
  </si>
  <si>
    <t>General Óudinot</t>
  </si>
  <si>
    <t>jp ^ oficiales)de planá mayor quedaron heridos, y al General Delmas le dio una bala- en la ropá; Él General Óudinot* xefe de: laTplananaiayof &gt; cogió con sus-compañías* sueltas una pieza de artillería* é hizo prisicpiercúi taíhfisajnes de É31^* ^ General Bóudet es digno t de11 a ma yor d i#tmei</t>
  </si>
  <si>
    <t>Ovalle, Joseph</t>
  </si>
  <si>
    <t>Joseph Ovalle</t>
  </si>
  <si>
    <t>Texada, Teniente de fusileros; Tenencias de esta clase á los Subtenientes de granaderos y cazadores D. Joseph Ovalle y D. Antonio Bonifacio de Alquer, y sus resultas á los Subtenientes de fusileros D. Valentín Gutiérrez y D. Manuel Calvo Tfagacete: en el de Burgos las Subtenencias de granaderos y ca</t>
  </si>
  <si>
    <t>Ovando, Pedro</t>
  </si>
  <si>
    <t>Pedro Ovando</t>
  </si>
  <si>
    <t>la parroquia de S. Benito de la dudadle Salamanca, vacante por fallecimiento de D. Joseph Lozano, a D. Pedro Ovando-, y para el Préstamo de la parroquial de Abarca, en la diócesis de Palencia, vacante por muerte de D. Manuel López, a D. Luis CJ5rti .n0, con retención de la demas renta eclesiásti</t>
  </si>
  <si>
    <t>Oviedo, Francisco</t>
  </si>
  <si>
    <t>Francisco Oviedo</t>
  </si>
  <si>
    <t>rimeros Tenientes á los segundos D. Alonso Máriii y D. Ventura Pando ; Á Alférez al Portaestandarte D. Francisco Oviedo, y á esta resulta «I SargentolD. Juan de Aguilar *. en el del Infante á Comandante deésqua•dron al Sargento mayor, graduado de Coronel, D. Alfonso Fernandez dé Córdoba : en el de</t>
  </si>
  <si>
    <t>n la compañía Italiana del Real cuerpo de Guardias de Corps ha nombrado S. M. Subrigadier al Cadete D. Francisco Oviedo. | El Rey ha gipmovido á Brigadier de infantería de sus exércitos al Co-, ronel D. Juan uaiguíllon , Gobernador de la plaza de S. Sebastian. Por la escribanía de provincia de D. J</t>
  </si>
  <si>
    <t>Oviols, Pedro</t>
  </si>
  <si>
    <t>Pedro Oviols</t>
  </si>
  <si>
    <t>.......... i...... 525,089. ü«‘iLorenzo A.migo y Soler.............................. ^ 1^,62^. .K . D. Pedro Oviols...,............................... 522,560, Joseph Andreu...................................... ...¿..i....vi 522,595. D. Martin Enseña...... 72,287. D. Pedro Alonso Montalban....</t>
  </si>
  <si>
    <t>Oxenstiern</t>
  </si>
  <si>
    <t>ermanecerán aquí 4 semanas. Copenhague ig de Octubre. A caba de llegar de Stockoimo el ciud. Duroc. Mr. Oxenstiern, Ministro de Suecia en esta corte, le ha entregado de parte del Rey su amo una carta y un presente traído por un correo extraordinario.</t>
  </si>
  <si>
    <t>PabloRamis</t>
  </si>
  <si>
    <t>o Ayudante mayor D. Juan de Mon■salbe. En el de infanteYía de Soria á segundo Subteniente al;Cadete Don PabloRamis; en el .de^Guadalaxara á segundo Teniente al Subteniente de granaderos D. Matías ¡Cardona; á Subteniente de granaderos al primer Subí teniente, D.Josepb Lagatda : á primer Subteni</t>
  </si>
  <si>
    <t>Pabon, Jóachin</t>
  </si>
  <si>
    <t>Jóachin Pabon</t>
  </si>
  <si>
    <t>de ella; y para Ayudante de la Real Fuerza de Santiago de las mismas islas Filipinas ai Subteniente D. Jóachin Pabon. El Rey se ha servido nombrar para la plaza de Regente de la Audiencia de Santiago de Chile, vacante por fallecimiento de D. Joseph de Rezabal y Ugarte, á D. Fernando Márquez de l</t>
  </si>
  <si>
    <t>Pader, Juan de Dios</t>
  </si>
  <si>
    <t>Juan de Dios Pader</t>
  </si>
  <si>
    <t>García, D. Cayetano Revueltas, a! Cadete Don Domingo Urqiiijo, y a los paisanos D. Fernando Pineda, D. Juan de Dios Pader^s, D. .Juan Marcelino Casas, D. Casildo Posada y D. Nicolás de Lora; á Subtenientes de granaderos al Cadete, D. Bartolomé Gallardo y ai Sargento segundo voluntario D. Pedro Moreno</t>
  </si>
  <si>
    <t>Padilla y Escovedo, Juan de Dios</t>
  </si>
  <si>
    <t>Juan de Dios Padilla y Escovedo</t>
  </si>
  <si>
    <t>música de ambos cuerpos. Retirada la maestranza concurrió á la noche en casa del Teniente de S. A. D. Juan de Dios Padilla y Escovedo, donde estaba convidada la nobleza, ministerio, xefes y cuerpos distinguidos, á quienes se sirvió un espléndido refresco, durante el qual hubo diferentes conciertos de música. Mad</t>
  </si>
  <si>
    <t>Padrinas, Joseph</t>
  </si>
  <si>
    <t>Joseph Padrinas</t>
  </si>
  <si>
    <t>eu......... 9. atf. Joseph Padrinas......... Francisco y Rosa Debo.............. Pesilia en id.,.. 30. a a . Juan Carrillon........,, Bernardo y Juana Carellan........ Viefesansac en</t>
  </si>
  <si>
    <t>Padrinas, Tomás</t>
  </si>
  <si>
    <t>Tomás Padrinas</t>
  </si>
  <si>
    <t>Subtenientes D. Antonio M :rí i Boix y D. Manuel González ; á primeros Subtenientes á los segundos D. Tomas Padrinas y D. Francisco Candías, y á segundos Subtenientes al Sargento primero D. Joseph Algué y á los Cadetes, del primer batallón de Voluntarios de Barcelona D. Jacinto Liados y D. Juan lera</t>
  </si>
  <si>
    <t>Padrman, Joseph</t>
  </si>
  <si>
    <t>Joseph Padrman</t>
  </si>
  <si>
    <t>e Loredo; la Tenencia de granaderos á D. Tomas Pardo, Teniente de fusileros; y otra de esta clase á D. Joseph Padrman, Subteniente de granaderos, y Subtenencia de bandera á D. Joseph Ramón de la Vega: en el de Xerez la Tenencia de granaderos á D. Francisco de Urcullu, Teniente de fusileros; Tenen</t>
  </si>
  <si>
    <t>Padrós, Joseph</t>
  </si>
  <si>
    <t>Joseph Padrós</t>
  </si>
  <si>
    <t>en el Real sitio de Aranjuez en casa de D. Antonio Masarnau, y en Cádiz en la de D. Manuel Navarro. D. Joseph Padrós, del comercio de Madrid, remitió el 16 de Enero último á D. Antonio Buenaventura Bailester, de Villanueva de Geltrú en Cataluña, 10 vales Reales, el uno de 150 pesos, de ig de Set</t>
  </si>
  <si>
    <t>PaEtino de Hungría, Archiduque</t>
  </si>
  <si>
    <t>Archiduque PaEtino de Hungría</t>
  </si>
  <si>
    <t>En breve llegará aquí el Xord Pagct, sucesor del Xprd Minto. lia regalado el Emperador de Rusia ¡al Archiduque PaEtino de Hungría todos ios bienes que dexó la difunta esposa de este Príncipe, sin excluir un,millón de rubios que tenia, depositado en Rusi., ni Es preciosas alhajas que se habian enviado p ra el</t>
  </si>
  <si>
    <t>Paftifi</t>
  </si>
  <si>
    <t>dicen , empleará 3 años. Ei Conde dé* Kdtsehubey ,* qué eirá Ministra' de lo Interior ,réémplaza á Mr. Paftifi.• * í 1 : ■. - t ■ ¡ . . Copenhague 3 de Noviembre. ■&lt; E in! lai instrucciones * dadas al' General Waltersdorf y' demas Comisarios Reales destinados para las islas dinamarquesas d</t>
  </si>
  <si>
    <t>Paget</t>
  </si>
  <si>
    <t>s Electores de Austria y Brandemburgo no h¿n manif-fiado todavía su dictamen. De Viena escriben que Mr. Paget ha salido de allí para Londres sin haber t 1 ido audiencia del Emperador ; pero que volverá antes de dos meses p.ra reemplazar al Lord Mijito como Embaxador ingles. ~T7 - Londres</t>
  </si>
  <si>
    <t>de 42 libras de calibre, Jos quales en caso de aborda ge tirarán á metralla. :' Ayer salió de aquí Mr. Paget, que se embarcará en Douvres para Viena, haciendo su viage por Francia, para lo qual ha recibido pasaportes, de aquel gobierno. La línea de defensa de nuestras costas se ha reforz</t>
  </si>
  <si>
    <t>as envían á Inglaterra. - : ? r &lt;d ¿ d ' . : • París 6de Setiembre. ■ ; H a llegado de Londres aquí Mr. Paget, que vi á reemplazar al LordMinto en calidad de Embaxador ingles cerca del Emperador de Alemania.. Su llegada á esta capital da motivo á creer que trae de paso algún encargo parti</t>
  </si>
  <si>
    <t>ho Almirante haya salido en uno de estos armamentos. Ha llegado de Douvres un correo despachado por Mr. Paget antes de embarcarse para Francia. Desde que empezaron las últimas negociaciones entre este gobierno y la República francesa, ¡amas ha sido tan freqiiente como ahora su corresponde</t>
  </si>
  <si>
    <t>y la ménos necesaria que jamas rha habido. f Londres^ de Setiembre. ; ¡nj E 1 parlamentario en que Mr. Paget fuéi(de Dowres á Calais volvió ayer al primero de dichos puertos , y pqcp daíspiíes^alió ¡para Calais con pliegos. Nada se trasluce sobre el actual estado dé las negociaciones ent</t>
  </si>
  <si>
    <t>que los ingleses han empleado para el .paso del Sund. ' Nancí g de Setiembre. J~Ia pasado por aquí Mr. Paget, que va á Viena en calidad de Embaxador ingles como sucesor del Lord Minto. Durante su viage por Francia le acompaña un mensagero de estado ingles, nombrado al intento por el gabi</t>
  </si>
  <si>
    <t>arís el Conde de Doígorowki y el Ba« ron de Ncitkant: este último es Coronel de un regimiento ruso. Mr. Paget ha llegado á Stuttgard, en donde visitó á la Duquesa de Wurtemberg, hija mayor dél Rey de Inglaterra. Por orden del Archiduque Carlos se ha avisado á los habitantes de las posesio</t>
  </si>
  <si>
    <t>ndro i, y otro del Embaxador de S. M. Católica en la corte de Viena. Según gazetas de Alemania tuvo Mr. Paget en París dos conferencias con el Ministro de Estado Talleyrand', quien lo presentó al primer Cónsul. Dícese asimismo que aquel Embaxador traía encargo de dar verbalmente explicacion</t>
  </si>
  <si>
    <t>ar sus juntas. El dia 5 á las siete de la mañana llegó de Constantinopla un correo con pliegos para Mr. Paget, Enviado británico, en que le avisan la rendición de Alexandría. Aseguran los ingleses que el General Menou hizo pocos dias antes de capitular una salida vigorosa que le costó muc</t>
  </si>
  <si>
    <t>Paget, Coronel</t>
  </si>
  <si>
    <t>Coronel Paget</t>
  </si>
  <si>
    <t>enemigos. Quedaron heridos levemente los Generales Abercrombie, Moore, Nope, Mr. Sidney-Smith y el Coronel Paget. El Coronel Abercrombie lo fué de mas gravedad.__ El Lord Keith me dice en sus últimos pliegos que todo» los heridos se restablecen: cosa tanto mas extraña, quanto todas sus herid</t>
  </si>
  <si>
    <t>Paget, Lord</t>
  </si>
  <si>
    <t>Lord Paget</t>
  </si>
  <si>
    <t>embre* A ycr tarde ertró en -este puerto un parlamentario ingles con pliegos. Viene en el tmibi.n C Lord Paget, Embajador británico, destinado para la cortq de V&amp;ena. Fuá admitido en: vista de ios pasaportes que le envió</t>
  </si>
  <si>
    <t>Paino y Barriga, Vicente</t>
  </si>
  <si>
    <t>Vicente Paino y Barriga</t>
  </si>
  <si>
    <t>para el Beneficio que obtenía D. Jos&lt;.ph de Roxas en S. Lúcar di Barrameda,.diócesis de Sevilla , á D. Vicente Paino y Barriga: para un Beneficio de la catedral de Plasencia, titulado Compañía , vacantepor .fallecimiento de D. Alonso Méndez, á D.,Antonio Basilio Alfonso; Capellán de número de la misma igl</t>
  </si>
  <si>
    <t>Palacios de Urdaniz, Jorge</t>
  </si>
  <si>
    <t>Jorge Palacios de Urdaniz</t>
  </si>
  <si>
    <t>El Rey se lú servido de dirigir á la Cámara el deerék» Tdel tenor si-1 guíente: ¿ „ Enterado de que D. Jorge Palacios de Urdaniz ha salido sin mi Real permiso de la ciudad de Valencia, abandonando los asuntos de la Intendrenciá y? Corregimiento que le habia confiado, y de la poca exactitud de sus exposicion</t>
  </si>
  <si>
    <t>Palacios, Francisco</t>
  </si>
  <si>
    <t>Francisco Palacios</t>
  </si>
  <si>
    <t>Porras, Subteniente de granaderos de dicho batallón: para esta resulta al Subteniente de fusileros D. Francisco Palacios; y para lis dos Subtenencias de bandera, vacantes en el propio cuerpo, á ios Cadetes D. Joseph F’uentes y D. Francisco de Paula Bolívar. S. M. se ha dignado conferir el empleo de</t>
  </si>
  <si>
    <t>e infantería de Blancos de Caracas á Capitán al Teniente D_ Carlos Plaza; á Teniente al Subteniente D. Francisco Palacios; á Subteniente de granaderos al de fusileros D. Pedro Manuel de Pineda, y á Subteniente de bandera al Cadete D. Joseph Mariano Bolívar. El Consejo, á consulta de la Comisión guber</t>
  </si>
  <si>
    <t>Palacios, Joachín</t>
  </si>
  <si>
    <t>Joachín Palacios</t>
  </si>
  <si>
    <t>e Saracho, D. Juan Regis Fernandez Costa y D. Lúeas Ortega, y á segundos Subtenientes á los Cadetes D. Joachín Palacios, D. Juan Manuel Carmona, D. Jesualdo de Vea y Murguia y D. Antonio María de Mené, y al Sargento primero de granaderos Don Francisco García: en el de Irlanda á primer Teniente al s</t>
  </si>
  <si>
    <t>Palafox y Croy, Antonio</t>
  </si>
  <si>
    <t>Antonio Palafox y Croy</t>
  </si>
  <si>
    <t>s María de Borbon, Cardenal de la Santa Iglesia Romana, Arzobispo de Toledo y Sevilla, al limo. Sr. D. Antonio Palafox y Croy, Obispo de ..Cuenca: siendo padrino el cabildo de su santa iglesia ,y en su nombreD.Raymundo Ettenhard y Salinas, del Consejo de S.M. , Inquisidor de Corte, Arcipreste titular de</t>
  </si>
  <si>
    <t>6 tomos : Continuation des Essais, g volúmenes &amp;c”: traducidas en español y dedicadas al Iimo^ Sr. D. Antonio Palafox y Croy , Obispo de Cuenca, por D. Francisco Antonio de Escartin : tomos i.° y a.°; de los Ensayos. Se hallarán en el despachóle la imprenta Real, y en la librería de Escantilla, frente á</t>
  </si>
  <si>
    <t>Palafóx, Antonio</t>
  </si>
  <si>
    <t>Antonio Palafóx</t>
  </si>
  <si>
    <t>ma iglesias para el Árcediánato de la catedral de Cuenca, Vacante ¡por la promoción del Ilitoo. Sr. D. Antonio Palafóx áObispo xlfe aquelladhScesisyai Sr* 0b ^nán Antpnio^Rodíig^arez^Xjahónigo úé la ReatiglésraP de^Sy ¿¿ro de MadridvparaelDeanato delacafedraldeLeon, vacanteporfalle-*cimiento de D.</t>
  </si>
  <si>
    <t>Palatino de Hungría, Archiduque</t>
  </si>
  <si>
    <t>Archiduque Palatino de Hungría</t>
  </si>
  <si>
    <t>s indemnizaciones. El Archiduque Carlos ha salido de aquí para OfFen, en donde verá á su hermano el Archiduque Palatino de Hungría. Se ha reformado el cuerpo franco húngaro llamado Capas-roxas, que fué muy célebre en algunas guerras de Alemania. Trata esta corte de reunir la Dalmacia con la Hungría, á cuyo ef</t>
  </si>
  <si>
    <t>L'A 6 de este mes se presentó á vista de este puerto un numeroso convoy, en que venía de Venecia el Archiduque Palatino de Hungría, á quien una fuerte? tormenta detuvo dos dias en el mar. Apenas se acercó á esta ciudad fue s.dudado con 21 cañonazos. Acompañaba á la embarcación de este Príncipe una fragata ing</t>
  </si>
  <si>
    <t>Palatino de Hungría, Joseph (archiduque)</t>
  </si>
  <si>
    <t>Archiduque Joseph Palatino de Hungría</t>
  </si>
  <si>
    <t>por primera vez las armas del Emperador en ! los tres estandartes .que hayla plaza de $. Máteos. El Archiduque Joseph Palatino de Hungría ha llegado á esta ciudad, 1 acompañándole el General en xefe Conde de Bellegarde y el Comisario imperial Conde de Maylath. Los dias siguientes visitó S. A. el arsenal, el castillo</t>
  </si>
  <si>
    <t>Palatino, Archiduque</t>
  </si>
  <si>
    <t>Archiduque Palatino</t>
  </si>
  <si>
    <t>to hace* á Hungría: quizá tampoco irá al exército de Alemania. El 29 del mes anterior llego aquí el Archiduque Palatino, y el propio día volvió á salir para Hungría, ©n donde aseguran se ha movido algún desasosiego. A 68® hombres asciende, según dicen, el exército que se ha formado en el mencionado</t>
  </si>
  <si>
    <t>ornos de, Luxcmburgo, y asistió á ellas el Emperador con todos los Generales que se hallan aquí. £1 Archiduque Palatino mandó] las maniobras ¿ y las. tropas las executáron con la mayor exactitud y pericia. i ■ ■ Eos diputados de Liuz han abierto en esta capital un empréstito de un millón de florine</t>
  </si>
  <si>
    <t>ción en su nombre y en el del Imperio.” 1 y Qffen 8 de Marzo. 1 ^ Gran Duquesa de Rusia, esposa del Archiduque Palatino, dio esta mañana á luz una Princesa, que solo vivió dos horas. La guarnición francesa de Leoben b,a evacuado aquella ciudad , y todai las tropas republicanas han salido de la Aka-</t>
  </si>
  <si>
    <t>Es preciosas alhajas que se habian enviado p ra ella y para su hijo ánt s que muriesen. El referido Archiduque Palatino;rha; ido á Venrcia,- err donde se detendrá un mes, y luego marchará á Móskow, passmdo poí:Offtn¿ para asistir retí 'aquella capital de Mosco via;ája cerernonia d« la coronación de</t>
  </si>
  <si>
    <t>idelidad de sus nuevos vasallos. Correspondiendo á los deseos del Emperador de Rusia, ha fundado el Archiduque Palatino en Offen un convento griego, en el qual habrá 6 sacerdotes y 8 novicios, y en él se depositarán las cenizas de la Archiduquesa Palatina. ^ • Dé Sémlin éscriben que Baswan-Oglow envi</t>
  </si>
  <si>
    <t>Palatino, Miguel</t>
  </si>
  <si>
    <t>Miguel Palatino</t>
  </si>
  <si>
    <t>miento de infantería ñxo de Puerto Rico se ha servido el Rey promover á Capitán primero al Ayudante D. Miguel Palatino; á Ayudante al Capitán segundo D. Marcelo Porrata; á Capitán segundo ai Teniente de granaderos D. Matías del Castillo; á Tenientes de granaderos á ios de fusileros D. Joseph Power</t>
  </si>
  <si>
    <t>Palau, Antonio</t>
  </si>
  <si>
    <t>Antonio Palau</t>
  </si>
  <si>
    <t>ada tomo, en rústica á 22 , y 30 en senos y tangentes ce segundo en segundo én pasta: traducida por D. Antonio Palau. los quatro primeros grados , y de diez en diez Plantarum Icones atque descriptiones b'c. segundos en todos los grados del quadranté; esto es , Estampas y descripciones de las las</t>
  </si>
  <si>
    <t>Palenquist, Almirante</t>
  </si>
  <si>
    <t>Almirante Palenquist</t>
  </si>
  <si>
    <t>expresa de S. M. para asistir á lás deliberaciones relativas á los armamentos marítimos. .El Contra-Almirante Palenquist mandará la esquadra que esta potencia tiene qué alistar en virtud del convenio de neutralidad. Por si llega el Waso de exigirlo las circunstancias, están prontas dos divisiones de</t>
  </si>
  <si>
    <t>Palou, Juan</t>
  </si>
  <si>
    <t>Juan Palou</t>
  </si>
  <si>
    <t>a lar-Teaencia de£adadores&gt;al:Teniente de.fn»ileroS;D. Antonio Salas, y Te-* íiencia de fusileros á D. Juan Palou ,. Subteniente del propio cuerpo: en el dé Valencia Tenencia de* fusílelos al Subteniente D. Joseph Fos y Carboneü; las Subtenencias dev granaderos y cazadores á los Subtenientes</t>
  </si>
  <si>
    <t>Panadero, Antonio</t>
  </si>
  <si>
    <t>Antonio Panadero</t>
  </si>
  <si>
    <t>ente al. Cadete del de América D. Ventura Escario: en el de América á primer Subteniente al segundo D. Antonio Panadero, y á segundo Subteniente al Cadete D. JLgnacio Rodríguez de Soto: en el batallón de Voluntarios de Tarragona á Capí tan segundo al primer Teniente, graduado de Capitán, 0. Manuel'</t>
  </si>
  <si>
    <t>Panigo, Antonio</t>
  </si>
  <si>
    <t>Antonio Panigo</t>
  </si>
  <si>
    <t>¿ Rey á Alféreces á los Cadetes D. Manuel Magarola , Lope de Mesa y Ponte, J?. Jesús María Franco, D. Antonio Panigo, D. Antonio Rodríguez Valdérábano, D. RafeePPerez de -Guzmah el Buenos y D. Isidoro do, tanda. En el de infantería de la Corona a segundo Subteniente al Sargento primero^ distingu</t>
  </si>
  <si>
    <t>Pantaleon de Santa María</t>
  </si>
  <si>
    <t>ha nombrado para la plaza de Oficial segundo mayor de la Contaduría general de tabacos de Sta. Fe á D. Pantaleon de Santa María, Oficial segundo: para este destino á D. Manuel Pardo, Oficial tercero, y para esti resulta á D. Joseph Joachin de Urdaneta: para el empleo de Oficial mayor de las Caxas Reales de</t>
  </si>
  <si>
    <t>Pantoja, Manuel</t>
  </si>
  <si>
    <t>Manuel Pantoja</t>
  </si>
  <si>
    <t>Antonio Navarro, D. Buenaventura Berrueco, D. Manuel Urruchurtu, D. Joseph María Gómez de Humaran, D. Manuel Pantoja, D. Joseph Ignacio García, D. Cayetano Revueltas, a! Cadete Don Domingo Urqiiijo, y a los paisanos D. Fernando Pineda, D. Juan de Dios Pader^s, D. .Juan Marcelino Casas, D. Casild</t>
  </si>
  <si>
    <t>Parada, Manuel</t>
  </si>
  <si>
    <t>Manuel Parada</t>
  </si>
  <si>
    <t>lón de infantería fixo de Veracruz se ha servido el Rey promover á Capitán al Teniente de cazadores D. Manuel Parada; í Teniente de cazadores al de fusileros D. Joseph Sierra; á Teniente de fusileros ai Subteniente de cazadores D. Joseph María Cuervo; á Subteniente de cazadores al de fusileros D</t>
  </si>
  <si>
    <t>Páramo, Ignacio</t>
  </si>
  <si>
    <t>Ignacio Páramo</t>
  </si>
  <si>
    <t>ido, mandando'continuar los pregones por 8 dias mas, y señalado para el rematé el £7 de este mes, • Don Ignacio Páramo, cirujano en la ciudad de PatAplona, ha’ hecho varias curaciones del mal canceroso ulcerado (sin caries) así en labios como en narices, executadás sin extirpación tíl disecación,'</t>
  </si>
  <si>
    <t>Pardo de Celar, Joseph</t>
  </si>
  <si>
    <t>Joseph Pardo de Celar</t>
  </si>
  <si>
    <t>, como también á los Soldados distinguido» de los de infantería Je Toledo y Jaén 0. Ramón Brandis y D. Joseph Pardo de Celar en el de Suizos de Reding a Capitán primero al de granaderos D. Juan Christkno Bagníoud; á esta resulta al Capitán segundó D. Antonio Kayser; i Capitán segúado al Teniente de granad</t>
  </si>
  <si>
    <t>Pardo Montenegro, Joseph María</t>
  </si>
  <si>
    <t>Joseph María Pardo Montenegro</t>
  </si>
  <si>
    <t>provinciales ha promovido el Rey en el de Lugo á Capitán de fusileros al Teniente de la misma clase D. Joseph María Pardo Montenegro; á su resulta al Subteniente D. Manuel Vázquez Tabeada, y á Subtenientes de bandera á D. Dámaso Bernardo Aldao Rodríguez del Monte y D. Fernando Manuel Montenegro: en el de Mondoñ</t>
  </si>
  <si>
    <t>Pardo, Francisco</t>
  </si>
  <si>
    <t>Francisco Pardo</t>
  </si>
  <si>
    <t>á D. Joseph Joachin de Urdaneta: para el empleo de Oficial mayor de las Caxas Reales de Antioquía á D. Francisco Pardo : para el de Administrador particular dé Rentas estancadas de la Vega de Süpiá á D. Joseph María de Buenaventura: para el de Administrador subalterno de las Rentas de tabacos y pó</t>
  </si>
  <si>
    <t>án D. Francisco de Toro y D. García Vailedor; á segundos Tenientes de granaderos á los de fusileros D. Francisco Pardo, D. Antonio Valladares y D. Luis de Rueda; á segundos Tenientes á los Subte</t>
  </si>
  <si>
    <t>Pardo, Joseph María</t>
  </si>
  <si>
    <t>Joseph María Pardo</t>
  </si>
  <si>
    <t>vales Reales de 360 pesos/creación de i.° de Mayo , num. 44&lt;$,04i y44¡3f,d$4, «novados á nombre de D. Joseph María Pardo, y sin más endoso. Quien supiere ei paradero de ellos fos entregará en el almacén de papel -de‘ D. Manuel Rodríguez de Castro, calle del Cárneo, cúm. 1'. ' / J,, ... \ ^ Por la au</t>
  </si>
  <si>
    <t>Pardo, Manuel</t>
  </si>
  <si>
    <t>Manuel Pardo</t>
  </si>
  <si>
    <t>a general de tabacos de Sta. Fe á D. Pantaleon de Santa María, Oficial segundo: para este destino á D. Manuel Pardo, Oficial tercero, y para esti resulta á D. Joseph Joachin de Urdaneta: para el empleo de Oficial mayor de las Caxas Reales de Antioquía á D. Francisco Pardo : para el de Administr</t>
  </si>
  <si>
    <t>Pardo, Tomás</t>
  </si>
  <si>
    <t>Tomás Pardo</t>
  </si>
  <si>
    <t>pernumerario D. Salvador Galeano; y por Cadetes supernumerarios á los Gpardias de la misma compañía D. Tomas Pardo y D. Francisco Pió Manrique de Lara. En el regimiento de infantería de Saboya se ha servido promover el Rey á Capitán de granaderos al de fusileros D. Julián de Sequera; á Capitán al</t>
  </si>
  <si>
    <t>ores y granaderos D. Joseph Perez S. Martin y D. Angel Moran de Loredo; la Tenencia de granaderos á D. Tomas Pardo, Teniente de fusileros; y otra de esta clase á D. Joseph Padrman, Subteniente de granaderos, y Subtenencia de bandera á D. Joseph Ramón de la Vega: en el de Xerez la Tenencia de g</t>
  </si>
  <si>
    <t>. En la compañía Americana del Real cuerpo dé Guardias de Corps há nombrado S. M. Cadete al Guardia D. Tomas Pardo. En el regimiento de Reales Guardias Españolas se ha servido promover el Rey á segundo Teniente al Alférez de granaderos D. Pedro Zuloaga. En el de infantería Suizo de Schwaller á</t>
  </si>
  <si>
    <t>Paredes, Alexo</t>
  </si>
  <si>
    <t>Alexo Paredes</t>
  </si>
  <si>
    <t>a: en el de España á primer Teniente al segundo D. Elias Gavilanes, y á segundo Teniente al Alférez D. Alexo Paredes: en el de Calatrava á Alférez al Portaestandarte D. Joachín del Campo; y ea el de Santiago á segundo Teniente al Alférez D. Bartolomé Mercado, y á Portaestandarte al Sargento D. J</t>
  </si>
  <si>
    <t>Parker</t>
  </si>
  <si>
    <t>ndo estas respetables fuerzas, que se creen destinadas para el BUtico, mayor-, mente sabiéndose que Mr. Parker lleva 10 pilotos muy impuestos en la navegación de aquel mar. Iin Yarmouth-quedan quatro navios de 64,.uno de* 54, otro.de 50, tres fragatas:, un cúter y una cañonera, baxoJas órd</t>
  </si>
  <si>
    <t>gio’: el mámero» de las que se salvaron se regula en* .. . Un oficial de. la msWHraada esqi.adra de Mr. Parker escribevqpeel pnWer intento de aqaelias fuerzas navales será forzar el pasa-dd,-Sund, aun&lt;me se .considera conro empresa muy dificrl, pues .-aquel estros,ao no nene 2nñ..vraillas&lt;&gt;d</t>
  </si>
  <si>
    <t>2 de Abril. A jer recibió el gobierno noticia de que la ésquadra que salió de Yármóuth al mando de Mr. Parker, ha pasado el Sund, habiendo hallado poca resistencia por parte de las baterías de Cronberg y Heísimburgo, que guardan la entrada de aquel estrecho. Mrs. Vansittart y Drummond se</t>
  </si>
  <si>
    <t>5°9 ministerio cartas de Mr. Parker; pero no las ha publicado.. De Calais á Douvres llego el dia 26 una embarcación, á cuyo bordo viene de Francia el Lord Wicomb. La fragata Tcrpsícore ha enviado á las Dunas un berg</t>
  </si>
  <si>
    <t>carla desde luego. En efecto, ayer tarde llegó el Soberano; y hoy contestó el Almirante Cronstedt á Mr. Parker en los siguientes términos: „ Señor Almirante. El Rey mi amo me ha encargado responderos de oficio á la carta con que me honrasteis el dia 18. Persuadido S. M. de que V. E. conoce p</t>
  </si>
  <si>
    <t>rmisticio hasta que se arregle toda desavenencia entre Inglaterra y las potencias del Norte. Añadía Mr. Parker que en prueba de su anhelo en contribuir á dicho ajuste, había dado orden para que no se molestase de modo alguno</t>
  </si>
  <si>
    <t>Parker Labia, Almirante</t>
  </si>
  <si>
    <t>Almirante Parker Labia</t>
  </si>
  <si>
    <t>xo eT2 5 del mes anterior al Almirante Cronstedt otra carta del Lord Nclson, en que le decía que el Almirante Parker Labia declarado libre la navegación dé los suecos en el Báltico y el Cato* gzt; p»ro como la Suecia no habla hecho igual declaración á'favor de los •ingleses, pedia sobre ello una respuest</t>
  </si>
  <si>
    <t>Parker, Almirante</t>
  </si>
  <si>
    <t>Almirante Parker</t>
  </si>
  <si>
    <t>Londres 2 ¿f de Marzo. H a entrado en Whitby con algunas averías una embarcación de la esquadra del Almirante Parker, á la que dexó el dia 15 navegando hácia el Sund. Consta por noticias de Lisboa que el navio S. Nicolás de 74 cañones, perteneciente á la división del Vice-Almirante Calder, y.una</t>
  </si>
  <si>
    <t>ír* intentado el paso del Sund el día 24 *m embargo dé qae tenia favorable oí viento. Díeese que el Almirante Parker ha declarado que no lo emprenderá hasta lá vuelta de un cifter que ha despachado á Londres para comunicarle la última respuesta de Copenhague, y hasta recibir la resolución dé SU</t>
  </si>
  <si>
    <t>n el Plenipotenciario extraordinario Varisittart: y entre tanto la esquadra inglesa, mandada por el Almirante Parker* y destinada para el Báltico, llegó efectivamente á las costas de Seelanda. En vtstaide todas estos {acontecimientos paréce que la corte de Londres nb quiere absolutamente desisti</t>
  </si>
  <si>
    <t>as llegó á Leith Mr. Vansittart se despachó de aquel puerto: un barco muy velero con cartas para el Almirante Parker* Posteriormente han salido para el Sund otras embarcaciones. De Liíford escriben con fecha del 7 que NapperrTandi fué sentenciad» á muerte, habiéndose señalado el día* 4 de Mayo p</t>
  </si>
  <si>
    <t>cos. Casi no se avistan buques ingleses en estos mares; sin duda han ido á reforzar la esquadra del Almirante Parker. Se ha prorogado por 8 dias el embargo de todas las embarcaciones surtas en los puertos de la República: las de los Estados, anglo-americanos, que se habían declarado Ubres, han v</t>
  </si>
  <si>
    <t>que tuviese medio de corresponderies con un solo tiro. El Contra-Almirante Nelson había ofrecido al Almirante Parker concluir el ataque de la primer línea de defensa en hora y media de tiempo á mas tardar ; pero duró cerca de 5 horas por la heroyea resistencÍA de los dinamarqueses: no cogieron a</t>
  </si>
  <si>
    <t>ua no cooperará la Dinamarca en el convenio llamado tratado de neutralidad. Los navios que manda el Almirante Parker no molestarán baxo pretexto-alguno á los de S. M. Dinamarquesa, ni á las costas de las varias islas y provincias de Dinamarca y Jutlandia; y á fin de precaver quinto pudiese infun</t>
  </si>
  <si>
    <t>uso mas daño que otra alguna á la esquadra inglesa. Elseneur I fj de Abril. P asa por cierto que el Almirante Parker de resultas del combate del dia 2 mando quemar 3 navios de la división de Nelson, echar 2 á pique, y.despachó á Inglaterra otros 2, que espera podrán aun servir haciéndoles grandes r</t>
  </si>
  <si>
    <t>A yer noche «é:recibiéron cartas de Copenhague con aviso de qué 16 rii-; víos de línea al mando del Almirante Parker 'han entrado, en él mar Báltico. Sin embargo, añaden qúe no pasarán de Kioge-Bugt; y se cree así desaparecido de estas costas ingh bierno-bát?áyoi ePúltimCf embargo- qüé se habla</t>
  </si>
  <si>
    <t>ables de qualquiera hostilidad contra dichas potencias. Esta declaración se comunicó desde luego al Almirante Parker. No solamente en esta capital , sino también en muchas ciudades del Reyno, se juntan voluntariamente fondos para socorrer á los heridos y á los parientes de los muertos en el comb</t>
  </si>
  <si>
    <t>ndispuesto, y según dicen solicita volver á Inglaterra. Otros por el contrario aseguran que será el Almirante Parker el que vendrá, y que Nelson tomará el mando en xefe de la esquadra. Añaden que en el combate de Copenhague hubo descuido ó falta de inteligencia en las señales, y que se hará examen</t>
  </si>
  <si>
    <t>na 2 3 de Abril. E I día 9 se presentó la esquadra inglesa á vista de este puerto, y el 18 envió el Almirante Parker por una fragata parlamentaria la siguiente carta dirigida á nuestro Gobernador; }tA bordo del navio almirante el Londres, 18 de Abril. Desde que la corte de Dinamarca ha concluido</t>
  </si>
  <si>
    <t>tn la bahía de Kioege: algunos de sus buques han salido para el Sund. Se asegura que luí bridóse el Almirante Parker cerca de Cariscrona supo por pliegos de 1 Ministro de Rusia que aquel Emperador deseaba concluir-por negociación las actuales desavenencias con la Gran Bretaña, y que esto ¡ué lo</t>
  </si>
  <si>
    <t>nhague! mandó se leyese á las tripulaciones; y todos los navios se empavesaron é hiciéron salva. El Almirante Parker ha escrito ,1 gobierno que el Ministro ruso en Dinamarca le había hecho en nombre de su Soberano y de las potencias del Norte proposición ? tan m oderad *s que juzgó conveniente s</t>
  </si>
  <si>
    <t>extrangeros, ha empezado ya á despachar este ministerio. Copenhague JO de Abril. H a respondido el Almirante Parker á Mr. de Lisakewitz, Ministro ruso, diciéndole que apénas tuvo noticia de las disposiciones amistosas del nuevo Emperador, mandó suspender toda hostilidad contra rusos, dinamarque</t>
  </si>
  <si>
    <t>esquadra inglesa sin que les pusiesen el menor obstáculo en su navegación. Igualmente, ha dexado el Almirante Parker pasar varios barcos destinados para Cariscrona con cargamento de granos. En virtud cíe la última resolución de S. M. Británica, por la que disuelve el cuerpo de Conde, y manda la</t>
  </si>
  <si>
    <t>1 Colegio ó Junta de comercio de esta cm,dad ha dado aviso á jos comerciantes de haber declarado el Almirante Parker que ya no se necesir tan pasaportes para navegar-en ¡el Báltico ni en .el Cattegat, pues no se molestará; al comercio.de los dinamarqueses ^suecos. y rusos,. y en esta conformidad</t>
  </si>
  <si>
    <t>uecia. Copenhague 13 de Mayo. E 1;Coronel Stuwart^qus vino de Lóndres en calidad de correó, tnxo al Almirante Parker la orden dé entregar el mando de la esquadra inglesa ert el Báltico al Almirante Nelson, y de que se restituyese inmediatamente á Inglaterra. En efecto, el día 3 pasó el Sund en una</t>
  </si>
  <si>
    <t>yo. L uego que la esquadra inglesa se alejó de estas aguas, escribió el Více-Almirante Cronstedt al Almirante Parker con fecha del 26 preguntándole ea nombre de S. M. Sueca si debia considerarse la partida de la esquadra británica como una prueba de que las embarcaciones mercantes de las potenci</t>
  </si>
  <si>
    <t>recibiese respuesta de su gobierno; pero nada consiguió del Baxá tripolino. Ha llegado á Londres el Almirante Parker. Queda el Almirante Nel— son mandando nuestra esquadra en el Báltico. En Portsmouth se está alistando á toda priesa una esquadrilla de cañoneras para defensa de las islas de Jerse</t>
  </si>
  <si>
    <t>neral de la isla de Sto. Domingo Santos Louverture ha sido nombrado Prefecto de aquella colonia. El Almirante Parker pidió al Almirantazgo se examinase en consejo de guerra su conducta desde el- combate de Copenhague hasta que dexó el mando de la esquadra del Báltico, supuesto que la habían cens</t>
  </si>
  <si>
    <t>Parker, Capitán</t>
  </si>
  <si>
    <t>Capitán Parker</t>
  </si>
  <si>
    <t>colonia, muríéron 37 hombres de dicha enfermedad durante su navegación. Hoy se le cortó un muslo al Capitán Parker, Ayudante del Lord Nelton, que fue herido en el segundo ataque dado á la esquadrilla francesa del puerto de Boloña. El dia 7 á las ó de la mañana se sintió un terremoto en el Cond</t>
  </si>
  <si>
    <t>anto en reconquistar un pais cuyos habitantes eran, por decirlo así-, enemigos de los franceses. El Capitán Parker ha muerto de resultas de haberle cortado un muslo. Seis embarcaciones de. un convoy que salía de Jamayca, y la fragata -Lowestosse que. lo escoltaba, han zozobrado en una de las i</t>
  </si>
  <si>
    <t>Parker, Lord</t>
  </si>
  <si>
    <t>Lord Parker</t>
  </si>
  <si>
    <t>tratado de tregua no se ha hecho mención de los Ducados pertenecientes á Dinamarca, ha ofrecido el Lord Parker que ios ingleses no molestarán en el Báltico la navegación de los naturales da aquellos países. Casi no se duda de que se arreglarán amigablemente 1 ¡s desavenencias pendientes en</t>
  </si>
  <si>
    <t>Parkerytráhfc, Almirante</t>
  </si>
  <si>
    <t>Almirante Parkerytráhfc</t>
  </si>
  <si>
    <t>toó- -ir-, -?* , ,_..r f&gt;'j -n •* l r,-,'•'•rí’* ''A: . * El Coronel ñtevrartque traza pliegos dél ^Almirante Parkerytráhfc también una catea dél Príncipe Real deuDinamarcíi para S. M. Británica^v^ hasta que llegó aquí? quef&gt; fulel dia2ü,ma sapo la muerte del1 Emperador de Rusia. Este. oficial vdlvió i</t>
  </si>
  <si>
    <t>Parody, Joseph</t>
  </si>
  <si>
    <t>Joseph Parody</t>
  </si>
  <si>
    <t>; á esta resulta al segundo Teniente D. Pedro Lacy; á segundo Teniente al Subteniente de granaderos D. Joseph Parody; á Subteniente de granaderos al primer Subteniente D. Joseph Ramón Mackenna, y á primer Subteniente al segundo D. Francisco de Velíseo* en el de Hibernia á Capitán al primer Tenie</t>
  </si>
  <si>
    <t>Parra, Juan</t>
  </si>
  <si>
    <t>Juan Parra</t>
  </si>
  <si>
    <t>as Muriel, Cura de S. Miguel; para otra Canongía vacante en la propia colegial por fallecimiento de D. Juan Parra, á D. Juan Tason; y para la Ración de la colegial de Xerez de la Frontera, en el dicho arzobispado de Sevilla, vacante por fallecimiento de D. Ignacio Virto, á D, Antonio Joseph G</t>
  </si>
  <si>
    <t>Párraga, Miguel</t>
  </si>
  <si>
    <t>Miguel Párraga</t>
  </si>
  <si>
    <t>dro Gasea; á segunde Teniente al primer Subteniente D. Justó Racax; á primer Subteniente al segundo D. Miguel Párraga, y á segundo Subteniente al Cadete 1). Manuel Pascual: en el regimiento de infantería de Borbon á primer Teniente de granaderos al de fusileros D. Carlos Renaldo de San Christóbal</t>
  </si>
  <si>
    <t>Partearroyo, Francisco</t>
  </si>
  <si>
    <t>Francisco Partearroyo</t>
  </si>
  <si>
    <t>de Paula Quesada: para dos Canongías de la metrooolitana de Zaragoza, vacantes por fallecimiento de D. Francisco Partearroyo y D. Isidro Vidal, á D. Juan Francisco de Albear y D. Manuel Perez Camino, Canónigos dé ia santa iglesia de Burgos-: para otra Cañonería de la colegial de Tremp, diócesis de Urgel, á</t>
  </si>
  <si>
    <t>Pasca</t>
  </si>
  <si>
    <t>del obispado de Guadix. Satisfecho el Rey de los buenos servicios y mérito que ha contraido el’ Sn D. Pasca d Vaiiejo, tanto como Qficial de la primera Secretaría de Es-, tado, como en las demas comisiones que se le han confiado, ha venido en concederle los honores de $u Consejo supremo</t>
  </si>
  <si>
    <t>Pascasio Ortuño, Christobal</t>
  </si>
  <si>
    <t>Christobal Pascasio Ortuño</t>
  </si>
  <si>
    <t>otro Beneficio de la parroquial de Zufre, en el arzobispado de Sevilla, vacante por la promoción de D. Christobal Pascasio Ortuño á la Dignidad .de Maestrescuela de la catedral de Coria, á D. Francisco Gómez Morcillo , con la obligación de servirlo por ú mismo que tiene anexa. Habiéndose verificado el sorteo</t>
  </si>
  <si>
    <t>Pascasio Ortuño, Christóbal</t>
  </si>
  <si>
    <t>Christóbal Pascasio Ortuño</t>
  </si>
  <si>
    <t>rancos: para el Arcedianato de Galisteo, Dignidad de la catedral de Coria, vacante por promoción de D. Christóbal Pascasio Ortuño á la Dignidad de Maestrescuela de 1&amp; propia iglesia, y por renuncia que ha hecho de él D. Melitoh Zorrilla, á D. Francisco Domínguez; para el Deanato de la catedral de Calahorra,</t>
  </si>
  <si>
    <t>Pascual</t>
  </si>
  <si>
    <t>n, Don Francisco Alano Torralba; y en el ide Barbón i segundo Teniente al Subteniente de granaderos D. Pascual gordas á Subteniente de, * granadera aT dé. fusilcnós 6* Juap Ducros; á íprimerc Subteniente al segufidó Di Tnis de* Rentiejre, yá segundó Subteniente al ^argento .primero De Fr n</t>
  </si>
  <si>
    <t>Pascual Borda</t>
  </si>
  <si>
    <t>ientes D. Luis Dubouzet y D. Leonardo de Pontons; á Subteniente de granaderos al primer Subteniente D. Pascual Borda; á primeros Subtenientes á los segundos D. Luis Ancelin de San Quintín, í)oa Luis de la Masiliere, D. Pedro de Champañac y D. Luis de Gazan, y i segundos Subtenientes al Sargento</t>
  </si>
  <si>
    <t>Pascual Cárdenas</t>
  </si>
  <si>
    <t>ndabuaylas al Capitán de fusileros D. Juan Baltasar de Aldazabal; Compañía d¿ fusileros al Teniente D. Pascual Cárdenas; Tenencia de granaderos al Subteniente D. Melchor Alarcon; Tenencias de fusileros á D. Manuel de la Rey naga, D. Domingo Canigniani, D. Silverio de Beingolea y D. Damián Alarcon;</t>
  </si>
  <si>
    <t>Pascual de Nieva, Juan Bautista</t>
  </si>
  <si>
    <t>Juan Bautista Pascual de Nieva</t>
  </si>
  <si>
    <t>Sesma, al supernumerario de el D, Joachín Antonio Rada. ^ Igualmente ha venido S. M. á solicitud de D. Juan Bautista Pascual de Nieva, por razón de sus achaques y avanzada edad, en Jubilarle de la plaza de Alcalde de la Corte mayor del Reyno de Navarra, que obtenía, conservándole, en atención á sus buenos servic</t>
  </si>
  <si>
    <t>Pascual Gamero y Santos</t>
  </si>
  <si>
    <t>de fusileros á D. Juan Biscli y Arnau, Subteniente de la misma clase; la Subtenencia de cazadores á D. Pascual Gamero y Santos, y Subtenencias de fusileros á D. Antonio Villaamil, D. Francisco de Paula Barrantes, D. Pedro Lobo Cabrilla y D. Francisco Bcrja Sandoval : en el de Badajoz la Tenencia de cazado</t>
  </si>
  <si>
    <t>Pascual García, Pedro</t>
  </si>
  <si>
    <t>Pedro Pascual García</t>
  </si>
  <si>
    <t>León, vacante por promoción de D. Manuel Vaícarce á la Dignidad de Tesorero de la misma catedral, á D. Pedro Pascual García: para el Arciprestazgo de Rioja, en la diócesis de Calahorra, vacante por fallecimiento de D. Francisco Perez Fuentes, á D. Basilio Antonio López Figueroa: para la Ración de la co</t>
  </si>
  <si>
    <t>Pascual Gil</t>
  </si>
  <si>
    <t>errada..... í 4* 7* Pascual Gil......... Francisco...... Antonia Chaves... Garbajosa.... Sigüenza......... gx. sp. Juan del Rio....... Joseph..;.,..... María Alonso........ Redondo.;..... Villalba..</t>
  </si>
  <si>
    <t>Pascual López Villapol</t>
  </si>
  <si>
    <t>ncipiado el primer acto por una oración que leyó el primer maestro. Fuéron examinados sucesivamente D. Pascual López Villapol, D. Francisco Reguera» D.-Juan de Pazos, D. Joseph de* An telo y IL Joseph Belon y Becerra en aritmética';- D. Joseph López Villapol en geometría elemental, especuíatit'X y prácti</t>
  </si>
  <si>
    <t>Pascual Miteno</t>
  </si>
  <si>
    <t>mes en idem. 33. 4. Pascual Miteno........... Agustín-y Mana Pirret............ Montalban........ 32. 24. D. Juan de Oriol........ D. Pedro y Doña María José- Guiíiana en el</t>
  </si>
  <si>
    <t>Pascual Nieto</t>
  </si>
  <si>
    <t>gas, á D. Fernando López Caamaño: para una Ración de la catedral de Sigüenza, vacante por muerte de D. Pascual Nieto, á D. Manuel de Lezairía Martínez, Cura de la villa de Slsamon y su anexo Cabo la Fuente, en aquel obispado: para otra Ración de la eolegial de Xerez de la Frontera, diócesis de S</t>
  </si>
  <si>
    <t>Pascual Ruiz</t>
  </si>
  <si>
    <t>de D. Joseph Calvo» á D. Joachín Esearano: para otra de Ja de Guadix, vacante por fallecimiento de D. Pascual Ruiz, á D. Andrés de Anaya y Ribas: para una Ración del colegio de Sancti Spíritus de la ciudad de Santiago» vacante por promoción de D., Joseph. Claudio Salgado i una Canóngta de la c</t>
  </si>
  <si>
    <t>Pascual Ruiz Huidobro</t>
  </si>
  <si>
    <t>á echar un puente de barcas. Iturrigaray dio orden al Comandante de las lanchas el Capitán de Navio Don Pascual Ruiz Huidobro para que con ellas reconociese é impidiese la continuación del trabajo; lo que executó este activo oficial en dos lanchas, Cuyo fuego ahuyentó á los trabajadores y su escolta, y h</t>
  </si>
  <si>
    <t>Pascual, Francisco</t>
  </si>
  <si>
    <t>Francisco Pascual</t>
  </si>
  <si>
    <t>id......... 41. 4. Francisco Pascual..... . Juaa y María Angela............... S. l orenzo de la Salanca en id. 71</t>
  </si>
  <si>
    <t>Passano, Joseph María</t>
  </si>
  <si>
    <t>Joseph María Passano</t>
  </si>
  <si>
    <t>l regimiento de Reales Guardias Walonas se ha servido promover el Rey á segundo Teniente al Alférez D. Joseph María Passano; y á Alféreces de granaderos á los do fusileros D. Liberato María de Víctor, Don Jóachín de Estremera y D. Nicolás Dusmet. En el de infantería de la Reyna á segundo Teniente al Su</t>
  </si>
  <si>
    <t>Patino, Francisco Martín</t>
  </si>
  <si>
    <t>Francisco Martín Patino</t>
  </si>
  <si>
    <t>an Mexía; á primer Subteniente al segundo D. Miguel de Fuentes, y á segundos Subtenientes al Cadete D. Francisco Martin Patino, y al Sargento primero de granaderos D. Francisco Fernandez: en el de Borbon á primer Subteniente al segundo D. Pedro Terrene, y á segundo Subteniente al Teniente del provincial d</t>
  </si>
  <si>
    <t>Patino, Joseph</t>
  </si>
  <si>
    <t>Joseph Patino</t>
  </si>
  <si>
    <t>10 rs. Calderón de la Barca, Miguel de Cervantes Retrato de D. Rafael -Mengs, en 2 rs. Saavedra , y D. Joseph Patino : 4.0 D. Anto­ _ Veinte y ocho estampas de retratos y vinio Agustín , D. Sancho Dávila , D. Juan de ñetas. según se publicaron en la Historia de Austria, D. Alvaro de Bazan ,’Anto</t>
  </si>
  <si>
    <t>Patis, Francisco</t>
  </si>
  <si>
    <t>Francisco Patis</t>
  </si>
  <si>
    <t>...... Marques de Moncalm y Margarita Lajambera....................... Id. en id.......... 45}, 10. D. Francisco Patis...... D.Juan y Doña G“rtruais Veas. Aviñon............. 34. ap. Joseph Lator........... Juan y Mafia Lorans,,........... Monta iban en Francia......... 41. ap. Luís Castafiy......</t>
  </si>
  <si>
    <t>Patriarca de Alexandría</t>
  </si>
  <si>
    <t>éndense en la librería de Campo, calle de Alcalá. Vida de S. Juan el Limosnero, Patriarca de Alexandría , escrita por el V. é limo. Sr. í). Juan de Paíafox y Mendosa: Contiene instrucciones muy á propósito para los eclesiásticos, y generalmente para tola ciase de</t>
  </si>
  <si>
    <t>Patriarca de las Indias</t>
  </si>
  <si>
    <t>l c\s*. oyó S. M. la misa solemne, que celebró de pontiiica^ ei -¿mo. y -áxc. 4 Patriarca de las Indias, y ofreció en manos del mismo Prelado tris preciosos cálices con oro, incienso y mirra. Concluida la tuncion , a la que asístVr0n desde las tribunas la Rey na</t>
  </si>
  <si>
    <t>Patriarca de Venecia</t>
  </si>
  <si>
    <t>M.- le recibió con el mayor agrado, y el mismo dia le envió el nombramiento de Patriarca de Venecia. Ha nombrado el Emperador al Ministro de Bohemia Conde de Colloredo para individuo de la diputación extraordinaria del Imperio en que han de arreglarse los res</t>
  </si>
  <si>
    <t>Patriarca griego de Constantinopla ha enviado á la misma plaza</t>
  </si>
  <si>
    <t>n él número de tropas que deben traer &gt; y consisten en 500 hombres cada uno. El Patriarca griego de Constantinopla ha enviado á la misma plaza de Belgrado el Obispo sufragáneo Exar para que haga investigaciones relativas i la muerte del Obispo de aquella ciudad. Ya se han tomado declaraciones ¿ varias pe</t>
  </si>
  <si>
    <t>Patriarca griego residente en elCayro</t>
  </si>
  <si>
    <t>0© francos: la nación griega, que comprelíende á qu ancos en Egipto obedecen al Patriarca griego residente en elCayro, jo© francos: la nación ¡judía 30©; y la nación francd , en la qual se incluyen: todos los europeos que hay en Egipto, 40© francos. Ademas de, esta contri- r b</t>
  </si>
  <si>
    <t>Patriarca, Cardenal</t>
  </si>
  <si>
    <t>Cardenal Patriarca</t>
  </si>
  <si>
    <t>fué recibido por el Rmo. Prior y su comunidad. Allí profesaron, tomándoles el juramento el Emo. Sr. Cardenal Patriarca, Gran Canciller de la orden, y poniéndoles S. M. el collar, el Serenísimo Sr. Infante D. Carlos, el Emo. Sr. Cardenal de Santa María de Escala D„ Luis d§ Borbon, y ios Excmos. Sre</t>
  </si>
  <si>
    <t>Patrichs, Salvador</t>
  </si>
  <si>
    <t>Salvador Patrichs</t>
  </si>
  <si>
    <t>Luis Flamon Julián y María Ves........ ....... . Seré en el Rosellon............. 8r. atf. D. Salvador Patrichs.. D. Joseph y Doñá Jacinta Puigjana.............. ............................ P&lt; rpifían .......... ¿o. ig. Francisco Daude........ Francisco yMariana Masoc....... Id....... ....</t>
  </si>
  <si>
    <t>Patricio Batallas, Ignacio Joseph</t>
  </si>
  <si>
    <t>Ignacio Joseph Patricio Batallas</t>
  </si>
  <si>
    <t>acionero de la misma catedral: para una Media-Ración de la catedral de Quito, vacante por muerte de D. Ignacio Joseph Patricio Batallas, á D. Mariano Hcnriquez deGuzman, Cura en aquel obispado; y para otra Mediá-Ra-r clon de la de Charcas, vacante por ascenso de D. Alberto Flanes á Racionero de la misma iglesia, á</t>
  </si>
  <si>
    <t>Patricio Bertodano, Gabriel</t>
  </si>
  <si>
    <t>Gabriel Patricio Bertodano</t>
  </si>
  <si>
    <t>io Préstamo de la parroquia del Puerto de Béjar, en la diócesis de Piasencia, vacante por muerte de D. Gabriel Patricio Bertodano, á D. Ramón de Gortázar y Varela. En el regimiento de Reales Guardias Walonas se ha servido promover el Rey á segundo Teniente al Alférez D. Joseph María Passano; y á Alféreces de</t>
  </si>
  <si>
    <t>Patricio Bettodano, Gabriel</t>
  </si>
  <si>
    <t>Gabriel Patricio Bettodano</t>
  </si>
  <si>
    <t>l de Priornal, y el de la villa de Plasenzuela, en la diócesis de Piasencia, vacantes por muerte de D. Gabriel Patricio Bettodano , a D. Ramón García y Romero. . ■ . ■* t.&lt; ... ■- / f •■y*'-' En el regimiento de Reales Guardias Walonas se ha servido promover el Réy á Alféreces i los Cadetes D. Domingo Junco,</t>
  </si>
  <si>
    <t>Patricio de Berguizas, Francisco</t>
  </si>
  <si>
    <t>Francisco Patricio de Berguizas</t>
  </si>
  <si>
    <t>r D. Joseph Guillelmq Stanihursto , traducida por el Dr. de Mendoza y Ríos : a tomos en 4.0 regular D. Francisco Patricio de Berguizas. Un tocon 20 estampas , á 51 rs. en rustica; y en mo en 8.° , en pasta á iñ rs. , y en papel á 12. marquilla á 64 rs- en rústica, y 8-; en pasta. O’ras poéticas de Pindaro en metr</t>
  </si>
  <si>
    <t>Patricio Joyes</t>
  </si>
  <si>
    <t>s Adair Cierh al Signel de Edimburgo, ámtos pueblos en Ííorte-Bretaña en Inglaterra , ó en Madrid á D. Patricio Joyes é hijos. Manuel Gómez del Rebollar, natural del lugar de Villa-Carriedo en el valle de Carriedo en las montañas de Santander, de oficio cantero, estatura poco menos que regular, y</t>
  </si>
  <si>
    <t>Patris, Juan</t>
  </si>
  <si>
    <t>Juan Patris</t>
  </si>
  <si>
    <t>i en Fran?a.............:.............. D. Estéban y Dofia Ana Foncal. cia................. 32* 34. D. Juan Patris............. D. Juan y Dofia Gertrudis de Veas......................................... Avifion............. Francisco Sabani, D. Marcos Antonio y Doña JuaConde de Mauleon.» na Ca</t>
  </si>
  <si>
    <t>Paula Cerero, Francisco</t>
  </si>
  <si>
    <t>Francisco Paula Cerero</t>
  </si>
  <si>
    <t>cisco Vilbreal, á Don Ignacio Arjona: para la Media-Ración que este obtiene, y resultará vacante, á D. Francisco Paula Cerero: para la Ración vacante por ascenso de I). Francisco de Paula Bucareli á D. Christóhal Ruiz de Salcedo: para la Media-Ración, que este dtxa, á D. Francisco Salas Rodríguez, Cura d</t>
  </si>
  <si>
    <t>Paula de Bórica, Francisco</t>
  </si>
  <si>
    <t>Francisco Paula de Bórica</t>
  </si>
  <si>
    <t>1054 toña, un vale Real de 300 peses, creación dé Octubre, mím. 13,1^4, con su vadoso a D. Francisco Paula de Bórica, del comercio, de BCbád^’y’íio-bebiendo llegado á su rñano , quien tuviere noticia de él avisará á uno de dichos sug .tos ó en Midrid á los tíres. Varanda y Ruiz, que viven en la</t>
  </si>
  <si>
    <t>Paulét, General</t>
  </si>
  <si>
    <t>General Paulét</t>
  </si>
  <si>
    <t>, y cogió unos 100 prisioneros. Él olW ciál aüs’triáOb ^ñe vino aqéí habrá alcanzado él día 2 5 al General Paulét^ el ^uál el ijS él ¿8 hábrá ióinado posesión de Áncona y stís Castillos. íloy ha llegado a! quartel general un Ayudante del General qué manda el exército nkpolitáriojy trae una re</t>
  </si>
  <si>
    <t>Paulet, General</t>
  </si>
  <si>
    <t>General Paulet</t>
  </si>
  <si>
    <t>ste toda su satisfacción. Un correo que llegó ayer de Ancona traxo al gobierno la noticia de que el General Paulet había declarado que la entrada del exército nada mudaría al estado del gobierno pontificio, y que en conseqiiencia el prelado delegado debía continuar el exercicio de sus funcione</t>
  </si>
  <si>
    <t>Paulino Aguilar</t>
  </si>
  <si>
    <t>urbanas dé caballería de Guancabamba y Chalaco al Teniente D. Joseph Gavino de la Cruz y al Alférez D. Paulino Aguilar: al empleo de Ayudante al Subteniente de! batallón de Milicias urbanas de infantería de Piura D. Pedro Seminario y Correa; á Tenientes á los distinguidos D. Francisco Iparraguirre</t>
  </si>
  <si>
    <t>Payre, Juan Pedro</t>
  </si>
  <si>
    <t>Juan Pedro Payre</t>
  </si>
  <si>
    <t>ranaderos al de fusileros D. Joseph de Pierrefeu; á segundos Tenientes al Subteniente de granaderos D. Juan Pedro Payre, y á los primeros Subtenientes D. Luis Dubouzet y D. Leonardo de Pontons; á Subteniente de granaderos al primer Subteniente D. Pascual Borda; á primeros Subtenientes á los segundo</t>
  </si>
  <si>
    <t>Pclh, Lord</t>
  </si>
  <si>
    <t>Lord Pclh</t>
  </si>
  <si>
    <t>en conseqiiencia queda imposibilitada de atender directa y exclusivamente á su marina. El Ministro Lord Pclh m, para contestar á las reconvenciones de los ex-Ministros Grenville y Wiudham, hizo un cotejo de las condiciones de los preliminares con 1 .s que el antiguo ministerio propuso en</t>
  </si>
  <si>
    <t>Pclham</t>
  </si>
  <si>
    <t>^ 7°3 sejo privado, reemplazándole Mr. Pclham en el mencionado ministerio. ♦ Tin Cbrck. hay prontos muchos transportes, que llevarán 2$ hombres de tropas á las islas de Jersey y (Juernsey, Por las últimas cartas de Calcuta se s</t>
  </si>
  <si>
    <t>Pcrez de Rozas, Manuel</t>
  </si>
  <si>
    <t>Manuel Pcrez de Rozas</t>
  </si>
  <si>
    <t>iere hacerla acuda á ia escribanía dei número de 3^. Antonio Fernandez. . , Por providencia del Sr. D Manuel Pcrez de Rozas, Caballero de la orden de* Cários III , del Consejé de S. M., Aícaldé de su Real casa y corte t á cou'seqíieacia de las Reales órdenes , y por lá escribanía dé provincia de D. Jos</t>
  </si>
  <si>
    <t>Pcrez, Joachín</t>
  </si>
  <si>
    <t>Joachín Pcrez</t>
  </si>
  <si>
    <t>Matías Sanz; á esta resulta al segundo Teniente D. Antonio Sarmiento; á segundo Teniente ai Alférez D. Joachín Pcrez; á Alférez al Portaestandarte D. Joseph Blanco , y á Portaestandarte al Cadete D. Ramón Antonio López v en el de la Costa de Granada á primer Teniente al segundo D. Antonio Baeza,</t>
  </si>
  <si>
    <t>Pcyroíón, Francisco</t>
  </si>
  <si>
    <t>Francisco Pcyroíón</t>
  </si>
  <si>
    <t>...... Sres. Chavarri y Posadilio. En Toro................. D. Joseph Ligero. En Valencia...........D. Francisco Pcyroíón y compañía. EnValladolid....... D. Francisco Durango é hijo mayor. En Zamora............D. Vicente Perez de Tejada. En Zaragoza........ D. Tomas de la Madrid. EnZeuta..............D</t>
  </si>
  <si>
    <t>Pcyrolon, Francisco</t>
  </si>
  <si>
    <t>Francisco Pcyrolon</t>
  </si>
  <si>
    <t>..... . Sres. Chavara y Posadillo. En Toro...... ...... . D. Joseph Ligero. ' En Valencia....;..... D. Francisco Pcyrolon y compañía. EnVallhdolid....... D. Francisco Durango é hijo mayor. ; En Zamora...........D. Vicente Perez de Tejada. En Zaragoza........ D. Tomas de la Madrid. En Zeuta... .........</t>
  </si>
  <si>
    <t>Pe, Manuel</t>
  </si>
  <si>
    <t>Manuel Pe</t>
  </si>
  <si>
    <t>uisiere hacer mejora acuda ante dicho Sr. Alcalde por la citada escribanía. Por providencia del Sr. D. Manuel Pe.rez de Rozas, del Consejo de S. M. , caballero de la Real y distinguida orden de Carlos ni, y i voluntad de su dueño, se han mandado sacar á pública subasta por término de 13 dias</t>
  </si>
  <si>
    <t>Pé, Vicente</t>
  </si>
  <si>
    <t>Vicente Pé</t>
  </si>
  <si>
    <t>6 en pasta, y 16 en , Prontuario del Canto-Llano Gregoriano, papel finó. dispuesto1 y arreglado por D. Vicente Pé­ Oficio de la Semana Santa, traducido por rez, para celebrar los divinos oficios. El to­ D. Joseph Rigual. Un tomo en 8.® á 9 rs. mo 1.“ contiene las Antífonas ¿-Himnos de en pape</t>
  </si>
  <si>
    <t>Peard, Capitán</t>
  </si>
  <si>
    <t>Capitán Peard</t>
  </si>
  <si>
    <t>rados Confianza, Capítan Surcouff, y Malartic, Capitán Dutrel, han cogido 14 ricamente cargadas. El Capitán Peard y los demas oficiales de la fragata de guerra denominada el Suceso, apresada por la esquadra del Almirante Gantheaume, escriben desde Alice cerca de Tolon, haciendo muchos elogios del buen</t>
  </si>
  <si>
    <t>Pedió Bernard</t>
  </si>
  <si>
    <t>tar de la Plaza de Madrid , con Honores y facultades de Goberriadojr de ella , al Mariscal de Campo D. Pedió Bernard, Ayudante general del Real cuerpo de Guardias de Córps. S. M. se ha servido nombrar para el Corregimiento de letras de la villa de Benávarre á D. Ignacio García y Motos. 1 ' 1 ^ P</t>
  </si>
  <si>
    <t>Pedjp Bustülo y Cevailos, Joseph</t>
  </si>
  <si>
    <t>Joseph Pedjp Bustülo y Cevailos</t>
  </si>
  <si>
    <t>rvido nombrar para una Ración de la ca-J terral del Nuevo Reyno de, Lfeon., vacante por renuncia de D. Joseph Pedjp Bustülo y Cevailos, á D. Francisco de Paula Rodríguez; y para unaj 2¡£ecUa~Raqion de la catedral de Manila, en las islas Filipinas, vacante por promoción de D. Bernardo Fernandez Abascal á una Ració</t>
  </si>
  <si>
    <t>Pedro Carlos</t>
  </si>
  <si>
    <t>mo. 4 Madrid jo de junio. jTXyer se vistió la corte de gala con motivo de los dias del Sr. I nfante Don Pedro Cárlos. El Rey se ha servido nombrar para una Ración de la metropolitana de Toledo, vacante por promoción de D. Vicente Rodrigo de Mena á una Canongía de la misma iglesia, á D. Joseph Bl</t>
  </si>
  <si>
    <t>Pedro Joachín</t>
  </si>
  <si>
    <t>a consolidación, incluyéndose en 1 ellos 153 de todas ciases, destinados por el zelo del Esc. Señor D. Pedro Joachín cíe. Murcia, Colector general de espolies y vacantes, los quales fueron recibidos por créditos á favor de estos ramos, cuyos capitales unidos cómpdnen él.total dé 4.043,294 cs. '4</t>
  </si>
  <si>
    <t>Pedro Salvador</t>
  </si>
  <si>
    <t>... ....... 79. 3a. Pedro Salvador.,. Juan............. Tomasa Campos.. Valencia....... Idem................. 94. 14. Bartolomé Calvo. Domingo....... Juana Bestyedo... Santiago de</t>
  </si>
  <si>
    <t>Pedrosá, Juan</t>
  </si>
  <si>
    <t>Juan Pedrosá</t>
  </si>
  <si>
    <t>ría de 'la Reyna á Capitán al Ayudante D; Fráhciscb deHá P^ña ^a Ayudantes á los primeros Tenientes D. Juan Pedrosá y D¿'Manuel Ruiz; á primér Teniente de granaderos ai de fusileros D. Francisco Xaraquerhada; á primeros Tenientes^ al segundo Teniente dé granaderos D. Carmen Cervetpy y á los de fusi</t>
  </si>
  <si>
    <t>Pedrp García</t>
  </si>
  <si>
    <t>xo en pasta: su autor D. Pedrp Garcia.de 1» • qum Rodríguez. Tres tomos en 8.0 con esHuerta, Presbítero. &gt; ^ . ■ tampas á 27 rs. á la rústica, y á 24 en papel. Viage á Constantinqpla en el ano de 1784, lntrodüctibn á</t>
  </si>
  <si>
    <t>Peiayo Sánchez, Juan</t>
  </si>
  <si>
    <t>Juan Peiayo Sánchez</t>
  </si>
  <si>
    <t>l D. Miguel de Ugarte, Sargento mayor de la de Hostalrich; y la Sargentía mayor de la de Pamplona á D. Juan Peiayo Sánchez, Capitán del regimiento de infantería de León. Asimismo ha venido S. M. en conceder título de Castilla á D. Joseph fiaría Henriquez de Mayoralgo y Golfín, para sí, sus hijos y des</t>
  </si>
  <si>
    <t>Pelaez de Castro, Gregorio</t>
  </si>
  <si>
    <t>Gregorio Pelaez de Castro</t>
  </si>
  <si>
    <t>sta corte; y de ellos se han presentado los números 729,357 por D. Elias del Arco, y el 729,319 por D. Gregorio Pelaez de Castro. Faltan todavía los números 899,082 y 903,008, y se avisa igualmente para que concurran los dueños de ellos á la Caxa. La Junta encargada de presidir IoS mencionados sorteos há se</t>
  </si>
  <si>
    <t>Pelardy, General</t>
  </si>
  <si>
    <t>General Pelardy</t>
  </si>
  <si>
    <t>francesa nombrada el General Bruñe i1 que venia de la Guadalupe á Burdeos, y en ella se hallaba el General Pelardy, ultimó Gobernador de aquella colonia. ' ' ; : • También se dice que el gobierno ha recibido noticia de que nuestras esquadras se han apoderado de las islas de Sto. Tomas y Sta. C</t>
  </si>
  <si>
    <t>Pelham</t>
  </si>
  <si>
    <t>1228 justificar la continuación de las hostilidades. En quanto al Príncipe de Orange dixo Mr. Pelham ser cosa evidente que con la guerra jamas se hubiera conseguido restablecer á aquel Príncipe en sus estados: ,, Mas no por esto (añadió) están olvidados sus intereses. En qusnto a</t>
  </si>
  <si>
    <t>Pelham, Lord</t>
  </si>
  <si>
    <t>Lord Pelham</t>
  </si>
  <si>
    <t>Agosto. E 1 Duque de Portland ha hecho dimisión de su empleo, y S. M. ha nombrado para sucederle al Lord Pelham, promoviendo al referido Duque á Presidente del Consejo privado en lugar del Lord Chatham, que ha reemplazado al Lord Cornwallis. La esquadra que el Lord Nelson manda actualmente</t>
  </si>
  <si>
    <t>Lord Hawkesbury ; y a las y se restituyó el Rey á Kew con la Real familia. El mismo dia comunicó el Lord Pelham, Secretaria de Estado, á la Cámara de los Pares copia del convenio con las potencias del Norte, y de los preliminares de paz con la República francesa y sus aliados: y propuso que</t>
  </si>
  <si>
    <t>1 2 20 ke- bury le reconvino cu ios mismos términos que lo había hecho* el Lord Pelham ii Lórd Grenville, La sesión de este dia se concluyó votando grreias públicas á los comandantes-', oficiales, soldadbs y marinaros del exército y esqu dra de Egipto, como también</t>
  </si>
  <si>
    <t>volviesen quanto habian conquistado en Europa.” Contestó en seguida á la réplica que había hecho el Lord Pelham sobre las negociaciones de 96 y 97. „ Fácilmente probaré que en las circunstancias, infinitamente mejores que aquellas en que los Ministros mis compañeros y yo nos hallábamos , ha</t>
  </si>
  <si>
    <t>éTon. Hoy debía examinarse en la Cámara de los Pares el último convenio ajustado con Rusia; pero el Lord Pelham pidió que esta deliberación sesuspendiese unos dias, porque tenia esperanza de que quanto ántes llegase la accesión de las cortes de Suecia y Dinamarca. Igual propuesta hizo Mr/ A</t>
  </si>
  <si>
    <t>Pellew</t>
  </si>
  <si>
    <t>co va como pasagero el Almirante Hawkins- Whitshed con su esposa. La esquadra que á las órdenes de: Mr. Pellew cruza á la altura de J^echefort, ha padecido grandes avería^ en su arboladura y aparejo por un temporal que duró desde el 5 hasta el 7 de este m :s, y durante el qual algunos de s</t>
  </si>
  <si>
    <t>Pellicer, Joseph</t>
  </si>
  <si>
    <t>Joseph Pellicer</t>
  </si>
  <si>
    <t>rte, de Antonio Covarrubias y Leyva , Antonio Pé­ varios pensamientos , por D. Ramón Bayeu» rez , y D. Joseph Pellicer : ro.“ D. Pedro Gon­ en 12 rs. zález de Mendoza , D. Melchor de Macanaz, Ocho estampas de diferentes pinturas de Fr. Francisco Ximenez de Cisneros, Vasco Palacio, grabadas por Goy</t>
  </si>
  <si>
    <t>Pelop, Vicente</t>
  </si>
  <si>
    <t>Vicente Pelop</t>
  </si>
  <si>
    <t>,......,,. x8p. 34, Otro. Vicente Pelop................. . Vicente,....... Josepha Escriba... Oliva..;..... ...Decía..... ........ 147. ^ Tambor. • Miguel Tórri</t>
  </si>
  <si>
    <t>Pelrichs</t>
  </si>
  <si>
    <t>tableciese la libertad de la navegación del Elba---- Declaró al mismo tiempo el Ministro prusiano á Mr. Pelrichs, Diputado de Bremen, que igualmente se respetará la navegación del Weser, y que las tropas prusianas evacuarán el territorio de Bremen , como también el Electorado de Hannóver, lu</t>
  </si>
  <si>
    <t>Peña, Domingo</t>
  </si>
  <si>
    <t>Domingo Peña</t>
  </si>
  <si>
    <t>ento primero D: Manuel Rodríguez, y í los paisanos D. Silvestre Adriancen, Don Joseph.María Medina, D. Domingo Peña y D. Joseph Valentín López, y á Portaestandarte á.D» Francisco Aguilar. &lt;■ El Consejo á consulta de la Comisión gubernativa, y con aprobación de S. M. ha acordado la décimanona amorti</t>
  </si>
  <si>
    <t>Peñabad de Cale, Juan Antonio</t>
  </si>
  <si>
    <t>Juan Antonio Peñabad de Cale</t>
  </si>
  <si>
    <t>para la Ración titular de la ca* tedral de Lugo, vacante por muerte de D. Luis Suarez Montenegro, á Don Juan Antonio Peñabad de Cale, Capellán de número de la Real Armada: para la Média-Ración de la catedral-- de Málaga, vacante por promoción de D. Joseph Lachambre á una. Canongía &lt;Bé la: mismra.catedral, á D.</t>
  </si>
  <si>
    <t>Peñuelas de Zamora, Juan Joseph</t>
  </si>
  <si>
    <t>Juan Joseph Peñuelas de Zamora</t>
  </si>
  <si>
    <t>endráse entendido en este Consejo para su cumplimiento. = En Palacio á 28 de Diciembre de 1800. = A D. Juan Joseph Peñuelas de Zamora.” ' Asimismo ha expedido S. M. el decreto que sigue: ; „Para la Canongía de la santa iglesia de Toledo, que resultará vacante por promoción de D. Buenaventura Moyano al obispado d</t>
  </si>
  <si>
    <t>Perales, Bartolomé</t>
  </si>
  <si>
    <t>Bartolomé Perales</t>
  </si>
  <si>
    <t>de la puerta de Fuencarraf; que llaman el tej ir de Hueso , perteneciente á la memoria fundada por D. Bartolomé Perales, tasada en 10,497 rs., acuda ante el Sr. D. Juan Antonio Santa María , del Consejo de S. M., primer Teniente Corregidor de esta villa, por la escribanía de número de D. Vicente de</t>
  </si>
  <si>
    <t>Perales, Vicente</t>
  </si>
  <si>
    <t>Vicente Perales</t>
  </si>
  <si>
    <t>mismo se ha dignado S. M. conceder el Gobierno del de S. Lorenzo, que resulta vacante, al Brigadier D. Vicente Perales, Corregidor de la ciudad y partido de Caíatayud. Asimismo se ha servido el Rey nombrar para el Corregimiento de la ciudad de Caíatayud al Coronel D. Ignacio de la Justicia , Corre</t>
  </si>
  <si>
    <t>Peraló, Juan Joseph</t>
  </si>
  <si>
    <t>Juan Joseph Peraló</t>
  </si>
  <si>
    <t>uerque en id.. 2(5. Juan Joseph Peraló.... Francisco y Juana Mana de Maunos................................... Aux en id......... 31. D. Clemente de Ly.....</t>
  </si>
  <si>
    <t>Perca de Rezas, Manuel</t>
  </si>
  <si>
    <t>Manuel Perca de Rezas</t>
  </si>
  <si>
    <t>9*3 ealde D. Manuel Perca de Rezas, por la citada escribanía. £n el término de la villa de Jadraque , provincia de Guadalaxari, se hallan para su venta las fincas correspondientes á la memoria que fundó en ella D.</t>
  </si>
  <si>
    <t>Peré y Casado, Francisco</t>
  </si>
  <si>
    <t>Francisco Peré y Casado</t>
  </si>
  <si>
    <t>no, rios que las bañan , y grados de longitud y latitud, ó altura del polo donde se hadan: su autor D. Francisco Peré y Casado. Se hallará á 8 rs. en la librería de Escribano, calle de las Carretas. Adiciones al Diccionario geográfico universal de Echará ó Mompalau, por el -mismo autor que el Plan anteced</t>
  </si>
  <si>
    <t>Peres Pefiuehs, Luis</t>
  </si>
  <si>
    <t>Luis Peres Pefiuehs</t>
  </si>
  <si>
    <t>qualquiera de dichas fincas, a cu Ha por lo respectivo i la villa de S. Agustín, á la escribanía de D. Luis Peres Pefiuehs} y £ las de Hueva, Velilla de S. Antonio y Sacedon de Canales, á la de D. Antonio Lope* de Salazar. (Se tenclutré.y £N tA IMPRENTA REAL, ■ ■ • „ ..................</t>
  </si>
  <si>
    <t>Pérez Anastariz, Ramón</t>
  </si>
  <si>
    <t>Ramón Pérez Anastariz</t>
  </si>
  <si>
    <t>dral de Val lado! id de Mechoacan, vacante por fallecimiento de D,. Manuel Salcedo y Navarrete.., á D. Ramón Perez Anastariz, Chantrcjde la.mi?ma iglesia : para la que este dexa al Maestrescuela Don Manaho Titñqteo.de Escandon y Llera; y para la Maestrescolía al Canónigo Magistral de ella D. Ildefonso G</t>
  </si>
  <si>
    <t>Pérez Barradas, Francisco</t>
  </si>
  <si>
    <t>Francisco Pérez Barradas</t>
  </si>
  <si>
    <t>rvido nombrar para una Capellanía del número de la catedral de Guadix, vacante por fallecimiento de D. Francisco Perez Barradas, i D. Manuel de Gamez , Vicario perpetuo en la parroquia de Pedro Martínez, de aquel obispado ; y para el Beneficio de la villa de Cañete la. Real, en la diócesis de Sevilla, vaca</t>
  </si>
  <si>
    <t>Pérez Bravo, Diego</t>
  </si>
  <si>
    <t>Diego Pérez Bravo</t>
  </si>
  <si>
    <t>cion de Tcba, en la misma diócesis de Córdoba, vacante por fallecimiento de Don Gabriel Terraíba, á D. Diego Perez Bravo. En la compañía Española, del Real cuerpo de Guardias de Corps ha nombrad© el Rey Cadete de numero al supernumerario D. Andrés de Castro: en lá compañía Italiana primer Teniente a</t>
  </si>
  <si>
    <t>Pérez Camino, Manuel</t>
  </si>
  <si>
    <t>Manuel Pérez Camino</t>
  </si>
  <si>
    <t>70 haber tomado posesión D. Manuel Pérez Camino, én mes ordinario, de una Canongía de la metropolitana de Burgos, á D. Jacinto Antonio de Losada, Canónigo de la misma catedral :'para el Priorato de las Ermitas, Dig.nidad de la</t>
  </si>
  <si>
    <t>Burgos, * 1 Rey se ha dignado nombrar para la Ganongía de la metropolitana vacante por promoción de D. Manuel Perez Camino á otra de Ja santa iglesia de Zaragoza, á D. Felipe Rena y Sobral; y para la Ración de la colegial de Santiilana, obispado de Santander, vacante por renuncia que ha hecho de ella</t>
  </si>
  <si>
    <t>Pérez Cone, Francisco</t>
  </si>
  <si>
    <t>Francisco Pérez Cone</t>
  </si>
  <si>
    <t>........... 71. 11. Francisco Perez Cone-............................................................... Elna en el Rolles..... ....................... . Bautista y Lorenza Pons........... sellpn.............. gi. Joseph Carrete........... . Pedro y. Rosa Fernán..</t>
  </si>
  <si>
    <t>Pérez da Rezas, Manuel</t>
  </si>
  <si>
    <t>Manuel Pérez da Rezas</t>
  </si>
  <si>
    <t>viernes 11 de este mes á las 12 de su mañana en ei juzgado del Sr. Alcalde de la Real casa y corte D. Manuel Perez da Rezas , y escribanía de provincia de D. Juan Antonio Diaz Noriega. La casa mesón , sita en la plaza pública ce 3a villa de Leganés, perteneciente 6 1 ’S memorias fundadas por Doña María</t>
  </si>
  <si>
    <t>Pérez de Agüeros, Fernando</t>
  </si>
  <si>
    <t>Fernando Pérez de Agüeros</t>
  </si>
  <si>
    <t>la catedral de Avila , vacante por promoción de DonIgnacio de la Madrid á otra de la de Málaga , á D. Fernando Perez de Agüeros* para otra Ración de. la parroquial de la villa de Pifia, diócesis* de Zaragoza, á D, Manuel Gonzalvo: para el-Beneficio servidero-de la parroquia de S. Pedro de la villa de Sta.</t>
  </si>
  <si>
    <t>Pérez de Bemdorme, Bautista (capitán)</t>
  </si>
  <si>
    <t>Capitán Bautista Pérez de Bemdorme</t>
  </si>
  <si>
    <t>l. - : &gt;• , E 1 xabeque corsario español nombrado S. Francisco de Paula ,, alias el Restaurador, su Capitán Bautista Perez de Bemdorme, conduxo á este puerto el 17 de este mes la polacra inglesa armada en corso nombrada la Máríáj ál mando de Marcos Thomasowich: montaba doce cañones de á 8 j 6 ; y éFxibé^úó ño ten</t>
  </si>
  <si>
    <t>Pérez de Hozas, Manuel</t>
  </si>
  <si>
    <t>Manuel Pérez de Hozas</t>
  </si>
  <si>
    <t>ra , por sus buenos servicios y circunstancias. Por ñuto proveído el día 4 del corriente por el Sr. D. Manuel Perez de Hozas , caballero de la Real y distinguida orden Española de Cárlos iu, del Consejo de S. M. , Alcalde de la Real casa y corte, está mandado se subaste por 15 dias mas la mitad de la ca</t>
  </si>
  <si>
    <t>Pérez de los Ríos, Manuel</t>
  </si>
  <si>
    <t>Manuel Pérez de los Ríos</t>
  </si>
  <si>
    <t>moderna de ía ciudad de Cádiz á D. Francisco Xavier Lozano y Avellan : para la de la de Truxiilo á D. Manuel Perez de los Ríos: para la de la de Antequera á Don Juan Moreno de Vargas: para la de la de Purchena'á D. Fernando de la Torre Aponte y Sardina: para la de la villa de Aimansa á D„ Domingo Francisc</t>
  </si>
  <si>
    <t>lá Cámara de 31 de Marzo del año próximo pasado, á la Alcaldía mayor que obtiene en la misma ciudad D. Manuel Perez de los Ríos, de suerte que eá adelante haya en ella un solo Juez, que se titule Corregidor de letr?s. - Asimismo ha nombrado S. M. al Mariscal de Campo de los Reales exércitos D. Ignacio Orti</t>
  </si>
  <si>
    <t>Pérez de Ro, Manuel</t>
  </si>
  <si>
    <t>Manuel Pérez de Ro</t>
  </si>
  <si>
    <t>ante el expresado Señor y citada escribanía. Por auto proveido el 5 del corriente por el mismo Sr. D. Manuel Perez de Ro** zas sr. ha señalado el dia 17 á las once de su mañana para el remate de los iz pedazos de tierra sitos en el término del lugar de B&amp;llecas, pertenecientes á las memorias fundada</t>
  </si>
  <si>
    <t>Pérez de Rozas Caballero, Manuel</t>
  </si>
  <si>
    <t>Manuel Pérez de Rozas Caballero</t>
  </si>
  <si>
    <t>ao dias contados desde 10 de este mes. A conseqiiencia de Reales órdenes y por providencia del Sr. D. Manuel Perez de Rozas Caballero de la orden de Cárlos 111, del Consejo de S. M., Alcalde de su Real casa y corte, y por la escribanía de provincia de D. Joseph Nicasio Be y tez se ha mandado sacar á pública subasta po</t>
  </si>
  <si>
    <t>Pérez de Rozas, Joseph María</t>
  </si>
  <si>
    <t>Joseph María Pérez de Rozas</t>
  </si>
  <si>
    <t>la de la de Medellin á D. Pedro Sotero Casado de Aíviz ; y para la de la de Motil la del Palancar á D. Joseph María Perez de Rozas. j£n América. El Rey se ha dignado nombrar para uná Ración de la catedral de la Paz, vacante por ascenso de D. Rafael de la Vara á Obispo, Auxiliar de Santa Cruz de la Sierra, á D</t>
  </si>
  <si>
    <t>Pérez de Rozas, Manuel</t>
  </si>
  <si>
    <t>Manuel Pérez de Rozas</t>
  </si>
  <si>
    <t>io qué haya lugar enderedho la resolución que se ■ acordare. : . *•- ¡ :. r Por providencia del Sr. D. Manuel Pérez de Rozas, Caballero dé la orden de Cárlos III, del Consejo de SI M. , Alcalde de su Real casa y corte , y á cónse.qüencia de Reales órdenes ? por la escribanía de provincia de D. Joseph Ni</t>
  </si>
  <si>
    <t>^dotEscribaco, de'provincia á deducir su derecho en el término de 30 dias. Por providencia del. Sr. D. Manuel Perez de Rozas , caballero de la orden ,de Cárlos III, del Consejo de S. M. , Alcalde de su Real casa y corte , á conseqiieneia de las Reales órdenes, y por la escribanía de provincia de D. Jose</t>
  </si>
  <si>
    <t>los números que salieron en el si^lemento á la gazeta del 10 del corriente. Por providencia del Sr. D. Manuel Perez de Rozas, caballero de la orden de CáHos III, de; Consejo, de S, 1VJ, , Alcalde dq su Real casa y corte , á conseqüencia de las Reales órdenes., y por la escribanía de provincia de D. Jose</t>
  </si>
  <si>
    <t>de Toledo, valuada en 83,461 rs. ep mrs., que se está subastando por la audiencia del Señor Alcalde D. Manuel Perez de Rozas y escribanía de provincia de Don</t>
  </si>
  <si>
    <t>lá inteligencia de que se pagarán sin demora los réditos que se estipulen. Por providencia del Sr. D. Manuel Perez de Rozas, caballero de la Real y distinguida órden española de Cárlos m, del Consejo de S. M., Alcalde de la Real casa y corte, se han mandado sacar á pública subasta ia pedazos de tierra,</t>
  </si>
  <si>
    <t>101,073} rs- &gt; s* ha sefialado el dia 8 de este mes á las x 1 de su mañana en la audiencia del Sr. D. Manuel Perez de Rozas, del Consejo de S. M., y Alcalde en su Real casa y corte , y escribanía de provincia de Dón Juan Bazateguú El Sr* D. Juan Antonio Santa María, Teniente Corregidor de esta villa, h</t>
  </si>
  <si>
    <t>uplemento á la gazeta de 10 del corriente. A los doce pedazos de tierra que por providencia del Sr. D. Manuel Perez de Rozas, caballero de la Real y distinguida orden de Cálaos 111 , del Consejo de S. M., Alcalde de la Real casa y corte, se están subastando , sitos en el término del iugir de Ballecas dé</t>
  </si>
  <si>
    <t>o haber concurrido persona que hiciese postura á ella ; por auto que en el mismo dia proveyó el Sr. D. Manuel Perez de Rozas , del Consejo de S. M. , y Alcalde en su Real casa y corte, ante el Escribano de provincia D. Juan Razategui , mandó continuar la subasta por 1$ dias. Quien quisiere hacer postura</t>
  </si>
  <si>
    <t>afio;á instancia del citado Padrós se han traído dichos 9 vales de 300 pesos á Ja audiencia del Sr. D. Manuel Perez de Rozas, Alcalde de Real casa y corte, y escribanía de provincia de D. Juan Bazategui, para averiguar la suplan-r tacion : y siendo los últimos endosos con distintas épocas en Valencia ,</t>
  </si>
  <si>
    <t>números $ue se publicaron en el .suplementó á la gazeta de 11 del corriente. Por el juzgado del Sr. D. Manuel Perez de Rozas , caballero de? la Reai distinguida orden española de Cárlos m, del Consejo de S. M., su Alcalde de casa y corte, y por la escribanía de provincia de D. Juan Antonio Diaz No-* rie</t>
  </si>
  <si>
    <t>Pérez de Rozos, Manuel</t>
  </si>
  <si>
    <t>Manuel Pérez de Rozos</t>
  </si>
  <si>
    <t>itio de S. Lorenzo en casa de Don Josrph Masarnau. Por auto proveído en 16 del corriente por el Sr. D. Manuel Perez de Rozos, caballero de la Real distinguida órden española de Carlos m, del Consejo de S. 1YI., Alcalde de la Real casa y corte, está mandado sacar á pública subasta por término de 30 dias,</t>
  </si>
  <si>
    <t>Pérez de Tejada, Vicente</t>
  </si>
  <si>
    <t>Vicente Pérez de Tejada</t>
  </si>
  <si>
    <t>co Pcyroíón y compañía. EnValladolid....... D. Francisco Durango é hijo mayor. En Zamora............D. Vicente Perez de Tejada. En Zaragoza........ D. Tomas de la Madrid. EnZeuta..............D. Pedro Huguet , comisionado subalterno del de Cádiz. El Consejo á consulta de la. Comisión gubernativa, y con ap</t>
  </si>
  <si>
    <t>o Pcyrolon y compañía. EnVallhdolid....... D. Francisco Durango é hijo mayor. ; En Zamora...........D. Vicente Perez de Tejada. En Zaragoza........ D. Tomas de la Madrid. En Zeuta... ......... D. Pedro Huguet , comisionadosubalterno del de Cádiz.' ; El Cabildo de la iglesia colegial de la ciudad de Manres</t>
  </si>
  <si>
    <t>Peyrolon y compañía. En Valladolid....... D. Francisco Durango é hijo mayor. En Zamora............ D. Vicente Perez de Tejada. En Zaragoza......... D. Tomas de la Madrid. En Zeuta............... D. Pedro Huguet, comisionado subalterno . del deCádiz. El Consejo á consulta de la Comisión gubernativa, y con</t>
  </si>
  <si>
    <t>Peyrolon y compañía. En Valladolid....... D. Francisco Durango é hijo mayor. En Zamora............. D. Vicente Perez de Tejada. En Zaragoza......... D. Tomas de la Madrid. * EnZeuta.......... . D. Pedro Huguet, comisionadosubalterno del de Cádiz. El Consejo á consulta de la Comisión gubernativa, y con apr</t>
  </si>
  <si>
    <t>co Peyrolbn y compañía. En VaUadolid....... D. Francisco Durango é hijo mayor. En Zamora............D. Vicente Perez de Tejada. En Zaragoza........ D. Tomas de la Madrid. En Z¿uta................D. Pedro Hugtíet, comisionado subalterno del dé Cádiz. El Consejo á consulta de la Comisión gubernativa, y con</t>
  </si>
  <si>
    <t>Pérez de Varandalla y Clara Antonia Romero, María</t>
  </si>
  <si>
    <t>María Pérez de Varandalla y Clara Antonia Romero</t>
  </si>
  <si>
    <t>r de esta villa de Madrid &amp;c. se cita, Dama y emplaza á las parientas huérfanas y viudas pobres, de Doña María Perez de Varandalla y Doña Clara Antonia Romero, su tia , que residan en la villa de Brúñete y otras partes , para que en el termino de 15 dias, ante S. S. y por ef oficio de D. Casimiro Antonio Gómez, expongan lo que á su dere</t>
  </si>
  <si>
    <t>Pérez del Rio, Juan</t>
  </si>
  <si>
    <t>Juan Pérez del Rio</t>
  </si>
  <si>
    <t>ara el Beneficio de la parroquial de Chinchilla, en la diócesis de Cartagena, vacante por muerte de D. Juan Perez del Rio, á D. Juan de Carballar, con la calidad de personal residencia que tiene anexa. En la compañía Flamenca del Real cuerpo de Guardias de Corps ha nombrado el Rey Exento supernumerar</t>
  </si>
  <si>
    <t>Pérez Fuentes, Francisco</t>
  </si>
  <si>
    <t>Francisco Pérez Fuentes</t>
  </si>
  <si>
    <t>l García: para el Arciprestazgo de Rioja, en la diócesis de Calahorra, vacante por fallecimiento de D. Francisco Perez Fuentes, á D. Basilio Antonio López Figueroa: para la Ración de la colegial de Covsrrubias, arzobispado de Burgos, vacante por promoción de D. Manuel Marrón á una Canongía de la misma col</t>
  </si>
  <si>
    <t>Pérez García, Joseph</t>
  </si>
  <si>
    <t>Joseph Pérez García</t>
  </si>
  <si>
    <t>a colegial de Santillana, en el obispado de Santander, vacante por renuncia de D. Vicente Guzman, á D. Joseph Perez García, Cura Beneficiado de Queveda y Mijares, en aquel obispado: para ei Beneficio de la parroquia de Xarandilla, en el obispado de Phsencia, vacante por muerte de D. Antonio Andrés Per</t>
  </si>
  <si>
    <t>Pérez Isla, Joseph</t>
  </si>
  <si>
    <t>Joseph Pérez Isla</t>
  </si>
  <si>
    <t>a parroquial de S. Julián de la villa de Santa Olalla, diócesis de Toledo, vacante por promoción de D. Joseph Perez Isla al Curato de la Puebla de Montalban , en la misma diócesis, á D. Francisco López Escalona, con la obligación que tiene anexa. En el regimiento de infantería de Saboya se ha servid</t>
  </si>
  <si>
    <t>Pérez Peñuelas, Luis</t>
  </si>
  <si>
    <t>Luis Pérez Peñuelas</t>
  </si>
  <si>
    <t>uantas posturas se hicieren ante los Escribanos del número de esta villa D. Antonio López Sal azar, D. Luis Perez Peñuelas, D. Julián González Saez y D. Joachin González de Castro. A virtud de las Reales resoluciones de S. M. se venden des tierras correspon*» dientes al patronato Real de legos que fun</t>
  </si>
  <si>
    <t>Pérez Valiente, Joseph María</t>
  </si>
  <si>
    <t>Joseph María Pérez Valiente</t>
  </si>
  <si>
    <t>a y corte, vacante por promoción de D. Luis Mclendez Bruna á Ministro del Consejo de las Ordenes, á D. Joseph María Perez Valiente; y para</t>
  </si>
  <si>
    <t>Pérez Vizcaíno, Ignacio</t>
  </si>
  <si>
    <t>Ignacio Pérez Vizcaíno</t>
  </si>
  <si>
    <t>lia de Carrion á D. Joseph Vinuesa: para el de la población de Gíbraltar, que reside en S. Roque, á D. Ignacio Perez Vizcaíno; y para la Vara de Alcalde mayor de la ciudad de Valladoüd á D. Juan Antonio Bringas. El Banco nacional de S. Garlos celebró junta general de sus accionistas el dia 20 de Abril an</t>
  </si>
  <si>
    <t>Pérez y Muro, Fráñcisco Xavier</t>
  </si>
  <si>
    <t>Fráñcisco Xavier Pérez y Muro</t>
  </si>
  <si>
    <t>y ha concedido agregación de Subteniente en el re^imien-? to de infantería *fixó de la Luisiana á' D. Fráñcisco Xavier Perez y Muro, Soldado distinguido del mismo cuerpo.. * v</t>
  </si>
  <si>
    <t>Pérez y Rozas, Manuel</t>
  </si>
  <si>
    <t>Manuel Pérez y Rozas</t>
  </si>
  <si>
    <t>ntonio Díaz Noriega, que se admitirán las que se hagan siendo arregladas. * Por providencia del Sr. D. Manuel Perez y Rozas , Caballero de la Real y distinguida orden española de Cárlos 111 , del Consejo de S. M. , Alcalde dé su Real casa y corte , y por la escribanía de provincia de D. Joseph Nicasio</t>
  </si>
  <si>
    <t>Pérez, Antonio Andrés</t>
  </si>
  <si>
    <t>Antonio Andrés Pérez</t>
  </si>
  <si>
    <t>para ei Beneficio de la parroquia de Xarandilla, en el obispado de Phsencia, vacante por muerte de D. Antonio Andrés Perez,á D. Francisco,de Paula Regidor Flores, con la obligación de servirlo : y para el Beneficio de, la parroquial de S. Julián de la villa de Santa Olalla, diócesis de Toledo, vacante</t>
  </si>
  <si>
    <t>Péréz, Francisco</t>
  </si>
  <si>
    <t>Francisco Péréz</t>
  </si>
  <si>
    <t>de granaderos al de fusileros D. Joseph de Córdoba; á segundo Teniente al Subteniente de granaderos D. Francisco Péréz ; á Subteniente de grabad¿rorni primer' SúbtétiieíítéTL'Marinó Martínez; á pri-" iffef Subteniente' al ségühdó'D.' JÓáchín 'Móntalba',^y \ segundos Subténiefí^' tes al Srtóito pri</t>
  </si>
  <si>
    <t>Pérez, Joseph</t>
  </si>
  <si>
    <t>Joseph Pérez</t>
  </si>
  <si>
    <t>arboyra........ 33. Joseph Perez..... . Francisco...... Manuela Delgado. Barrio de Sta. María deLu- Ketirados á invá-</t>
  </si>
  <si>
    <t>Pérez, Nicolás</t>
  </si>
  <si>
    <t>Nicolás Pérez</t>
  </si>
  <si>
    <t>........... 75. ai. Nicolás Perez..... Juan'............. . María Recio........ Trasaedo. Burgos................... 8$ 2$. Fermín Alonso.... Baltasar....... . María Alonso..... Muereyes..... Burgo</t>
  </si>
  <si>
    <t>Pérez, Pedro</t>
  </si>
  <si>
    <t>Pedro Pérez</t>
  </si>
  <si>
    <t>Rey se ha servido nombrar para una Canongía de la catedral de Zamora, vacante por fallecimiento de D. Pedro Perez, á D. Agustín Sánchez Villalobos: para una Ración de la catedral de Sigiienza, vacante pof muerte de D. Juan Sotillo Hurtado, á D. Juan Casado, Cura Párroco Rector del hospicio de</t>
  </si>
  <si>
    <t>Pérez, Tomás</t>
  </si>
  <si>
    <t>Tomás Pérez</t>
  </si>
  <si>
    <t>l regimiento de caballería del Príncipe se ha servido el Rey promover á Ayudante al primer Teniente D. Tomas Perez ; á primer-Teniente al segundo D. Melchor Rengel; á. segundo Teniente al Alférez D. .Francisco Serrano; .á Alféreces á los Portaestandartes D, Ildefonso.Quintana y Lafita y.i D. C</t>
  </si>
  <si>
    <t>Pérez, Vicente</t>
  </si>
  <si>
    <t>Vicente Pérez</t>
  </si>
  <si>
    <t>ntada....... 41. p. Vicente Perez...... Benito........... BenitaFernandez. Pereyra......... Chantada......... a8. ip. Tomas Alcober.... Joseph.......... Antonia Collado.. Denia........... Idem.....</t>
  </si>
  <si>
    <t>Perkins, Capitán</t>
  </si>
  <si>
    <t>Capitán Perkins</t>
  </si>
  <si>
    <t>andado por el Teniente Coronel Blunt, y embarcado en el navio de guerra el Arabe, á las órdenes del Capitán Perkins, hizo su desembarco el 21 de Abril, y se apoderó de ambas islas. En la propia gazeta del dia 2 se ha impreso una órden del Rey por la qual permite S. M. que los oficiales ingleses</t>
  </si>
  <si>
    <t>Perra de Roeas, Manuel</t>
  </si>
  <si>
    <t>Manuel Perra de Roeas</t>
  </si>
  <si>
    <t>los números que se publicáron en el suplemento á la gazeta de 2d del pasado; Por el juzgado del Sr. D. Manuel Perra de Roeas . caballero:^ la Real distinguida } , ® española ' • ; orden i» de c“r(?s m &gt;,dél -y*Conséio de S. M., Túan Antonio su Noneca Dia* Alcalde de se ¿asárelatado ta v corte;env a3 esc</t>
  </si>
  <si>
    <t>Persa de Rozas, Manuel</t>
  </si>
  <si>
    <t>Manuel Persa de Rozas</t>
  </si>
  <si>
    <t>oc/'t'ilr.inía rtríjinncís. áe. Ti. Tosenh Fér— su remate está señalado thapornDbro"¡dentía del Sr. D. Manuel Persa de Rozas , caballero de la orden de Tirios Til del Conseio de S. M., Alcalde de su Real Lucia de’las Reales órdenesy por k escribanía de provincia de D. Joseph Nicasio Bey tez. se ha manda</t>
  </si>
  <si>
    <t>Pesartracto, Miguel</t>
  </si>
  <si>
    <t>Miguel Pesartracto</t>
  </si>
  <si>
    <t>nes sobre la excelencia y virtula Cabeza en los años de 1785 y 1786. Ex­ des de S. Pablo-, su autor D. Miguel Pesartracto de todos los anteriores desde su des­ ir-u. Dos tomos en 8.“ marquilla , á 26 rs. én cubrimiento impresos y manuscritos. Y no­ pasta, y 20 en rústica. ticia de los habitantes , suelo</t>
  </si>
  <si>
    <t>Petitpierre, Agustin</t>
  </si>
  <si>
    <t>Agustin Petitpierre</t>
  </si>
  <si>
    <t>Capitán primero de fusileros al de granaderos D. Fulgencio Moiío; á esta resulta al Capitán segundo D. Agustin Petitpierre; á Capitán segundo al Teniente de granaderos, graduado de Capitán, D. Ventura Rougemont; á Teniente de granaderos al de fusileros D. Antonio Miesch; á Teniente de fusileros al Sub</t>
  </si>
  <si>
    <t>Pewlett, Lord</t>
  </si>
  <si>
    <t>Lord Pewlett</t>
  </si>
  <si>
    <t>sin duda -para Inglaterra, con algunos navios,quedando el resto de la esquadra baxa las órdenes del Lord Pewlett. Scmlin C de Juma. . . Oegnn avisos de Turquía, Ras watt-Oglow después de reunir muchas trompas atacó a las qué ¿i B.ixá de Belgrado tenia apostadas en I s cercanías de íNegadin ,</t>
  </si>
  <si>
    <t>Peyralon, Joseph María</t>
  </si>
  <si>
    <t>Joseph María Peyralon</t>
  </si>
  <si>
    <t>fusileros D. Manuel Eligió; á Capitán al Ayudante D. Ramón Ducer; á esta resulta al primer Teniente D. Joseph María Peyralon; á primer Teniente al segundo de granaderos D. Juan Antonio Abal ; á segundo Teniente de granaderos al de fusileros D. Blas de Hore; asegundo Teniente al Subteniente de granaderos</t>
  </si>
  <si>
    <t>Peyroion, Francisco</t>
  </si>
  <si>
    <t>Francisco Peyroion</t>
  </si>
  <si>
    <t>ó concurran á los premios que quedan indicados , se dirigirán al secretario de dicha Real sociedad D. Francisco Peyroion, hasta el dia 31 de Octubre de este año, ocultando el nombre los autores de las memorias, para que puedan ser juzgadas con imparcialidad, poniéndolos en pliego separado y cerrado,</t>
  </si>
  <si>
    <t>Peyrolbn, Francisco</t>
  </si>
  <si>
    <t>Francisco Peyrolbn</t>
  </si>
  <si>
    <t>.. Sres. Chavarri y Posad itlo. En Toro................... D. Joseph Ligero. En Valencia............D. Francisco Peyrolbn y compañía. En VaUadolid....... D. Francisco Durango é hijo mayor. En Zamora............D. Vicente Perez de Tejada. En Zaragoza........ D. Tomas de la Madrid. En Z¿uta..............</t>
  </si>
  <si>
    <t>Peyrolon, Francisco</t>
  </si>
  <si>
    <t>Francisco Peyrolon</t>
  </si>
  <si>
    <t>mediar muchos abusos que se advierten en daño del país y de su cultura é ■ industriá. El secretario D. Francisco Peyrolon leyó el extracto de las actas de la sociedad desde el'u de Diciembre de 1799? y publicó la adjudicación del premio de una medalla de plata cón el nombre del premiado y patente de</t>
  </si>
  <si>
    <t>.... Sres. Chavarri y Posadillo. En Toro..................D. Joseph Ligero. En Valencia. .......... D. Francisco Peyrolon y compañía. En Valladolid....... D. Francisco Durango é hijo mayor. En Zamora............ D. Vicente Perez de Tejada. En Zaragoza......... D. Tomas de la Madrid. En Zeuta...........</t>
  </si>
  <si>
    <t>..... Sres. Chavarri y Posadilio. En Toro............... . D. Joseph Ligero. En Valencia........... D. Francisco Peyrolon y compañía. En Valladolid....... D. Francisco Durango é hijo mayor. En Zamora............. D. Vicente Perez de Tejada. En Zaragoza......... D. Tomas de la Madrid. * EnZeuta.........</t>
  </si>
  <si>
    <t>Pi, Pedro</t>
  </si>
  <si>
    <t>Pedro Pi</t>
  </si>
  <si>
    <t>ote ;• á tenientes de granaderos á los segundos Subtenientes D. Joseph Urreay DortJ Pedro Mari ti y D. Pedro Pi riz , y;* pr ¡meros Subtenientes á losVsegundos D. Juan Sayol, D. Manuel de Ócbéa^Di Juan-Villegas, y á D. Joáchín1 Becerra , Soldado distinguido que fué del de Extremadura. En at</t>
  </si>
  <si>
    <t>Piazzoni, Francisco</t>
  </si>
  <si>
    <t>Francisco Piazzoni</t>
  </si>
  <si>
    <t>te al Cadete 0. Antonio María Manso; y en el de Montesi á Capitán al primer Teniente de Carabineros D. Francisco Piazzoni. El Ryy se ha servido conferir la Superintendencia de la Casa de Moneda de Madrid, y agente por fallecí miento de1D. Joseph Diez Robles, á 0. Manuel Laso &gt; Cantador de U misma Rea</t>
  </si>
  <si>
    <t>Picado, Joseph Manuel</t>
  </si>
  <si>
    <t>Joseph Manuel Picado</t>
  </si>
  <si>
    <t>xército de Valencia, á D. Jos&gt; ph Ventura rerez de Lema: para el de letras de la ciudad de Guadix á D. Joseph Manuel Picado: para el de la villa de Ponferrada á D. Joseph Roxo Guillen ; y para la Vara de Alcalde mayor de las villas de Adra, B rja y Dalias á D. Vicente Tormo y Pont. También ha venido S.</t>
  </si>
  <si>
    <t>Pichegru, General</t>
  </si>
  <si>
    <t>General Pichegru</t>
  </si>
  <si>
    <t>e que nada dicen que le impida seguirlo. j Hamhurgo 11 de Marzo. D e Londres ha llegado á Altona el General Pichegru baxo nombre su-* puesto. En el mismo navio ha venido Mr. de Broglie con la respuesta de Ja corte de Londres á la solicitud del Príncipe de Condé sobre que no se embarcase el cuerp</t>
  </si>
  <si>
    <t>Pichó, Pedro</t>
  </si>
  <si>
    <t>Pedro Pichó</t>
  </si>
  <si>
    <t>me ó memoria sobre lasf observaciones hechas de orden de la sociedad en el cultivo del cacahuate.^; Don Pedro Pichó recitó unos endecasílabos al objeto de la junta publica, y Dj Estéban Chayx una oda al mismo asunto; y se concluyó el acto cón* música. La sala de juntas ordinarias se franqueó al</t>
  </si>
  <si>
    <t>Pico, Ramón Antonio</t>
  </si>
  <si>
    <t>Ramón Antonio Pico</t>
  </si>
  <si>
    <t>diz..............D. Benito de la Piedra. En Cartagena...... . D. Manuel de Ozores. En Ciudad-Real.. D. Ramón Antonio Pico. En Córdoba...........Sres. Barcia padre é hijo. En la Cortina....... D. Manuel Antonio Elzaurdí. En Cuenca............. D. Manuel Escolar y Noriega. En Granada.........D. Francis</t>
  </si>
  <si>
    <t>ádiz.............. D. Benito de la Piedra. En Cartagena.......D. Manuel de Ozores. En Ciudad-Real,* D. Ramón Antonio Pico. En Córdoba.......... Sres. Barcia padre é hijo. En la Coruña....... D. Manuel Antonio Elzaurdí. En Cuenca......... D. Manuel Escolar y Noriega. Engranada........ D. Francisco de</t>
  </si>
  <si>
    <t>z............... D. Benito de la Piedra. En Cartagena........D. Manuel de Ozores. En Ciudad-Real... D. Ramón Antonio Pico. En Córdoba............Sres. Barcia padre é hijo. En la Cor uña........ D. Manuel Antonio de Elzaurdi. En Cuenca... ......... D. Manuel Escolar y Noriega. En Granada......... D. F</t>
  </si>
  <si>
    <t>z...............D. Benito de la Piedra. En Cartagena........ D. Manuel de Ozores. En Ciudad-Real... D. Ramón Antonio Pico. En Córdoba........... Sres. Barcia padre é hijo. En la Coruña........ D. Manuel Antonio de Elzaurdi. En Cuenca............ . D. Manuel Escolar y Noriéga. En Granada........ D. Fr</t>
  </si>
  <si>
    <t>Pict</t>
  </si>
  <si>
    <t>1 Lord Eldoa es Gran Canciller en lugar deí Lord Loughborough. El Conde deChatham; hermano mayor de Mr. Pict, Presidente del-Consejo. El Duque de Portland, Secretario de Estado dé lo InteríorJ Eli Lord Hatvkesbury, Secretario de Estado y de Negociosextrangeros, como subesordelLord Grenvi</t>
  </si>
  <si>
    <t>. M. los puso ai instante en manos-de Mr."Addington, &lt;juien empezó á:despachar dos dras'después---- Mr. Pict asiste ahora á la Camárá de los. comunes j habiendo tomado sti asiento.iá espaldas-del banca de los individuos de la tesorería. Hide-Dtrfcer, que navega aiyamtu, y * .r---- t' dió</t>
  </si>
  <si>
    <t>Pidro Estala</t>
  </si>
  <si>
    <t>gerp universal , ónoficia del mundo antiguo y muevo ; obra reoo pilad a dé los mejores viajeros por D. Pidro Estala , presbítero x qnademo ñu* con que concluye el tomo* a.* det «uplemcnt# * y -contiene el fin del suplemento á la Siria y á Chipre. Véndese á 4&gt;s. en la librería de Castillo, frent</t>
  </si>
  <si>
    <t>Piedra, Joseph</t>
  </si>
  <si>
    <t>Joseph Piedra</t>
  </si>
  <si>
    <t>na.......... 21. 6. Joseph Piedra.....* joseph........... Madalena N....... . Batea............ Tortosa...,....... no. 4. Joseph Gal vez...... Antonio....... . JoachinaDomingo.Cantavieja.... Alcafi</t>
  </si>
  <si>
    <t>Pietrt, Gerónimo</t>
  </si>
  <si>
    <t>Gerónimo Pietrt</t>
  </si>
  <si>
    <t>i; para su resulta ál Cadete D. Luis Marques?; para el emplea de Cadete de número al supernumerario D. Gerónimo Pietrt, y para Cadete supernumerario al Guardia D. Nicolás Abarna: en la compañía Flamenca Brigadier</t>
  </si>
  <si>
    <t>Pifia, Francisco</t>
  </si>
  <si>
    <t>Francisco Pifia</t>
  </si>
  <si>
    <t>lo entregará en Cádiz al citado Calera, en Madrid á D. Francisco de Villaluení ga , ó en Sevilla á D. Francisco Pifia). Por providencia del Sr. D. Juan Antonio López Altamirano, caballero de'íijf órden de Santiago, Ministro del supremo Consejo dé Castilla| Jüez protector y privativo de las memori</t>
  </si>
  <si>
    <t>Pifieyro, Juan</t>
  </si>
  <si>
    <t>Juan Pifieyro</t>
  </si>
  <si>
    <t>......... . 34. ia. Juan Pifieyro...... . Manuel.........* Rosalía Fernán- Sta. María de dez........,...... . Cigril........ Los Baños........ ac. 8. Ma</t>
  </si>
  <si>
    <t>Pigsegu, Mateo</t>
  </si>
  <si>
    <t>Mateo Pigsegu</t>
  </si>
  <si>
    <t>eda en id... 4g. 2* Mateo Pigsegu............. Pedro y Clara Puella....... Seret en id...... 71. ir. Salvio Guítar...... Salvador y Ana Gila................ Sureda en id...</t>
  </si>
  <si>
    <t>Piguillem</t>
  </si>
  <si>
    <t>nteramente conforme á la descripción que han dado los Médicos franceses é ingleses, hace esperar al Dr. Piguillem que esta invención podrá desterrar de aquí á algunos años las viruelas. fp¡«I Rey se ha servidoMadrid Gde Enero de 1801. expedir el siguiente decreto: „Por mi Real decreto de 26 d</t>
  </si>
  <si>
    <t>Píguillem</t>
  </si>
  <si>
    <t>s elevado de Jps Pirineos como en lo mas interior de España, según escriben varios pro/fcspires al -Dr. Píguillem, quien:acaba de recibir una carta de la Comisio* ¿£§fttrál establecidaáen: Páris,, en-que- le dicen : „La Comisión central hi quedado muy satisfecha dél honor que Vm. le ha dispen</t>
  </si>
  <si>
    <t>imiento admirable del inmortal Jenner, hizo venir cíe Barcelona un popo de virus, que la bondad del Dr. Piguillem le proporcionó. Para destruir las preocupaciones de los habitantes de esta vecindad, y desterrar su timidez, les dio el exemplo vacunándose á sí mismo; lo que visto por varias per</t>
  </si>
  <si>
    <t>Piilli, General</t>
  </si>
  <si>
    <t>General Piilli</t>
  </si>
  <si>
    <t>, el qual costó á dicha legión 14 oficiales y 120 soldados entre heridos y muertos. La división del General Piilli llegó i sostener el ataque, v entonces los enemigos evacuaron precipitadamente la ciudad, abandonando sus heridos, y algunos prisioneros y almacenes. Todas las tropas austríacas q</t>
  </si>
  <si>
    <t>Pilona, Gaspar</t>
  </si>
  <si>
    <t>Gaspar Pilona</t>
  </si>
  <si>
    <t>ez, á D. Juan Ortiz de Letona, Ministro principal de Real Hacienda de Truxillo: para esta resulta á D, Gaspar Pilona, Interventor de la administración de alcabalas de León de Nicaragua en aquel Reyno; y para oste destino á D. Joseph Ariza y Torres. En cumplimiento de los Reales decretos y cédula</t>
  </si>
  <si>
    <t>Pimienta, Luis Joseph</t>
  </si>
  <si>
    <t>Luis Joseph Pimienta</t>
  </si>
  <si>
    <t>eos para la Chántría al Tesorero D* «Benito Jcsegh Lambí ; y paraJa*Tesorería al Canónigo Magistral D. Luis Joseph Pimienta: «paira; el Arcediano to de la metropolitana de Charca*, vacante por fallecimiento de D. Grego</t>
  </si>
  <si>
    <t>Piñana y IX Ramón María Climent, Juan Antonio</t>
  </si>
  <si>
    <t>Juan Antonio Piñana y IX Ramón María Climent</t>
  </si>
  <si>
    <t>de Toro y Suarez, D. Francisco García Aldao y Andeyro, D. Jacobo Cagiad» D. Antonio Díaz de Ponte, D. Juan Antonio Piñana y IX Ramón María Climent. En América. S. M. se ha servido nombrar para el empleo de Fiel de almacenes y reconocedor de la factoría de tabacos de Ciudad Real, Reyno de Guatemala, vacante por renuncia del q</t>
  </si>
  <si>
    <t>Pindado, Miguel</t>
  </si>
  <si>
    <t>Miguel Pindado</t>
  </si>
  <si>
    <t>......... 133. i&lt;5. Miguel Pindado... Pablo.............Francisca Rodríguez................. Peñaiba........ Avila.............. 46. ao. Atanasio Martinez.Cayetano.......Ana Colorada....... Val</t>
  </si>
  <si>
    <t>Pindiney</t>
  </si>
  <si>
    <t>neral de los exércitos de S. M. Cat. Igualmente, el Ministro de Relaciones exteriores le presentó á Mr. Pindiney, que va de Ministro de los Estados-Unidos á la corte de Madrid, y el ciud. Strick de Linschoten, Ministro que fue de la República bátava en Stuttmmd. Habiendo sabido este gobierno</t>
  </si>
  <si>
    <t>Pineda, Fernando</t>
  </si>
  <si>
    <t>Fernando Pineda</t>
  </si>
  <si>
    <t>, D. Joseph Ignacio García, D. Cayetano Revueltas, a! Cadete Don Domingo Urqiiijo, y a los paisanos D. Fernando Pineda, D. Juan de Dios Pader^s, D. .Juan Marcelino Casas, D. Casildo Posada y D. Nicolás de Lora; á Subtenientes de granaderos al Cadete, D. Bartolomé Gallardo y ai Sargento segundo vol</t>
  </si>
  <si>
    <t>Pineda, Joseph</t>
  </si>
  <si>
    <t>Joseph Pineda</t>
  </si>
  <si>
    <t>ento de caballería de Híisares Españoles á Sargento mayor al Capitán, graduado de Teniente Coronel, D. Joseph Pineda: en el de la Costa de Granada á Alféreces al Sargento distinguido, graduado de Alférez, D. Juan Ruiz y al Cadete Don Pedro Trasierra; y en el de dragones de Pavía á Capitán al agr</t>
  </si>
  <si>
    <t>Piñera, Julián</t>
  </si>
  <si>
    <t>Julián Piñera</t>
  </si>
  <si>
    <t>en los: dias¡4 y 17 de Marzo, 6 y 7 de Abril, resultáron en la clase-de sobresalientes con ventajai D. Julián Piñera, D. Vicente Ximenez y D. Felipe Aner; en la clase de buenos D. Ramón Salazar, Doft Joachín Royo, D. Antonio' Capilla,\D. Isidoro Capilla, D. Vicente Royo, D. Ildefonso González, D</t>
  </si>
  <si>
    <t>Piñeyro y Fariña, Antonio Vicente</t>
  </si>
  <si>
    <t>Antonio Vicente Piñeyro y Fariña</t>
  </si>
  <si>
    <t>Subteniente de granaderos al de fusileros D. Joseph Ramón de Ja Vega, y á Subteniente de bandera á D. Antonio Vicente Piñeyro y Fariña: en el de Bujalance i Teniente de fusileros al Subteniente de cazadores D. Joseph Vaídelomar, y á Subteniente de cazadores al de fusileros D. Joseph M«ma Sánchez: en el de Segorve</t>
  </si>
  <si>
    <t>Pino, General</t>
  </si>
  <si>
    <t>General Pino</t>
  </si>
  <si>
    <t>'p vr^Ab..¿4... ■JTasI los insurgentes como los austríacos se hán retirado; á terriforio roma*0. El General Pino ha ocupado1 nuevamente á iSeíte*vy élGéfteralPólóitílbini ha vuelto á entrar én Arezzo. Los patriotas que habían húidó dé atjiií 'quando seaeercabanlos enemigos, se han restituido</t>
  </si>
  <si>
    <t>á este gobierno dándole cuenta de la batalla del dia 14, en la qual una parte de la div ¡5 ion del General Pino derrotó al cuerpo napolitano mandado por el General Damas, lo persiguió hasta^mas allá de Sena, y entró en la ciudad» Posteriormente se. ha publicado la siguiente relación del ciud.</t>
  </si>
  <si>
    <t>Pintón, Joseph</t>
  </si>
  <si>
    <t>Joseph Pintón</t>
  </si>
  <si>
    <t>en Alemán por pergamino, 20 en pasta, y 48 en tafilete. Por el Señor Juan Federico Guillermo Widen- D. Joseph Pintón, que mereció lo recomenmann : dos tomos en 8.° mayor á 59 rs. en dase el Consejo en el año de 1771 para uso, .pasta, y 40 en papel. Se venden también suel­ de las Escuelas del Rey</t>
  </si>
  <si>
    <t>Piñuela, Santiago</t>
  </si>
  <si>
    <t>Santiago Piñuela</t>
  </si>
  <si>
    <t>ismo se ha servido S. M. nombrar para una plaza de Oidor de la Real Audiencia del Reyno de Aragón á D. Santiago Piñuela; y para la plaza del Crimen, que este dexa en la de Extremadura, á D. Andrés Bustiilo y la Cueva. Para el Corregimiento de capa y espada de la ciudad de Plasencia se ha servido no</t>
  </si>
  <si>
    <t>Pío Ambrós</t>
  </si>
  <si>
    <t>. Manuel Carbón; á primer Teniente al segundo D. Ramón Garcés; á esta resulta al primer Subteniente D. Pío Ambrós; á primer Subteniente al segundo D. Juan Lafuente,y á segundo Subteniente al Sargento primero D. Joseph Aznar. El Rey ha conferido el empleo de Coronel deí regimiento de caballerí</t>
  </si>
  <si>
    <t>Pió de Aguiar, Antonio</t>
  </si>
  <si>
    <t>Antonio Pió de Aguiar</t>
  </si>
  <si>
    <t>de la propia iglesia D» Francisco Tubau y Sala; y para esta Canongía al Capellán de la Rea! Armada D, Antonio Pió de Aguiar. El Consejo á consulta de la Comisión gubernativa, y con aprobación d« S. M., ha resuelto la amortización veinte y quatro de iqo Vales de 600 pesos y 4^*8 de yoo de i. de Enero, p</t>
  </si>
  <si>
    <t>Pió de Salas, Joseph</t>
  </si>
  <si>
    <t>Joseph Pió de Salas</t>
  </si>
  <si>
    <t>D. Pedro de la Puente: igual ascenso en las compañías de Milicias urbanas de caballería de Santa á D. Joseph Pió de Salas y D. Juan Ib iñez, Alféreces; y empleos de Alféreces a D. Ignacio Carrillo, Sargento Pr i mero*, y D. Joseph Sebastian de Mutua., Soldado distinguido del mismo cuerpo: el empleo de Co</t>
  </si>
  <si>
    <t>Pío, Papa</t>
  </si>
  <si>
    <t>Papa Pío</t>
  </si>
  <si>
    <t>la fiesta pública del 14 de Julio. Ha llegado de Roma á París el Duque Braschí, sobrino del difunto Papa Pío vi. También ha venido dc’Londres Mr. Merry , en calidad de comisario para el cange de prisioneros, en cuyo encargo reemplaza á Mr.'Coctesl ■ ' Madama Bonaparte y su hija salen mañ</t>
  </si>
  <si>
    <t>Pira</t>
  </si>
  <si>
    <t>á)primér Lord de la Tesorería yChancilier del JEchijquier, d sea Ministro de dlacienda, en lugar de Mr. Pira. ®1 Lord Eldoa es Gran Canciller en lugar deí Lord Loughborough. El Conde deChatham; hermano mayor de Mr. Pict, Presidente del-Consejo. El Duque de Portland, Secretario de Estado</t>
  </si>
  <si>
    <t>Pistón, General</t>
  </si>
  <si>
    <t>General Pistón</t>
  </si>
  <si>
    <t>castigo. Tuvo orden de volver á Francia ; y al llegar cerca de esta ciudad, saiió á su encuentro el General Pistón con 30 hombres de caballería ; mandó que aquel cuerpo hiciese alto, y le leyó una proclama del primer Cónsul , con varias órdenes del gobierno, por las quales se disolvía dicho re</t>
  </si>
  <si>
    <t>Pita Daveyga, Gabriel</t>
  </si>
  <si>
    <t>Gabriel Pita Daveyga</t>
  </si>
  <si>
    <t>lmo Suarez Quirós. También ha concedido S. M. agregación de Teniente en el provincial de Betánzos á D. Gabriel Pita Daveyga, Alférez de fragata de la Real armada. En atención á los méritos y distinguidas circunstancias de D. Manuel de Guevara Vasconcelos, Capitán general de la provincia de Venezuela, y</t>
  </si>
  <si>
    <t>Pitez, Miguel</t>
  </si>
  <si>
    <t>Miguel Pitez</t>
  </si>
  <si>
    <t>egundos Subtenientes: al Sargento primero de granaderos JD. Joseph Solves y al Cadete del de Burgos D. Miguel Pitez: en el ouadA xara á. Capitán á su caballero Page D. Joachín Vera: en el de Granada á primer* Subteniente al segundo D. Vicente Romero: en el ce Zaragoza á piinier. Subteniente al</t>
  </si>
  <si>
    <t>Pitt</t>
  </si>
  <si>
    <t>e los franceses evacuasen aquel país, y ha servido para alargar los; males de la guerra. Contestóle Mr. Pitt valiéndose de los mismos argumentos que había empleado en otra sesión, y añadiendo que no debe aser-' gurar.se con tanta ligereza coma se hace, que es de sentir-que no se hayan re</t>
  </si>
  <si>
    <t>e Mr. Jones sobre que se' presente el estado de las tropas extrangeras pagadas por la Gran Bretaña* Mr. Pitt, sin oponerse directamente á ella, dixo que era indecoroso para hr Cámara tratar de asuntos que no tienen mas objeto que satisfacer la curios!-' dad personal de algunos vocales; p</t>
  </si>
  <si>
    <t>Capitán Akermann, apresada por la chalupa' inglesa de guerra denominada Spitfíre. A proposición de Mr. Pitt suspendió ayer la Cámara de los Comunes sus sesiones hasta el dia 29. Pocos dias ántes se aprobó en la misma Cámara la propuesta de Mr. Rider, sobre que no se saque del trigo sino</t>
  </si>
  <si>
    <t>tros, particularmente entré Mr. Pitt y Mr. Windham ,que es Secretario de Guerra. Dícese también que Mr. Pitt consentia en que lás trepa? prusianas ocupasen el electorado de Hánnóver, y en que los católicos de Irlanda gozasen los derechos con que contaban de resultas de la unión de los do</t>
  </si>
  <si>
    <t>ucho las velas de todas aquellas naves francesas. : En el café de Lloyd se han hecho apuestas á que Mr. Pitt no será Ministro un mes , y que para entonces ya se. habrán entablado negociaciones con Francia. ) ....; • fel dia 5 no asistid Pitt al Parlamento á causa de hallarse indispuesto.</t>
  </si>
  <si>
    <t>os del tratado de 1780 sin excepción alguna; lo qual incluye una declaración de guerra en sentir de Mr. Pítt* Siguió hablando sobre la importancia dé los derechos marítimos de Inglaterra, cuya conservación proporcionó al estado socorrer y amparar á la Europa en ias pasadas crisis. „ Si e</t>
  </si>
  <si>
    <t>que los actuales. Volvieron á hablar Mr. Pitt, Dundas y Sheridan ; y al cabo fue desechada la debatida proposición por 245 votos contra 63 que la apoyáron. Han sido vanos quantos esfuerzos han hecho Mr. Pitt y otros Ministros</t>
  </si>
  <si>
    <t>la abertura .del Parlamento para 'dar tiempo á los Ministros dé convenirse en tan delicado asunto. Mr. Pitt representó en vano que la palabra dada formalmente á los católicos irlandeses había servido á efectuar la unión de los dos Rey nos, que en conseqiiencia debía cumplirse; y declaró</t>
  </si>
  <si>
    <t>PÍtt</t>
  </si>
  <si>
    <t>ían concedido para este servicio- mas de 12 ó© hombres* y qil^aun es^ tos se habían reducido á no©. Mr. PÍtt contestó que la colicicm , del Norte hacia indispensable el aumento que se proponía. En conseqiiencia se ápro-¡* bó, señalándose 11.886,597 libras esterlinas para -gastosdeH*cluye</t>
  </si>
  <si>
    <t>e su competencia porque aun np era Ministro quando se aprobáron los subsidios. Y si nos dirigimos á Mr. Pitt, que tanta priesa manifiesta ahora, nos dirá entonces que ya no es Ministro. Esperemos pues á que los nuevos Ministros concurran á la Cámara. Concluiré haciendo una observación dó</t>
  </si>
  <si>
    <t>ban en el público no tenían ningún derecho á que la nación confiase en ellos; pues eran hechuras de Mr. Pitt, y están formados según sus principios; por consiguiente tienen que adoptar el sistema político que ha puesto i Inglaterra en las orillas del precipicio:. Siguió Mr. Whitbread -y</t>
  </si>
  <si>
    <t>ué motivo de que se hiciesen reconvenciones á Mr. Nichols, y de que se moviese disensión entre él y Mr. Pitt. Este dixo: „ Tiempo llegará en que podré manifestar las causas de mi conducta; y entonces se verá quan infundados son los cargos que se me hacen.”—Mr. Sheridan disculpó á Mr. Nic</t>
  </si>
  <si>
    <t>tros de los santiguos .se han retirado^ y son el Lord Grenville, el Conde de Spencer y Mr; Windham. Mr. Pitt, el Lord Canciller y Mr. Dundas debían retirarse.ayer; pero es probable que á lo^iiiénos el primero exerza.yí conservé, las funciones ds su empleo, tanto mas que: su sucesor Mr. A</t>
  </si>
  <si>
    <t>uno y otro To aprobáron.”_Siguiéron varios vocales aprobando y otros desaprobando la proposición : Mr. Pitt fué de estos últimos; y al cabo se desechó por Í44 votos contra 75. ' - ' Haya 2 8 de Febrero. S é1 han recibido los pasaportes del Emperador de Rusia para el Embaxadftyíqué-csta</t>
  </si>
  <si>
    <t>Bosnia1 y todáda Servía* r * ! Londres 21 de Marzo. .. • • E lsábado.último a las 3 de la tarde fue Mr. Pitt a! palacio de la Reyna, en donde tuvo audiencia del Rey para entregarle los sellos de su secretaida, y S. M. los puso ai instante en manos-de Mr."Addington, &lt;juien empezó á:despac</t>
  </si>
  <si>
    <t>sino una rusa. Se insertan en varios papeles ingleses censuras mas ó menos serias del ministerio de Mr. Pitt: en uno de ellos se lee la siguiente observación: ,, Augusto al morir se alababa de que habiendo hallado á Roma de ladrillo, la dexaba de mármol. Mr. Pitt al dexar la dirección de</t>
  </si>
  <si>
    <t>ose culpados los antiguos Ministros, querian con esta disposición ponerse á cubierto de todo cargo. Mr. Pitt sostuvo la proposición diciendo que no tenia otro objeto que proteger á las personas que habían dado al gobierno informes importantes sobre la seguridad del estado. En los mismos</t>
  </si>
  <si>
    <t>de la Reyná, y á su presencia tuviéron consejo los Ministros: el Conde de Chatham, hermano mayor de Mr. Pitt, hizo dexacion de su empleo de Presidente del Consejo privado. Se asegura que le nombrará S. M. Gran Maestre ó Director general de artillería en lugar del Manques de Gornwallis. C</t>
  </si>
  <si>
    <t>constaba la Cámara de los Comunes ántés de su unión con el Parlamento de-irlanda. ¡-—Quando Mr. Pitt entró en el miñistefio'igualaba la deuda al número de los vocales de dicha Cámara que á proposición suya votiron 238'millones. Otro calculista sostiene que ántés de dos anos la deud</t>
  </si>
  <si>
    <t>á Francia; pero su viage no tiene objeto político. Mr. Smith, secretario particular que ha sido de Mr Pítt, ex-Ministro de Hacienda , acaba de comprar en el Condado de Esséx una posesión Hat mada el parque de Shortgrove , que le ha costado 40© libras esterlinas , ó 2409 pesos. A vuelta</t>
  </si>
  <si>
    <t>Pitt y Mr</t>
  </si>
  <si>
    <t>oPjtt.uLo cierto es ,que ha habido grandes disensiofies éntre los ¿Ministros, particularmente entré Mr. Pitt y Mr. Windham ,que es Secretario de Guerra. Dícese también que Mr. Pitt consentia en que lás trepa? prusianas ocupasen el electorado de Hánnóver, y en que los católicos de Irlanda goza</t>
  </si>
  <si>
    <t>entar un semblante lleno de tristeza, quando todos los demas rebosan alegría; pero si no opino como Mr. Pitt y Mr. Fox, que hasta ahora opinaron de un modo tan contrado sobre todos los puntos de esta guerra, y están ya acordes en aprobar la paz, es porque no veo las cosas como ellos, y porque</t>
  </si>
  <si>
    <t>Pizano, Juan (capitán)</t>
  </si>
  <si>
    <t>Capitán Juan Pizano</t>
  </si>
  <si>
    <t>una fragata con batería corrida y bandera inglesa, que se batia con la goleta corsaria la Perla, su Capitán Don Juan Pizano, de la matrícula de Cádiz,, que^ durante llora y media le hizo fuego por la popa, birando sobre ella, y.obligándola á abandonar sus aguas por la superioridad de fuerzas de la frag</t>
  </si>
  <si>
    <t>Pizarro, Diego</t>
  </si>
  <si>
    <t>Diego Pizarro</t>
  </si>
  <si>
    <t>os D. Pedro BoDrull y D. Sebastian de Arroyo; á Subtenientes a los d~ bandera D. Domingo de Aragón, D. Diego Pizarro y D. Ramón yaklejuüy,</t>
  </si>
  <si>
    <t>Plácido de Silva</t>
  </si>
  <si>
    <t>a plaza de Barcelona: y ha promovido en el regimiento de infantería de Murcia á Capitán al Ayudante D. Plácido de Silva; á Ayudante al primer Teniente D. Gaspar Bigodet; á primer Teniente de granaderos al de fusileros D. Joseph Muñoz; á primeros Tenientes de fusileros á los segundos de granaderos D</t>
  </si>
  <si>
    <t>Placido Duro</t>
  </si>
  <si>
    <t>l Fermín García y al Sargf nto primero Don Martin Lagasca;y á Subtenientes de bandera á los Cadetes D. Placido Duro y D. Vicente Abad, y ál Sargento primero D. Joachín lima. Igu Imente, para el Corre pimiento de la provincia de Tunja,enel Nuevo Reyno de Grenadn , vacante por traslación* de D. Josep</t>
  </si>
  <si>
    <t>Plácido Duro</t>
  </si>
  <si>
    <t>Manuel de Mendoza; á Teniente al Subteniente D. Ramón Mir; í Subteniente de compañía al de bandera D, Plácido Duro* y a Subteniente de bandera al Cadete D. Fernando Otal. c .. , En cumplimiento de los Reales decretos y cédalas de S. M. de i a y i y dé Tulió de 1707, y 22 y 29 de Noviembre dél</t>
  </si>
  <si>
    <t>Plácido Louverture</t>
  </si>
  <si>
    <t>anta actividad como ahora. Entre los pasageros van muchas señoras, como también Plácido Louverture, hijo del General de Sto. Domingo, y le acompaña su ayo. París i.° de Diciembre. Y a llegó aquí Mr. Lewingston, Enviado de los Estados-Unidos cerca de este gobierno. En el Holstein se h</t>
  </si>
  <si>
    <t>Plácido Prats</t>
  </si>
  <si>
    <t>a en id.... j£&gt;. 7. Plácido Prats............. Juan y Isabel Garrich. S. Genis en id.. íp. 7. Francisco Causa.......... Nicolás y María SalJy.</t>
  </si>
  <si>
    <t>Planes, Pedro</t>
  </si>
  <si>
    <t>Pedro Planes</t>
  </si>
  <si>
    <t>anca en id. 71. ir. Pedro Planes................ Joseph y Ana Lajule................... Perpifian........... 71. 11. Francisco Perez Cone-............................................................... Elna e</t>
  </si>
  <si>
    <t>Plaseneia, Francisco</t>
  </si>
  <si>
    <t>Francisco Plaseneia</t>
  </si>
  <si>
    <t>Subteniente de granaderos *D. Vicenrte González-: á Subteniente de granaderos al primer Subteniente D. Francisco Plaseneia; á primer Subteniente al segundo D. Joseph Bages, y á segundo Subteniente ál C id te del 'de Ultonia I). Juan de InzueT: en el dé iBorbon á primer Subteniente ai de esta clase, de</t>
  </si>
  <si>
    <t>Pnltney, General</t>
  </si>
  <si>
    <t>General Pnltney</t>
  </si>
  <si>
    <t>o aünque se malogró , no tienen culpa de ello los Ministros. El plan se había comunicado no solo al General Pnltney que acaba de hablar, sino también al» Lord S. Vicente , que mandaba entonces la ésquadra de la Mancha : y uno y otro To aprobáron.”_Siguiéron varios vocales aprobando y otros desa</t>
  </si>
  <si>
    <t>Pole, Almirante</t>
  </si>
  <si>
    <t>Almirante Pole</t>
  </si>
  <si>
    <t>ería y artillería. Escoltarán á estas tropas tres navios de 54 á 68 cañones, mandados por el Contra-Almirante Pole. Igualmente se enviarán á-Egipto los cuerpos extrangeros, que pagados por Inglaterra se hallan actu almente en Portugal , y los regimientos suizos que quedan al servicia de 12 Gra</t>
  </si>
  <si>
    <t>Nelson en ponerse en marcha para restituirse á Inglaterra. Le sucede en el mando de la esquadra el Almirante Pole. Una carta escrita en Egipto refiere que el Coronel Archdall al frente de un destacamento de dragones atacó una partida francesa cerca de Abukir: penetró por medio de los húsares</t>
  </si>
  <si>
    <t>r, y ha ido á reforzar la escuadra grande de la Mancha. ’ ‘ El njiétcoles próximo saldrá de aquí el Almirante Pole, y se embarcará en Yarmouth para el Báltico, en donde se encargará del mando de aquella esquadra en lugar del Lord Neíson, Basilea 10 de Junto. L as tropas francesas han evacuado</t>
  </si>
  <si>
    <t>; * £1 'AManante Nelson ha emprendido su viage á Inglaterra en la misma fragata en que: el 'Contra? Almirante Pole , su sucesor en el mando,;ha liegado á la había de Kióege* habiendo pasado pbr eiSund él dia‘17. “Vúrip» ’ buques de la esquadra inglesa se han internado posteriormente en el Balt</t>
  </si>
  <si>
    <t>adra inglesa hace disposiciones para retirarse de estos mares; y sé dice que áutes de ayer envió el Almirante Pole al Príncipe Real un oficial con una carta, avisándole que no tardará en hacerse á la vela---- Han llegado á este puerto dos buques de guerra británicos qtie vienen d J mar del Nor</t>
  </si>
  <si>
    <t>en toda la costa compre— hendida entre la isla de Walcheren y Helvoetsluis, ha expedido órdenes al Almirante Pole para que despache otros id navios de la esquadra del Báltico. Basilea 20 de Julio. E 1 feudo de Schoensée ó Schoese , simado en el Álto-Pálatinado, cedido por el Austria á la Bavi</t>
  </si>
  <si>
    <t>e que el gobierno llegó también á rezelar, pues desde entonces tomó disposiciones muy enérgicas. El Almirante Pole vino con el resto de la csquadra dd Báltico en número de 12 navios de línea, muchas fragatas y corbetas, y al instante se le dió orden para que saliese á reforzar la esquadra que</t>
  </si>
  <si>
    <t>mbaxada en la corte de Lisboa. A la altura de aquel puerto navegaba el 27 de Agosto la esquadra del Almirante Pole, compuesta de 6 navios de línea. La de Mr. Bickerton, que solo consiste en 3 navios, incluso el nombrado Tigre, se incorporó el 18 de Junio con la del Almirante Keith delante de A</t>
  </si>
  <si>
    <t>erráneo. Dexárou la división de Mr. S. umarez cruzando en el Estrecho, reforzada con la esquadra dd Almirante Pole. Refieren las últimas cartas del Asia que los misioneros christianos trabajan con el mayor zelo y actividad en aquella parte dd mundo: han repartido solamente entre los pueblos de</t>
  </si>
  <si>
    <t>Polefien, Almirante</t>
  </si>
  <si>
    <t>Almirante Polefien</t>
  </si>
  <si>
    <t>francés; y hoy, después de la parada, dará audiencia á los Embaxadores extrangeros. La esquadra del Almirante Polefien.é,l Báltico, se compone de 45 buques de guerra, contando las fragatas.' Et inüy considerable el número de embarcaciones destinadas para abastecerla de vituallas y municiones. Esta</t>
  </si>
  <si>
    <t>Polei Otros, Almirante</t>
  </si>
  <si>
    <t>Almirante Polei Otros</t>
  </si>
  <si>
    <t>íitymna escuadra compuesta de dos navios de 98 e ¿ñones y quartfo &gt;de 74: la .val mandando el -Vice-Almirante Polei Otros jbuqües de guerra se unieron dos días después.con dichas fuerzas, las quales van á relevar las que hay en Gibraltar y en eL Estrecho bald ías ordenes de Mr. Saumarez. - Se sostien</t>
  </si>
  <si>
    <t>Polfranceschi, General</t>
  </si>
  <si>
    <t>General Polfranceschi</t>
  </si>
  <si>
    <t>erra. Milán 4 de Mayo. E stá nombrado Ministro de Guerra el General de brigada Tentié, en lugar del General Polfranceschi, que ha pedido su retiro. Ha sido lucidísima y completa la fiesta que se ha hecho aquí para celebrar la paz.</t>
  </si>
  <si>
    <t>Policarpo Sáenz de Tejada Hermoso</t>
  </si>
  <si>
    <t>o los mismos beneficios.” Los concurrentes dirigirán sus memorias al secretario de la Real sociedad D. Policarpo Sáenz de Tejada Hermoso, en la forma acostumbrada, hasta el dia 31, dé Agosto de e|te año. ; Se ha extraviado un vale Real de igo pesos , creación de i.° de Enero, núm. a&amp;g, vo8 , renovado á favor de D.</t>
  </si>
  <si>
    <t>Polo, Bartolomé</t>
  </si>
  <si>
    <t>Bartolomé Polo</t>
  </si>
  <si>
    <t>,vior de Parcelo, que 1c. e* del de Extremadura, D. Miguel T D Francisco Carabano, D Joseph V»dal y D. Bartolomé Polo, y al Soldado distinguido del de Malaga D. Tade°¿iTos1 raimientos provinciales se ha servido el Rey nombrar Sargento mayor del de Soria á D. Francisco Calonge, que lo era del de A</t>
  </si>
  <si>
    <t>Polop, Salvador</t>
  </si>
  <si>
    <t>Salvador Polop</t>
  </si>
  <si>
    <t>....... Antonio..... ... María del Val,.... Espeja,.».,..... Burgos............ p&lt;5, 23. Sargento a.D Salvador Polop.,... Vicente..... ... Josepha Escribá... Oliva......... . Denia,,........;. 348. Manuel Mendaño.. Alexandro.. ... María Bielsa........ Calanda......... Alcafíiz,........ , 408. 9.</t>
  </si>
  <si>
    <t>Ponce de León, Ángel</t>
  </si>
  <si>
    <t>Ángel Ponce de León</t>
  </si>
  <si>
    <t>o de infantería de Saboya se ha servido promover el Rey á primer Subteniente ai segundo Subteniente D. Angel Ponce de León* y á segundo Subteniente al Cadete D. Joseph Ordoñez: en el de Granada á segundos Subtenientes á los Cadetes D. Francisco de Paula Vázquez y D. Juan Pablo Sebastian: en el de Espa</t>
  </si>
  <si>
    <t>Ponce de León, Joseph</t>
  </si>
  <si>
    <t>Joseph Ponce de León</t>
  </si>
  <si>
    <t>e fusileros á D. Tu’.n de la T ovilla, Teniente de la misma ciase y cuerpo; Tenencia de fusileros á D. Joseph Ponce de León, Subteniente de cazadores; su resulta á D. Mariano de Cárdenas, Subteniente de fusileros ; Subtenencias de compañía ík D. Juan Roldan y Baena y D. Ignacio Palacios del Pino; y las</t>
  </si>
  <si>
    <t>Poncerot, Agustín</t>
  </si>
  <si>
    <t>Agustín Poncerot</t>
  </si>
  <si>
    <t>Buil, D. Carlos Stonor, D. Felipe Ancora v D. Benito Albini; á primeros Subtenientes a los segundos D. Agustín Poncerot, D. Bernardo Álvarez, D. Blas Áivarez, D. Joseph Aguado y ÓquenHo , D. Tomas Canten , D. Guillermo Líons, D. Andrés.Agnado y Oou-ndo , D. Joseph Alvarez , D. Pedro Dalesme y D. Ju</t>
  </si>
  <si>
    <t>Pont, Joseph</t>
  </si>
  <si>
    <t>Joseph Pont</t>
  </si>
  <si>
    <t>rrera, D. Joseph Alfós, y D. Joseph Ximenez de Bagues: para un Beneficio de la catedral de Lérida á D. Joseph Pont; y para el Beneficio de la parroquial de Chinchilla, en la diócesis de Cartagena, vacante por muerte de D. Juan Perez del Rio, á D. Juan de Carballar, con la calidad de personal r</t>
  </si>
  <si>
    <t>Pontanus</t>
  </si>
  <si>
    <t>a pasado ya por Koenisberg. Hasta principios de Setiembre no se espera en Potsdam al.Rey de Suecia. Mr. Pontanus, Te ^ te Coronel de artillería, tiene orden de r conocer tod ts las fortalezas de S. Vi. Prusiana para hacer en ellas los aumentos y reparos que necesiten, y dexarlas en estado de</t>
  </si>
  <si>
    <t>Pontr, Francisco</t>
  </si>
  <si>
    <t>Francisco Pontr</t>
  </si>
  <si>
    <t>otro Beneficio de Hebdomadario de la colegiata de la ciudad de S. Felipe, diócesis de Valencia,, á D. Francisco Pontr para la Capellanía Magistral' de la Real capilla de Sevilla,, vacante por fallecimiento de D. Francisco dePaula Cartaya, á D. Joseph María Blanco y Crespo, Colegial en el de&gt; Sta</t>
  </si>
  <si>
    <t>Ponz, Antonio</t>
  </si>
  <si>
    <t>Antonio Ponz</t>
  </si>
  <si>
    <t>Emperador Cárlos v, Rey de Espafia: publicados primera vez con un discurso preliminar y notas , por D. Antonio Ponz. Bsta preciosa obra, la primera en su especie, producida en el sig'o y m*;jor época de nuestra literatura de oro, estuvo desconocida y sepultada en el olvido dos siglos y medio, h</t>
  </si>
  <si>
    <t>Ponzerot, Agustín</t>
  </si>
  <si>
    <t>Agustín Ponzerot</t>
  </si>
  <si>
    <t>; á esta resulta al segundo Teniente D. Carlos de Caumont; á segundo Teniente al primer Subteniente'D. Agustín Ponzerot; á Subtenientes de granaderos á los primeros Subtenientes D. Bernardo Alvarez, D. Blas Alvarez y D. Joseph Aguado y Oquendo, y á primeros Subtenientes á los segundos D. Gerónimo G</t>
  </si>
  <si>
    <t>Porro, Francisco</t>
  </si>
  <si>
    <t>Francisco Porro</t>
  </si>
  <si>
    <t>ovincia: **.“• f f 1 ; i En América. El Rey ha nombrado para el Obispado de la. Luisiana al Rmo. P. D. Francisco Porro , General de los Clérigos menores. El domingo 10 del corriente se consagró en la iglesia de las Sras. Descalzas Reales de ésta' ¿orté el limó. Sr. D. Joseph Antonia Gárnica, Obisp</t>
  </si>
  <si>
    <t>Portal, Vicente</t>
  </si>
  <si>
    <t>Vicente Portal</t>
  </si>
  <si>
    <t>Vicente Portal.... Joseph y Catalina Saleta..... Molich en el Rosellon.......... 317. 14. Francisco Brasset, Joseph y Margarita Baunet. Vallestar en id, 33. 30</t>
  </si>
  <si>
    <t>Portero, Joachín</t>
  </si>
  <si>
    <t>Joachín Portero</t>
  </si>
  <si>
    <t>rro Qzorcs, Barón de Casa Goda, Guardia de Corp-s retirado : en el de Avila Tenencia de fusileros á D. Joachín Portero, Subteniente de cazadores; esta: resulta á D. JuanDomiago, Subtenientede fusileros , y Subtenencia de bandera á D. Mariano Bccerríl, Cadete del mis</t>
  </si>
  <si>
    <t>Portillo, Pedro Joseph</t>
  </si>
  <si>
    <t>Pedro Joseph Portillo</t>
  </si>
  <si>
    <t>io del Salvador de Madrid, = Catecismo ó exposición de la doctrina christiama , compuesto por el P. D. Pedro Joseph Portillo, presbítero del mismo Real Oratorio. Se hallarán en la librería de Fermín Nicasio, carrera de S. Gerónimo. Reglas para la inteligencia de la sagrada escritura : obra de Mr; Duguet</t>
  </si>
  <si>
    <t>Portocarrero, Joseph</t>
  </si>
  <si>
    <t>Joseph Portocarrero</t>
  </si>
  <si>
    <t>h Pardo , D. Fernando .Julián Pastor y Don Francisco Arce: a Subtenientes de compañía al de bandera D. Joseph Portocarrero , al Cadete D. Manuel Fermín García y al Sargf nto primero Don Martin Lagasca;y á Subtenientes de bandera á los Cadetes D. Placido Duro y D. Vicente Abad, y ál Sargento primero D.</t>
  </si>
  <si>
    <t>Pose, Ramón</t>
  </si>
  <si>
    <t>Ramón Pose</t>
  </si>
  <si>
    <t>usileros graduado de Teniente Coronel’D. .Urbano Merino; á Capitán al primer Teniente de granaderos Don Ramón Pose ; á primer Teniente de granaderos al de fusileros D. Francisco Torres; á primeros Tenientes á los segundos de granaderos D. Pedro Zorrilla,.D. Vicente Cevailos y D. Eugenio Iglesi</t>
  </si>
  <si>
    <t>Potter</t>
  </si>
  <si>
    <t>ue tiene 89: Mr. Shepher de 8i, con Ana. Watson de 24: Juan Colle de 76, con Mistriss Lope de 80; y Mr. Potter de 87, con Rebeca Helwel de 88. Haya i.° de Julio. H a recibido el Almirante Dewinter nuevas órdenes é instrucciones del gobierno, de las quales puede inferirse que la esquadra de su</t>
  </si>
  <si>
    <t>Pou, Miguel</t>
  </si>
  <si>
    <t>Miguel Pou</t>
  </si>
  <si>
    <t>n el despacho de la imprenta Reafi. En 3* de Mario último, 1). Andrés Gheraldi, de Cádiz, remitió á D. Miguel Pou, de Barcelona, cedidos á favor de este en el citado dia , 6 vales Reales de á 300 pesos, creación de i,® de Octubre, núms. 99,157, 19,314, 03,540, 97,9144 97,755 y 33,449} y habié</t>
  </si>
  <si>
    <t>Pourkart</t>
  </si>
  <si>
    <t>quien entregaron sus credenciales. En seguida Mr. de Cetto presentó en la misma audiencia pública á Mr. Pourkart, Consejero de legación : el Conde de Bunau presentó á Mr. Riviere, Secretario de su legación: el Marques de Lucchesini , Enviado extraordinario de Prusia, presentó al Conde de Jar</t>
  </si>
  <si>
    <t>Powalosweckywku, General</t>
  </si>
  <si>
    <t>General Powalosweckywku</t>
  </si>
  <si>
    <t>jew y al ex-General Powalosweckywku. t A rinde qoelos ingleses no puedan adquirirpor medio de otras naciones Ió$ éfé’CTóS «ras esenciales que necesitan para su marina, se ha prohibido su extracción de los puertos de</t>
  </si>
  <si>
    <t>Power, Joseph</t>
  </si>
  <si>
    <t>Joseph Power</t>
  </si>
  <si>
    <t>undo ai Teniente de granaderos D. Matías del Castillo; á Tenientes de granaderos á ios de fusileros D. Joseph Power y D. Angel Fantony; á Tenientes á los Subtenientes D. Juan Dávila, D. Joachin Goyena y D. Bartolomé Lison, los dos primeros de granaderos; á Subtenientes de granaderos á los de fusil,</t>
  </si>
  <si>
    <t>á los primeros disparos atravesase por el pecho una bala de cañón al Teniente Coronel de Artillería D. Joseph Power, Coman</t>
  </si>
  <si>
    <t>Powleé, Lord</t>
  </si>
  <si>
    <t>Lord Powleé</t>
  </si>
  <si>
    <t>a de Borholmtel Capitán Murray, mandando una esquadra pequeña, se hallaba delante de Dantzick; y el Lord Powleé cruzaba con algunos buques á vista de Rostock. El total de las fuerzas británicas en aquellos mares consta de 25 navios de línea, 40 fragatas y muchas bombardas, cañoneras &amp;c. Par</t>
  </si>
  <si>
    <t>Pozo, Félix</t>
  </si>
  <si>
    <t>Félix Pozo</t>
  </si>
  <si>
    <t>f&gt;r. 31. Félix Pozo..,....... Felipe........... Ana María Mufioí. Adanero........ Avila.’,............ 12.8. a. Custodio Gómez.. Andrés.......... Ana Aguilar........ Celadas......... Teruel</t>
  </si>
  <si>
    <t>Prado, Juan Antonio</t>
  </si>
  <si>
    <t>Juan Antonio Prado</t>
  </si>
  <si>
    <t>8.74 deros del de infantería de Abanéay á los de fusileros D. Juan Antonio Prado y.D: Tomas Valenzuela; á Capitanes de fusileros á los Tenientes Don Joseph Santos, D. Santiago de la Calle y D. Felipe Acosta, y á los paisanos D. Mauricio Villafuerte, D. Vicente L</t>
  </si>
  <si>
    <t>Prast, Juan Santiago</t>
  </si>
  <si>
    <t>Juan Santiago Prast</t>
  </si>
  <si>
    <t>iente al segundo de granaderos D. Domingo Henáres; á segundo Teniente de granaderos al de fusileros D. Juan Santiago Prast; á segundo Teniente al Agregado en esta Clase D. Gerónimo Aguilar, y á segundo Subteniente al Cadete D. Joseph María Guerrero: en el de Asturias á Sargento mayor al Capitán de gra</t>
  </si>
  <si>
    <t>Prensa</t>
  </si>
  <si>
    <t>castella­ de ellas establecido en el Buen-Retiro. N.n x.° no con varias adiciones del original por Don Prensa hidráulica. N. a.° Máquina para ha..Cárlos Martínez de Irujo. Un tomo en 8.° cer, clavos. N.° 3.0 Máquina para devanar marquilla á xo r«. en papel, y á 14 en pasta. varias madexas</t>
  </si>
  <si>
    <t>Prenx, Jorge</t>
  </si>
  <si>
    <t>Jorge Prenx</t>
  </si>
  <si>
    <t>ro de Korb; á Teniente, de granaderos al de fusileros 0. Ignacio Preux, y á Teniente al Subteniente D. Jorge Prenx. S- M. ha promovido en . el regimiento de caballería del Infante á Sargento mayor al Capitán , graduado de Teniente Coronel, D. Joseph Marton: en.el-d'e Farnesio á primer Teniente</t>
  </si>
  <si>
    <t>Presidente al Conde de Pergen</t>
  </si>
  <si>
    <t>ncias para el ramo superior de policía, y que reemplazará también en calidad de Presidente al Conde de Pergen, que ha obtenido su retiro. El ciud. Champagny, Ministro de Francia, ha recibido y publicado la noticia de la paz marítima, la qual asegura, sin duda por mucho</t>
  </si>
  <si>
    <t>Presidente comunicará á la Cámara de los Pares esta resolución</t>
  </si>
  <si>
    <t>socorros que están en su poder para llevar al cabo un objeto tan ventajoso: el Presidente comunicará á la Cámara de los Pares esta resolución 5 y Mr, Roberto Vaughan la presentará igualmente á la Cámara baxa. Durante los dos años últimos se recibieron en 5 puertos de Inglaterra 343,480 fardos q sacas</t>
  </si>
  <si>
    <t>presidente de</t>
  </si>
  <si>
    <t>éh eL{gobierno.—4Los principales ■son s Mr. Henrique Addington,que era Orador ¿presidente de la ^Cámara dé dos Comunes, ;pasa*tá)primér Lord de la Tesorería yChancilier del JEchijquier, d sea Ministro de dlacienda, en lugar de Mr. Pira. ®1 Lord Eldoa es G</t>
  </si>
  <si>
    <t>Presidente de</t>
  </si>
  <si>
    <t>s órdenes, é hizo varias promociones. -Ha fiomhrado-S.-M, 4/Mr. Erhenheirn para Presidente de la, Cancillería 6 Ministro ~de: Negocios extrangeros. J':rr"”' • Informado el Rey de que muchas embarcaciones de Pomeranü habían car.gado -graups cu^ntí^del gobie</t>
  </si>
  <si>
    <t>Presidente de aquella Real Audiencia</t>
  </si>
  <si>
    <t>nado S. M. conferirle los empleos do Comandante general de las armas del Cuzco, Presidente de aquella Real Audiencia, é Intendente de la misma provincia. Por ei juzgado- del Sr. D; Miguel Munarriz:, del Consejo de S. M.,. su Alcalde de casa y corte* y escribanía de provincia</t>
  </si>
  <si>
    <t>Presidente de conferencias del convento de Marquina</t>
  </si>
  <si>
    <t>en la?qpe';prcdicó el R. P. Fr. Gabriel de Jesús. María , Carmelita descalzó, y Presidente de conferencias del convento de Marquina; pfcro D. Miguel Joachín de Lardizabal y Amezqueta, Juez ordinario dei pueblor como heredero; de</t>
  </si>
  <si>
    <t>presidente de dicha junta</t>
  </si>
  <si>
    <t>Mr..de. Zach.es autor-de ,este* proyecto; y Mr. Schroetcr, de Liíieuthal, es el presidente de dicha junta, la qual ha repartido, todo el zodíaco entre 24 socios corresponsales, á ñn de que cada juno en Li par te .que Je^orresponde, pueda ¡d^dlwse *raas, Acámente á</t>
  </si>
  <si>
    <t>Presidente de dicho Cabildo ó Secretario capitular</t>
  </si>
  <si>
    <t>uieran hacer semejante anticipación se dir‘giran personalmente ó por escrito al Presidente de dicho Cabildo ó Secretario capitular. Por el término de un mes contado desde hoy se recibirán en Bilbao por D. Juan de Villabaso, y en Madrid por D. Alexandro Amirola, comisionados paradlo por la</t>
  </si>
  <si>
    <t>Presidente de dicho Coñ</t>
  </si>
  <si>
    <t>ieyie—.El Duque de Portland dexa también el ministerio de lo Interior, y pasa á Presidente de dicho Coñ</t>
  </si>
  <si>
    <t>Presidente de ella</t>
  </si>
  <si>
    <t>formó el año de 1783 la Princesa Aschkow, á quien Catalina n nombró por primer Presidente de ella. Con su actividad, zeio y exemp’o consiguió dicha Princesa que en 1794 saliese á luz un diccionario de la lengua rusa en 6 tomos.en 4.0 El Ministro encargado d</t>
  </si>
  <si>
    <t>Presidente de la academia de lengua rusa con</t>
  </si>
  <si>
    <t>privado y Presidente de la sociedad económica de Petersburgo, ha sido nombrado Presidente de la academia de lengua rusa con 2250 rublos de sueldo. Esta academia la formó el año de 1783 la Princesa Aschkow, á quien Catalina n nombró por primer Presidente de ella. Con su actividad, ze</t>
  </si>
  <si>
    <t>Presidente de la academia imperial de ciencias</t>
  </si>
  <si>
    <t>sonasItisiMés, no puedan ser castigadas con penas corporales. A proposición del Presidente de la academia imperial de ciencias, y con'aprobvcion'dél Emperador, se ha resuelto que en adelante se incluya en el kalendario ruso una tabla cronológica de los principales hechos históricos, es</t>
  </si>
  <si>
    <t>Presidente de la Audiencia de Caracas</t>
  </si>
  <si>
    <t>Manuel de Guevara Vasconcelos, Capitán general de la provincia de Venezuela, y Presidente de la Audiencia de Caracas, se ha servido S. M« concederle llave de Gentilhombre de Cámara con entrada. Eí Consejo á consulta de la Comisión gubernativa, y con aprobación de S. M., ha re</t>
  </si>
  <si>
    <t>Presidente de la cámara de comercio de Filadelfia al Secretario</t>
  </si>
  <si>
    <t>en varias cartas de los Cónsules anglo-americanos, con copia de otra carta del Presidente de la cámara de comercio de Filadelfia al Secretario de Marina. Debo observar que ni por mi correspondencia con.</t>
  </si>
  <si>
    <t>Presidente de la Charicijflería de Estado</t>
  </si>
  <si>
    <t>ro de la República francesa , ha presentado sus credenciales a Mr. de Erenheim, Presidente de la Charicijflería de Estado. " Mr. de Ehrensward, recien nombrado Ministro de est^ corte qn Pari$|‘ sirvió igual empleo cerca de S. M/ Gatólica , y áítímamente estuvo en ín-r; glaterra en</t>
  </si>
  <si>
    <t>Presidente de la ciudad de Altóna</t>
  </si>
  <si>
    <t>os de Holstein y Schlsewig, á los Grandes Baylíos de los dos Rey nos, al primer Presidente de la ciudad de Altóna , y á los Magistrados de esta capital, manden que todos los que carguen y fleten embarcaciones, den inmediatamente cuenta al referido colegio de la venta que h</t>
  </si>
  <si>
    <t>Presidente de la junta de víveres declaró que haciendo para</t>
  </si>
  <si>
    <t>ro de trabajadores para perfeccionar las obras en varios puntos importantes. El Presidente de la junta de víveres declaró que haciendo para los hospitales el pan de solo trigo, y el de las tropas de trigo y arroz, no quedaban víveres mas que hasta el 23 de Setiembre: no había aceyte en los almacenes: l</t>
  </si>
  <si>
    <t>presidente de la Real sociedad</t>
  </si>
  <si>
    <t>el océano en una concha.marina con esta Mra:- Libertad de los mares. Mr. Banks, presidente dé la Real sociedad, leyó !a carta a los vocales, y se 'acordó unánimemente contestar á ella con éxpresiones.de^gratitud. : : : ¿ v . : q La esquadra qiie salió de Brest mandada p</t>
  </si>
  <si>
    <t>Presidente de la Real sociedad de Londres al instituto nacional</t>
  </si>
  <si>
    <t>con esta inscripción: Al General Moreau , conquistador de ¡a paz” Una carta del Presidente de la Real sociedad de Londres al instituto nacional de Francia indica como el mas importante descubrimiento un remedio poderoso y muy fácil para la gota : y consiste en cierta dosis de ag.ngibre hervido cu leche. A</t>
  </si>
  <si>
    <t>Presidente de la sociedad económica de Petersburgo</t>
  </si>
  <si>
    <t>ibros y gazetas francesas en estos dominios. Mr. de Rastow, Consejero privado y Presidente de la sociedad económica de Petersburgo, ha sido nombrado Presidente de la academia de lengua rusa con 2250 rublos de sueldo. Esta academia la formó el año de 1783 la Princesa Aschkow, á quien Catali</t>
  </si>
  <si>
    <t>Presidente de loe Estados-Unidos ha</t>
  </si>
  <si>
    <t>icanos nombren por su Ministro, en París. El nombramiento de Mr. Jefferson para Presidente de loe Estados-Unidos ha da* do una nueva dirección á ios; asuntos públicos de aquel pais &gt; en donde el partido ingles va perdiendo su crédito y su iiifluxo. Hablase de haber llegado al p</t>
  </si>
  <si>
    <t>Presidente de los Estados-Unidos envió el</t>
  </si>
  <si>
    <t>ha actividad en preparativos marítimos. . , De W^ashington-Town escriben que el Presidente de los Estados-Unidos envió el 28 del mes anterior un mensage al Congreso, comunicándole el siguiente informe del Secretario de Estado Marshall , al qual acompañaban varios documentos: ,, Ha</t>
  </si>
  <si>
    <t>presidente déi instituto nacional y primer Cónsul</t>
  </si>
  <si>
    <t>bles magníficamente enquadernadas. Acompañaba, una carta firmada-por Bónaparte, presidente déi instituto nacional y primer Cónsul. En ella hay una viñeta ó cabecera grabada en dulce, que representa la libertad corriendo por el océano en una concha.marina con esta Mra:- Libertad de los mar</t>
  </si>
  <si>
    <t>Presidente del Congreso</t>
  </si>
  <si>
    <t>nvoy con mayor porción de ellos, el qual en fuerza de órdenes de Mr. Jcflerson, Presidente del Congreso, viene escoltado por dos fragatas anglo-americanas.” Guatemala 12 de Febrero. S c ha publicado en Lima la continuación del crucero marítimo de la corbeta Casto</t>
  </si>
  <si>
    <t>Presidente del Consejo áulico del Imperio</t>
  </si>
  <si>
    <t>ttingen-VVailerstein prestó juramento de fidelidad en manos del Emperador, como Presidente del Consejo áulico del Imperio.</t>
  </si>
  <si>
    <t>Presidente del Consejo de Almirantazgo Conde de Kuchelaw</t>
  </si>
  <si>
    <t>ipe de Lapukin, el Ministro de comercio Príncipe Gargarinn, el Almirante y Vice-Presidente del Consejo de Almirantazgo Conde de Kuchelaw, y el Consejero privado Conde de Trochincki. Tienen estos sugetos por su empleo facultad de pedir en las secretarías y oficinas los informes que puedan necesit</t>
  </si>
  <si>
    <t>Presidente del Consejo de comercio</t>
  </si>
  <si>
    <t>uerra. El Lord Arden es Director de las casas de moneda. El Conde dé Liverpool, Presidente del Consejo de comercio. Él Conde Westmoreland está encargado del sello privado &amp;c. Son muchos los que opinan que este ministerio mal combinado^ durará poco tiempo; y aun son mas los</t>
  </si>
  <si>
    <t>Presidente del Consejo de Guerra</t>
  </si>
  <si>
    <t>iles tódassus representaciones; pero así que el Archiduque Cárlos filé nombrado Presidente del Consejo de Guerra, las renovó S. A. Electoral con mas confianza: y en efecto el Archiduque ha respondido que no hay que temer se enganche por fuerza á los súbditos del Elector ,</t>
  </si>
  <si>
    <t>Presidente del Consejo de guerra Lamba</t>
  </si>
  <si>
    <t>infantería Príncipe y Conde Subow, el Vice-Canciller Príncipe Kurakin, el Vice-Presidente del Consejo de guerra Lamba, el General de infantería y Procurador general BeklechoíF, el Tesorero de estado Barón Wazilieff, el Gobernador militar de Petersburgo Conde de Pablen, el Cons</t>
  </si>
  <si>
    <t>Presidente del Consejo legislativo</t>
  </si>
  <si>
    <t>ntener la seguridad y el sosiego púbdeo-----Fecho en Berna y firmado: Marcacci, Presidente del Consejo legislativo.” &gt; Por la otra ley se disuelve l i referida Dieta helvética , declarando nulo y de ningún valor quanto en ella se ha deliberado y resuelto. La consti</t>
  </si>
  <si>
    <t>Presidente del Consejo privado</t>
  </si>
  <si>
    <t>: el Conde de Chatham, hermano mayor de Mr. Pitt, hizo dexacion de su empleo de Presidente del Consejo privado. Se asegura que le nombrará S. M. Gran Maestre ó Director general de artillería en lugar del Manques de Gornwallis. Concluido el consejo tuvo Mr. Pitt audienci</t>
  </si>
  <si>
    <t>Presidente del Consejo privado en lugar del Lord Chatham</t>
  </si>
  <si>
    <t>. M. ha nombrado para sucederle al Lord Pelham, promoviendo al referido Duque á Presidente del Consejo privado en lugar del Lord Chatham, que ha reemplazado al Lord Cornwallis. La esquadra que el Lord Nelson manda actualmente consta de muchas naves pequeñas armadas, y el domingo ultimo se avista</t>
  </si>
  <si>
    <t>Presidente del Consejo Real de las Ordenes</t>
  </si>
  <si>
    <t>rior dcUcles en la orden de Santiago:fué su padrino el Exc. Sr. Duque de Híjar, Presidente del Consejo Real de las Ordenes, y á sur nombre sus dos hijos el Exc. Sr. Duque de Aliaga y Sr. D. Joseph de Silva. Por el aviso que se dio el 22 de Noviembre de 1799» anunciando al público l</t>
  </si>
  <si>
    <t>Presidente del departamento ó ramo</t>
  </si>
  <si>
    <t>or VellutiGhini. ... . Trátase, según dicen, de nombrar, al Árchiduqifc Antonio Presidente del departamento ó ramo; de rentas, y de colocar á otros Archiduques como Gobernadores en varias provincias de los estados hereditarios. Berlín j de Mayo. S on sumamente activas las c</t>
  </si>
  <si>
    <t>Presidente del Directorio se enteró del contenido de los pliegos</t>
  </si>
  <si>
    <t>Directorio bátavo, y después de entregarlos salió sin detenerse para París. El Presidente del Directorio se enteró del contenido de los pliegos, y convocó inmediatamente una junta extraordinaria, á la qual asástiéron los Ministros de Marina y de Negocios extrangeros, y el Almirante Dewinter. Concluida</t>
  </si>
  <si>
    <t>Presidente del gobierno</t>
  </si>
  <si>
    <t>a pública con que se celebró aquí la paz del continente, colocó el ciud. Rossi, Presidente del gobierno, la primer piedra de una coluna de mármol que ha de construirse en la plaza llamada ahora de la Libertad, con varios adornos y emblemas. El mismo Presidente en</t>
  </si>
  <si>
    <t>Presidente del-Consejo</t>
  </si>
  <si>
    <t>en lugar deí Lord Loughborough. El Conde deChatham; hermano mayor de Mr. Pict, Presidente del-Consejo. El Duque de Portland, Secretario de Estado dé lo InteríorJ Eli Lord Hatvkesbury, Secretario de Estado y de Negociosextrangeros, como subesordelLord Grenvilje.</t>
  </si>
  <si>
    <t>Presidente el Exc</t>
  </si>
  <si>
    <t>á expensas del mismo cuerpo cientificd envió á ia corte, se dirigió á su dignb Presidente el Exc. Sr. Principé de la Paz, á fin de que inclinase el benéfico corazón-de $. M. á proporcionar este importante beneficio já Cataluña. Con fecha de 22 de Febrero d</t>
  </si>
  <si>
    <t>Presidente es el ciud</t>
  </si>
  <si>
    <t>viduos de los tribunales. Habrá 11 de estos principales, uno de apelación (cuyo Presidente es el ciud. Botton), y 3 de justicia criminal, los quales se establecerán en Turin, Alexandría y Coni. En Francia se cuentan 10 casas de moneda dependientes de la junta g</t>
  </si>
  <si>
    <t>Presidente interino del Se</t>
  </si>
  <si>
    <t>dexen salir coa entera libertad. ' -■ Acaba el Emperador de Rusia de enviar al Presidente interino del Se* nado de Corfú, y á los Embaxadorep .de la nueva República de las Siétq islas unidas ( que son los Condes de.Gapo-de Istria, de Syíía y de LeikeJcillo) la.cruz</t>
  </si>
  <si>
    <t>Presidente la palabra</t>
  </si>
  <si>
    <t>264 En el Tribunado, después de leerse el tratado," tomó el Presidente la palabra, y en nombre del pueblo francés dio gracias á Bonaparte, que aun tan mozo (dixo) manifiesta la unión del valor, de la prudencia y la sabiduría, y con sus virtu</t>
  </si>
  <si>
    <t>Presidente le advirtió que se excedía</t>
  </si>
  <si>
    <t>ho tiempo desperdiciando Jos tesoros y derramando la sangre de los ingleses. El Presidente le advirtió que se excedía; y Mr. Tierney concluyó diciendo, que el verdadero objeto de la proposición de Mr. Grey era por iter la dirección de los negocios públicos á cargo de Ministros</t>
  </si>
  <si>
    <t>presidente leyó una carta de Mr</t>
  </si>
  <si>
    <t>dia 16 celebraron junta general los accionistas de la compañía de la India. El presidente leyó una carta de Mr. Addington en que solicitaba que se suspendiese hasta el mes de Julio del año próximo el pago de 3 millones de libras, que dicha compañía prestó al gobierno el</t>
  </si>
  <si>
    <t>Presidente Mr</t>
  </si>
  <si>
    <t>tura del Gongreso de los Estados-Unidos en la nue-» ya ciudad de Washington, El Presidente Mr. Juan Adams pronuncio el discurso de estilo dirigido á los individuos del Senado y á los de la Cámara de Representantes* Después de hacer mención de algunos ob</t>
  </si>
  <si>
    <t>Presidente prestó juramento</t>
  </si>
  <si>
    <t>4, es V ice-Presidente: otros 2 estados enviaron sus votos en blanco. El nuevo Presidente prestó juramento, y tomó posesión el 4 de Marzo__— Mr. Madison está elegido para Secretario de Estado , y Mr. Le'ónstoñ para Plenipotenciario en Francia. Para Agente del comerc</t>
  </si>
  <si>
    <t>Presidente propuso que se sombrase una diputación</t>
  </si>
  <si>
    <t>comunicado por el gobierno, y el qual se ha publicado también separadamente. El Presidente propuso que se sombrase una diputación de 24 vocales para cumplimentar al primer Cónsul por el logro de las negociaciones; y así se acordó cmánimemente. ; En-una‘razón inserta en el Monitor sobre las p</t>
  </si>
  <si>
    <t>Presidente que ful da Castilla</t>
  </si>
  <si>
    <t>pafia-én el reynado del Sr. Felipe v, dedicada al Exc. Sr. Cardenal de Mo ina , Presidente que ful da Castilla. Esta obra, digna de la pública curiosidad, se divide en dos partes; U primera contiene la vida historiada del Duque hista su elevación al ministerio y á las d</t>
  </si>
  <si>
    <t>presidente y de los dos secretarios</t>
  </si>
  <si>
    <t>or unión y serenidad en sus deliberaciones. Procedióse luego al nombramiento de presidente y de los dos secretarios: el primero es el ciud. Kuhne, de Berna, y los segundos los ciudadanos Ustcri y Anderwerth. "in1 •' Nadales 2.8 eie Agóste. ; , — jE-sl 19 de este mes, día del</t>
  </si>
  <si>
    <t>Presidente y Vice-Presidente del Congreso</t>
  </si>
  <si>
    <t>tros.Ministros y Cónsules, en Europa y Africa^y siis -secretarios,, 30© para el Presidente y Vice-Presidente del Congreso, 209,470 para el Senfedo y la Cámara de Representantes, 480,396 para sueldo del exército , 910,595 para los demas gastos del ramo de la guerra, 2.342,352 para</t>
  </si>
  <si>
    <t>Prieto, Francisco</t>
  </si>
  <si>
    <t>Francisco Prieto</t>
  </si>
  <si>
    <t>821 Volador, ál mando del Capitán de Fragata graduado D. jiían Jabat, y del Te nieate de Navio D. Francisco Prieto, que habían salido de Campeche, apresaron en la costa tres goletas inglesas, que estaban descargando gener ros, cuyo valor pasa de 200® pesos. Dos lanchas cañoneras, que iban de T</t>
  </si>
  <si>
    <t>Prieto, Joseph</t>
  </si>
  <si>
    <t>Joseph Prieto</t>
  </si>
  <si>
    <t>el de Santiago á segundo Teniente al Alférez D. Bartolomé Mercado, y á Portaestandarte al Sargento D. Joseph Prieto. Igualmente en el de dragones de Almansa ha promovido el Rey á Capitán al Ayudante, graduado de Capitán, D. Francisco Sagui: en el de Numancia á Teniente Coronel al Comandante de</t>
  </si>
  <si>
    <t>Prieto, Manuel</t>
  </si>
  <si>
    <t>Manuel Prieto</t>
  </si>
  <si>
    <t>Diego Tejero y D. Francisco Bercial, y con los otros tres premios de,á 3^ pesos D. Bonifacio Vega , D. Manuel Prieto y D. Isidoro Moraytá. Como aun quedaban jóvenes dignos de particular atención por su aplicación y circunstancias, y hallándose la junta con proporción para en algún modo atenderlos si</t>
  </si>
  <si>
    <t>Principe Azem-uhDowlah</t>
  </si>
  <si>
    <t>ein; pero el gobierno de Madras proclamó el 31 de Julio por Nabab de Carnate al Principe Azem-uhDowlah, hijo del difunto Ameer-ul-Omrah, y nieto de Wallajah. El testamento del difunto Nabab á favor de Ally Hussein su hijo estaba en Inglaterra. Se sabe por otros avisos de Madras que las t</t>
  </si>
  <si>
    <t>Príncipe Carlos de Schwerzemberg, Mariscal</t>
  </si>
  <si>
    <t>Mariscal Príncipe Carlos de Schwerzemberg</t>
  </si>
  <si>
    <t>/ -t o £! Teniente FcLÍ-Mariscal Príncipe Carlos de Schwerzemberg lia venido de Viena á esta ciudad. Va á Petersburgo á cumplimentar á Alexandro i * 11 nombre del Emperador de Alemania j y ha tenido aquí varias conferencias con los Ministros pru</t>
  </si>
  <si>
    <t>Príncipe de Hoherilohe-Indelfingen, Teniente General</t>
  </si>
  <si>
    <t>Teniente General Príncipe de Hoherilohe-Indelfingen</t>
  </si>
  <si>
    <t>iatos de Ba-¿ reuth y Anspách ocuparán los obispados de Ba'mberg y Wurtzburgo, y que las mandará el Teniente General Príncipe de Hoherilohe-Indelfingen. Hasta ahora- no se dice si tomarán posesión de aquellos países en nombre del Rev de Prusia ó del Stathouder, á quien se Concediéron por un artículo séCrétd del tratado concluido</t>
  </si>
  <si>
    <t>Príncipe de Repnin, Feld-Mariscal</t>
  </si>
  <si>
    <t>Feld-Mariscal Príncipe de Repnin</t>
  </si>
  <si>
    <t>árités de jaquel país las tropas prusianas que se hallan todavía en él. Ha muerto en Petersburgo el Feld-Mariscal Príncipe de Repnin. Ratisbona 2$de Junio. E il Ministro de Prusia en la Dieta ha declarada, según dicen, de ^átfe de su Soberano que si los Estados eclesiásticas de Alértianla se sóml^én'il1 secular</t>
  </si>
  <si>
    <t>Príncipe de Rohan, General</t>
  </si>
  <si>
    <t>General Príncipe de Rohan</t>
  </si>
  <si>
    <t>eim ha muerto también en Verona de resultas de las heridas que recibió en la batalla del Mincio. El General Príncipe de Rohan fué gravemente herido en otra acción posterior. Todas las tropas bávaro-palatinas se han puesto ya en el pie de paz por haberse concluido el tratado con Francia, y haber espirado</t>
  </si>
  <si>
    <t>Príncipe de Wáideck, Capitán</t>
  </si>
  <si>
    <t>Capitán Príncipe de Wáideck</t>
  </si>
  <si>
    <t>Hesse, hijo •del Principé Cárlos, quien tomó posesión de la ciudad con 3© hombres. El mismo dia el Capitán Príncipe de Wáideck ai frente de dos compañías, entró en Bergedorff, que es.una ciudad con: un castillo perteneciente en co¿mun á Lubeck y Hambutgor, distante; arduas de aquu 1,: 1*, v .*.# Acaba de</t>
  </si>
  <si>
    <t>Príncipe Federico de Hesse, Teniente General</t>
  </si>
  <si>
    <t>Teniente General Príncipe Federico de Hesse</t>
  </si>
  <si>
    <t>o de la mañana salieron ayer de esta ciudad y su territorio Jas tropas dinamarquesas que mandaba el Teniente General Príncipe Federico de Hesse; y el cuerpo de la misma nación que guarnecía á Travemunda evacuó antes de ayer aquella ciudad. Las tropas dinamarquesas estuviéron aquí 7 semanas. Las prusianas que ocuparon á OI</t>
  </si>
  <si>
    <t>s 10 batallones de infantería y otros tantos de caballería de’ tropas dinamarquesas mandadas por el Teniente General Príncipe Federico de Hesse. Vierta / 8 de Agosto. H oy hizo S. M. I. una gran promoción en la orden de María Teresa. Para esta ceremonia se colocó una hermosa tienda-de campaña en la es plana— da de esta ca</t>
  </si>
  <si>
    <t>Príncipe Juan de Lichtenstein, Teniente General</t>
  </si>
  <si>
    <t>Teniente General Príncipe Juan de Lichtenstein</t>
  </si>
  <si>
    <t>&gt;6 los que mis sobresalieron en la última-guerra. El Teniente General Príncipe Juan de Lichtenstein filé nombrado gran cruz: los Generales Vicenta Kollowrath-Liebsteinsky, Vaüx, Szeredai y Príncipe Rosenherg, comendadores ; y el Archiduque Fernando y otros 74 oficiales tuviéron</t>
  </si>
  <si>
    <t>Principes de Hesse-Rhinsfeld</t>
  </si>
  <si>
    <t>honores Fúnebres militares. La Duquesa viuda de Saxonia-Memmingen, hija de los Principes de Hesse-Rhinsfeld, falleció el 20 de este mes a los 71 años de edad. Londres 22 de Setiembre. A yer se celebró olrb Consejo de Estado, á que asistieron todos los Ministros de gabinete. El Almirantazgo tuvo á</t>
  </si>
  <si>
    <t>Prior, Obispo</t>
  </si>
  <si>
    <t>Obispo Prior</t>
  </si>
  <si>
    <t>l Inquisición,y D. Miguel Ochoa, Auditor de Rota de la Nunciatura; y al limo. Sr. D. Antonio Gaona, Obispo Prior dcUcles en la orden de Santiago:fué su padrino el Exc. Sr. Duque de Híjar, Presidente del Consejo Real de las Ordenes, y á sur nombre sus dos hijos el Exc. Sr. Duque de Aliaga y S</t>
  </si>
  <si>
    <t>Prittvitz, General</t>
  </si>
  <si>
    <t>General Prittvitz</t>
  </si>
  <si>
    <t>o reducido á cenizas el palacio de Quielitz en la Marca electoral. Federico 11 Iq había regalado al General Prittvitz en recompensa de sus distinguidos servicios durante la guerra de siete años. Berlín jó'de Junio. H a concedido el Rey 2% thalers por ahora para socorrer i los desgraciados vecinos d</t>
  </si>
  <si>
    <t>Proust, Luis</t>
  </si>
  <si>
    <t>Luis Proust</t>
  </si>
  <si>
    <t>ial literario, ó Biblioteca petiódica de ciencias y artes. Número vm. Contiene las observaciones de D. Luis Proust, catedrático de química en esta: corte, sobre el sistema de los conocimientos químicos del ciud. Fourcroy, en el que se hallan reflexiones muy importantes acerca de las principale</t>
  </si>
  <si>
    <t>ó Biblioteca periódica de ciencias y. artes- Rn este número continúan las observaciones chímicas de D. Luis Proust, las que contienen ntétodos para varia.s operaciones , entre ellas la de la extracción del éter'nítrico: -los supíerqencqs al curso chímico de Chaptal: análisis del tomo X ¿el Dic</t>
  </si>
  <si>
    <t>e&amp;db título á íavdf dél' referido Di Félix íl odh Ik^déttdffiiSáHdM &lt;jiüe$ de £óza¡efb/ .?^V.7X^;IA D. Luis Proust, profesor..de chimica* principiara sus lecciones de esta cieacia en el laboratorio. e^tafdecido en Madrid , en la calle .del■ Fureo./;^! dia x.° de Lficiembre próximo, y las conti</t>
  </si>
  <si>
    <t>Prrez de Rozas, Manuel</t>
  </si>
  <si>
    <t>Manuel Prrez de Rozas</t>
  </si>
  <si>
    <t>ematáron el 17 de Agosto último, en la cantidad ;de ¿od rs. en moneda metálica ante el,Siv Alcaldep D. Manuel Prrez de Rozas,, y escribania.de provincia de D. Juan Antonio Díaz N^riega; y por decreto de 17 del corriente del Sr. Intendente ,sq. ba aprobado y ' seíS x lado 30 dias para la mejora del quart</t>
  </si>
  <si>
    <t>Prudencio Castañeda</t>
  </si>
  <si>
    <t>e graUad^ros ;al pdméro ¡dé, fusileras D. Juan Rodríguez Almeyda, y á primer Subteniente al segundo D. Prudencio Castañeda: en el de Sevilla á segundo Subteniente ¡áj ¡Cálete D. Juan Manuel de Urquiaga : en el de Zaragoza á primer Teniente al segundo de granaderos D. Antonio de Martin y Perez ; á segu</t>
  </si>
  <si>
    <t>Prudencio Pérez</t>
  </si>
  <si>
    <t>.. ........ 113. r. Prudencio Perez... Miguel..... MaríaMelendez... Abona........... Oviedo,.... .'.... 13*. 10. Felipe Elvira....... Manuel.... Josepha Mateo..... S. Sebastia</t>
  </si>
  <si>
    <t>Prusiano Schlatem, General</t>
  </si>
  <si>
    <t>General Prusiano Schlatem</t>
  </si>
  <si>
    <t>artes de Westphalia, tendrán que retirarse ahora á otros países, si es cierto, como se dice, que el General Prusiano Schlatem, comandante del exército de observación, esper ra las últimas órdenes de Berlín para intimarles que se alejen. * Roma jo de Enero. S e ha publicado aquí un edicto ó ley contra los</t>
  </si>
  <si>
    <t>Ptdro</t>
  </si>
  <si>
    <t>e la misma crónica cié Ayala ; precededexAtninando Jas acciones que mas se; vituperan en la vida de D. Ptdro ; y combinando á López de Ayala con sus mismos escritos , consultando !as ley«s, observando la naturaleza de los delitos vVugados , ios desórdenes de la monarquía, las costumbres</t>
  </si>
  <si>
    <t>Puch, Joseph</t>
  </si>
  <si>
    <t>Joseph Puch</t>
  </si>
  <si>
    <t>compañía Americana el &gt;empleo de Brigadier al Subrigadier D. Joseph Azcutiá; y su resulta al Cadete D. Joseph Puch, ^ . En la extracción de la Real lotería executada el lúnes 7 del corriente saliéron los números 59, 14,69, 5 y 67; y con ellos han ganado los jugadores 669,720 rs. * * - • • : ■</t>
  </si>
  <si>
    <t>Puecli, Joseph</t>
  </si>
  <si>
    <t>Joseph Puecli</t>
  </si>
  <si>
    <t>ubteniente de granaderos al primer Subteniente I&gt;. Santiago Noguer; á primer Subteniente al segundo D. Joseph Puecli, y á segundo Subteniente al Soldado distinguido D. Carlos de Massia; y en el Suizo de Betschart á segundos Tenientes á los Subtenientes D. Antonio Kamer y D. Juan Hediger. El Cons</t>
  </si>
  <si>
    <t>Pujo, Ventura</t>
  </si>
  <si>
    <t>Ventura Pujo</t>
  </si>
  <si>
    <t>rcó del Pont; á segundo Ayudante aL primer Teniente D. Joachin Bilbao; á primer Teniente al segundo D. Ventura Pujo lar, y á esta resulta al segundo Teniente agregado D. Joachin de Nava y Campománes : y en el regimiento de Ñapóles á Capitán al Ayudante D. Manuel Xerez. &gt; En atención á las circunst</t>
  </si>
  <si>
    <t>Pujol, Manuel</t>
  </si>
  <si>
    <t>Manuel Pujol</t>
  </si>
  <si>
    <t>bi en id... 5^. &lt;?• Manuel Pujol............. Ponce y María Dalilla......., Arles en id...... 45* 33. Estéban Cargóles........ Jayme y Catalina Martina.</t>
  </si>
  <si>
    <t>Puke, Almirante</t>
  </si>
  <si>
    <t>Almirante Puke</t>
  </si>
  <si>
    <t>miso ha dexado el mando en xefc de este departamento. Kasta nueva orden manda en su lugar el Contra-Almirante Puke. Miéntras SS. MM. estuviéron en Christianstadt fuéron muy obsequiados por aquel vecindario: se erigió un arco triunfal, y hubo iluminaciones y otros festejos. Aun se ignora si est</t>
  </si>
  <si>
    <t>Pulfy, General</t>
  </si>
  <si>
    <t>General Pulfy</t>
  </si>
  <si>
    <t>untos pendientes entre las cortes del Norte y la Oran Bretaña. Baslea &amp; de M iyo. E stá nombrado ti General Pulfy p;ra com odante en xefe de todas las tropis francesas que han de quedar en Suiza hasta que se arregle la nueva constitución, y se restablezca en este pais el buen orden y la tranq</t>
  </si>
  <si>
    <t>Pulli, General</t>
  </si>
  <si>
    <t>General Pulli</t>
  </si>
  <si>
    <t>e la India, y otras temiendo igual suerte no se atreven á salir del puerto, Basilea 11 de Mayo. E I General Pulli, que ha llegado á Berna, ha tomado el mando del exército de los Grisones. La casa de Austria posee en aquel país el señorío de Ratzíns. Después del ajuste de la paz tomaron posesi</t>
  </si>
  <si>
    <t>Pultney</t>
  </si>
  <si>
    <t>conserva del navio Brillante. Corrió muy acreditada la voz de que se pondría en consejo de guerra á Mr. Pultney ; pero ya no se trata de eüo, por haber asegurado dicho General que en la expedición contra el Ferrol había hecho quanto le permitía la prudencia: que los españoles tenían en aque</t>
  </si>
  <si>
    <t>Púltney</t>
  </si>
  <si>
    <t>miedo huyeron á Lisboa, lo cierto es que la guarnición estaba bien resuelta á defenderse.*’ Siguió Mr. Púltney respondiendo á los demas cargos dirigidos contra él, contra el comandante en tefe, y contra los Ministros; y negó que el Almirante de la esquadrá se hubiese opuesto‘á la retirada,</t>
  </si>
  <si>
    <t>Qáriosqúedesvahecen, Archiduque</t>
  </si>
  <si>
    <t>Archiduque Qáriosqúedesvahecen</t>
  </si>
  <si>
    <t>e no tardarían en renovarse las hostia Ii4ades; pero‘el General Moreau acaba de recibir pliegos del Archiduque Qáriosqúedesvahecen estos rumores harto acreditados: pues parece cierto; que ¿se: habían movido nuevas dificultades, especialmente en quanto á la suerte de Italia. Ahora hay seguridad de que todo se ar</t>
  </si>
  <si>
    <t>Qpm, Lord</t>
  </si>
  <si>
    <t>Lord Qpm</t>
  </si>
  <si>
    <t>orden queda á cargo der los llores íComisariqs dé la'&gt;Tc:Soxería , de las del ¿Almirantazgo , y del Lord Qpm%Í3élte de los cinco ¡puertos/’ : n,‘En: OOriseqüencia de los avisos que se dieron al público por medio de-Iosdiario? Jd$ 13^3*--3* de Diciembre .último y primero de este mes, y de</t>
  </si>
  <si>
    <t>Quantin, General</t>
  </si>
  <si>
    <t>General Quantin</t>
  </si>
  <si>
    <t>i Ministro de Guerra 7 banderas cogidas á los austríacos en verona: El Gapitan Múller, Ayudante del General Quantin, Comandante en Belle-isle, ha escrito al General Bernadotte diciéndole: „E1 dia 18 al amanecer se avistó á tiro y medio de cañón de Belle-isle un buque con bandera francesa y seña</t>
  </si>
  <si>
    <t>Quarteraro y O-Donovan, Manuel</t>
  </si>
  <si>
    <t>Manuel Quarteraro y O-Donovan</t>
  </si>
  <si>
    <t>ndo , D. Joseph Alvarez , D. Pedro Dalesme y D. Juan O-Laugbhn, v á segundos Subtenientes al Cadete D. Manuel Quarteraro y O-Donovan y al Siento primero del de infantería de la Corona D. Gerónimo Guia: en el batallón de Voluntarios de Tarragona á Capitán primero al segundo y primer Ayudante D. Gregorio Llañes; á</t>
  </si>
  <si>
    <t>Queraitó, Joseph</t>
  </si>
  <si>
    <t>Joseph Queraitó</t>
  </si>
  <si>
    <t>res..Este método adoptado eh la actual epidemia de Andalucía, para cuya extinción comisionó S. M. á D. Joseph Queraitó , Director de la junta general gubernativa de la facultad reunida.de Medicina y Cirugía , ha producido los efectos que se esperaba. Para evitar la falsificación de tan útil obra s</t>
  </si>
  <si>
    <t>Queri, Francisco Xavier</t>
  </si>
  <si>
    <t>Francisco Xavier Queri</t>
  </si>
  <si>
    <t>aregui, al Canónigo D. Joseph Antome Huerta y Laredo; para la Canongía, que este dexa, al Racionero D. Francisco Xavier Queri; y para Ja Ración de este á D. Antonio Román de Mesones, Cura en aquella diócesis. Asimismo se ha dignado S. M. nombrar para una Ración de la catedral de Mérida de Maracaybo, vaca</t>
  </si>
  <si>
    <t>Quin, Manuel Joseph</t>
  </si>
  <si>
    <t>Manuel Joseph Quin</t>
  </si>
  <si>
    <t>á la fuente, y en su puesto, calle, de Alcalá. El Duque de Viseó: tragedia nueva en tres actos, por D. Manuel Joseph Quin&gt; ^tana, la qual §e está representando en el coliseo de la calle del Prínéipe. Se halla*yá: ¿n 8.d á 3 rs. cn la librería de Qüiroga, calle de las Carretas. En la misma * $e"' vend</t>
  </si>
  <si>
    <t>Quintana, Andrés</t>
  </si>
  <si>
    <t>Andrés Quintana</t>
  </si>
  <si>
    <t>ndo Teniente de granaderos al de fusileros D. Pablo Argandona; a esta resulta al primer Subteniente D. Andrés Quintana; á primer Subteniente al segundo D. Félix Agusti, y á segundo Subteniente al Cadete D. Francisco Samper: en el de Córdoba á Ayudante al primer Teniente D. Andrés Vivas; á esta res</t>
  </si>
  <si>
    <t>Quiroga y Cornide, Manuel</t>
  </si>
  <si>
    <t>Manuel Quiroga y Cornide</t>
  </si>
  <si>
    <t>ido nombrar Sargento mayor del regimiento provincial de Santiago al de la misma clase del de Laredo D. Manuel Quiroga y Cornide: para esta resulta á D. Juan Gómez de la Vega, Capitán del regimiento de infantería de América: para la Sargentía mayor del de Alicante y Orihuela á D. Joseph López Guardamur#, Sa</t>
  </si>
  <si>
    <t>Quiroga, Manuel</t>
  </si>
  <si>
    <t>Manuel Quiroga</t>
  </si>
  <si>
    <t>ntander.... 70. ao. Manuel Quiroga... Juan....,........ Josepha Barrera... Font...... ........Villasante......... . 34. ia. Juan Pifieyro...... . Manuel.........* Rosalía Fernán- Sta. María de</t>
  </si>
  <si>
    <t>Quirós, Gregorio</t>
  </si>
  <si>
    <t>Gregorio Quirós</t>
  </si>
  <si>
    <t>s Tenientes á los segundos Ayudantes mayores D. Francisco San Juan, graduado de Teniente Coronel; y D. Gregorio Quirós; á segundo Ayudante mayor al mismo D. Francisco San Juan, y á Teniente de, granaderos al segundo de fusileros'D. Juan d 6'Dios Cabrera. TambieÁ se-ha servido S. M. conferir la Ten</t>
  </si>
  <si>
    <t>Qüiros, Joseph</t>
  </si>
  <si>
    <t>Joseph Qüiros</t>
  </si>
  <si>
    <t>fusileros D. Migue e í0&gt; á segundos Tenientes á los Subtenientes de granaderos D. Ratae de arcía y D. Joseph Qüiros,y al primer Subteniente D. Joseph Solana Cagigal; á Subtenientes de granaderos á los primeros Subtenientes D. Joseph Isasy, D.Tuan Yustini.ini y D. Antonio González; a primeros Su</t>
  </si>
  <si>
    <t>Quirós, Manuel</t>
  </si>
  <si>
    <t>Manuel Quirós</t>
  </si>
  <si>
    <t>,...,..... 434. 20. Manuel Quirós.... Fernando.,. Josepha Maroto... Alcázar de S. Juan..... ..... Idem.....</t>
  </si>
  <si>
    <t>Quixote</t>
  </si>
  <si>
    <t>ultimas tradticciénes3 déf Telémaco: la de otras tantas para la (preciosá edición de la Historia de Don Quixote hecha en la Real imprenta ; y la de otras 24 para las ediciones del Evangelio en ítiuiíFó , éh todá las qú^les tiene notoriamente acreditado su esmero , como la máydr exactitud en</t>
  </si>
  <si>
    <t>rio, dos Noá rs. cada uno en rústica. venas, y otras devociones: á 4 rs. en rúsEl ingenioso hidalgo D. Quixote de la tica ; y las estampas á 2. Mancha , compuesto por Miguel de Cervan­ Guia del niño instruido , y padre edutes Saavedr.a , arreglado el texto al corregido cado ; Cartilla y Catón pa</t>
  </si>
  <si>
    <t>Quixote de la Mancha</t>
  </si>
  <si>
    <t>-.° inarquilla. Se hallará en la librería de Escribano, calle de las Carretas. El ingenioso hidalgo D. Quixote de la Mancha, compuesto por Miguel de Cervantes Saavedra , arreglado el texto al corregido en Jas ediciones de Ja Real Academia española , con unas noticias d: su vida y escritos. Seis tomitos</t>
  </si>
  <si>
    <t>Quosdanowich, General</t>
  </si>
  <si>
    <t>General Quosdanowich</t>
  </si>
  <si>
    <t>hlau , Vogelssang y Vukassowich, ocuparán la Transilvania; finalmente, 4 batallones mandados por ¿1 General Quosdanowich, guardarán las fronteras del Bannato, y otros 7 las de Esclavonia, al mando del General Hiiler. No se comprehenden las tropas que ha de haber en el Tirol y en algunas otras provin</t>
  </si>
  <si>
    <t>Rabasa, Estéban</t>
  </si>
  <si>
    <t>Estéban Rabasa</t>
  </si>
  <si>
    <t>alongaenid. 81. a6, Estéban Rabasa........... Francisco y Catalina Justafre.... Sureda en id... 4g. 2* Mateo Pigsegu............. Pedro y Clara Puella....... Seret en id...... 71.</t>
  </si>
  <si>
    <t>Rabuset, Francisco</t>
  </si>
  <si>
    <t>Francisco Rabuset</t>
  </si>
  <si>
    <t>........... 81. *5. Francisco Rabuset....... Isidro y Cecilia Chinché......... Sureda en el Ro-, sellon....... ... gr. g.</t>
  </si>
  <si>
    <t>Rada, Joachín Antonio</t>
  </si>
  <si>
    <t>Joachín Antonio Rada</t>
  </si>
  <si>
    <t>dor deí Consejo de Navarra, vacante por fallecimiento de D. Cenon de Sesma, al supernumerario de el D, Joachín Antonio Rada. ^ Igualmente ha venido S. M. á solicitud de D. Juan Bautista Pascual de Nieva, por razón de sus achaques y avanzada edad, en Jubilarle de la plaza de Alcalde de la Corte mayor de</t>
  </si>
  <si>
    <t>Radon, Joseph</t>
  </si>
  <si>
    <t>Joseph Radon</t>
  </si>
  <si>
    <t>mentos astronómicos y físicos: dos tomos en Tablas Botánicas en latin y castellano, 4.0 mayor; por D. Joseph Radon: en pasta explicando sumariamente las clases, seccio­ á 32 rs. cada uno , y á 22 en papel. En él nes, y géneros de plantas que trae Tournefort i.° se incluye la Aritmética, la Geo</t>
  </si>
  <si>
    <t>Rafael'de-Gastreciones</t>
  </si>
  <si>
    <t>ral, con retención de la Canongía: para la Canongía que obtenía él referido D. Bartolomé Calleja, á D. Rafael'de-Gastreciones, Cura Párroco de la. villa de Valgañon, en el arzobispado de Burgos : para otra Canongía de la catedral de Falencia, vacante por promoción de D. Santiago Hernández Milanes al Obis</t>
  </si>
  <si>
    <t>RafeePPerez</t>
  </si>
  <si>
    <t>Lope de Mesa y Ponte, J?. Jesús María Franco, D. Antonio Panigo, D. Antonio Rodríguez Valdérábano, D. RafeePPerez de -Guzmah el Buenos y D. Isidoro do, tanda. En el de infantería de la Corona a segundo Subteniente al Sargento primero^ distinguido del de Gfariada D. Jblian Anguila : en este úiiim</t>
  </si>
  <si>
    <t>RafrteííJVXaría de Gira</t>
  </si>
  <si>
    <t>Octubre ultimo, se ha mand do citar, llamar y emplazar á los acreedores d la testamentaria 'del Sr. D. RafrteííJVXaría de Gira! del i , Conde que fus de este título, que no han comparecido á uerci^ fcir sus respectivos créditos , pata que lo executen en el término de dias presentando los documentos que le</t>
  </si>
  <si>
    <t>Ralph Abercrombie</t>
  </si>
  <si>
    <t>e una y otra parte. Hémos hecho una pérdida irreparable en la persona de nuestro comandante en xefe Mr. Ralph Abercrombie , que mortalmente herido en ei campo de batalla, murió el 28. Creo que recibió su herida al principio de la acción, y que la ocultó, y siguió dando sus órdenes con aquella serenid</t>
  </si>
  <si>
    <t>Ramcn Duran</t>
  </si>
  <si>
    <t>Manuel del Rio, predicador de;exenciones de ia. regular observancia de.S. Francisco ; reimpresa por D. Ramcn Duran , socio de jíiéritQ de la Real sociedad de esta corte, en cuya fábrica de reloxes de torre, calle del Humilladero, junto á la botica, se hallará , como también varios reloxes de t</t>
  </si>
  <si>
    <t>Ramcs, Pedro</t>
  </si>
  <si>
    <t>Pedro Ramcs</t>
  </si>
  <si>
    <t>Se hace saber 6 Doña Josepha Cabezudo, heredera de su hija Doña Gertrudis Monroy, la qual lo fué de D. Pedro Ramcs, Oidor de la Real Audiencia de Sevilla , á D. Joseph Monroy, Alférez del regimiento de infantería de España , Don Tomas Monroy, D. Estanislao Monroy , colegial en el mayor de Sala</t>
  </si>
  <si>
    <t>Ramírez de Arellano, Joseph</t>
  </si>
  <si>
    <t>Joseph Ramírez de Arellano</t>
  </si>
  <si>
    <t>os 0. Manuel Angulo; y en el de Reales Guardias Walonas á segundo Teniente ai Alférez de granaderos D. Joseph Ramírez de Arellano. En el de infantería del Rey i Comandante del* tercer batallón al Sargento mayor , graduado de Teniente Coronel, D. Carlos de los Ríos: en el de la Princesa á primer Snbtemente al</t>
  </si>
  <si>
    <t>Ramírez, Alexo</t>
  </si>
  <si>
    <t>Alexo Ramírez</t>
  </si>
  <si>
    <t>o Gómez Morcillo; y para el Beneficio simple que en la villa de S. Estéban, diócesis de Jaén, tenia D. Alexo Ramírez, y los dos simples servideros V</t>
  </si>
  <si>
    <t>Ramírez, Antonio</t>
  </si>
  <si>
    <t>Antonio Ramírez</t>
  </si>
  <si>
    <t>o Gómez, D. Domingo Amieba , D. Juan Jaldon , D. Joseph Marín, D. Die,*o Garrido, D. Alonso Romero, D. Antonio Ramírez, Don Francisco Xavier, D. Manuel Maclas y D. Joseph de Aragón. Respondiáron todos con oportunidad y expedición á las preguntas que Jeshiciéron así los jueces nombrados por el Ayun</t>
  </si>
  <si>
    <t>Ramírez, Joseph Nicolás</t>
  </si>
  <si>
    <t>Joseph Nicolás Ramírez</t>
  </si>
  <si>
    <t>en; intereses con ■dicha Srá. acudirán en Cádiz á la calle del Puerto , mím. é(5, y preguntarán por D. Joseph Nicolás Ramírez, ó los a Iba ceas de D. Francisco de Echevarría y Maortua,que tienen que comunicarles asuntos que importan mucho á la misma Doña Teresa ó sus herederos. Casimiri Gomezii Ortegae ,</t>
  </si>
  <si>
    <t>Ramírez, Manuel</t>
  </si>
  <si>
    <t>Manuel Ramírez</t>
  </si>
  <si>
    <t>ía que reemplazó á su Comandante el Capitán D. Matías Rodríguez, y aun mas singulares del expresado D. Manuel Ramírez. Quartel general en Badajoz 1 3 de Junio de I 80 I. Señor: á los pies de V. M. su mas leal vasallo = Manuel de Godoy. Capitulación hecha para la rendición de la plaza de Casi elDa</t>
  </si>
  <si>
    <t>Ramiro y Marti, Joseph Manuel</t>
  </si>
  <si>
    <t>Joseph Manuel Ramiro y Marti</t>
  </si>
  <si>
    <t>rrero y Casaseca. En, Santander......Sres. Vial é hijo y compañía. Segovia........... Sra. Viuda de D. Joseph Manuel Ramiro y Marti*. En Sevilla............ D. Joseph Antonio Gómez é hijo. - En Soria.;...*....... D. Andrés Martínez de Aparicio. En Toledo..... ....... Sres. Chavarri y Posadillo. : En Toro.... .</t>
  </si>
  <si>
    <t>Ramiro y Martín, Joseph Manuel</t>
  </si>
  <si>
    <t>Joseph Manuel Ramiro y Martín</t>
  </si>
  <si>
    <t>o y Casaseca. En Santander.......Sres. Vial é hijo y compañía. En Segovia............ Sra. Viuda de D. Joseph Manuel Ramiro y Martin* En Sevilla..... ....... D. Joseph Antonio Gómez é hijo. En Soria................D. Andrés Martínez de Aparicio. En Toledo.............. Sres. Chavarri y Posadilio. En Toro.......</t>
  </si>
  <si>
    <t>Casaseca. En Santander...... Sres. Vial é hijo y compañía. , , En Segovia............ Sra. Viuda de D. Joseph Manuel Ramiro y Martin. En Sevilla............. D. Joseph Antonio Gómez é hijo. En Soria................D. Andrés Martínez de Aparicio. En Toledo........ . Sres. Chavara y Posadillo. En Toro...... .....</t>
  </si>
  <si>
    <t>o y Casaseca. En Santander.,.....Sres. Vial é hijo y compañía. En Segovia.............Sra. viuda de D. Joseph Manuel Ramiro y Martin. En Sevilla..............D. Joseph Antonio Gómez é hijo. En Soria................ D. Andrés Martínez de Aparicio. En Toledo.............. Sres. Chavarri y Posadillo. En Toro......</t>
  </si>
  <si>
    <t>o y Casaseca. En Santander........Sres. Vial é hijo y compañía. En Segovía............Sra. viuda de D. Joseph Manuel Ramiro y Martin» En Sevilla............ . D. Joseph Antonio Gómez é hijo. ) En Soria.................D. Andrés Martínez de Aparicio. En Toledo.............. Sres. Chavarri y Posadilio. En Toro...</t>
  </si>
  <si>
    <t>y Casaseca. En Santander........ Sres. Vial é hijo y compañía. En Segovia............ Sra. viuda-de D. Joseph Manuel Ramiro y Martin. En Sevilla*.*.......... D. Josepb Antonio Gómez é hijo. ' En Soria................ D. Andrés Martínez dé Aparicio. ¡ En Toledo.............. Sres. Chavarri y Posad itlo. En Toro.</t>
  </si>
  <si>
    <t>Ramiro, Rafael</t>
  </si>
  <si>
    <t>Rafael Ramiro</t>
  </si>
  <si>
    <t>esta resulta al segundo Teniente D. Joseph Casous; á segundo Teniente al Subteniente de granaderos D. Rafael Ramiro; á Subteniente de granaderos al primer Subteniente D. Francisco Gallardo; á primer Subteniente al segundo D. Andrqs Rodríguez, y á segundo Subteniente al Sargento primero del de g</t>
  </si>
  <si>
    <t>Rámomde Ókzabal</t>
  </si>
  <si>
    <t>ongíá de la colegiata de Guisbna^ diócesis de'Tfrdiócesis de Pamplona, vacante por faiiecimiento.de D. Rámomde Ókzabal, á D. Henriquez Emparan y Orbe, obl%ándose¿á'’servido -pasar» por lo que se depusiere en el plan beneficia! de aquella parroqüiaí^que se En América. En él reghnieiíto de infanterí</t>
  </si>
  <si>
    <t>Ramón Mateo</t>
  </si>
  <si>
    <t>e quarto año; D. Fausto Juara y Sánz, de tercer año, y D. Manuel Luis de Septien, D. Andrés Soulié, D. Ramón Mateo, D. Antonio y D. Isidoro Capilla, de primer año; y en la clase de buenos D. Rafael Bos Campesino, de tercer año, D. Francisco Oteiza, D, Benito Sánchez, D. Francisco Berges y D. A</t>
  </si>
  <si>
    <t>Ramón'Antonio Pico</t>
  </si>
  <si>
    <t>Cádiz....... . D. Benito de la Piedra. . En Cartagena....... O. Manuel de Ozores. En Ciudad-Real.. D. Ramón'Antonio Pico* En Córdoba..........Sres. Barcia padre é hijo. En la Coruña....... I}. Manuel Antonio Elzaurdi. En Cuenca........ D. Manuel Escolar y Noriega. En Granada........ D. Francisco de</t>
  </si>
  <si>
    <t>Ramos Aovillo, Benito</t>
  </si>
  <si>
    <t>Benito Ramos Aovillo</t>
  </si>
  <si>
    <t>ipo cuerpo: en el de Cuenca Subtenencia de -fusileros á D. Benito Ramos Aovillo ; y Subtenencias de bandera en los de Oviedo,¿Toledo, Toro, Córdoba, Jaén, Burgos y Valencia á D. Nicolás González Arango, D. Dionisio ie la O Mfigar y Garcisanchez., D. Joseph Tr</t>
  </si>
  <si>
    <t>Ramos, Alonso</t>
  </si>
  <si>
    <t>Alonso Ramos</t>
  </si>
  <si>
    <t>de cazadores á D. Tomis Antelo, Subteniente de fusileros: en el de Valencia Tenencia de fusileros á D. Alonso Ramos, Subteniente de granaderos: en e! de Castellón de la Plana la Subtenencia de granaderos á D. Pedro Marín y Navarro, Subteniente de fusileros;y en el de Mondoñedo Subtenencia de ba</t>
  </si>
  <si>
    <t>Ramos, Andrés</t>
  </si>
  <si>
    <t>Andrés Ramos</t>
  </si>
  <si>
    <t>(¿estandarte al Cadete D. Vicente Sagarra: en el citado de Borfeon á Alférez al Portaestandarte D. Andrés Ramos, y á esta resulta al Sargento Don Joseph de Castro : e» el de Farnesio á Ayudante al primer Teniente Don Gerónimo Riglós: ért el de España á Alférez al Portaestandarte D. Andrés N</t>
  </si>
  <si>
    <t>Ramos, Antonio</t>
  </si>
  <si>
    <t>Antonio Ramos</t>
  </si>
  <si>
    <t>e Santiago, á D. Vicente Tormo y Vidal. Habiendo resultado vacante por fallecimiento del presbítero D. Antonio Ramos la dirección del colegió de $♦ Telmo de Sevilla, se ha servido S. M.</t>
  </si>
  <si>
    <t>Ramos, Manuel</t>
  </si>
  <si>
    <t>Manuel Ramos</t>
  </si>
  <si>
    <t>.,...,*... 15a. 34. Manuel Ramos,.... Domingo,.,*.. . María Ramos....... Sulago.............Coto de Cor— boeyr</t>
  </si>
  <si>
    <t>Rampa Ñaharro Qzorcs</t>
  </si>
  <si>
    <t>eniente de granaderos ; su resulta al Subteniente D. Ramón Ribaduila , y Subtenencia de fusileros á D. Rampa Ñaharro Qzorcs, Barón de Casa Goda, Guardia de Corp-s retirado : en el de Avila Tenencia de fusileros á D. Joachín Portero, Subteniente de cazadores; esta: resulta á D. JuanDomiago, Subteniented</t>
  </si>
  <si>
    <t>Ramsay, Coronel</t>
  </si>
  <si>
    <t>Coronel Ramsay</t>
  </si>
  <si>
    <t>¿irán &lt;éft‘'i^¿biridtr¿r|fó% 'en'eLqt^í W'abtrra cóírii^ário británico Mr. Wóod , como sucesor del Coronel Ramsay, que lo fue anteriormente^-.ElDuque de B^rri sirve al Rey de;Ñápeles. ¿__Xa Diirqucsaile Áftóis;¿se.íúJseílt^áé Clagqnfurtji al acercarse ájaqueka dudad |l exército del General Mo</t>
  </si>
  <si>
    <t>Rande, Gaspar</t>
  </si>
  <si>
    <t>Gaspar Rande</t>
  </si>
  <si>
    <t>.......... 4a. atf. Gaspar Rande............... Miguel y Isabel Faus............... Perpifian....... 81. a6, Joseph Navona............. Domingo y Honorata Fabret..... Tuy en el Ros</t>
  </si>
  <si>
    <t>Ranz Romanillos, Antonio</t>
  </si>
  <si>
    <t>Antonio Ranz Romanillos</t>
  </si>
  <si>
    <t>n sílabas cidas del griego é ilustradas con notas por y dicciones , por el propio autor : en 8. á 2 D. Antonio Ranz Romanillos. Tres tomos rs. en rústica. en 8.° mayor, á 36 rs. en papel, y 46 en pasta. Discurso sobre la necesidad de la buena Ordenanzas del Real Cuerpo de Ingenieros educación, por el mism</t>
  </si>
  <si>
    <t>Raspau, Pedro</t>
  </si>
  <si>
    <t>Pedro Raspau</t>
  </si>
  <si>
    <t>d.......... bi. 96. Pedro Raspau............. Mauricio y N.............................. Id. en id........... gi. 26. Isidro Rabuser............ Isidro y Cecilia Chinchi........... Sureda en id.... 51* 3&gt;</t>
  </si>
  <si>
    <t>Rasumowski</t>
  </si>
  <si>
    <t>y palacio, vestidas todas dé gala; y corno no se observó la misma ostentación quando Tué presentado Mr. Rasumowski, Embaxador de Rusia, dio este quejas por ésta diferencia. Nuestro gabinete le respondió que los enlaces de amistad entre la Rusia y el Austria eran muy antiguos y muy íntimos para</t>
  </si>
  <si>
    <t>Ratae</t>
  </si>
  <si>
    <t>de granaderos al de fusileros D. Migue e í0&gt; á segundos Tenientes á los Subtenientes de granaderos D. Ratae de arcía y D. Joseph Qüiros,y al primer Subteniente D. Joseph Solana Cagigal; á Subtenientes de granaderos á los primeros Subtenientes D. Joseph Isasy, D.Tuan Yustini.ini y D. Antoni</t>
  </si>
  <si>
    <t>Ravcl, Miguel</t>
  </si>
  <si>
    <t>Miguel Ravcl</t>
  </si>
  <si>
    <t>z ai .Sargento primero ' de granaderos D. Antonio Yagues, y en el de Lusitanía i Alférez, al Cadete D. Miguel Ravcl. ■ ' • ¡¡• En América. S. M, se ha servido nombrar para: la Dignidad de Tesore. ro de L mctroooütana de Guatemala, vacante por promoción de D. Ambrosio de Llano,-á D. Antonio Garc</t>
  </si>
  <si>
    <t>Raya, Juan</t>
  </si>
  <si>
    <t>Juan Raya</t>
  </si>
  <si>
    <t>a á dichas fincas acuda ante el referido Sr. juez por la escribanía del número de Madrid que exerce D. Juan Raya : teniendo -presente que para su remate está señalado el dia 3 de Febrero. ■ Relación de los experimentos hechos por Mr. Menzies en el puerto de Sheernerss á bordo del navíc-hospi</t>
  </si>
  <si>
    <t>Raymundo Alegret</t>
  </si>
  <si>
    <t>Medrano. El Rey se ha servido nombrar Cirujano mayor del hospital militar de la plaza de Alicante á D. Raymundo Alegret, primer Ayudante da cirugía pensionado del exército; y del de la de Alcáutara al Consultor honorario D. Juan Delbourg, Cirujano agregado al estado mayor de la de Cádiz. En América</t>
  </si>
  <si>
    <t>Raymundo de Mixáres</t>
  </si>
  <si>
    <t>las Islas Filipinas, á D. Francisco Díaz Durana; para la Chantría, que este dexa, al Maestrescuela D. Raymundo de Mixáres: para la Maestrescolía al Tesorero D. Antonio Fernandez de Córdoba: para la Tesorería al Canónigo D. Juan Anselmo Medrano: para la Canongía al Racionero D. Manuel Francisco Tubil:</t>
  </si>
  <si>
    <t>Raymundo Ducasse</t>
  </si>
  <si>
    <t>amenca á Cadete de numero al supernumerario D.-Juan Dagiu; y á Ca-¿&gt; dete supernumerario al Guardia D. Raymundo Ducasse. ' * 1 En América. El Rey se ha dignado promover á Tenientes delregitoiiento, de Milicias urbanas( de infantería de Caxamarca, en el.Perú, á los Subtenientes D, Ceferino Castañeda</t>
  </si>
  <si>
    <t>Raymundo Martín</t>
  </si>
  <si>
    <t>Condon; para la Ración de la catedral de Avila, vacante por muerte de D. Juan de Toro y Tinajas, Á Don Raymundo Martin ; y para el Préstamo del Jugar de Pancórbo , en el arzobispado de Burgos, vacante por fallecimiento de D. Francisco Argües», el de Priornal, y el de la villa de Plasenzuela, en la</t>
  </si>
  <si>
    <t>Razategui, Juan</t>
  </si>
  <si>
    <t>Juan Razategui</t>
  </si>
  <si>
    <t>de Rozas , del Consejo de S. M. , y Alcalde en su Real casa y corte, ante el Escribano de provincia D. Juan Razategui , mandó continuar la subasta por 1$ dias. Quien quisiere hacer postura á dicha casa Ja executará ame el citado Sr. Alcalde por la escribanía del referido Bazategui , que se admiti</t>
  </si>
  <si>
    <t>Reai, Príncipe</t>
  </si>
  <si>
    <t>Príncipe Reai</t>
  </si>
  <si>
    <t>obras de este puerto y de los arsenales del Reyno. A Sn de animar á los trabajadores ha ofrecido el Príncipe Reai premios á los primeros que acudan á su trabajo. ?^ ^ Un destacamento de esta guarnición saldrá de aqiubpasado mañana pára las baterías de Elseneur. d, Avj ut v., ari-jou '¿-n ,./•</t>
  </si>
  <si>
    <t>S&lt; &gt;e ha publicado una relación del combate del día 2, que con fecha de 3 del corriente dirigió al Príncipe Reai el Comendador Fischer, comandante de la línea de defensa y de la rada. Empieza este General dando al cielo gracias de que la Europa ha sido testigo de una bata!ia,ta''n desigual y g</t>
  </si>
  <si>
    <t>739 circunstancias lo exijan, y que reciban orden para ello___ Antes de ayer fuá el Príncipe Reai á Eiseneur para visitar la fortaleza de Cronemburgo. El sabado de la semana próxima pasarán las tropas revista general. Semlin 4 de Junio. S e asegura que antes de muchos meses se</t>
  </si>
  <si>
    <t>Real de Dinamarca, Príncipe</t>
  </si>
  <si>
    <t>Príncipe Real de Dinamarca</t>
  </si>
  <si>
    <t>esta corte, y el ciud. Bourgoing, Enviado de Francia, han salido de aquí para Elseneur á esperar al Príncipe Real de Dinamarca, que .sé ha transferido á aquella ciudad, de la qual pasará á Helsingborg, adonde le acompañarán dichos Ministros. El</t>
  </si>
  <si>
    <t>l de su reunión es ocupar á Hannóvér. El dia 4 debían hallarse en Helsingborg el Reyi de Suecia, el Príncipe Real de Dinamarca, y el Contra- Almirante sueco Cronstedt..; ; Así la corte de Petersburgo como la de Stpckolmo han recurrido al .gabinete prusianos pidiéndole cóntribuya por: su parte, al cumplimi</t>
  </si>
  <si>
    <t>ipuló fixar el punto de defensa cerca de Drogbden, delante de la rada de Copenhague. a.* Quáridq el Príncipe Real de Dinamarca visitó á S. M. Sueca, dixo S. A. que era inútil qua-lá Suecia cooperase en la defensa del Sund* 3.a -EÍ Réy^dé Süecia no insistió en ello por miramiento de que se creyese que quer</t>
  </si>
  <si>
    <t>Reales y Colarte, Pedro</t>
  </si>
  <si>
    <t>Pedro Reales y Colarte</t>
  </si>
  <si>
    <t>a plazaPdé Archivero del archivo general de Indias, en Sevilla, que se halla vacante ppr tnuerte de D. Pedro Reales y Colarte, á D. Álfcjres María Bustos, Guardia de Corps de la Compañía Americana. Aunque en las gazetas de 14, 18 y 21 de Noviembre ultimo, números 92,93 y á4,en que se anunció, al publiqp</t>
  </si>
  <si>
    <t>Rebollar, Antonio</t>
  </si>
  <si>
    <t>Antonio Rebollar</t>
  </si>
  <si>
    <t>de la Micción de Villaverd.e, diócesis de Córdoba, vacante por fallecimiento de D. Rafael Moyano, á D. Antonio Rebollar: para otra de la villa de los Molares, en el arzobispado de,Sevilla, vacante por muerte de D. Miguel Gascón, á D. Pedro García Buelta; y para el Btmñcio de la villa de Pozo Alcoñ,</t>
  </si>
  <si>
    <t>Recio, Juan</t>
  </si>
  <si>
    <t>Juan Recio</t>
  </si>
  <si>
    <t>evédo y De Antonio Viilafranca; y a segundos Subtenientes^ los Sargentos primeros D. Joseph García, D. Juan Recio y* - n ono Tlkíalge, este v ei primero*de' granaderos, y á los_Cadete* dejos &lt; fanteda de-Voluntarios de Castilla, Extremadura, Zamora, Princesa, Maillorca y León D. Pablo Alemán, D</t>
  </si>
  <si>
    <t>Redro González Calderón</t>
  </si>
  <si>
    <t>da ante el nominado Sr. Alcalde y citada escribanía. Por el juzgado del Sr. I), Redro González Calderón, Teniente Corregidor de Madrid , se venden judicialmente para hacer pago á un acreedor, «na c.:sa sita eii ia villa de Olmeda de-la Cebolla, en el barrio que llaman de la Fuente, con cueba</t>
  </si>
  <si>
    <t>iciones que se han admitido: quien quisiere hacer mejora acuda ante el Señor Teniente de Corregidor D. Redro González Calderón, por la escribanía del número de p.. Casi miro, Antonio Gpmfszk; Quien quisiere hacer postura á varios pedazos de tierra.y una viña, sitos en término del íogarjtde Fueiicarí^J:,LC</t>
  </si>
  <si>
    <t>Regente</t>
  </si>
  <si>
    <t>y algunas otras de los‘anteriores* dispuesto por í&gt;. Joseph Garriga, Abogado de het des Longrois , Doctor Regente de la facultad médica pe Paris : traducido por D. Ramón Fernandez, profesor de cirugía. Se hallará en las librería^ dé Campo, calle de Alcalá, de Fernapd^z, Número del Memorial ÉitéT^rí</t>
  </si>
  <si>
    <t>Regente de Portugal y de los AJgarbes, Príncipe</t>
  </si>
  <si>
    <t>Príncipe Regente de Portugal y de los AJgarbes</t>
  </si>
  <si>
    <t>tado de paz y amistad entre los muy Altos y Poderosos Sres, D. CárJos i7 Rey de España , y D. Juan, Príncipe Regente de Portugal y dé los AJgarbes firí filado en Badajoz á 6 de Junio de 1801. Véndese i a rs. en el despacho de Ja imprenta Real. . ? * A finrs del ,o fso a8mes mrs de, despachado Tunio se perdió un. libramiento</t>
  </si>
  <si>
    <t>Regente del Reyno de Portugal, Príncipe</t>
  </si>
  <si>
    <t>Príncipe Regente del Reyno de Portugal</t>
  </si>
  <si>
    <t>ortitg.il. „E1 primer. Cónsul de la República francesa en nombre del pueblo francés, y S. A. R., el Príncipe Regente del Reyno de Portugal y de ios Algarbes , deseando igualmente restablecer las relaciones de.comercio y amistad que subsistían entre los dos estados antes de la presente guerra, resolviéron concluir un trata</t>
  </si>
  <si>
    <t>Regentóiac, Príncipe</t>
  </si>
  <si>
    <t>Príncipe Regentóiac</t>
  </si>
  <si>
    <t>los deberes de la sanpre y dé mi afecto ppr 1(^1 lPrí|i€upes4ídeí J^jpjftogal^.!• ^yi.ióoíd^'4®5 eI Príncipe Regentóiac#fi£$&gt;á#s^ vaíiáS ocasione^acerca d* Jajpaz *yleompr©m«m mi^rpm«lí^béfl«síguiantes: con respecto á la FranÓiaipor#|compÍáefr, a U»J «KlÓ^gaJ^I^átdltfa^bermidQ que ima toiéranmfc ds</t>
  </si>
  <si>
    <t>Regides y Cregenzan, Joseph</t>
  </si>
  <si>
    <t>Joseph Regides y Cregenzan</t>
  </si>
  <si>
    <t>ante por promoción de D. Francisco Xavier de LarrJpa á la Regencia de la Cnancillería de Granada, á D. Joseph Regides y Cregenzan, Alcalde dtl Crimen mas antiguo de la misma Audiencia; y para esta resulta á D. Joseph Gonzalo Ruiz de Celada, Alcalde supernumerario del Crimen de la de Extremadura. En América.</t>
  </si>
  <si>
    <t>Regis Fernández Costa, Juan</t>
  </si>
  <si>
    <t>Juan Regis Fernández Costa</t>
  </si>
  <si>
    <t>Subtenientes á los segundos D. Joseph de Mena, D. Juan de Dios Abolaña, D. Diego Ortiz de Saracho, D. Juan Regis Fernandez Costa y D. Lúeas Ortega, y á segundos Subtenientes á los Cadetes D. Joachín Palacios, D. Juan Manuel Carmona, D. Jesualdo de Vea y Murguia y D. Antonio María de Mené, y al Sargento primero</t>
  </si>
  <si>
    <t>Regnier, General</t>
  </si>
  <si>
    <t>General Regnier</t>
  </si>
  <si>
    <t>ban á cercar á Alexandría, en donde parece qne se halla actualmente el General Menou. Añaden que el General Regnier habia llegado ya á aquellas inmediaciones con un cuerpo de 12© hombres entre franceses y africanos; y que Menou esperaba también socorros del Bey Amurátes. El exército del Gran Vi</t>
  </si>
  <si>
    <t>dicha batalla se componía en gran parte de eophtos, griegos y africanos; y se creía que así que el General Regnier llegase con un nuevo cuerpo de 12$ hombres darían los franceses otro nuevo-ataque á sus enemigos. Han llegado de Egipto á Chipre y Rhódas muchos transportes con enfermos y heridos</t>
  </si>
  <si>
    <t>ado por el General Roize. LosGenerales Friant y Rampon ocupaban el centro con 5 medias brigadas: el General Regnier se hallaba en la izquierda con 2 medias brigadas y. 2 regimientos de caballería; y el General Destain mandaba la vanguardia compuesta de-una media brigada, algunas tropas ligeras,</t>
  </si>
  <si>
    <t>Reguera, Francisco</t>
  </si>
  <si>
    <t>Francisco Reguera</t>
  </si>
  <si>
    <t>una oración que leyó el primer maestro. Fuéron examinados sucesivamente D. Pascual López Villapol, D. Francisco Reguera» D.-Juan de Pazos, D. Joseph de* An telo y IL Joseph Belon y Becerra en aritmética';- D. Joseph López Villapol en geometría elemental, especuíatit'X y práctica ;• D. Juan Lozano y</t>
  </si>
  <si>
    <t>Reig, Manuel</t>
  </si>
  <si>
    <t>Manuel Reig</t>
  </si>
  <si>
    <t>iguel de Santiago y D. Francisco Martínez, y á los primeros Subtenientes O. Juan Ortiz de Saracho y D. Manuel Reig; á Subtenientes de granaderos á los primeros Subtenientes D. Dámaso de Vargas, D. Lúeas Belmar y D. Juan Becerra; á primeros Subtenientes á los segundos D. Joseph de Mena, D. Juan</t>
  </si>
  <si>
    <t>Rejón de Silva, Diego</t>
  </si>
  <si>
    <t>Diego Rejón de Silva</t>
  </si>
  <si>
    <t>sta, traducido é ilustrado con algunas notas, y adornado con buenas estampas por En rústica á 8 rs. D. Diego Rejón de Silva. Tratado de Paz , Amistad , Navegación, Comercio y Pesca entre S. M. Cat. y S. M. Comentarios de la Pintura encáustica del Marroquí, concluido y firmado en Mequinez pincel. Un tom</t>
  </si>
  <si>
    <t>Remon, Joseph Antonio</t>
  </si>
  <si>
    <t>Joseph Antonio Remon</t>
  </si>
  <si>
    <t>sidro Bastida; al de Ayudante al Teniente D. Manuel Yüste; á Teniente de granaderos al de fusileros D. Joseph Antonio Remon; á las dos Tenencias que : estos dexan al Subtenieñtede granaderos D. Nicolás Remon y al de fusileros E&gt;. Baltasar de Ayala^Subteniente de granaderos al de fusileros Don ’ Andrés</t>
  </si>
  <si>
    <t>Remon, Nicolás</t>
  </si>
  <si>
    <t>Nicolás Remon</t>
  </si>
  <si>
    <t>usileros D. Joseph Antonio Remon; á las dos Tenencias que : estos dexan al Subtenieñtede granaderos D. Nicolás Remon y al de fusileros E&gt;. Baltasar de Ayala^Subteniente de granaderos al de fusileros Don ’ Andrés Sartórip, y ;a Subtenientes de bandera á los Cadetes D. Francisco Ximenez y D. Pedro C</t>
  </si>
  <si>
    <t>Rena y Sobral, Felipe</t>
  </si>
  <si>
    <t>Felipe Rena y Sobral</t>
  </si>
  <si>
    <t>opolitana vacante por promoción de D. Manuel Perez Camino á otra de Ja santa iglesia de Zaragoza, á D. Felipe Rena y Sobral; y para la Ración de la colegial de Santiilana, obispado de Santander, vacante por renuncia que ha hecho de ella D. Alonso Hoyos González, á D. Francisco. Tagle y Velarde. Asimism</t>
  </si>
  <si>
    <t>Renaldo de San Christóbal, Carlos</t>
  </si>
  <si>
    <t>Carlos Renaldo de San Christóbal</t>
  </si>
  <si>
    <t>l Pascual: en el regimiento de infantería de Borbon á primer Teniente de granaderos al de fusileros D. Carlos Renaldo de San Christóbal; á primer Teniente al segundo de granaderos D. Henrique de Chaubron; á segundo Teniente de granaderos al de fusileros D. Joseph de Pierrefeu; á segundos Tenientes al Subteniente d</t>
  </si>
  <si>
    <t>Rengel, Melchor</t>
  </si>
  <si>
    <t>Melchor Rengel</t>
  </si>
  <si>
    <t>servido el Rey promover á Ayudante al primer Teniente D. Tomas Perez ; á primer-Teniente al segundo D. Melchor Rengel; á. segundo Teniente al Alférez D. .Francisco Serrano; .á Alféreces á los Portaestandartes D, Ildefonso.Quintana y Lafita y.i D. Carlos Lanzarote,y á Portaestandartes al Sargento-</t>
  </si>
  <si>
    <t>Rengifo, Luis</t>
  </si>
  <si>
    <t>Luis Rengifo</t>
  </si>
  <si>
    <t>Estado á primer Teniente al segundo D. Joseph Casadavante y Ézpeleta; á esta resulta al Subteniente D. Luis Rengifo; y ha concedido Subtenencias en el mismo cuerpo á D. Joseph de Luna y D. Luis Manuel Zamora, Subtenientes del de Navarra, á D. Antonio Venancio Xarreño del de León, á D. Joseph de</t>
  </si>
  <si>
    <t>Repnih, Príncipe</t>
  </si>
  <si>
    <t>Príncipe Repnih</t>
  </si>
  <si>
    <t>se perpetúan en la posteridad: y. por otra parte, atendiendo á los particulares deseos del difunto Príncipe Repnih ^ bien conocidos de sus allegados , de &gt;sus descendientes y de ¡Nos mismo, tenemos á bien resolver que eJbCoronel Príncipe Valkonski*¿su sobrino , hijo de hermana, entre en su lín</t>
  </si>
  <si>
    <t>Repnin, Príncipe</t>
  </si>
  <si>
    <t>Príncipe Repnin</t>
  </si>
  <si>
    <t>alkonski*¿su sobrino , hijo de hermana, entre en su línea recta, y que desde ahora úse el título de Príncipe Repnin, para que no se extinga la rama de los Príncipes Repnins, que han servido tan hiea al estado; y que renovándose perpetúe su nombre y sus exemplos «n la memoria de la nobleza rusa.</t>
  </si>
  <si>
    <t>Requena, Benito</t>
  </si>
  <si>
    <t>Benito Requena</t>
  </si>
  <si>
    <t>yor. En el de infantería de Africa a primer Teniente al segundo de granaderos, graduado de Capitán, D. Benito Requena, a segundo Teniente de granaderos al de fusileros D. Pablo Argandona; a esta resulta al primer Subteniente D. Andrés Quintana; á primer Subteniente al segundo D. Félix Agusti, y á</t>
  </si>
  <si>
    <t>Requerías, Salvador</t>
  </si>
  <si>
    <t>Salvador Requerías</t>
  </si>
  <si>
    <t>talufite..go. 1 g. Salvador Requerías..... Pedro y Teresa Reda...........*.*. Roca en el Rosellon........... gr. 17* Francisco Salech......... Francisco y Mariana Guimesaras........... .............. -.</t>
  </si>
  <si>
    <t>Restopchin, Conde</t>
  </si>
  <si>
    <t>Conde Restopchin</t>
  </si>
  <si>
    <t>or de Rusia ha nombrado al Vice-CanciUer Príncipe de Kuüakirr para Ministro de Estado en* lugar del Conde Restopchin. El Cónsul ingles, que resido eri este puerta, ha mandado á las embútcáciones de su nación surtas en él salgan inmediatamente y vayan á la embocadura del Elba, en donde ha liará 1</t>
  </si>
  <si>
    <t>Retamar, Matías</t>
  </si>
  <si>
    <t>Matías Retamar</t>
  </si>
  <si>
    <t>D. Felipe Andrade y D. Cayetano Arjnesto j á Subtenientes de granaderos á los primeros de fusileros D. Matías Retamar, D. Christóbal Vilanováy D. Antonio Jaquez; á primeros Subtenientes á los segundos D. Nicolás Caonedo, D. Miguel Buergo, D. Bernardino dei Pozo, D. Luis Gutiérrez, D. Christóbal B</t>
  </si>
  <si>
    <t>Retamir, Matías</t>
  </si>
  <si>
    <t>Matías Retamir</t>
  </si>
  <si>
    <t>iente de granaderos al de fusileros D. Blas de Hore; asegundo Teniente al Subteniente de granaderos D. Matías Retamir; á Subteniente de granaderos al primero de fusileros D. Mariario Ribas ; á primer Subteniente al segundo D. Francisco Viñas, y á segundo Subteniente al Cadete del de infantería de</t>
  </si>
  <si>
    <t>Reus, Manuel</t>
  </si>
  <si>
    <t>Manuel Reus</t>
  </si>
  <si>
    <t>alaxara.,.-1*7. *•» Cabo i.° Manuel Reus................. Juan.......... Ménica Parra...... Valencia....... Idem........ ...... 383. 7*</t>
  </si>
  <si>
    <t>Réversndissimi</t>
  </si>
  <si>
    <t>consulti Lovaniensis , jus eeclesiasticum in epitomen redactum á D. P. Benedicto Oberhausen , J. V. D. Réversndissimi ac Celsissimi S. R. I. Principis ac Archiepiscopi Salisburgensit consiliario ecclesiastico, additis brevibus SS.Patrum sententiis arisque ad novissimes mores, ac praxim spectantib</t>
  </si>
  <si>
    <t>Revueltas, Cayetano</t>
  </si>
  <si>
    <t>Cayetano Revueltas</t>
  </si>
  <si>
    <t>. Manuel Urruchurtu, D. Joseph María Gómez de Humaran, D. Manuel Pantoja, D. Joseph Ignacio García, D. Cayetano Revueltas, a! Cadete Don Domingo Urqiiijo, y a los paisanos D. Fernando Pineda, D. Juan de Dios Pader^s, D. .Juan Marcelino Casas, D. Casildo Posada y D. Nicolás de Lora; á Subtenientes de</t>
  </si>
  <si>
    <t>Rey de Inglaterra</t>
  </si>
  <si>
    <t>y también han ocupado sus contornos. El Príncipe Adolfo Federico, hijo 7.0 del Rey de Inglaterra, Teniente General de las tropas d&amp; Hannóver, está nombrado comandante de la capital de aquel Electorado. f Según avisos de Gluckstadt «se há puesto embargó en las embarcaciones británicas s</t>
  </si>
  <si>
    <t>Rey de Prusia</t>
  </si>
  <si>
    <t>a naturaleza y de la medicina: obra cscrira en alemán por Mr. Selle, médico del Rey de Prusia, académico de la Reaí de ciencias de Berlín, traducida del francés por D. Francisco Bonafon, profesor de niedicina</t>
  </si>
  <si>
    <t>Reynalte, Ramón</t>
  </si>
  <si>
    <t>Ramón Reynalte</t>
  </si>
  <si>
    <t>primer Teniente de granaderos al de fusileros D. Lorenzo Cenon Calvo; á primer Teniente al segundo D. Ramón Reynalte; á segundo Teniente al Subteniente de granaderos D. Manuel Romero de Leis; á esta resulta al primer Subteniente D. Nicolás Salazar de Velasco, y á primer Subteniente al segundo D.</t>
  </si>
  <si>
    <t>Reyner, Almirante</t>
  </si>
  <si>
    <t>Almirante Reyner</t>
  </si>
  <si>
    <t>. Refiere que la expedición que los ingleses habían dispuesto contra Manila y Batavia, al mando del Almirante Reyner, se había suspendido á causa de las grandes turbulencias movidas en el pais de Misore por un oficial, que en otro tiempo sirvió á Tipoo-Saib, y quedaba al frente de 30® hombres ar</t>
  </si>
  <si>
    <t>Rheden</t>
  </si>
  <si>
    <t>re los carga* mentos de las embarcaciones. Hambufgo 12 de Noviembre. S e ha dado á luz una nota que Mr. Rheden, Ministro3de Hannover ern Berlín j dirigib á Mr. de Haugwitz,'Ministro de Estado dé Prusia v para anunciarle qué S. M. Británica7pedia*formalmente que en atención • áhaberse fomad</t>
  </si>
  <si>
    <t>Rhode, Capitán</t>
  </si>
  <si>
    <t>Capitán Rhode</t>
  </si>
  <si>
    <t>quí varios buqins de guerra por cuenta del Gran Señor, y dexan en astillero uno de tres puentes. El Capitán Rhode es el único oñeial sueco que queda en esta capital. Stockolmo jj de Julio. S S. MM. se embarcarán el día 22 en la fragata Freya, en la qúal y en el yate Am&lt;dis van las personas de s</t>
  </si>
  <si>
    <t>Ribaduila, Ramón</t>
  </si>
  <si>
    <t>Ramón Ribaduila</t>
  </si>
  <si>
    <t>Tenencia de fusileros á D. Severo Cardesid » Subteniente de granaderos ; su resulta al Subteniente D. Ramón Ribaduila , y Subtenencia de fusileros á D. Rampa Ñaharro Qzorcs, Barón de Casa Goda, Guardia de Corp-s retirado : en el de Avila Tenencia de fusileros á D. Joachín Portero, Subteniente de</t>
  </si>
  <si>
    <t>Richepance, General</t>
  </si>
  <si>
    <t>General Richepance</t>
  </si>
  <si>
    <t>ar por ellas. Se han arrasado enteramente las obras de fortificación de Burghausen. La división del General Richepance, que pasa por aquella ciudad , no va á Suiza, como se h ibia asegurado, sino que viene á esta plaza. El General Moliror llegó el dia 18 á Kempten con las tropas de su mando. El qu</t>
  </si>
  <si>
    <t>Richepanse, General</t>
  </si>
  <si>
    <t>General Richepanse</t>
  </si>
  <si>
    <t>oioehlirrden está ¿mañana á las Nos limitamos á contenerlos hasta el momento en que reconocí que el General Richepanse empezaba á atacar ; y entonces di orden ;al General Grenrer para que hiciese otro tanto. El Generad Ney acudió con priesa á un desfiladero, y á medio camino de Matenpoet encontró al</t>
  </si>
  <si>
    <t>n canon. Se retiran los austríacos por el camino de Neum3rk,y nuestro exército los va siguiendo. El General Richepanse los encontró hoy mismo en Neumark, de donde los arrojó haciendo 200 prisioneros.” Se han publicado’también dos cartas del xefe de la plana mayor del exército de los Grisones. La primera</t>
  </si>
  <si>
    <t>s ríos mas cerca de su nacimiento. El centro continuó por el camino real de Salzburgo á Lintz; y ei General Richepanse, cuya división formaba ia vanguardia, fue picando la retaguardia enemiga, y cerca de Neumarck la derrotó cogiéndole 4icañones y mas de 600 hombres. El 18 volvió á encontrarla fuer</t>
  </si>
  <si>
    <t>os movimientos se. executáron exactamente. El General Lecourhe Jtizp.de 490 á iQQ prisioneros, y el General Richepanse entró- en Steyer, en donde lqs enemigos abandonaron y dexáro» en nuestro podes 17 caños nes y cerca de 4© hombres. En todas partes hall irnos crecidísimos alroace-* oes. La pérdida</t>
  </si>
  <si>
    <t>Ríchepanse, General</t>
  </si>
  <si>
    <t>General Ríchepanse</t>
  </si>
  <si>
    <t>dad en los últimos preparativos para la abertura del congreso. Refieren las cartas de Munich que el General Ríchepanse se apoderó de Clagenfurth, capital de Carinthia, el mismo dia que se firmó en Steyer el armisticio; pero esta noticia necesita confirmación. Dícese también que el General Moreau h</t>
  </si>
  <si>
    <t>£1^General austríaco Mecserg y el Príncipe de I-ichtenacein, hechos prisioneros;por las tropas del General Richepanse ¿l; bap ,• salido! de i Augsburr go pára venir&lt;¿ Francia con 4$ prisioneros de tropasalemanas. j L usx or; j.B hijo del Generri austriabo Simbschen Uegó el; 31 rde Uiciembreá Wurt</t>
  </si>
  <si>
    <t>Richepansefentrd, General</t>
  </si>
  <si>
    <t>General Richepansefentrd</t>
  </si>
  <si>
    <t>ahAíinistío QmtoGUetfrkvidi^e qére/ekiGeiieral Lecourbe^ná hecho de 40b á 50o prisi^ierpsfí-qnc &amp;M General Richepansefentrd • *etíiStey'er- \(-donde' él enemigo "-abanáoiié^5:! 7 í-prczasídeiartillería y. cerca de 4® prisioneros &amp;c.: «.&lt;• A » , A* M A V*k ” .1^ n aM i Maflft1 Méfln ^ íj*k ,1 .-bb í-k y</t>
  </si>
  <si>
    <t>Richepanss, General</t>
  </si>
  <si>
    <t>General Richepanss</t>
  </si>
  <si>
    <t>as de artillería , les causó ademas una perdida crecidísima en muertos y heñidos. Ei dia 20 tomó el General Richepanss el camino de Lambach a K-rom ;.u* munster, sosteniéndole el General Grouchí. El General Decaen, que siguió el alcance de los enemigos por el camino de Lintz, les cogió unes 400 pris</t>
  </si>
  <si>
    <t>Rico, Francisco</t>
  </si>
  <si>
    <t>Francisco Rico</t>
  </si>
  <si>
    <t>e -May0. E n el regimiento de caballería dei Rey se ha servido promover S- M. á Capitán al Ayudante D. Francisco Rico; y en el de Santiago á primer Xe«iente al segundo D. Andrés Ximenez: habiendo nombrado también, Ca^‘pellan del primer batallón del de infantería de España al presbítero Doía Manue</t>
  </si>
  <si>
    <t>cienda , como poseedor del mayorazgo que fundó D. Pedro Valle de la Cerda; Don. Francisco Rico, vecino de Madrid, y en su representación D. Eusebio María Ferrer, vecino también de esta villa; D. Ramón Francisco de la Palma, vecino de Toledo, como poseedor de los mayorazgos que fund</t>
  </si>
  <si>
    <t>Ricord, Tomás</t>
  </si>
  <si>
    <t>Tomás Ricord</t>
  </si>
  <si>
    <t>D; Joachin de-la Croi*'¿ Ingeniero de marina: elogio del limo, Sr. B.‘ Félix fUco por él-presbítero D. Tomas Ricord ; y dos poesías por el R. P. Rafkel del Angel Custodio y D. Manuel Lasa la , presbítero. Se bailará á 9 rs. en la librería de Hurtado, Calle de las Carretas , y en Valencia en cas</t>
  </si>
  <si>
    <t>Rider</t>
  </si>
  <si>
    <t>Comunes sus sesiones hasta el dia 29. Pocos dias ántes se aprobó en la misma Cámara la propuesta de Mr. Rider, sobre que no se saque del trigo sino una sola especie de harina gruesa, y no se haga sino una sola suerte de pan. Según cartas de los Estados-Unidos ha cesado enteramente el cont</t>
  </si>
  <si>
    <t>Riera, Andrés</t>
  </si>
  <si>
    <t>Andrés Riera</t>
  </si>
  <si>
    <t>a en id.... 81. a6. Andrés Riera.............. Juan y Teresa Denis.................. S. Genis en id.. 81. a6, Aside Fons................ Pedro y Mariana Sadurri.......... Sureda en el Rosellon............ g</t>
  </si>
  <si>
    <t>Riése, Teniente General</t>
  </si>
  <si>
    <t>Teniente General Riése</t>
  </si>
  <si>
    <t>| y' se retirara al Austria , qGedtfttdóprkianérad* guérra ba’áo su pulabra há&amp; íá ser cángeada. El Teniente General Riése y los oficjales de Jos=cmi.epoí y^.d.é la plana mayor sé obligarán coii palabra de honor; al cumplimíientp de esté artículo. LoS oficialas consorvaran-sus espadas.. ¡4..?jLos !et¿dw&gt;6ra</t>
  </si>
  <si>
    <t>Rigall, Antonio</t>
  </si>
  <si>
    <t>Antonio Rigall</t>
  </si>
  <si>
    <t>star en id, 33. 30. Antonio Rigall.... Juan y Antonia Bruna........ Alvach en Francia............... 31. Juan Cavalle.....,.- Gerónimo y Madalena Roca Villalonga de</t>
  </si>
  <si>
    <t>Rigaud, General</t>
  </si>
  <si>
    <t>General Rigaud</t>
  </si>
  <si>
    <t>e le dimos. Su tripulación se componía de 45 hombres. Tuvimos ia satisfacción -de hallar á bordo al General Rigaud, comandante qué fué dé la parte meridional de la isla de Sto. Domingo, el mismo que ha hecho tanto mal a sus conciudadanos como á mis compatriotas. Bien se saben en los EstadosUni</t>
  </si>
  <si>
    <t>Riglós, Gerónimo</t>
  </si>
  <si>
    <t>Gerónimo Riglós</t>
  </si>
  <si>
    <t>y á esta resulta al Sargento Don Joseph de Castro : e» el de Farnesio á Ayudante al primer Teniente Don Gerónimo Riglós: ért el de España á Alférez al Portaestandarte D. Andrés Nieto, y á PórtaeMndarté ^ Cadete deí de Farnesici D. Miguel de Sóbrevilla: en el de la Costa de Cránadá a Capitán ál prim</t>
  </si>
  <si>
    <t>Rigual, Joseph</t>
  </si>
  <si>
    <t>Joseph Rigual</t>
  </si>
  <si>
    <t>2l8 traducido por D. Joseph Rigual , énquadernados en pasta y adornados con 34 estampas sacadas de la apreciable colección de la Biblia española, á 68 rs. cada exemplir : otros de la traducción del mismo, con el te</t>
  </si>
  <si>
    <t>Vicente Pé­ Oficio de la Semana Santa, traducido por rez, para celebrar los divinos oficios. El to­ D. Joseph Rigual. Un tomo en 8.® á 9 rs. mo 1.“ contiene las Antífonas ¿-Himnos de en papel, 12 en pasta, y 36 en tafilete. vísperas de todas las Dominicas y Ferias, del Oficio de la Semana , Sant</t>
  </si>
  <si>
    <t>Rimont, Francisco</t>
  </si>
  <si>
    <t>Francisco Rimont</t>
  </si>
  <si>
    <t>Doft Joachín Royo, D. Antonio' Capilla,\D. Isidoro Capilla, D. Vicente Royo, D. Ildefonso González, D. Francisco Rimont, D, Joseph Latasa Hernández de Larrea y D.: Salyador Sobrevillahabiendo este demostrado prácticamente Jas diferentes maneras de inxerir á-entera satisfacción de los examinadores;</t>
  </si>
  <si>
    <t>Ripoll, Luis</t>
  </si>
  <si>
    <t>Luis Ripoll</t>
  </si>
  <si>
    <t>n....... ... gr. g. Luis Ripoll................. Joseph y Isabel Buscar...........Tuy en id............. 60. 30. Joseph Caballé........... Juan y Teresa Costa................. Villalongaenid. 81. ad. Jayme Ri</t>
  </si>
  <si>
    <t>Rita Cabeda y Soláres</t>
  </si>
  <si>
    <t>señora á una sobrina suya, entresacadas de una obra inglesa impresa en Filadelfia, y traducidas por Doña Rita Cabeda y Soláres : un tomo en 8.° Se vende en las librerías de Escribano, calle de las Carretas, en Ja de Campo, calle de Alcalá, y en la de Fuentes, calle de la Almudena. Prontuario curioso, en q</t>
  </si>
  <si>
    <t>Rivas, Rafael</t>
  </si>
  <si>
    <t>Rafael Rivas</t>
  </si>
  <si>
    <t>stres; i primer Subteniente al segundo D. Jacinto Liados; á segundo Subteniente al Sargento primero D. Rafael Rivas : en el de Málaga á Ayudante al primer Teniente de granaderos D. Joseph Carrillo; y en el de Cazadores Voluntarios de la Corona á Subteniente de tiradores al de cazadores D. Mari</t>
  </si>
  <si>
    <t>Riviere</t>
  </si>
  <si>
    <t>en la misma audiencia pública á Mr. Pourkart, Consejero de legación : el Conde de Bunau presentó á Mr. Riviere, Secretario de su legación: el Marques de Lucchesini , Enviado extraordinario de Prusia, presentó al Conde de Jaraczenski y Mr. de Sroldresky: el Barón de Ehrensward, Enviado extr</t>
  </si>
  <si>
    <t>Rizo, Manuel</t>
  </si>
  <si>
    <t>Manuel Rizo</t>
  </si>
  <si>
    <t>n del de dragones de Viilaviciosa al Sargento mayor del de Lusitania, graduado de Teniente Coronel, D. Manuel Rizo. Quien quisiere hacer postura á una casa sita en la calle de- {fortaleza, que</t>
  </si>
  <si>
    <t>Ro, Ramón</t>
  </si>
  <si>
    <t>Ramón Ro</t>
  </si>
  <si>
    <t>entode,Francisco Ruiz, á D. Ignacio Medina y MorenorparaotradeiadéíVdch* vacante porfaUccimieato de D. Ramón Ro</t>
  </si>
  <si>
    <t>Roberto Barlow, Capitán</t>
  </si>
  <si>
    <t>Capitán Roberto Barlow</t>
  </si>
  <si>
    <t>s de Gibraltar entre la fragata francesa la Africana y la inglesa la Fhebé. Según lo que refiere el Capitán Roberto Barlow, duro la acción dos horas á tiro de pistola, y ámbos buques pelearon con el mayor empeño y valor. La fragata francesa tenia 5 pies de agua, su artillería desmontada, y 340 hombres</t>
  </si>
  <si>
    <t>Roberto Calder</t>
  </si>
  <si>
    <t>quadra. del Contra-Almirante Gantheaume fué la que dio motivo á aquellos rumores. Se sabe que la de Mr. Roberto Calder fué á buscaría á las Indias occidentales, y dicen que ha llegado á la Martinica ; pero la de Gantheaume no ha salido def Mediterráneo. ^ Acaba de ser promovido á Con-módoro el Prí</t>
  </si>
  <si>
    <t>Roberto Hog de Giassmourt</t>
  </si>
  <si>
    <t>aviso para que él jó sus herederos acudan ó escriban para adquirir noticias mas circunstanciadas 4 D. Roberto Hog de Giassmourt, cerca de Kinghorn, ó á D. Tomás Adair Cierh al Signel de Edimburgo, ámtos pueblos en Ííorte-Bretaña en Inglaterra , ó en Madrid á D. Patricio Joyes é hijos. Manuel Gómez del Rebo</t>
  </si>
  <si>
    <t>Roberto Levingston</t>
  </si>
  <si>
    <t>ntró el dia 11 la fragata anglo-americana nombrada Boston, de 24 cañones de á 12 , en la qual viene Mr. Roberto Levingston, Canciller que fué del estado de Nueva-Yorck, y ahora es Ministro plenipotenciario de los Estados-Unidos cerca de la República francesa-. desembarcó el dia 12, y en breve llegará</t>
  </si>
  <si>
    <t>Roberto Pradez</t>
  </si>
  <si>
    <t>os de los mas acreditados lidiadores de toros, dibujados por B. Anastasio Rodríguez, y grabados por D. Roberto Pradez^ á la que se da principio con el de; Joseph Delgado (Hillo), que se hallará á 4 rs. en las ilibrerías dé Argueta, calle de la Montera,en la de Ramos, carrera de. S; Gerónimo, dé E</t>
  </si>
  <si>
    <t>Roberto Surcmiff de San Malo, Capitán</t>
  </si>
  <si>
    <t>Capitán Roberto Surcmiff de San Malo</t>
  </si>
  <si>
    <t>l foro de Bo* ñaparte. yi - r ' Roch&lt;rfort,2&lt;T de Abril, .rYcába de llegar de la Islá de Francia el Capitán Roberto Surcmiff de San Malo, el mismo que con 21 hombres de tripulación y dos cañones de á 4 apresó al ábordage en los mares de la India, al cabo de dos horas de defthsa, el navio ingles el Tritón, que monta</t>
  </si>
  <si>
    <t>Roberto With</t>
  </si>
  <si>
    <t>ph Alvareda, id. B. Juan Romero, id. Bofia María Gordou y compañía, id. D. Pedro Martínez ..Moreno. D. Roberto With , Cádiz. M. BunÜar at Rames BuíF Esq.r , cónsul en id. M. Martau o Matheu y compafil£l aIíi casa sita en la calle del Besengafio * que da vuelta á la de Fuencarral y de la Flor, n</t>
  </si>
  <si>
    <t>Robi, Juan Bautista</t>
  </si>
  <si>
    <t>Juan Bautista Robi</t>
  </si>
  <si>
    <t>e al segundo D. Francisco Viñas, y á segundo Subteniente al Cadete del de infantería de Guadalaxara D. Juan Bautista Robi : en el batallón de Volantarios de Gerona á Capitán primero al Capitán segundo D. Joseph Janer; á Capitán segundó al segundo Ayudante graduado de Capitán D. Pedro Angel Marcó del</t>
  </si>
  <si>
    <t>Robín, General</t>
  </si>
  <si>
    <t>General Robín</t>
  </si>
  <si>
    <t>El nuestro, después de la referida batalla del 21 de Marzo, •estaba apostado del modo siguiente: el General Robín con 6 batallones y un regimiento de caballería, se hallaba quando dicha batalla en Salahieh : el General Beillard con 5 batallones, 300 caballos y parte del cuerpo auxiliar., esta</t>
  </si>
  <si>
    <t>Robson</t>
  </si>
  <si>
    <t>prenderá quinto antes un viage al rededor del mundo para hacer descubrimientos. El 28 de Mayo pidió Mr. Robson en la Cámara de los Comunes que los Ministros presentasen una razón de las varias sumas concedidas por vía de subsidio ó de préstamo á potencias extrangeras, con especificación de l</t>
  </si>
  <si>
    <t>Roby, Juan de Dios</t>
  </si>
  <si>
    <t>Juan de Dios Roby</t>
  </si>
  <si>
    <t>cante por muerte de D. Joachín Rodríguez, á D. Juan de Dios Roby, con retención de la renta eclesiástica que en el dia goza. * En el regimiento de infantería de Zaragoza se ha servido promover el Rey á primer Teniente ai segundo D. Gerónimo Agu</t>
  </si>
  <si>
    <t>Roca y Seixas, Antonio</t>
  </si>
  <si>
    <t>Antonio Roca y Seixas</t>
  </si>
  <si>
    <t>riorato Dacoba, Dignidad de la catedral de Lugo, vacante por muerte de D. Juan Clemente de Navia, á D. Antonio Roca y Seixas, Canónigo de la de Astorga: para esta Canongía que dexa á D. Vicente López Somqza, Racionero de la de Lugo: para una Canongía de la metropolitana de Toledo , vacantp por fallecimi</t>
  </si>
  <si>
    <t>Roca, Francisco</t>
  </si>
  <si>
    <t>Francisco Roca</t>
  </si>
  <si>
    <t>al Exento D. Joseph Marazzani; para el Bastón de numero, que esta de xa, al Exento su pernumeraTÍó^D. Francisco Roca; para Exento supernumerario al Brigadier de la misma compañía D. Antonio Lrminiana; para el empleo de Brigadier, que este dexa, al Sub-Brigadier D. Benito Capini; para su resulta</t>
  </si>
  <si>
    <t>n id...... 60.. 30I Francisco Roca........... Rafael y Ana María Tuca,........ Villalongaenid. 81. a6, Estéban Rabasa........... Francisco y Catalina Justafre.... Sureda en id... 4g. 2* Mateo Pigsegu......</t>
  </si>
  <si>
    <t>Roca, Joseph</t>
  </si>
  <si>
    <t>Joseph Roca</t>
  </si>
  <si>
    <t>de Mallorca D.Jayrne Sureda y Veri: en el de Soria á segundo Teniente al Subteniente de granaderos D. Joseph Roca; á Subteniente de granaderos al primero de fusileros D. Juan Morales; á primer Subteniente al segundo I). Cárlos Jaso , y á segundo Subteniente al Cadete D. Joachín de la Fuente:</t>
  </si>
  <si>
    <t>Rocache, Antonio</t>
  </si>
  <si>
    <t>Antonio Rocache</t>
  </si>
  <si>
    <t>id.......... P- *3. Antonio Rocache.,.,... Domingo y María Fibras........... Fenollet en id.. 40. afl. Joseph Viles............... Saturnino y Teresa Marrasena... Pesilia en id.... P- 23. Pedro Munte...</t>
  </si>
  <si>
    <t>Rochambeau, General</t>
  </si>
  <si>
    <t>General Rochambeau</t>
  </si>
  <si>
    <t>ua, en donde los austríacos han dexado una crecida guarnición. Ya habrá llegado de Riga á Verona el General Rochambeau, y M cdonald sigue marchando por el valle de Camonica para entrar en el Tirol meridional y ocupar á Trento. Se asegura que el General austríaco Wuckassowich, que, defiende aquel p</t>
  </si>
  <si>
    <t>áfso dado á una milla de Verona infundió la .mayor incertidumbre eu los movimientos del enemigo. El General Rochambeau marchó hacia Riva, Torbolc y Morí , para coger por la espalda a las trapas austríacas^ que el General Rousseau manda en la Corona. El General Schiit atacó á Rlvoli; el GeneralBóud</t>
  </si>
  <si>
    <t>á ToJon, en donde según parece se embarcarán para ir á la isla de Santo Domingo con la división del General Rochambeau. París 13 de Noviembre. E i Ministro de Reía cienes exteriores introJuxo y presento el dia 9 al Marques de Cornwallis, Ministro plenipotenciario de &amp;. M. Británica p:ira el congre</t>
  </si>
  <si>
    <t>Rochambeauel, General</t>
  </si>
  <si>
    <t>General Rochambeauel</t>
  </si>
  <si>
    <t>na. El General Schiit atacó á Rlvoli; el GeneralBóudet marchó há-~ cia Roveredo para facilitar i aí General Rochambeauel paso del Adige: y reunido de. este modo el cuerpo dé Moncey* machará: á Ttéuto, adonde creo que «íGeneral Macdonald dirigirá también Ju$; tropas, ’ La vanguardia -atravesó ayer co</t>
  </si>
  <si>
    <t>Róchame, General</t>
  </si>
  <si>
    <t>General Róchame</t>
  </si>
  <si>
    <t>a hechb-? gran- número de prisionera ros 5¿ y ayer tarde h&amp; iricorporároní feo n él las Tropas -del General Róchame y a Mdror. salüüuy &gt; respeto. % TxewisO: serhrmb el diario ;entr¡e los Generales Bruñe y * Bellegarde¡ nna suspensión de armasy que dice así: yj Deseando los Generatesaéii «e-ri fe\</t>
  </si>
  <si>
    <t>Rocheambeau, General</t>
  </si>
  <si>
    <t>General Rocheambeau</t>
  </si>
  <si>
    <t>enado----- La guarnición de Alexandría no capitulo hasta ei último extremo.’* Ha llegado á Brest el General Rocheambeau con toda su plana mayor. Según las últimas cartas del Havre, las fragatas Cometa é Infatigable han salido de allí con 600 hombres de tropvs para la expedición de Brest; y otr&gt;s do</t>
  </si>
  <si>
    <t>Rochíimbeau, General</t>
  </si>
  <si>
    <t>General Rochíimbeau</t>
  </si>
  <si>
    <t>plaza de Peschiera está cercada: la de Mantua bloqueada; y voy á mandar sjtiar;á Pórto-Légnago. El General Rochíimbeau marchó desde -Ladrón al Adige, jasando por Riva, Torbole y Morí,' lo qual obligó al General austriairo ^á, abandonar los célebres puestos de la Carona; y el General Schimídediá oc</t>
  </si>
  <si>
    <t>Roco de Godoy</t>
  </si>
  <si>
    <t>el empico de Coronel del regimiento provincial de Truxiílo á D. Diego Carv. jal Roco de Godoy, Teniente Coronel del misal» cuerpo; la Subtenencia de cazadores dei de Mundoñcdo á D. Pedro</t>
  </si>
  <si>
    <t>Rodri</t>
  </si>
  <si>
    <t>rnando Alarcon: n.° Juan de Treinta y quatro estampas, que forman un Torquemada, Hernando de Soto , D. Rodri- quaderno del Viage de Constantinopla , eu 0 Ximenez, Santo Tomas de Villanueva, 60 rs. £ &gt;iego García de Paredes, y Francisco Pizarro : 12.0 Joseph Ribera , Pablo de CésMapa de la</t>
  </si>
  <si>
    <t>Rodrigo de Mena, Juan Joseph</t>
  </si>
  <si>
    <t>Juan Joseph Rodrigo de Mena</t>
  </si>
  <si>
    <t>a de Alcaudete, en la diócesis de Jaén, vacante por fallecimiento de D. Miguel Francisco Aldecoa, á D. Juan Joseph Rodrigo de Mena: para otro de.Viilalvilla, en la diócesis de Toledo, vacante por dimisión que ha hecho de él D. Juan Antonio Cutanda, á D. Gabriel de Prado y Tena, con retención de la demas renta</t>
  </si>
  <si>
    <t>Rodrigo de Mena, Vicente</t>
  </si>
  <si>
    <t>Vicente Rodrigo de Mena</t>
  </si>
  <si>
    <t>l Rey se ha servido nombrar para una Ración de la metropolitana de Toledo, vacante por promoción de D. Vicente Rodrigo de Mena á una Canongía de la misma iglesia, á D. Joseph Blas García Moreno: para un Beneficio de la villa de Alcaudete, en la diócesis de Jaén, vacante por fallecimiento de D. Miguel Fran</t>
  </si>
  <si>
    <t>Rodrigo de Oviedo</t>
  </si>
  <si>
    <t>n pasta. : . Fábulas de Fedro , liberto de Augusto ; traducidas al castellano en* verso y prosa por D. Rodrigo de Oviedo, catedrático de buena-version de les Rearmesludios de esta corte. La traducción en verso Ja requiere el original-, que1,0-'oot# «4 prosa ; la prosaica la pide la niñez , para cuya</t>
  </si>
  <si>
    <t>en latín, escogidas y distribuidas eu sus clases, con breves argumentos y notas en castellano, por D. Rodrigo de Oviedo, Catedrático de buena-versión y propiedad latina en los Reales estudios de Madrid, para uso de los mismos estudios. Se han puesto las notas y argumentos en castellano, para fa</t>
  </si>
  <si>
    <t>Rodrigo de Roxas y Pifia</t>
  </si>
  <si>
    <t>Otro con ¿7 olivas al sitio de la Coneja, en a8$&lt;5. Valmojado. Memóriaf^ue. jen; Casarubios, fundó D. Rodrigo de Roxas y Pifia: una tierra frontera Junto? al prado dé los Charcos, de 3 fanegas y 3 celemines, tasada en 2275; rs. Memoria del Lie. Pedro Olvera en Casarubios : un fierren im* mediato, á la pob</t>
  </si>
  <si>
    <t>Rodrigo de Sierra y Llanes</t>
  </si>
  <si>
    <t>entmanat: para el Beneficio de Marchena, en el arzobispado de Sevillar vacante por fallecimiento de D. Rodrigo de Sierra y Llanes, á D. Manuel de la Rocha: para el Beneficio Sacristía de la parroquia de la villa de «Aldeadávila, en la diócesis de Salamanca, vacante por fallecimiento de D. Manuel Casanova, á</t>
  </si>
  <si>
    <t>Rodrigo, Vicente</t>
  </si>
  <si>
    <t>Vicente Rodrigo</t>
  </si>
  <si>
    <t>agració igualmente; con medallas de plata , en las que sé veia graba* do el emblema ae la sociedad. Don Vicente Rodrigo, alumno premiado , ré¿ citó uñas endechas én acción de gracias , y D. V ícente Rubio pronunció una arenga gratulatoria, y concluida dixo otra- á nombre de las niñas Doña Antonia A</t>
  </si>
  <si>
    <t>Rodrigue, Vicente</t>
  </si>
  <si>
    <t>Vicente Rodrigue</t>
  </si>
  <si>
    <t>La Recopci1 iac i onó los dos hermanps: drama en $ actos: su autor Kotz-Bue: traducida en prosa por D. Vicente Rodrigue* úe, Árellano : en 8.® á 3 rs. Se hallará $*t las -librerías de Qiuroga , c^lle de las ^Carretas y dé la Concepción. En las mismas librerías se venden todas las piezas del Teatro</t>
  </si>
  <si>
    <t>Rodríguez Almeyda, Juan</t>
  </si>
  <si>
    <t>Juan Rodríguez Almeyda</t>
  </si>
  <si>
    <t>teniente de granaderos D. Agustín Vallancour; á Subteniente de graUad^ros ;al pdméro ¡dé, fusileras D. Juan Rodríguez Almeyda, y á primer Subteniente al segundo D. Prudencio Castañeda: en el de Sevilla á segundo Subteniente ¡áj ¡Cálete D. Juan Manuel de Urquiaga : en el de Zaragoza á primer Teniente al s</t>
  </si>
  <si>
    <t>Rodríguez Carassa, Antonio</t>
  </si>
  <si>
    <t>Antonio Rodríguez Carassa</t>
  </si>
  <si>
    <t>al segundo Suoteniente , graduado de Teniente, D. Pedro Navarro, y á segundo Subteniente al Cadete D. Antonio Rodríguez Carassa; y en el batallón de Voluntarios de Tarragona á Capitán primero al segundo D. Manuel Gasset, á Capitán segundo al primer Teniente D.Narciso Batlie; á esta resulta al segundo Tenie</t>
  </si>
  <si>
    <t>Rodríguez Concha, Simón</t>
  </si>
  <si>
    <t>Simón Rodríguez Concha</t>
  </si>
  <si>
    <t>.............................. Vt 203 dase á los Soldados distinguidos D. Joseph Chrlstóbal Moreno, D. Simón Rodríguez Concha y D. Joseph Alvarado. El Consejo á consulta-de la Comisión gubernativa y, con aprobación dé S. M. ha acordado la octava amortización de 500 Vales de óoo pesoi de Abril, procedentes de</t>
  </si>
  <si>
    <t>Rodríguez de Arellano, Vicente</t>
  </si>
  <si>
    <t>Vicente Rodríguez de Arellano</t>
  </si>
  <si>
    <t>utas de madera con sus cuerdas para reglar el papel. La Fulgencia, comedia nueva en tres actos, por D. Vicente Rodríguez de Arellano, representada en el coliseo de la calle de la Cruz. Se hallará en 8.° á 3 rs. en la librería de Quiroga , calle de las Carretas. En la misma librería se venden todas las piezas de</t>
  </si>
  <si>
    <t>medias por D. Antonio Valladáres de Sotomayor. = La Dama labradora : comedia nueva en dos actos por D. Vicente Rodríguez de Arellano, representada en el teatro de la calle 4», la Cruz. Se hallarán en el puesto de libros de Joseph Sánchez, calle del Príncipe , frente al coliseo. Quaderno -a.0 de la colección gen</t>
  </si>
  <si>
    <t>Rodríguez de AreUano, Vicente</t>
  </si>
  <si>
    <t>Vicente Rodríguez de AreUano</t>
  </si>
  <si>
    <t>en cinco actos, por Doña María Rosa dle Galyez.r=;La óp:ra cómica , drama en un acto, traducida por D. Vicente Rodríguez de AreUano , representadas en el coliseo de la calle del Príncipe. Se hallará -en 8.° á 3 rs. en ia librería de Quiroga, calle de las Carretas. En la misma se venden todas las piezas del Tea</t>
  </si>
  <si>
    <t>Rodríguez de Bustrin, Joseph</t>
  </si>
  <si>
    <t>Joseph Rodríguez de Bustrin</t>
  </si>
  <si>
    <t>oría de guerra de la Capitanía general de Cá¡diz , y por le escríbanla mayor de guerra del cargo de D. Joseph Rodríguez de Bustrin: con apercibimiento de que pasado dicho término sin parecer pretendiente alguno,se dará, él destinó que corresponda á la partida de dinero que hay existente. , Quien supiere el pa</t>
  </si>
  <si>
    <t>Rodríguez de Castro, Joseph</t>
  </si>
  <si>
    <t>Joseph Rodríguez de Castro</t>
  </si>
  <si>
    <t>urA 3&lt;5 rs. cada uno en papel, y 40 ert rústica, guillos en 8 f dos de Castillejo en aor dos de por D. Joseph Rodríguez de Castro. Juan de la Cueva en 16 : dos de poesías esParáfrasis Arabe de la Pabla de Cebes, cogidas de los Romanceras y Cancioneros en traducida é ilustrada con notas por D. Pablo 20 : Y do</t>
  </si>
  <si>
    <t>Rodríguez de Castro, Manuel</t>
  </si>
  <si>
    <t>Manuel Rodríguez de Castro</t>
  </si>
  <si>
    <t>rdo, y sin más endoso. Quien supiere ei paradero de ellos fos entregará en el almacén de papel -de‘ D. Manuel Rodríguez de Castro, calle del Cárneo, cúm. 1'. ' / J,, ... \ ^ Por la audiencia del Sr. Alcalde D. Domingo Fernandez de ^áippománer,u'yf escribanía dé provincia de D. Domingo Rodríguez V sé ha 'mand</t>
  </si>
  <si>
    <t>Rodríguez de Fonseca, Bartolomé</t>
  </si>
  <si>
    <t>Bartolomé Rodríguez de Fonseca</t>
  </si>
  <si>
    <t>n vamente recopiladas en el año de 1773: su au­ 11 estampas á 34 rs. en papel, y 36 en rústica. tor D. Bartolomé Rodríguez de Fonseca. Voyage de Découyertes , a l'Océan PacifiDiez y ocho tomos en folio , á 27 rs. cada uno que dit Nord , et autour du monde; dans 'en papel, 30 en pergamino , y 38 en pasta. tequel</t>
  </si>
  <si>
    <t>Rodríguez de la Vega, Antonio</t>
  </si>
  <si>
    <t>Antonio Rodríguez de la Vega</t>
  </si>
  <si>
    <t>Real de los Alamos á D. Juan Martínez de Villagra'; y la de Escribiente" de la aduana de Durango á D. Antonio Rodríguez de la Vega. Consiguiente á lo que se anunció al publico por medio de tos diarios de 24. y 28 , y la gazeta de 26 He Diciembre último, se verificó en la mañana', del lunes 29 del mismo, á pre</t>
  </si>
  <si>
    <t>Rodríguez de Toro, Antonio</t>
  </si>
  <si>
    <t>Antonio Rodríguez de Toro</t>
  </si>
  <si>
    <t>de la Puente» D» Francisco Arias 4® Saavedra, D. Bartolomé Gutiérrez» Don Francisco Campo-Redondo » Dr Antonio Rodríguez de Toro» D.. Amadeo Juan de Mora»• D; Matías Muñido, 1&gt;. CayetanoBlengáayD. 'Luis García y Pina, D¿ Migue! María PanesyD.'Ma'nuélAutranysehaservidoel Key promoverlos ¿Subtenientes del pro</t>
  </si>
  <si>
    <t>Rodríguez de Valenzuela, Andrés</t>
  </si>
  <si>
    <t>Andrés Rodríguez de Valenzuela</t>
  </si>
  <si>
    <t>e la marina Real inglesa. Su cargamento se valúa en 30© francos.” Gibralean 20 de Febrero. E 1 Lie. D. Andrés Rodríguez de Valenzuela , Corregidor de esta villa, ha restaurado en ella la clase de gramática latina y castellana y retórica , que por algún tiempo habia estado cerrada. Tuvo en efecto principio dicha</t>
  </si>
  <si>
    <t>Rodríguez do Vida, Antonio Basilio</t>
  </si>
  <si>
    <t>Antonio Basilio Rodríguez do Vida</t>
  </si>
  <si>
    <t>diano de la catedral de Buenos-Ayres, vacante por fallecimiento de D. Jen seph Román y Cabezales, á D, Antonio Basilio Rodríguez do Vida, Dignidad de Chantre de la misma iglesia: para esta Chantría al Maestrescuela I&gt;. Francisco Xavier de Dicido y Zaraudiot para la Maestrescolía al Canónigo de la propia iglesia D»</t>
  </si>
  <si>
    <t>Rodríguez Fito, Manuel</t>
  </si>
  <si>
    <t>Manuel Rodríguez Fito</t>
  </si>
  <si>
    <t>zas y fronteras al extraordinario D. Guillermo Minali; y para esta resulta al Ayudante de Ingeniero D. Manuel Rodríguez Fito. En América. El Rey se ha servido nombrar para la Dignidad de Dean de la catedral de Popayan, vacante por fallecimiento de D. Melchor de Valencia, al Maestrescuela D. Francisco Xa</t>
  </si>
  <si>
    <t>Rodríguez Frce, Francisco</t>
  </si>
  <si>
    <t>Francisco Rodríguez Frce</t>
  </si>
  <si>
    <t>eí empleo de Contador general de la Renta de Tabacos del Reyno de Goatemala, vacante por muerte de D. Francisco Rodríguez Frce; y para el de Interventor de la Factoría de Quesaltenango, en el propio Reyno,á D. Justo Sorogastua. En la extracción de la Real lotería executada el martes 3 del corriente* sálié</t>
  </si>
  <si>
    <t>Rodríguez Peña, Nicolás</t>
  </si>
  <si>
    <t>Nicolás Rodríguez Peña</t>
  </si>
  <si>
    <t>osa; á Temientes,i los .Alféreces D. Gabriel Hernández y D. Gabriel Casado, y á Alféreces al Cadete D. Nicolás Rodríguez Peña y al Sargento D. Juan Barragan. S. M. se ha servido nombrar para la plaza.de Agente Fiscal del Consejo de Indias,por lo perteneciente al Perú., vacante por fallecimiento de Don Anto</t>
  </si>
  <si>
    <t>Rodríguez Prieto, Ramón</t>
  </si>
  <si>
    <t>Ramón Rodríguez Prieto</t>
  </si>
  <si>
    <t>apodé ractosó herederos' á cobrar sus respectivos alcances á los sugttos siguientes: en,. Madrid i D. Ramón Rodríguez Prieto, casa del Ex ciño. Sr. Marques de;iranda:etiZa,tágoza á D. Francisco Escobercta, calle de la Sombrerería, del comerció''de' aquélla ciudad: en Valenda á D. • Alberto 1-gaaí de Igu</t>
  </si>
  <si>
    <t>Rodríguez Valdérábano, Antonio</t>
  </si>
  <si>
    <t>Antonio Rodríguez Valdérábano</t>
  </si>
  <si>
    <t>á los Cadetes D. Manuel Magarola , Lope de Mesa y Ponte, J?. Jesús María Franco, D. Antonio Panigo, D. Antonio Rodríguez Valdérábano, D. RafeePPerez de -Guzmah el Buenos y D. Isidoro do, tanda. En el de infantería de la Corona a segundo Subteniente al Sargento primero^ distinguido del de Gfariada D. Jblian Angu</t>
  </si>
  <si>
    <t>Rodríguez Veiarde, Joseph</t>
  </si>
  <si>
    <t>Joseph Rodríguez Veiarde</t>
  </si>
  <si>
    <t>Ganeedo, y el Beneficio de Valbuéna dé Duero, en la diócesis dé Paléit^ cía, vácante por muerte dé D. Joseph Rodríguez Veiarde | \ D. FranCiscb Blas dé Llamas: para el Benefició simple.de la villa deAmuscoyenla misma diócesis de Falencia1, vacante por fallecimiento del référidirD. Jóseph Rodríguez Vélarde</t>
  </si>
  <si>
    <t>Rodríguez Velarde, Joseph</t>
  </si>
  <si>
    <t>Joseph Rodríguez Velarde</t>
  </si>
  <si>
    <t>rete: para el Beneficio dé ía villa de Tamira, en dicha diócesis de Palencia, vacante por muerte dé D. Joseph Rodríguez Velarde, á D. Leoncio Ténáquero: para el empleó de Administrador del colegió de Ntra. Sra. de Lóreto dé esta villa de Má-’ drid , que resultará Vacante por él pase de D. Ignacio García dé</t>
  </si>
  <si>
    <t>Rodríguez Venégas, Antonio</t>
  </si>
  <si>
    <t>Antonio Rodríguez Venégas</t>
  </si>
  <si>
    <t>mbrar para la Dignidad de Maestrescuela de la catedral de Santiago de Chile , vacante por muerte de D. Antonio Rodríguez Venégas,; á D. Pedro Antonio de Roxas y Argan</t>
  </si>
  <si>
    <t>Rodríguez Xaramillo, Sebastián</t>
  </si>
  <si>
    <t>Sebastián Rodríguez Xaramillo</t>
  </si>
  <si>
    <t>islas Filipinas, vacante por promoción de D. Bernardo Fernandez Abascal á una Ración de la misma, á D. Sebastian Rodríguez Xaramillo. — - ------------ ----------- — " ' ...................... 1 ....... . 1 '■ " ............. .. ' ■'■■■" — .MI • * Colección de los trages del Ticiano de todas las naciones conocid</t>
  </si>
  <si>
    <t>Rodríguez, Alonso</t>
  </si>
  <si>
    <t>Alonso Rodríguez</t>
  </si>
  <si>
    <t>uisiere hacer postura acuda 4 la ci-tada escribanía. r Por el afio de 1782 murió en la Seu de Urgel D. Alonso Rodríguez, Sargen.to mayor de aquella plaza. Correspondientes ¿ su herencia existen 300 rs. va. en poder de D. Joseph María Monreal, presbítero, que vive en Madrid en ia calle de las Venera</t>
  </si>
  <si>
    <t>Rodríguez, Andrés</t>
  </si>
  <si>
    <t>Andrés Rodríguez</t>
  </si>
  <si>
    <t>Joseph Casaus, y a segundos Subtenientes á los Cadetes D. Joseph Joachín Muzo,'1 D. Joseph Losada, D. Andrés Rodríguez, D. Manuel Gallardo, D. JuarF de Torr.es Coca, D-Joseph Martinez y D. Joachín Casaus , y á los Sargen-r tos primeros Di Poiicarpo de Frías, D. Francisco Barrera, de granaderos, D.</t>
  </si>
  <si>
    <t>Rodríguez, Antonio</t>
  </si>
  <si>
    <t>Antonio Rodríguez</t>
  </si>
  <si>
    <t>o, á los 8 meses de su embarazo; y aunque el R. p. Fr. Francisco de Vera, Cura detesta parroquia, y D. Antonio Rodríguez, de Ayala, Médico titular, prevíhiérón que así que falleciera se diese inmedia-3 tamente cuenta para extraerle el' feto, y que recibiese el agua del bautismo^ np se cumplió: y sol</t>
  </si>
  <si>
    <t>Rodríguez, Bartolomé</t>
  </si>
  <si>
    <t>Bartolomé Rodríguez</t>
  </si>
  <si>
    <t>iSooVdeció retención total de orina con dolores agudísimos, y gran inquietud. Vino a su socorro D. Bartolomé Rodríguez, Cirujano en ía ciudad de M.daga, distante legua y media de aquella pobl.cion. Habiendo precedido ios remedios conocidos para estos casos, consiguió que con la aplicación de la so</t>
  </si>
  <si>
    <t>Rodríguez, Fernando</t>
  </si>
  <si>
    <t>Fernando Rodríguez</t>
  </si>
  <si>
    <t>arcela, en la misma diócesis: para otra Canongia de la catedral de Barbastro, vacante por muerte de D. Fernando Rodríguez, á D. Matías Guiu y García, Canónigo de la colegial de Alcañiz; y para otra de la misma catedral, vacante por fallecimiento de D. Atanasio Perallon, á D. Joacbín Allue y Bendicho;</t>
  </si>
  <si>
    <t>naventura Morales ;.á Subtenientes de fusileros á los Sargentos primeros D. Juan Calvo y Antequera, D. Fernando Rodríguez, D. Mariano Cevallós, D. Gregorio Alagon, D. Luis Vargas y D. Diego Orellana, y á Subtenientes de.bandera á D. Pedro Estrada, D. Diego de la Vaca y Don Bartolomé del Peso, también</t>
  </si>
  <si>
    <t>Rodríguez, Joachín</t>
  </si>
  <si>
    <t>Joachín Rodríguez</t>
  </si>
  <si>
    <t>s de granaderos D. Joseph Galludo y D. Joseph Callava; á estas resultas á los primeros Subtenientes D. Joachín Rodríguez y D. Joseph Fransoy, y á/primer Subteniente al segundo D. Josepn Murzo: en el batallón de cazadores 7Voluntarios de Barbastro á segundo Subteniente al Cadete D. Joseph ViUaespesa; y e</t>
  </si>
  <si>
    <t>cante por muerte de D. Joachín Rodríguez, á D. Juan de Dios Roby, con retención de la renta eclesiástica que en el dia goza. * En el regimiento de infantería de Zaragoza se ha servido promover el Rey á primer Teniente ai</t>
  </si>
  <si>
    <t>Rodríguez, Joseph</t>
  </si>
  <si>
    <t>Joseph Rodríguez</t>
  </si>
  <si>
    <t>líava y D. Rafael Ramiro; á primeros Subtenientes á los segundos D. Antonio Merlo, D. Joseph Juano, D. Joseph Rodríguez, D. Miguel Márquez y D. Joseph Casaus, y a segundos Subtenientes á los Cadetes D. Joseph Joachín Muzo,'1 D. Joseph Losada, D. Andrés Rodríguez, D. Manuel Gallardo, D. JuarF de Tor</t>
  </si>
  <si>
    <t>Rodríguez, Juan</t>
  </si>
  <si>
    <t>Juan Rodríguez</t>
  </si>
  <si>
    <t>vacante por promoción de Don Angel María de Guzman á una Ración de la metropolitana de la misma, á D. Juan Rodríguez: para una Capellanía deCoro titulada de S. Valerio, de la catedral: de Sigtenza ,¿vacante por muerte de D. Pedro Cortijo, á Don TqsephCitiaeoyde Hijes: para otra, Vacante por fall</t>
  </si>
  <si>
    <t>Rodríguez, Manuel</t>
  </si>
  <si>
    <t>Manuel Rodríguez</t>
  </si>
  <si>
    <t>Porta- , estjnd¿rtc al Sargento D. Andrés Miguel: en el de Húsares españoles á Alférez al Sargento D. Manuel Rodríguez; y en el de Voluntarios de Espa- t ña á Ayudante al primer Teniente D. Juan Casado, y á Alférez al Sargento D. Bartolomé Lozano. También se ha dignado S. M. conferir el empleo de</t>
  </si>
  <si>
    <t>er.as de Escribano, calle de las Carretas, y en la de Esparza, puerta del Sol , y en casa del autor D. Manuel Rodríguez , grabador de láminas, individuo de la Real academia de S. Fernando, calle de la Montera, r,úm. a8. Se previene se d&lt;rán Jas estampas de los retratos sueltas, y los tomos, y se ha</t>
  </si>
  <si>
    <t>Rodríguez, Nicolás</t>
  </si>
  <si>
    <t>Nicolás Rodríguez</t>
  </si>
  <si>
    <t>fantería fíxa de Nijar se ha servido S. M. nombrar Teniente al Subteniente de la segunda de Almería D. Nicolás Rodríguez; y Subteniente al Sargento distinguido de la misma D. Francisco Morales. En el regimiento de dragones de Pavía se ha servido promover el Rey á Comandante dél tercer esquadron al C</t>
  </si>
  <si>
    <t>Rodríguez, Pedro</t>
  </si>
  <si>
    <t>Pedro Rodríguez</t>
  </si>
  <si>
    <t>á Alférez al Portaestandarte D. Antonio Melgarejo, y á esta resulta al Sargento graduado de Alférez D. Pedro Rodríguez: en el de dragones del Rey á Teniente al Alférez de granaderos D. Joseph de Llihuri; y en el de dragones de la Rey na á Alférez al Cadete D. Francisco Augirot. S. M. ha promovido</t>
  </si>
  <si>
    <t>a á Capitán al Ayudante D.:Juan o® Francia;' á esta res;úfta;.aí príineij T§r: niente de granaderos D. Pedro Rodríguez; á primer Teniente de ;giaiiiideros al dé fusileros D. Pedro Gerónimo’ Alémauy:, y á primee. Temén£é al agregado en esta clase al de Valencia D. Francisco Viruesv •?* ' , También</t>
  </si>
  <si>
    <t>Portaestandarte al Cadete D. Baltasar Í3élindnte; y en ei de Santiago á Alférez al Portaestandarte D. Pedro Rodríguez, y á esta resulta al Cadete D. Fernando de Milla; habiendo conferido igualmente la Tenencia de la compañía suelta de fusileros del Reyno de valencia al primer Teniente del regimie</t>
  </si>
  <si>
    <t>Rodulfo Lauífer, Juan</t>
  </si>
  <si>
    <t>Juan Rodulfo Lauífer</t>
  </si>
  <si>
    <t>de la entrega que por convenio ha hecho á los ingleses de la isla de Curazao el Gobernador holandés D. Juan Rodulfo Lauífer, y de la extraña propuesta qúe este y él comandante inglés Watkins le hiciéron de que siguiese abierto con la referida isla el comercio de los1 vasallos del Rey en tierra-firme',</t>
  </si>
  <si>
    <t>Roig, Cayetano</t>
  </si>
  <si>
    <t>Cayetano Roig</t>
  </si>
  <si>
    <t>luntarios de Gerona á segundo Subteniente al Cadete del primer batallón de Voluntarios de Barcelona D. Cayetano Roig. También en el regimiento de caballería de Farnesio se ha servido promover S..M. á Alférez al Portaestandarte D. Francisco Sobrevida: en el de España á primer Teniente al segundo</t>
  </si>
  <si>
    <t>Roig, Joseph</t>
  </si>
  <si>
    <t>Joseph Roig</t>
  </si>
  <si>
    <t>iudad de Barcelona, por promoción de £&gt;. Carlos Grasot a una Cañoñgía de la colegiatá de Manresa, á D. Joseph Roig; y para otro Beneficio de la parroquial de Concentaina, diócesis de Valencia, á D. Gerónimo Maestre. En la compañía Italiana del Real cuerpo de Guardias de Corps ha nombrado S. M.</t>
  </si>
  <si>
    <t>Roize, General</t>
  </si>
  <si>
    <t>General Roize</t>
  </si>
  <si>
    <t>al Lanusse con .4 medias brigadas de infantería, ycúeijpo considerable de caballería mandado por el General Roize. LosGenerales Friant y Rampon ocupaban el centro con 5 medias brigadas: el General Regnier se hallaba en la izquierda con 2 medias brigadas y. 2 regimientos de caballería; y el Ge</t>
  </si>
  <si>
    <t>e escoceses núm. 42, y otro también enemigo sobresaliéron; pero fuéron destrozados y destruidos. El General Roize mandó que la caballería hiciese una acometida contra ellos y contra los cazadores corsos, y se executÓ con tal dirección y acierto que nos proporcionó la victoria; pero siendo mue</t>
  </si>
  <si>
    <t>Roldan y Baena, Juan</t>
  </si>
  <si>
    <t>Juan Roldan y Baena</t>
  </si>
  <si>
    <t>adores; su resulta á D. Mariano de Cárdenas, Subteniente de fusileros ; Subtenencias de compañía ík D. Juan Roldan y Baena y D. Ignacio Palacios del Pino; y las dos de ban^’ dera á D. Antonio María Naveao y Ximenez y D. Manuel Diaz y Zapa-’ da : en el de Córdoba Tenencia de fusileros á D. Joseph Ortiz y F</t>
  </si>
  <si>
    <t>Román de Mesones, Antonio</t>
  </si>
  <si>
    <t>Antonio Román de Mesones</t>
  </si>
  <si>
    <t>para la Canongía, que este dexa, al Racionero D. Francisco Xavier Queri; y para Ja Ración de este á D. Antonio Román de Mesones, Cura en aquella diócesis. Asimismo se ha dignado S. M. nombrar para una Ración de la catedral de Mérida de Maracaybo, vacante por renuncia de D. Juan Antonio Trocouis, á D. Chris</t>
  </si>
  <si>
    <t>Román, Andrés</t>
  </si>
  <si>
    <t>Andrés Román</t>
  </si>
  <si>
    <t>a á D. Carlos Caravantes y Haho ¿ Cápitan del mismo cuerpo; y ha conferido Subtenencia de bandera á D. Andrés Román, Cadete dél de indo / fusileros al Subteniente dé cazadores D. Félix Trapero; lis Subtenencias de granaderos y cazadores á los Subtenientes D. JdsepH María ArqueBada y D. Juan Góm</t>
  </si>
  <si>
    <t>Román, Joseph María</t>
  </si>
  <si>
    <t>Joseph María Román</t>
  </si>
  <si>
    <t>al y Correa ; y Subtenencias'de bandera en los regimientos de Monterey, Mondoñedo, Ronda y Burgos á D. Joseph María Román, D. Joseph de Lago y RoblesKD. Joseph Guardado Miguens y Diúz, y D. Cirilo Joseph María deí Canto. . El Rey se ha servido conferir la Capellán! &gt; del sexto batallón del Real cuerp</t>
  </si>
  <si>
    <t>Román, Manuel</t>
  </si>
  <si>
    <t>Manuel Román</t>
  </si>
  <si>
    <t>1089 • pe Sánchez Cobo: para otro de S. Martin de Plasencia, vacante por fallecimiento de D. Manuel Román, á D. Pedro Lorenzo Rubio: para otro de la parroquia de S. Andrés de Masma, en el obispado de Mondoñedo, vacante per muerte de D. Pablo Mingo Morales, á D. Vicente García Mancha;</t>
  </si>
  <si>
    <t>Romano, Francisco Xavier</t>
  </si>
  <si>
    <t>Francisco Xavier Romano</t>
  </si>
  <si>
    <t>ruegos les Tespbndió : no quiero sobrevivir á esta deshonrosa jornada.” Madrid 3,2 de Setiembre. A D. Francisco Xavier Romano, Cadete Garzón de la compañía Italiana del Real cuerpo dé Guardias de Corps, y á D. Manuel de Ittirrigaray, Teniente de la Real brigada de Carabineros, ha conferido «1 Rey Compañí</t>
  </si>
  <si>
    <t>Romaza Esta, Ignacio</t>
  </si>
  <si>
    <t>Ignacio Romaza Esta</t>
  </si>
  <si>
    <t>compuestos con método s* arillo y claro narria mas tirohta inteiigenda óe una ciencia tan útil: por D. Ignacio Romaza Esta obra se com oond ri de i* quad-r nos $ en los 7 priiiw ros se incluí rá la Utemática pura, V ep los ‘¿guíentés la mixta. &amp;* hallará eí primer quaáerno en la librería de ia viuda d</t>
  </si>
  <si>
    <t>Romaza, Ignacio</t>
  </si>
  <si>
    <t>Ignacio Romaza</t>
  </si>
  <si>
    <t>compuestos con método sencillo y claro para la mas pronta inteligencia de una ciencia tan útil, por D. Ignacio Romaza : esta obra se compondrá, éomo se anunció en la gazeta de 24 de Febrero, de az quadernos 5 en los 7 primeros se incluirá la matemática pura, y en los siguientes la mixta. Se halla</t>
  </si>
  <si>
    <t>compuestos con método sencillo y claro para la mas pronta inteligencia de uná ciencia tan útil, por D. Ignacio Romaza. Se hallará en la librería de la viuda de Ibarra, calle de la Gorguera , i 6 rs. } y tos anteriores al mismo precio. EN LA IMPRENTA REAL.</t>
  </si>
  <si>
    <t>Romeo Ifiiguez de Beortegui, Ignacio</t>
  </si>
  <si>
    <t>Ignacio Romeo Ifiiguez de Beortegui</t>
  </si>
  <si>
    <t>Castilla , sobre la cobranza de sus-respectivos créditos;; y habiéndose convenido en satisfacerles Don Ignacio Romeo Ifiiguez de Beortegui, sobrino de dicho Señor, en ia forma qua sé acordó, en la junta celebrada el 26 de Julio último , que ha sido aprobada por el {5* D. Domingo Antonio de Miranda, del Consejo de S.</t>
  </si>
  <si>
    <t>Romero de Leis, Manuel</t>
  </si>
  <si>
    <t>Manuel Romero de Leis</t>
  </si>
  <si>
    <t>vo; á primer Teniente al segundo D. Ramón Reynalte; á segundo Teniente al Subteniente de granaderos D. Manuel Romero de Leis; á esta resulta al primer Subteniente D. Nicolás Salazar de Velasco, y á primer Subteniente al segundo D. Manuel Ayensa. También ha'promovido S. M. en el regimiento de caballería</t>
  </si>
  <si>
    <t>Romero y Varldés, Andrés Antonio</t>
  </si>
  <si>
    <t>Andrés Antonio Romero y Varldés</t>
  </si>
  <si>
    <t>la villa de los Santos, provincia de Extremadura, de nueva creación, de primera clase ó entrad*, á D. Andrés Antonio Romero y Varldés; y pa/a la de Totana y Aíedo, en él Rey no de Murcia, de tercera dase, á D. Ignacio María de Funes y Ulloa, ámbas en el territorio de ;la orden de Santiago, Igualmente se ha servi</t>
  </si>
  <si>
    <t>Romero, Alonso</t>
  </si>
  <si>
    <t>Alonso Romero</t>
  </si>
  <si>
    <t>iérrez, Don Domingo Gómez, D. Domingo Amieba , D. Juan Jaldon , D. Joseph Marín, D. Die,*o Garrido, D. Alonso Romero, D. Antonio Ramírez, Don Francisco Xavier, D. Manuel Maclas y D. Joseph de Aragón. Respondiáron todos con oportunidad y expedición á las preguntas que Jeshiciéron así los jueces n</t>
  </si>
  <si>
    <t>Romero, Antonio</t>
  </si>
  <si>
    <t>Antonio Romero</t>
  </si>
  <si>
    <t>- * sor D. Juan Antonio Hernández de Larrea, Desnude la santa iglesia metropolitana, y-á Jos socios D. Antonio Romero,'Gánónigo de la misma, y : tesorero de la sociedad, Dr. D. Jokchín-Gomeá^ Abogádo' de lo$ Reales 1 Gonsejos, Dr. D. Joseph Benito de Cistué y Dr. D. Juan Polo y Catalina, profesor</t>
  </si>
  <si>
    <t>.de Agente Fiscal del Consejo de Indias,por lo perteneciente al Perú., vacante por fallecimiento de Don Antonio Romero, á D. Francisco Joseph Melgares de Sahajosa, Abogado' de los Reales Consejos. í * : ,&gt; ;.¡ S. M. á consulta del Consejo se ha servido conceder permiso á la ciudad de Andújar, Rey</t>
  </si>
  <si>
    <t>Romero, Joseph</t>
  </si>
  <si>
    <t>Joseph Romero</t>
  </si>
  <si>
    <t>id: Subtenencias de bandera en el de Milicias disciplinadas de'infantería dé Arequipa á los Cadetes D. Joseph Romero, D. Joseph Barrera, Don Juan Bautista Arrospide, y á D. Joseph Victorino de Arroyo: el empleo de Alférez de carabineros del de Milicias urbanas de caballería de lea al de fusilero</t>
  </si>
  <si>
    <t>Romero, Marcos</t>
  </si>
  <si>
    <t>Marcos Romero</t>
  </si>
  <si>
    <t>eph Gabriel Santa Marina, 1). Manuel Muñoz y-Cevallos, D. Miguel Santiilana, D. Victoriano Sau.ca y D. Marcos Romero. En consideración á la actividad y buen desempeño que ha acreditado D. Estéban de Artola, Capitán del regimiento provincial de Castellón de la Plana, en su comisión de Comandante</t>
  </si>
  <si>
    <t>Romero, Vicente</t>
  </si>
  <si>
    <t>Vicente Romero</t>
  </si>
  <si>
    <t>a á. Capitán á su caballero Page D. Joachín Vera: en el de Granada á primer* Subteniente al segundo D. Vicente Romero: en el ce Zaragoza á piinier. Subteniente al segundo D. Francisco Fernandez, y á segundo Subteniente.al. Cadete. D. Antonio López : en el de América á primer Teniente al se—' guud</t>
  </si>
  <si>
    <t>Rominzow, Nicolás (conde)</t>
  </si>
  <si>
    <t>Conde Nicolás Rominzow</t>
  </si>
  <si>
    <t>i 119 ' xAl Consejero íntimo Conde Nicolás Rominzow lia conferido S. M. la dirección general de caminos y cañaíes del Imperio. Asimismo, el Chambelán Barón de Maltiz vuelve á servir, y ha sido colocado en el colegio de negocios ext</t>
  </si>
  <si>
    <t>Romney, Lord</t>
  </si>
  <si>
    <t>Lord Romney</t>
  </si>
  <si>
    <t>cesión de territorio.” El dia 3, que era el señalado para examinar los preliminares de prz, hizo el Lord Romney la apología de ellos , mayormente considerando que la continuación de la guerra no podía presentar ventajas comparables con ios beneficios de la paz. La suerte de. las armas era dudo</t>
  </si>
  <si>
    <t>Ropes, Joseph (capitán)</t>
  </si>
  <si>
    <t>Capitán Joseph Ropes</t>
  </si>
  <si>
    <t>ocka con muchos caballos y gran cantidad de dinero. Amsterdam je de Abril. A caba de llegar aquí el Capitán Joseph Ropes, que salió de Madras el 30 de Agosto. Refiere que la expedición que los ingleses habían dispuesto contra Manila y Batavia, al mando del Almirante Reyner, se había suspendido á cau</t>
  </si>
  <si>
    <t>Roque de Tuñas</t>
  </si>
  <si>
    <t>da......... ¿o. a8. Roque de Tuñas.. Patricio........ Cayetana Benanes.Sta. Eugenia deLesano.. Corcubion....... ¿o. a8. Roque L</t>
  </si>
  <si>
    <t>Roque Ignacio Vico</t>
  </si>
  <si>
    <t>principales naokraés de Enrona, escrito en italiano por el Abate Carlos Den i na , y traducido por D. Roque Ignacio Vico. Este discurso, que viene á ser un compendio crtricennistórteta, de la literatura, fué presentado por su autor á una sociedad literaria de Italia,</t>
  </si>
  <si>
    <t>Roque Lorenzo</t>
  </si>
  <si>
    <t>bion....... ¿o. a8. Roque Lorenzo..., Joseph,.,.,,.... María Armatas,,. Derraman...., Coto de Gran^ .......... jas de Vales</t>
  </si>
  <si>
    <t>Roque San Martín</t>
  </si>
  <si>
    <t>no priméis Subée^ niente a! segundo D. Joachirt Espátóleró * ‘y^á segundó Subtéñiéfíté dí CÍá^ dete D. Roque San Martin : en el de cazadores Voluntarios de la Córóna1 á* Capí tan de ti ra d ores al! de cazadores D.Jo achín Égaña; á Capitán al Ay üdante/’P.^jd^n. Q-RiJii; % 4^446^£[!prjm^^uiente^^ I</t>
  </si>
  <si>
    <t>Roquet, Juan</t>
  </si>
  <si>
    <t>Juan Roquet</t>
  </si>
  <si>
    <t>Juan Roquet................ Márcos Antonio y Juana Fa- Villafrancaenel xuna................................ ......... Rosellon....... 17. 13, Pedro Co</t>
  </si>
  <si>
    <t>Rosa de Gályez, María</t>
  </si>
  <si>
    <t>María Rosa de Gályez</t>
  </si>
  <si>
    <t>Carretas. , Catalina, ó la Bella Labradora, comedia nueva en tres actos , traducida del francés por Doña María Rosa de Gályez, representada en el coliseo de .la calle 4c la Cruz. Se hallará en 8.° á 3 rs. en la librería de Quiroga , calle de las Carretas: en la misma se venden todas las piezas del Teatro</t>
  </si>
  <si>
    <t>Rosa Galvez, María</t>
  </si>
  <si>
    <t>María Rosa Galvez</t>
  </si>
  <si>
    <t>is, y en su puesto , calle de Alcalá. Un loco hace ciento ; comedia nueva en un acto en prosa , por Doña María Rosa Galvez. rrrEl Califa de Bagdad , ópera cómica ea un acto ; representadas en el coliseo de la calle del Príncipe. Véndense en 8.° á 3 rs. en la librería de Quiroga , calle de las Carretas</t>
  </si>
  <si>
    <t>Rosa, María</t>
  </si>
  <si>
    <t>María Rosa</t>
  </si>
  <si>
    <t>denanza de corso de 11 de Octubre de 17 y5. ' Áii Bélt: tragedia nueva original en cinco actos, por Doña María Rosa dle Galyez.r=;La óp:ra cómica , drama en un acto, traducida por D. Vicente Rodríguez de AreUano , representadas en el coliseo de la calle del Príncipe. Se hallará -en 8.° á 3 rs.</t>
  </si>
  <si>
    <t>Roschstein, Almirante</t>
  </si>
  <si>
    <t>Almirante Roschstein</t>
  </si>
  <si>
    <t>el servicio, recobran sus empleos. Stockolmo 16 de Abril. L a esquadra de Scheeren , mandada por el Almirante Roschstein, ha pasado por Norkoping dirigiéndose á las costas de Schonen. Un regimiento de dragones se ha puesto en marcha para reforzar el exército de Carlkrona. Espéranse pn estos puertos</t>
  </si>
  <si>
    <t>Rosell, Antonio</t>
  </si>
  <si>
    <t>Antonio Rosell</t>
  </si>
  <si>
    <t>s de Algebra hasta equaciones del plantas, por D. Salvador Soliva y D. Joar segundo grado. Su autor D. Antonio Rosell,</t>
  </si>
  <si>
    <t>Rosello, Pablo</t>
  </si>
  <si>
    <t>Pablo Rosello</t>
  </si>
  <si>
    <t>Caumont y D. luán Idaría Narganes, y á los pnmero? Subtenientes D. Manuel O-Daly, D. Pedro Dejouy ,D. Pablo Rosello,D.Miguei 1 uictll,f)on Manuel de Olmedo, D. Joachín Buil, D. Carlos Stonor, D. Felipe Ancora v D. Benito Albini; á primeros Subtenientes a los segundos D. Agustín Poncerot, D. Ber</t>
  </si>
  <si>
    <t>Rosencramz</t>
  </si>
  <si>
    <t>í^níei1tea|pgiíi‘'';i‘'''v‘lIr1EU?-&gt;,K£j ^ ■•=-':* Y: i Dícesd qUe S^ Mv Dioamarquosa ha nombrado á Mr. Rosencramz para sm Enviado en esta có#te v¡en lugUr do Mr; Bourke, que va á servir el mismo empleb;en'l#^e"®áwidU^- ■; yyu;'¿.lat .-c. ¡/a. ;m&gt; -b E Copenhague Sde Setiembre, ■■ir.-* i • -ar</t>
  </si>
  <si>
    <t>Rosenherg, Príncipe</t>
  </si>
  <si>
    <t>Príncipe Rosenherg</t>
  </si>
  <si>
    <t>chtenstein filé nombrado gran cruz: los Generales Vicenta Kollowrath-Liebsteinsky, Vaüx, Szeredai y Príncipe Rosenherg, comendadores ; y el Archiduque Fernando y otros 74 oficiales tuviéron la cruz chic&amp;i Se ha divulgado, estos, días que m corteo de Constantinopla ha traído al Embaxador de Inglate</t>
  </si>
  <si>
    <t>Rosenstein, Almirante</t>
  </si>
  <si>
    <t>Almirante Rosenstein</t>
  </si>
  <si>
    <t>orte. A mediados de Marzo saldrá dé éste puerto¡para el Súnd la esquadrilla de galeras al mando del Almirante Rosenstein. Cogenha^ue^ 2j de Febrero, S e asegura que una Fragata inglesa, que cogió muchas embarcaciones en las aguas de Gothemburgo, ha sido apresada por los suecos. * Ayer salió de aquí</t>
  </si>
  <si>
    <t>s de yelos, se ha dado órden para que las tropas de marina se embarquen el día 8 en la esquadra del Almirante Rosenstein, y haga este General sus esfuerzos para salir al mar. Ha mandado S. M. disponer 6® capotes para los soldados que sirven en las lanchas cañoneras. El exército de Finlandia tiene ór</t>
  </si>
  <si>
    <t>Rósenstein, Almirante</t>
  </si>
  <si>
    <t>Almirante Rósenstein</t>
  </si>
  <si>
    <t>posteriormente al puerto.'Igualmente la esqusdri•lla di óehe.rcn , que zarpó de aquí al mando del* Almirante Rósenstein, ha 'llégalo core.-., de Cariscrona. L fr gata inghsa Squirrel se apoderó de algunas embarcaciones suecas en un puerto de Noruega,"de donde las envió a Inglaterra;-pero el Almi'ra</t>
  </si>
  <si>
    <t>Rossil, Manuel</t>
  </si>
  <si>
    <t>Manuel Rossil</t>
  </si>
  <si>
    <t>nálisis crítico. Reglas y observaciones para .entender las santas Escrituras. Obra'postuma del X)r. D. Manuel Rossil , Canónigo de la Real iglesia de S. Isidro. = Geometría ds los niños. Se venden en las librerías de Bay’o y de Ramos. Número IX del Memorial Literario, ó Biblioteca periódica de c</t>
  </si>
  <si>
    <t>Rostopchiii</t>
  </si>
  <si>
    <t>las guarniciones de las plazas.fronterizas. La respuesta que én hombre de,la corte de Rusia ha dado Mr. Rostopchiii á: este ministerio diceven suma que S. M. I. mandó embargar los buques ingleses al ver la mala fe del gobierno1 británico con el de Rusia, y</t>
  </si>
  <si>
    <t>Rougemont, Ventura</t>
  </si>
  <si>
    <t>Ventura Rougemont</t>
  </si>
  <si>
    <t>n segundo D. Agustin Petitpierre; á Capitán segundo al Teniente de granaderos, graduado de Capitán, D. Ventura Rougemont; á Teniente de granaderos al de fusileros D. Antonio Miesch; á Teniente de fusileros al Subteniente de granaderos D. Francisco César Phíuoger, y á Subteniente de granaderos al de</t>
  </si>
  <si>
    <t>Rourne</t>
  </si>
  <si>
    <t>onas para Jas posesiones holandesas de la costa de Guinea. Van en una embarcación heütral. ; / ? \l Mr. Rourne , Cónsul general "de los Estados-Tlhido^ residente en está? ciudad , ha comunicado al comercio deTAmsterdkin y al público, que úna ekqüadrilla arhericariá léfuza déíáñte de Trípol</t>
  </si>
  <si>
    <t>Rousseau, General</t>
  </si>
  <si>
    <t>General Rousseau</t>
  </si>
  <si>
    <t>mbeau marchó hacia Riva, Torbolc y Morí , para coger por la espalda a las trapas austríacas^ que el General Rousseau manda en la Corona. El General Schiit atacó á Rlvoli; el GeneralBóudet marchó há-~ cia Roveredo para facilitar i aí General Rochambeauel paso del Adige: y reunido de. este modo el</t>
  </si>
  <si>
    <t>Roxas, Antonio</t>
  </si>
  <si>
    <t>Antonio Roxas</t>
  </si>
  <si>
    <t>e S.M. , Inquisidor de Corte, Arcipreste titular de la catedral de Cuenca,y el Canónigo de la misma D. Antonio Roxas. Ai limo. Sr. Arzobispo de Sebasto D. Mateo Delgado y Mo_reno, Abad de S. Ildefonso: sus padrinos el limo. Sr. D. Joseph Eustaquio Moreno, del Consejo y Cámara de Castilla, y el E</t>
  </si>
  <si>
    <t>Roxo Guillen, Joseph</t>
  </si>
  <si>
    <t>Joseph Roxo Guillen</t>
  </si>
  <si>
    <t>el de letras de la ciudad de Guadix á D. Joseph Manuel Picado: para el de la villa de Ponferrada á D. Joseph Roxo Guillen ; y para la Vara de Alcalde mayor de las villas de Adra, B rja y Dalias á D. Vicente Tormo y Pont. También ha venido S. M. en conceder los honores del Consejo de Hacienda á su pri</t>
  </si>
  <si>
    <t>Royo, Vicente</t>
  </si>
  <si>
    <t>Vicente Royo</t>
  </si>
  <si>
    <t>Dr. D. Melchor Borrücl: de 3.0 los Bachilleres en Jurisprudencia civil D. Ramón Garcés de Marciila, D. Vicente Royo y D. Lucas Vázquez: , de 2.0 los Bachilleres en Leyes D. Rafael Bos, D. Christóbal Douden y D. Antonio Séta; y de i.° D. Fabian Lorente, D. Francisco Oteiza, Don’ Benito Sánchez y D.</t>
  </si>
  <si>
    <t>os resultaron en la olase de sobresalientes el Dr. D. Melchor Borrucl, D. Ramón Garcés de Marciila, D. Vicente Royo, D.Lúeas Vazquez, Don , Rafael Bos y D. Fabián Lorente, por el orden que van nombrados, aproximándose á esté D. Francisco Oteiza, y se consideró á los demas en la clase de buenos;</t>
  </si>
  <si>
    <t>en la clase de buenos D. Ramón Salazar, Doft Joachín Royo, D. Antonio' Capilla,\D. Isidoro Capilla, D. Vicente Royo, D. Ildefonso González, D. Francisco Rimont, D, Joseph Latasa Hernández de Larrea y D.: Salyador Sobrevillahabiendo este demostrado prácticamente Jas diferentes maneras de inxerir</t>
  </si>
  <si>
    <t>Rrave</t>
  </si>
  <si>
    <t>r vía de subscripción. Copenhague jo de Noviembre. H a regatado el Rey una espada con puño de oro á Mr. Rrave, Capitán de la fragata la Freya, que defendió contra los ingleses el convoy que llevaba en su conserva. El Príncipe heredero le ha escrito una carta muy honorífica, alabando su co</t>
  </si>
  <si>
    <t>Ru, Manuel</t>
  </si>
  <si>
    <t>Manuel Ru</t>
  </si>
  <si>
    <t>e’la se han hecho en mas de tres siglos-qu^ hace.salió á iuz/rz: Carta histórico médica escrita por D. Manuel Ru**.; bin de'Ceiis ¿obre ia inoculación, de las yiruelas, en la que e„xpHca ei origen de esta práctica, sus.sfeetns, ventajas, y modo de ejecutarla. Se hallarán en lavii—i brería de</t>
  </si>
  <si>
    <t>Ruano Calderón, Francisco</t>
  </si>
  <si>
    <t>Francisco Ruano Calderón</t>
  </si>
  <si>
    <t>ablo Gómez; y á Subtenientes de bandera en los de Ecija, Ciudad Rodrigo, Toro, Laredo y Valladoüd á D. Francisco Ruano Calderón, D. Miguel Ruiz Jurado, D. Juan Fermin Mariano Ramírez y Pizarro, D. Mariano Muñoz y Basanta, D. León de Billota y D. Manuel María de Arzalaya. El Consejo 1 consulta de la Comisió</t>
  </si>
  <si>
    <t>Rubiano, Manuel</t>
  </si>
  <si>
    <t>Manuel Rubiano</t>
  </si>
  <si>
    <t>álaga........... D. Antonio Mariano. En Murcia....... Sres. Moreda y LadalkL En Oviedo............. D. Manuel Rubiano. En Falencia......... IX Nicolao CaJonge. En Palma..............D. Martin Mayol. En Pamplona....... Sres. Viuda de Barbería é hijos. , En Salamanca......Sres. Hurrero y Casaseca.</t>
  </si>
  <si>
    <t>,.,..... D. Antonio Mariano. j En Murcia.,,........ Sres. Moreda y Ladalid. . , En Oviedo..,,.......D. Manuel Rubiano. En Palenda........D. Nicolás Calonge. En Palma............. D. Martin Mayol. En Pamplona.,.,... Sres. Viuda de Barbería é hijos. En Salamanca......Sres. Hurrero y Casaseca. En Sa</t>
  </si>
  <si>
    <t>.........D. Antonio Mariano. En Murcia............. Sres. Moreda y Ladalid. En Oviedo.............. D. Manuel Rubiano. En Falencia.......... D. Nicolás Calonge. En Palma.............. D. Martin Mayo!. En Pamplona........ Sres. viuda de Barbería é hijos# En Salamanca....... Sres. Urrero y Casaseca</t>
  </si>
  <si>
    <t>.........D. Antonio Mariano. En Murcia..............Sres. Moreda y Ladalid. En Oviedo.............. D. Manuel Rubiano. En Falencia...........D. Nicolás Calonge. En Palma.............. D. Martin Mayol. En Pamplona........ Sres. viuda de Barbería 6 hijos# En Salamanca.......Sres. Urrero y Casaseca.</t>
  </si>
  <si>
    <t>Rubie, Antonio</t>
  </si>
  <si>
    <t>Antonio Rubie</t>
  </si>
  <si>
    <t>lé en id.... p. 23» Antonio Rubie........... . Antonio y Mariana Miran......... SaBoleria en Fr</t>
  </si>
  <si>
    <t>Rubín de Celis, Felipe</t>
  </si>
  <si>
    <t>Felipe Rubín de Celis</t>
  </si>
  <si>
    <t>a península.” Roncesvalies 18 de Mayo. E 1 15 del corriente falleció de un insulto el M. Iltre. Sr. D. Felipe Rubín de Celis, Prior de esta Real casa, Gran Abad de Colonsa, y del Consejo de S. M. Sus vastos conocimientos, la discreción de su caridad , la firmeza apostólica que le caracterizaba, y su zel</t>
  </si>
  <si>
    <t>Rubín de Celis, Manuel</t>
  </si>
  <si>
    <t>Manuel Rubín de Celis</t>
  </si>
  <si>
    <t>ortos fondos, que únicamente consisten en 15,000 rs. anu des debidos á la generosidad del limo. Sr. D. Manuel Rubín de Celis,Obispo que fué de esta diócesis, á las contribuciones anuas de los socios, y algunas cantidades que franquea la beneficencia de su dignísimo director el limo. Sr. D. Victoriano Ló</t>
  </si>
  <si>
    <t>Rubio, Juan</t>
  </si>
  <si>
    <t>Juan Rubio</t>
  </si>
  <si>
    <t>l clero secular y regular, Ja ndb bleza y numeroso cohQursó de ^mbos sexos. Los niños, á la. voz de Don Juan Rubio, Visitador dé las escuelas Reales, de su maestro D. Luis Go-mez, y de quantos quisieron preguntarles, cliéron la mas exacta noticia de nuestra santa religión por los catecismos de</t>
  </si>
  <si>
    <t>Rubio, Pedro Lorenzo</t>
  </si>
  <si>
    <t>Pedro Lorenzo Rubio</t>
  </si>
  <si>
    <t>Sánchez Cobo: para otro de S. Martin de Plasencia, vacante por fallecimiento de D. Manuel Román, á D. Pedro Lorenzo Rubio: para otro de la parroquia de S. Andrés de Masma, en el obispado de Mondoñedo, vacante per muerte de D. Pablo Mingo Morales, á D. Vicente García Mancha; y para otro simple servide</t>
  </si>
  <si>
    <t>Rueda, Joseph</t>
  </si>
  <si>
    <t>Joseph Rueda</t>
  </si>
  <si>
    <t>44. 31. Joseph Rueda...... Juan.......... ..... María López........ Puente Castro. León................. 31. 11, Joseph Díaz........ Joseph...... .... Antonia Fernán- Sta. María de '</t>
  </si>
  <si>
    <t>RuíFo y Consalvi</t>
  </si>
  <si>
    <t>uete, á que asistieron todos los individuos del cuerpo diplomático, y los Emos. RuíFo y Consalvi, Secretario de Estado. Bolonia 29 de Abril. H abia causado algún desasosiego la voz divulgada de que varios cuerpos de los exércitos.de Italia y de observación debian reunirse en este departa</t>
  </si>
  <si>
    <t>Ruifo, Cardenal</t>
  </si>
  <si>
    <t>Cardenal Ruifo</t>
  </si>
  <si>
    <t>cia, á hy qual asistieron varios Cardenales y Prelados, el caballero Vargas, Ministro de España, el Cardenal Ruifo, Ministro de Ñipóles, el Encargado,, de negocios de Portugal y el de Genova. Los demás Ministros extrangeros no .se hallaban aquel dia en Roma. ' Génova // de Octubre, H a sido gr</t>
  </si>
  <si>
    <t>Ruis, Jacinto</t>
  </si>
  <si>
    <t>Jacinto Ruis</t>
  </si>
  <si>
    <t>Elizalde y D. Francisco Sánchez de la Peña del de Granada, á D.Policarpo de Frias del de España, á D. Jacinto Ruis del fixo de Ceuta, y á D. Vicente Ferreri del de Ñapóles. En el regimiento provincial de Mallorca ha conferido el. Rey Compañía de fusileros al Teniente de la misma clase y cuerpo D.</t>
  </si>
  <si>
    <t>Ruiz Cubero, Vicente</t>
  </si>
  <si>
    <t>Vicente Ruiz Cubero</t>
  </si>
  <si>
    <t>primer Subteniente D. Juan Sayol: en el de Sevilla á segundo Teniente al Subteniente de granaderos D. Vicente Ruiz Cubero ; á Subteniente de granaderos al primer Subteniente D. Juan de Torres; á primer Subteniente al segundo D. Alfonso Herrero y Diaz, y á segundo Subteniente al Cadete del de Mallorca</t>
  </si>
  <si>
    <t>Ruiz de Apodaca, Sebastián</t>
  </si>
  <si>
    <t>Sebastián Ruiz de Apodaca</t>
  </si>
  <si>
    <t>l Armada D. Joseph María Chacón, Gobernador de ella , y el incendio que dispuso el Xefe de esquadra D. Sebastian Ruiz de Apodaca de los 4 navios y. una fragata que se hallaban en el puerto de Chaguaramas, son dos sucesos en que las armas del Rey no han quedado en el lugar correspondiente por culpa de unos xeíes qu</t>
  </si>
  <si>
    <t>Ruiz de Bustamante, Tomás</t>
  </si>
  <si>
    <t>Tomás Ruiz de Bustamante</t>
  </si>
  <si>
    <t>1144 deon, D. Tomas Ruiz de Bustamante» D. Juan Biraonaf y,D. Marcos García y Pérez: para otra Canongía de la catedral de Cuenca, vacante por promoción de,D.,Gaspar de Hacdo y Espina al ^.reedianato de S. Felipe, á p.</t>
  </si>
  <si>
    <t>Ruiz de Celada, Joseph Gonzalo</t>
  </si>
  <si>
    <t>Joseph Gonzalo Ruiz de Celada</t>
  </si>
  <si>
    <t>ph Regides y Cregenzan, Alcalde dtl Crimen mas antiguo de la misma Audiencia; y para esta resulta á D. Joseph Gonzalo Ruiz de Celada, Alcalde supernumerario del Crimen de la de Extremadura. En América. El Rey se ha servido nombrar para la Ración de la iglesia catedral del nuevo Reyno de León, vacante por renunc</t>
  </si>
  <si>
    <t>Ruiz de Conejares, Joseph</t>
  </si>
  <si>
    <t>Joseph Ruiz de Conejares</t>
  </si>
  <si>
    <t>mpos: para, el Are dim.to al Chantre D. Manuel Antonio de Sindovalpara la Chaotría al Maestrescuela D. Joseph Ruiz de Conejares: para la Maestrescoíía al T.sorcro D. Juan de' Mier y Villar;, y‘para la Tesorería al Canónigo Let toral D. ]u¡n Antonio Bruno. Asimismo se ha servido S. M. nombrar p ra li Canong</t>
  </si>
  <si>
    <t>Ruiz de Monsalve, Benito</t>
  </si>
  <si>
    <t>Benito Ruiz de Monsalve</t>
  </si>
  <si>
    <t>reditando ante todas cosas y en suficiente forma la legitimi dad de sus persoáas. Y í&lt; instancia dé D. Benito Ruiz de Monsalve , Regidor de esta villa , por auto del Se. Marqués de los Líanos, caballero de la orden de Santiago, del Consejo de S. M., Alcalde decano de su Real casa y corte , de 7&gt;de este nú</t>
  </si>
  <si>
    <t>Ruiz de Pifia, Alonso</t>
  </si>
  <si>
    <t>Alonso Ruiz de Pifia</t>
  </si>
  <si>
    <t>Dios y de sí mismo: cbra postuma del Sr. Jacobo Benigno Bossuet , Obispo de Meatix ; traducida por D. Alonso Ruiz de Pifia. Se hallará en casa de Alverá, carrera de S. Gerónimo. . Una de las obras de grabado de mayor aprecio en países extrangeros es la in* titulada Iconología, invención de los profeso</t>
  </si>
  <si>
    <t>Ruiz Jurado, Miguel</t>
  </si>
  <si>
    <t>Miguel Ruiz Jurado</t>
  </si>
  <si>
    <t>de bandera en los de Ecija, Ciudad Rodrigo, Toro, Laredo y Valladoüd á D. Francisco Ruano Calderón, D. Miguel Ruiz Jurado, D. Juan Fermin Mariano Ramírez y Pizarro, D. Mariano Muñoz y Basanta, D. León de Billota y D. Manuel María de Arzalaya. El Consejo 1 consulta de la Comisión gubernativa, y con ap</t>
  </si>
  <si>
    <t>Ruiz Picado, Manuel</t>
  </si>
  <si>
    <t>Manuel Ruiz Picado</t>
  </si>
  <si>
    <t>ón del Peyne á Manuel Moras Ruiz,en Sigüenza á D. Eugenio Sanz Calvo, dei comercio, en Valladolid á D. Manuel Ruiz Picado, ó en Falencia i D. Joseph Tomé de Córdoba. Por providencias del Sr;. D. Juan Antonio Santa María, y escribanía del nú</t>
  </si>
  <si>
    <t>Ruiz' de Apodaos, Sebastián</t>
  </si>
  <si>
    <t>Sebastián Ruiz' de Apodaos</t>
  </si>
  <si>
    <t>do S.&lt;M. declarar que el D. Joseph María ChacQn nó defendió como pudo la isla de la Trinidad, y que^D. Sebastian Ruiz' de Apodaos sel determinó preinátúí^mente¿ db i&amp;óendi# de^sti</t>
  </si>
  <si>
    <t>Ruiz, Antonio</t>
  </si>
  <si>
    <t>Antonio Ruiz</t>
  </si>
  <si>
    <t>........... 97. &lt;5. Antonio Ruiz...... Joseph...,...... María González... S.Clemente... Cuenca............. 130. 23. Angel Frutos....... Antonio........ Josepha Rubio,.... Navas deOro. Cuellar......</t>
  </si>
  <si>
    <t>Ruiz, Juan</t>
  </si>
  <si>
    <t>Juan Ruiz</t>
  </si>
  <si>
    <t>seph Pineda: en el de la Costa de Granada á Alféreces al Sargento distinguido, graduado de Alférez, D. Juan Ruiz y al Cadete Don Pedro Trasierra; y en el de dragones de Pavía á Capitán al agregado en esta clase D. Pedro Medrano. El Rey se ha servido nombrar Cirujano mayor del hospital militar</t>
  </si>
  <si>
    <t>Ruiz, Juan Manuel</t>
  </si>
  <si>
    <t>Juan Manuel Ruiz</t>
  </si>
  <si>
    <t>Gabriel Cárdena y D. Francisco Joseph García, al Soldado distinguido del Real cuerpo de artillería D. Juan Manuel Ruiz, y al Subteniente que fue de los extinguidos batallones de Voluntarios de Guipúzcoa D. Manuel María de Larreátegui: en el de la Princesa á segundo Teniente al Subteniente de grana</t>
  </si>
  <si>
    <t>Ruiz, Lorenzo</t>
  </si>
  <si>
    <t>Lorenzo Ruiz</t>
  </si>
  <si>
    <t>na, á D. Miguel Losfayos: para otra también Patrimonial de dicha catedral, vacante por promoción de D. Lorenzo Ruiz á una entera de Ja propia iglesia, á D. Pedro Xiinenez de Novallas y Pinzolac para un-Benencio Subdiaconil de la catedral de Terrosa, vacante por r promoción,de D. Juan Bautista A</t>
  </si>
  <si>
    <t>Ruiz, Miguel</t>
  </si>
  <si>
    <t>Miguel Ruiz</t>
  </si>
  <si>
    <t>......... !$«;. 23. Miguel Ruiz....... Francisco...... María Redonda... Campo Real. Alcalá.............. 75. ai. Nicolás Perez..... Juan'............. . María Recio........ Trasaedo. Burgos........</t>
  </si>
  <si>
    <t>RulFo, Cardenal</t>
  </si>
  <si>
    <t>Cardenal RulFo</t>
  </si>
  <si>
    <t>ó en casa del General Damas, que habla Convidado á los individuos de plana mayor de su exércitó, al Cardenal RulFo, al referid# ciud. Lagrauge, y á un Ayudante del General Murat. . Al paso que las tropas napolitanas siguen retirándose, sé ha adelantado el exércitó francés de Perusa á Foligno.—</t>
  </si>
  <si>
    <t>Rumano, Manuel</t>
  </si>
  <si>
    <t>Manuel Rumano</t>
  </si>
  <si>
    <t>En Malaga....... D. Antonio Mariano. En Murcia........ Sres. Moreda y Ladaiid. En Oviedo........ . D. Manuel Rumano. En Palenda..........©. Nicolás Calonge. En Palma............ D. Martin Mayol. 1 En Pamplona....... Sres. Viuda de Barbería é hijos. En Salamanca..... Sres. Hurrero y Casaseca. En</t>
  </si>
  <si>
    <t>Ruy Gramática Inglesa y Castellana, Ambrosio</t>
  </si>
  <si>
    <t>Ambrosio Ruy Gramática Inglesa y Castellana</t>
  </si>
  <si>
    <t>el á Historia de Polibio Megalopolitano, tra80 , y cada parte suelta á 9o rs. ducida del griego por D. Ambrosio Ruy Gramática Inglesa y Castellana. Un tomo Bamba. Tres tomos en 4.0 á 50 rs. el juego en 8.° mayor á 13 rs. en papel, y 17 én pasta. en papel, y á 54 en rústica. Su autor el referido P. Fr. Tomas Connelly. La Músi</t>
  </si>
  <si>
    <t>RVmón AÍm-rÍch</t>
  </si>
  <si>
    <t>y D. Agustín López, O. Joseph Madera, D. Joseph Juan Valdcs, D. Joseph. de Eliza, D. Jos. ph Nin y Don RVmón AÍm-rÍch; V á segundos Subtenientes al Sargento primero del de Voluntarios de Casulla D. Gerónimo Julián Anaya , al de ¡a misma cUe de granaderos del de Zamora, graduado de Subteniente, D.</t>
  </si>
  <si>
    <t>Sabinach, Juan</t>
  </si>
  <si>
    <t>Juan Sabinach</t>
  </si>
  <si>
    <t>l...... D, Juan y Doña Catalina de Arnal............... ................. Lesat en id,...,.. ap. 9. D. Juan Sabinach....... D. Leopol y Doña Mariana Dumaníach.......... ................... Castres en Id.... ap. p. Jayme March...... ,...... Pedro y Catalina Tecla............. Conat en el Rosellon</t>
  </si>
  <si>
    <t>Saborido y Lara, Joseph</t>
  </si>
  <si>
    <t>Joseph Saborido y Lara</t>
  </si>
  <si>
    <t>l regimiento de caballería de la .Reyna se ha servido el Rey ¿promover ¿ Alférez al Portaestandarte D. Joseph Saborido y Lara» y 4 esta resulta al CadetoD. Hilario García Victoria; en el del Príncipe á segundo Teniente al Alférez D. Joseph Cerón f á Alféreces á los* Portaestand artes D ¿Baltasar del Corr</t>
  </si>
  <si>
    <t>Sabxl, Bernardo</t>
  </si>
  <si>
    <t>Bernardo Sabxl</t>
  </si>
  <si>
    <t>tado y procurador del común de aquella villa. v ^ Se cesta saber el paradero de Bernardo Sabxl, natural de Saffrbriíck en Alemania, que fue primtr Sargento d© la; séptima couipafiía del segundó batallón del regimícnro de Nápoles, y se ftaliabaeflel afiode*y8© en Cartagena de- Lévadt</t>
  </si>
  <si>
    <t>Sacchí</t>
  </si>
  <si>
    <t>para restituirse á su patria. Se ha introducido en este pais la nueva inoculación de la vaccina. El Dr. Sacchí, médico de esta ciudad, ha'inoculado á mas de 150 personas i otros profesores de medicina siguen su exemplo, y todos con el mejor éxito. El Sr. Sacchi ha tenido la fortuna de desc</t>
  </si>
  <si>
    <t>Sacnz Ruiz, Francisco</t>
  </si>
  <si>
    <t>Francisco Sacnz Ruiz</t>
  </si>
  <si>
    <t>3«9;34* y 321,127 ; y habiéndose extraviado , quien supiere de ellos avisará en esta corte á dicho D. Francisco Sacnz Ruiz. En el presente mes de Junio se han extraviado dos vales Reales desde la ciudad de Burgos á Madrid : un© de 300 pesos, de la crescion de Mayo, numero .431,714, y el otro de 150'pe</t>
  </si>
  <si>
    <t>Sáenz de Santa María, Antonio</t>
  </si>
  <si>
    <t>Antonio Sáenz de Santa María</t>
  </si>
  <si>
    <t>s Españolas se ha servido promover el Rey á Teniente de granaderos al segundo Teniente de fusileros D. Antonio Saenz de Santa María; y en el de Reales Guardias Walon ts á segundo Teniente al caballero Page de S. M. D. Antonio Casaviella. En el de inf&gt;. atería dei Príncipe á Sargento mayor al Capitán de granade</t>
  </si>
  <si>
    <t>Sáenz de Santa María, Juan</t>
  </si>
  <si>
    <t>Juan Sáenz de Santa María</t>
  </si>
  <si>
    <t>Alonso Montalban........ . 769,561. Antonio Calleja.................................... 732,647. r D. Juan Saenz de Santa María....... 732,662* Fr. Joseph Perez Zaviá...................... 401,758. • Isidro García.;........... 3f3»322i i v Pedro Canatias y Sortsr..... ........... 5143602* rrt v D, Francisc</t>
  </si>
  <si>
    <t>Sagaloly, Pedro</t>
  </si>
  <si>
    <t>Pedro Sagaloly</t>
  </si>
  <si>
    <t>en id....... 1. ag. Pedro Sagaloly............. Antonio y N............ .................. Sureda en el Rosellon....... 14.</t>
  </si>
  <si>
    <t>Sagarra, Pedro</t>
  </si>
  <si>
    <t>Pedro Sagarra</t>
  </si>
  <si>
    <t>Subtenientes á los Cadetes de los del Principe, Zaragoza, Toledo, Córdoba y León D. Alonso Suarez, D. Pedro Sagarra , 0. Pedro Refojos Pardmas, 0, Gerónimo Pogio y D. Hermeaegil—' do Ceva]los;,á los Sargentos primeros del de Murcia 0. Francisco Román del Llano,-del de Navarra 0. Tomas Serrano,■</t>
  </si>
  <si>
    <t>Sagarra, Vicente</t>
  </si>
  <si>
    <t>Vicente Sagarra</t>
  </si>
  <si>
    <t>(¿estandarte al Cadete D. Vicente Sagarra: en el citado de Borfeon á Alférez al Portaestandarte D. Andrés Ramos, y á esta resulta al Sargento Don Joseph de Castro : e» el de Farnesio á Ayudante al primer Teniente Don Geró</t>
  </si>
  <si>
    <t>Sagarriga, Agustín</t>
  </si>
  <si>
    <t>Agustín Sagarriga</t>
  </si>
  <si>
    <t>Conde de Ros...»........... D. Juan y Dofia María Bafiolls.. Id...................... ¿0. bu‘ 4 5» D. Agustín Sagarriga.. D. Juan y Dofia Agustina de Ros........................................... Id...................... 50. Ig. D. Antonio de Búas ja. D. Francisco y Dofia Josepha O 1 Mayro........</t>
  </si>
  <si>
    <t>Sagui, Francisco</t>
  </si>
  <si>
    <t>Francisco Sagui</t>
  </si>
  <si>
    <t>lmente en el de dragones de Almansa ha promovido el Rey á Capitán al Ayudante, graduado de Capitán, D. Francisco Sagui: en el de Numancia á Teniente Coronel al Comandante de esquadren , graduado de Coronel, D. Julián de Castro; y en el de Lusitania á Ayudante al Teniente de granaderos, graduado ae</t>
  </si>
  <si>
    <t>Sahuguet, General</t>
  </si>
  <si>
    <t>General Sahuguet</t>
  </si>
  <si>
    <t>gatas de 40, y otros buques menores. La manda el Contra-Almirante Gantheaume , en cuyo navio van el General Sahuguet, comandante de las tropas de desembarco , y el Consejero de Estado Lascaiiier. Ignórase el destino de esta expedición. Un corsario de la Rochela nombrado el Onde- Thomas ha entrad</t>
  </si>
  <si>
    <t>Saint-Hclens, Lord</t>
  </si>
  <si>
    <t>Lord Saint-Hclens</t>
  </si>
  <si>
    <t>687 á visitar á nuestro Almirante en Bornhoim. Con el mismo Nclson tuvo el Lord Saint-Hclens una conferencia al ir de Copenhague á Petersburgo. De aquella capital de Rusia ha vuelto á la esquadra inglesa el Capitán Freemantle, á quien Mr. Hide-Parker habia despachado para</t>
  </si>
  <si>
    <t>Saint-He, Lord</t>
  </si>
  <si>
    <t>Lord Saint-He</t>
  </si>
  <si>
    <t>s, y todas las tropas pedían á voces su imperador. La mayor unión reyna en la familia Imperial., El Lord Saint-He iens no llegó á.Petersburgo sino el 29 de Mayo. ,^lr. de Mar kqw , nombrado A^inistro de Rusia en París , había salido ya de -a.Ílí para su destino,” . El 11 de este mes fué el Sr</t>
  </si>
  <si>
    <t>Saint-Helens, Lord</t>
  </si>
  <si>
    <t>Lord Saint-Helens</t>
  </si>
  <si>
    <t>dirigid el dia 13 a1 Báltico, y la del Lord Ncison se avistó el 12 cerca de la isla de Bornholm. El Lord Saint-Helens, que va á Petersburgo en calidad de Embaxador de S. M. Británica, llegó antes de ayer á este puerto en la fragata Latona: baxó á tierra, y tuvo una conferencia con el Ministro Con</t>
  </si>
  <si>
    <t>e fundir este metal precioso, lo que hasta ahora no se ha descubierto. &lt; Copenhague 20 de Mayo. E 1 Lord Saint-Helens salió de aquí el domingo último para Petersburgó, habiendo antes tenido otra larga conferencia con el Secretario de Estado" Conde de BernstorfF. Antes de entrar en Rusia irá Mr. S</t>
  </si>
  <si>
    <t>o en estacorter ha llegado hoy aquí, aeompa* fiándole,su hermano».¡, -.v: hh j £. M. ha nombrado al Lord Saint-Helens para * su Embaxador y Miáis* tro plenipotenciario en la corte de Petersburgo, en la qual se halla en cali* dad de Éaviadoy negociador. ._■&gt; ¿ 7 - v ú • ; ¿ EÍ día 8mánifqst&lt;5enlaC</t>
  </si>
  <si>
    <t>iciones preliminares exigidas por el gabinete de Petersburgo para entablar las negociaciones con el Lord Saint-Helens. Se ha disuelto el exército, que baxo Jas órdenes del General Wrede se había formado en las costas orientales: los regimientos que lo componían han vuelto á sus antiguos acantonam</t>
  </si>
  <si>
    <t>Saínt-Helens, Lord</t>
  </si>
  <si>
    <t>Lord Saínt-Helens</t>
  </si>
  <si>
    <t>alado en ningún mapa. Eb Lord Carisford está, nombrado Embaxador ingles en Petersburgo en lugar del Lord Saínt-Helens, que se restituye á Inglaterra á causa de hallarse enfermo. Refieren los últimos avisos de Bengala que el navio holandés nombrado1 lá Constancia, al mando del Capitán Pedro Kamp,</t>
  </si>
  <si>
    <t>como positiva la accesión completa de este gobierno al convenio concluido entre el Ministro ingles Lord Saint-Helens y el gabinete de Rusia. Un barco que llego de la isla de Santa Cruz á Londres con cargamento de azúcar se disponía á venderlo quando recibió permiso de no descargarlo; y de ello se in</t>
  </si>
  <si>
    <t>Saint-Helensá</t>
  </si>
  <si>
    <t>ra larga conferencia con el Secretario de Estado" Conde de BernstorfF. Antes de entrar en Rusia irá Mr. Saint-Helensá verse con el Lord Nelson, cuya esquadra permanece á la altura- de Bornholm. Aunque se espera que quanto antes se restablezca la buena inteligencia1 entre Dinamarca é Inglaterra, s</t>
  </si>
  <si>
    <t>Saint-Iletens, Lord</t>
  </si>
  <si>
    <t>Lord Saint-Iletens</t>
  </si>
  <si>
    <t>io. ' E l día 7 despacho este gobierno á París un correo que Uevaelcon venía recien ajustado con el Lord Saint-Iletens, pará que lot entregue al Cpnde de ICalititfshew: r:£ fielde :que* ló comuniqué áh ministeriode Fránefev ¿ ' A ^</t>
  </si>
  <si>
    <t>Sainte-ííuzanne, Teniente General</t>
  </si>
  <si>
    <t>Teniente General Sainte-ííuzanne</t>
  </si>
  <si>
    <t>chas, tropas,francesas que vienen de Suabia siguen marchando por Bapara el exército de Moreau._ El?.Teniente General Sainte-ííuzanne llegó el dia 12 á Munich. j(, : ; f El.qu:rtel generaldel Archiduque Juan se ha trasladado de AÍtoettingen á Burgau ; y vuelve? á défcirse que el Emperador irá al exército así que</t>
  </si>
  <si>
    <t>Sainte-Suzaniie, Teniente General</t>
  </si>
  <si>
    <t>Teniente General Sainte-Suzaniie</t>
  </si>
  <si>
    <t>ue así por esto como por la carestía de víveres, tiene aquel exército orden de volver á Hungría, El Teniente General Sainte-Suzaniie ha sentado su quartel en Bruchtal cerca de Phi!ipsburgo._El General austriaco Chatelier ha ido á Salzburgo para concertarse con el General Motean sobre la evacuación del Jiro1. De</t>
  </si>
  <si>
    <t>Sainte-Suzanne, General</t>
  </si>
  <si>
    <t>General Sainte-Suzanne</t>
  </si>
  <si>
    <t>s tropas y y auxiliárá , según! lo exijan las circuhsta»cias , las ©pé¿;cÍones dd centro, o lasldel General Sainte-Suzanne, que está destinadí? á hacer una incursión en.Bohemia de acuerdo con cH exército. de Augereau. París jo de Diciembre. S e ha publicado la siguiente carta del General en xefe Morea</t>
  </si>
  <si>
    <t>fronteras del obispado dé Salzburgo. Los austríacos se han apostado de modo que cubren! Lintz___El General Sainte-Suzanne, que debía marchar contra Passau , ha tenido contraorden á causa de haberse suspendido por unos dias las hostilidades, y de que las negociaciones entre el General en xefe Múreau y</t>
  </si>
  <si>
    <t>SaíntHelens, Lord</t>
  </si>
  <si>
    <t>Lord SaíntHelens</t>
  </si>
  <si>
    <t>ueca relativa á las embarcaciones mercantes inglesas: y os doy por ello expresivas gracias. Como el Lord SaíntHelens habrá llegado ya á Petersburgo en calidad de Embaxador de mi Soberano cerca de S. M. I., espero que en breve se restablecerá entre los dos Reynos Ja anterior amistad y los enlaces</t>
  </si>
  <si>
    <t>SaintHelensf, Lord</t>
  </si>
  <si>
    <t>Lord SaintHelensf</t>
  </si>
  <si>
    <t>í.np ppr;esto dexa de conocer las obligaciones que le impone é| poder de la nación que manda ; y el Lord SaintHelensf q^jpo^fú^.c^^te^per^n^IT^ian á proposito para, salir bien.de ,todos los e.n(cargp^ dipíomitiqosj qjqé^ie cpqñan, ,est* mpy fdi$tantp do !%• llar e4.Pet;ersburgq(^s Íifp^dion^^oíij</t>
  </si>
  <si>
    <t>Sairitr-Helens, Lord</t>
  </si>
  <si>
    <t>Lord Sairitr-Helens</t>
  </si>
  <si>
    <t>capital.. Fue también presentado al Gran Duque Constantino, con quien tuvo la honra de comer.-__El Lord Sairitr-Helens, Envi. do británico én la misma corte, se presentó Igualmente á toda la familia Imperial; y</t>
  </si>
  <si>
    <t>Salas Rodríguez, Francisco</t>
  </si>
  <si>
    <t>Francisco Salas Rodríguez</t>
  </si>
  <si>
    <t>Francisco de Paula Bucareli á D. Christóhal Ruiz de Salcedo: para la Media-Ración, que este dtxa, á D. Francisco Salas Rodríguez, Cura de S. Telmo: para la Canongía de la colegial del Salvador de dicha dudad de Sevilla, vacante por fallecimiento dé D, Gabriel Tormo, á D. Matías Muriel, Cura de S. Miguel; pa</t>
  </si>
  <si>
    <t>Salas, Antonio</t>
  </si>
  <si>
    <t>Antonio Salas</t>
  </si>
  <si>
    <t>cóvincialés ha conferido el Rey en el de Mallorca lar-Teaencia de£adadores&gt;al:Teniente de.fn»ileroS;D. Antonio Salas, y Te-* íiencia de fusileros á D. Juan Palou ,. Subteniente del propio cuerpo: en el dé Valencia Tenencia de* fusílelos al Subteniente D. Joseph Fos y Carboneü; las Subtenencias d</t>
  </si>
  <si>
    <t>Salavarría, Estéban</t>
  </si>
  <si>
    <t>Estéban Salavarría</t>
  </si>
  <si>
    <t>es: á Tétiíkiíip\aL Subteniente D. Manuel Balcasar;y á Subtenientes á los Cadetes D.¡ Mari^np Miríy D. Estéban Salavarría. ,i j bJ J ^ Asimismo ha nombrado S.'M. Subteniente de: bandera deí batallón deí milicias disciplinadas de las* Quatró Villas; en la i-sla de Cuba, al Gádeto D. Bernardo Sori: y h</t>
  </si>
  <si>
    <t>Salaz-at y Miranda, Joseph</t>
  </si>
  <si>
    <t>Joseph Salaz-at y Miranda</t>
  </si>
  <si>
    <t>Ferrandiz.^ S. M. se ha servido conceder el Gobierno militar y político de la plazfc de Peóíscola á D. Joseph Salaz-at y Miranda, Brigadier de la Real armada1. Por convenir al Real servicio que D. Francisco Xavier Lampa continué en Aragón desempeñando las comisiones que el Rey tiene puestas á su cuidado, ha</t>
  </si>
  <si>
    <t>Salazar de Velasco, Nicolás</t>
  </si>
  <si>
    <t>Nicolás Salazar de Velasco</t>
  </si>
  <si>
    <t>eniente al Subteniente de granaderos D. Manuel Romero de Leis; á esta resulta al primer Subteniente D. Nicolás Salazar de Velasco, y á primer Subteniente al segundo D. Manuel Ayensa. También ha'promovido S. M. en el regimiento de caballería del Príncipe á segundo T eniente al Alférez D. Jaytne Goig; á Alfére</t>
  </si>
  <si>
    <t>Salazar, Diego Joseph</t>
  </si>
  <si>
    <t>Diego Joseph Salazar</t>
  </si>
  <si>
    <t>lea y Carrasco; y para la Fiscalía del Crimen de la Chancillería de Valladolid, que este obtenía, á D. Diego Joseph Salazar. También ha venido S. M. en prorogar por tiempo de seis años en el Corregimiento de la ciudad de Zamora á D. Juan Romualdo Ximenez. En América. S. M. se ha servido nombrar para el</t>
  </si>
  <si>
    <t>Salazar, Ramón</t>
  </si>
  <si>
    <t>Ramón Salazar</t>
  </si>
  <si>
    <t>salientes con ventajai D. Julián Piñera, D. Vicente Ximenez y D. Felipe Aner; en la clase de buenos D. Ramón Salazar, Doft Joachín Royo, D. Antonio' Capilla,\D. Isidoro Capilla, D. Vicente Royo, D. Ildefonso González, D. Francisco Rimont, D, Joseph Latasa Hernández de Larrea y D.: Salyador Sobre</t>
  </si>
  <si>
    <t>Salazar, Salvador</t>
  </si>
  <si>
    <t>Salvador Salazar</t>
  </si>
  <si>
    <t>de granaderos, graduado de Teniente, D. Joseph Sánchez; á Subteniente de granaderos al de fusileros D. Salvador Salazar; á primer Subteniente al segundo D. Saturnino Fernandez, y á segundo Subteniente al Cadete D. Antonio Morgado: en el de Mallorca á primer Teniente al segundo de granaderos D. Juan</t>
  </si>
  <si>
    <t>Salcedo, Joachín María</t>
  </si>
  <si>
    <t>Joachín María Salcedo</t>
  </si>
  <si>
    <t>rimer ¡Subteniente al segundo D. Francisco Mijares, y á;segundo Subteniente ai Cadete del de Africa D. Joachín María Salcedo: eñ el citado de Asturias á,Capitán de granaderos al de fusileros graduado de Teniente Coronel’D. .Urbano Merino; á Capitán al primer Teniente de granaderos Don Ramón Pose ; á pri</t>
  </si>
  <si>
    <t>Salcette, General</t>
  </si>
  <si>
    <t>General Salcette</t>
  </si>
  <si>
    <t>rendjó aquí quando la declaración de guerra, y se JiaLja encerrado en un castillo del mar Negro. El General Salcette, comandante que fue de Corfá, há si4o;ahora transferido del castillo de Jas Siete torres al arrabal de Pera, lo que ha conseguido por i atarvención del Ministro de Rusia. .... Ade</t>
  </si>
  <si>
    <t>franceses que había en Constantinopla y en los castillos del mar Negro, han llegado ya á Ancona el General Salcette, los ciudadanos Bessieres y Charbonell con varios oficiales de artillería é ingenieros. Los inválidos nacionales de Versálies y de San Cir han salido para Lovayna, en donde por or</t>
  </si>
  <si>
    <t>Salech, Francisco</t>
  </si>
  <si>
    <t>Francisco Salech</t>
  </si>
  <si>
    <t>........... gr. 17* Francisco Salech......... Francisco y Mariana Guimesaras........... .............. -.............. Sureda en id..... gr. ■Juan Rabuset............. . Isidro y Cecilia Chíriehi.....;....</t>
  </si>
  <si>
    <t>Salgado, Antonio</t>
  </si>
  <si>
    <t>Antonio Salgado</t>
  </si>
  <si>
    <t>de dragones de Aimansa á Alféreces al Sargento primero de granaderos. D. Ramón Bertrán y al Cadete D. Antonio Salgado. S. M. ha promovido á Ingenieros extraordinarios de sus exércitos, plazas y fronteras á los Ayudantes de Ingeniero D. Joseph Mariano Áloy y D. Juan Jáuregui. En jcumplimiento de l</t>
  </si>
  <si>
    <t>Salinas y Gutiérrez, Joseph</t>
  </si>
  <si>
    <t>Joseph Salinas y Gutiérrez</t>
  </si>
  <si>
    <t>n de España; á primer Subteniente al segundo D. Pedro Arcicolla ; y á segundo Subteniente al Cadete D. Joseph Salinas y Gutiérrez: en el de León á segundo Teniente al Subteniente de granaderos, graduado de Teniente, Don Antonio Lanao; á Subteniente de granaderos al primer Subteniente D. Estéban Mexía; á prim</t>
  </si>
  <si>
    <t>Saliquet, Juan</t>
  </si>
  <si>
    <t>Juan Saliquet</t>
  </si>
  <si>
    <t>antería de Granada. S. M. ha promovido á Ingeniero en segundo desús exércitos, plazas y fronteras á D. Juan Saliquet, Ingeniero ordinario: á este empleo á Don Francisco Mendizabal y D. Pablo Ordovas, Ingenieros extraordinarios; y á este al Ayudante D. Juan María de la Cruz. A coríseqiiencia de h</t>
  </si>
  <si>
    <t>Salís, General</t>
  </si>
  <si>
    <t>General Salís</t>
  </si>
  <si>
    <t>lto que ha ofrecido este gobierno, y otros para ir á servir á Ñapóles en un regimiento suiio que el General Salís esta for</t>
  </si>
  <si>
    <t>Salva, Francisco</t>
  </si>
  <si>
    <t>Francisco Salva</t>
  </si>
  <si>
    <t>morias, escritas en español ó en latín, se dirigirán francas de porte al Dr. D. Francisco Salva, Secretario primero de la academia en Barcelona. , . . Madrid 2 1 de Abril* E 1 Rey se ha seryido nombrar para juna Canongía de la catedral de Tarazona, vacante por múert£ de D.-Fernando Sant</t>
  </si>
  <si>
    <t>e 1797, baxo Ja dirección de la propia academia, se empezase desde luego la enseñanza por los Dres. D. Francisco Salva y D. Vicente Mitjavila. A conseqüencia de esta soberana resolución, en 25 de Junio último se abóéron las matrículas para los alumnos de esta escuela de clínica en poder del primer sec</t>
  </si>
  <si>
    <t>Salvatore Verneda</t>
  </si>
  <si>
    <t>, sacrique veteris textus intelligentiam plana y sólida, de la Trigonometría plana y accommodata á D. Salvatore Verneda et esférica, de la aplicación del Algebra á la GedVilla. Un tomo en 4.0 á 18 rs. en papel, y metria, y del cálculo de las probabilidades, 54 en pasta. con 12 láminas. En papel á 29</t>
  </si>
  <si>
    <t>Salvio Guítar</t>
  </si>
  <si>
    <t>en id...... 71. ir. Salvio Guítar...... Salvador y Ana Gila................ Sureda en id... S'&lt;. a&lt;S. Bernárdo Candone,.;... Fé*ix y María Catalat......... Eira en</t>
  </si>
  <si>
    <t>Sama, Félix María</t>
  </si>
  <si>
    <t>Félix María Sama</t>
  </si>
  <si>
    <t>ipe. Quinta impresión de las Fábulas en verso castellano para uso del Real seminario vascongado por D. Félix María Sama niego, añadida y corregida, en buen papel y letra : 2 tomos en un volumen en B.° Se hallarán en la librería de Quiraga,-calle de las Carretas ; en Sevilla en la de Caro, y en Cádi</t>
  </si>
  <si>
    <t>Samamego, Juan Manuel</t>
  </si>
  <si>
    <t>Juan Manuel Samamego</t>
  </si>
  <si>
    <t>Rev se ha servido nombrar Teniente Coronel del regimiento provincial de Salamanca al de infantería D. Juan Manuel Samamego, Capitán de *E* Rey haLoiicedido honores de Oidor de la Audiencia de México á D.'Rufino Juárez de Ribera, honorario de la de Filipinas, Auditor que es de Guerra y Asesor ordinario</t>
  </si>
  <si>
    <t>Samaniego, Félix María</t>
  </si>
  <si>
    <t>Félix María Samaniego</t>
  </si>
  <si>
    <t>a. Sra. de los Do» lores. = Fábulas en verso castellano para uso del Real seminario vascongado^ por D. Félix María Samaniego,de la Real sociedad vascongada; nueva edición, corregida y puesta la moral de cada fábula de letra bastardilla: un tomo en 8.° de buen papel y letra. Se hallarán en las librerías</t>
  </si>
  <si>
    <t>librerías de está corte. Fábmas en verso castellano para el uso del Real seminario vascongado ; por D. Félix María Samaniego , del número de la Real sociedad vascongada de los amigos del país: sexta edición, muy correcta, y puesta la moral de cada fábula en letra bastardilla : dos tomos en un volumen. S</t>
  </si>
  <si>
    <t>Samper, Antonio</t>
  </si>
  <si>
    <t>Antonio Samper</t>
  </si>
  <si>
    <t>on Adrián María de Castro. En América. Atendiendo el Rey á los distinguidos servicios del Brigadier D. Antonio Samper, Ingeniero en xefe de sus exércitps,,plazas y fronteras, y Ayudante general del Estado mayor, se ha&lt; dignado S. M. conferirle los empleos de Capitin general, Gobernador é Intenden</t>
  </si>
  <si>
    <t>Samper, Francisco</t>
  </si>
  <si>
    <t>Francisco Samper</t>
  </si>
  <si>
    <t>Andrés Quintana; á primer Subteniente al segundo D. Félix Agusti, y á segundo Subteniente al Cadete D. Francisco Samper: en el de Córdoba á Ayudante al primer Teniente D. Andrés Vivas; á esta resulta al segundo Teniente de granaderos D. Francisco D ona ; á segundo Teniente de granaderos al de fusil</t>
  </si>
  <si>
    <t>Samt-Hcicns, Lord</t>
  </si>
  <si>
    <t>Lord Samt-Hcicns</t>
  </si>
  <si>
    <t>acción que se refiere. Aunque se ha concluido en Pet.Tsburgo el convenio de que estaba encargado el Lord Samt-Hcicns, no se publicará hasta que los dos gobiernoslo ratifiquen. El Conde de Woronzow habia escrito á su Soberano el Emperador de Rusia solicitando le permitiese retirarse de los negoci</t>
  </si>
  <si>
    <t>Samté-Súzanne, General</t>
  </si>
  <si>
    <t>General Samté-Súzanne</t>
  </si>
  <si>
    <t>Salzburgó. El General Leclerc ha pasado por Aúgsburgo yendo á París. .La plana mayor del cuerpo dél General Samté-Súzanne ha llegado á Stúttgárd, en donde te aguardaba al General Souhám cuya división tomará qúárteléS dé invierúb én los( contornos de Luisburgo y de Heilbronn. Lás jdivisiónes: del Teni</t>
  </si>
  <si>
    <t>San Juan, Francisco</t>
  </si>
  <si>
    <t>Francisco San Juan</t>
  </si>
  <si>
    <t>rdias Españolas se ha servido promoved el Rey á primeros Tenientes á los segundos Ayudantes mayores D. Francisco San Juan, graduado de Teniente Coronel; y D. Gregorio Quirós; á segundo Ayudante mayor al mismo D. Francisco San Juan, y á Teniente de, granaderos al segundo de fusileros'D. Juan d 6'Dios</t>
  </si>
  <si>
    <t>San Luis</t>
  </si>
  <si>
    <t>champ Esqiure, hijo del Sr. de Roncbamp, que fue caballero de la orden de San Luis, Coronel y gran Prevoste'dé la Marechaussée dé Burdeos 9 vino de los Estados-Unidos americanos al cabo de io años de ausencia á Cádiz eí día I4 del ^mes de Junio último, escribió de allí q</t>
  </si>
  <si>
    <t>San Martín, Ramón</t>
  </si>
  <si>
    <t>Ramón San Martín</t>
  </si>
  <si>
    <t>En la compañía Italiana del Real cuerpo de Guardias dé Corps ha nom-brado S. M. Alférez-.al Exento D. Ramón San Martin: para.el empleo de; Exento de número, que este dexa, al supernumerario D. Juan Cerda; ypor Exento supernumerario al Brigadier de la misma compañía D. Joachím López. . En el regimi</t>
  </si>
  <si>
    <t>San Milian, Joseph</t>
  </si>
  <si>
    <t>Joseph San Milian</t>
  </si>
  <si>
    <t>duado de Teniente Coronel, D. Manuel Artazo: en el citado de Saboya á segundo Subteniente al Cadete D. Joseph San Milian: en d de Aragón a primeros Tenientes á los segundos de granaderos y fusileros Don Jooclnn Diez de Tejada y D. Joseph Serra,este graduado de Capitán; á segundo Teniente de granader</t>
  </si>
  <si>
    <t>San- Juana María Ruchez, Francisco</t>
  </si>
  <si>
    <t>Francisco San- Juana María Ruchez</t>
  </si>
  <si>
    <t>.. ........ si. (5. Francisco San- Juana María Ruchez..... . Alonso........... bio......... ........... Almánsa.........Murcia............ . 124. 30. Jacinto Delgado.. Manuel......... María</t>
  </si>
  <si>
    <t>Sánchez de la Giícirra, Ramón</t>
  </si>
  <si>
    <t>Ramón Sánchez de la Giícirra</t>
  </si>
  <si>
    <t>iente de gra• naderes a! de fusileros D. Ángel de Torosegundó Teniente ai Snbteai-nte de granaderos D. Ramón Sánchez de la Giícirra; á estl result.ral primer Subteniente fe: Toseph Albeldará primer Subteniente al segsndp.Dbn Toseuh Armendarizy á segundo Subteniente ai Cadete D.. Jbsépb‘María l&gt;ma : en el de Ja</t>
  </si>
  <si>
    <t>Sánchez de la Guerra, Ramón</t>
  </si>
  <si>
    <t>Ramón Sánchez de la Guerra</t>
  </si>
  <si>
    <t>iente al Subteniente de granaderos D. Fernando Alcocer; á Subteniente de granaderos al de fusileros D. Ramón Sánchez de la Guerra; á primer Subteniente al.segundo D. Manuel Virizucla, y á esta resulta al Cadete D. Fernando Antonio Muñoz; en el de Navarra á Comandante del tercer batallón al Sargento mayor del</t>
  </si>
  <si>
    <t>Sánchez Diosdado y Carrasco, Alonso</t>
  </si>
  <si>
    <t>Alonso Sánchez Diosdado y Carrasco</t>
  </si>
  <si>
    <t>Subteniente de cazadores ; esta resulta á D. Francisco Arias de Mercado, y Subtenencia de bandera á D. Alonso Sánchez Diosdado y Carrasco: en el de Ecija Tenencias de fusileros á los Subtenientes D. Joseph María Sánchez, D. Manuel Alaría Sánchez y D. Joseph María de Córdoba; la Subtenencia de cazadores á D. Manuel V</t>
  </si>
  <si>
    <t>Sánchez Granados, Tomás</t>
  </si>
  <si>
    <t>Tomás Sánchez Granados</t>
  </si>
  <si>
    <t>febrífugo galicano publicado en la gazeta de 10 de Noviembre de este año. de venta en fa botica de D. Tomas Sánchez Granados , vecino de Lucena , no es mas que un extracto febrífugo , cuya composición ha aprobado la Junta superior gubernativa de ]a*facultad de Farmacia para que se pueda vender á $ rs. c</t>
  </si>
  <si>
    <t>Sánchez Nieto, Francisco</t>
  </si>
  <si>
    <t>Francisco Sánchez Nieto</t>
  </si>
  <si>
    <t>Lezama (á quien S. M. había nombrado para ella) antes de habérsele expedido la Real presentación, á D. Francisco Sánchez Nieto, Medio-Racionero de la misma; y para el Beneficio de la parroquial de Escacena , en el arzobispado,de Sevilla, vacante por muerte de D. Francisco-Antonlo Menendez, á D. Francisco</t>
  </si>
  <si>
    <t>Sánchez Notario, Antonio</t>
  </si>
  <si>
    <t>Antonio Sánchez Notario</t>
  </si>
  <si>
    <t>los Gallegos, en la diócesis de Ciudad-Rodrigo, vacante por fallecimiento de D. Antonio de Errea, á D. Antonio Sánchez Notario. f). Alexandro de Coupigní y D. Agustín de Zurita y Adorno, este graduado de Teniente Coronel; y á segundos Tenientes á los Alféreces Don Manuel María Móntalbo y D. Liberato María</t>
  </si>
  <si>
    <t>Sánchez Valverde, Luis</t>
  </si>
  <si>
    <t>Luis Sánchez Valverde</t>
  </si>
  <si>
    <t>n gravamen de la casa, ha consignado extraordinariamente la gratificación ó premios de á 25 pesos á D. Luis Sánchez Valverde y D. Rodrigo Plaza, que tuviéron el accessit; todo con el objeto de estimular mas y mas á todos para que continúen con eficaz aplicación las penosas tareas de un estudio tan important</t>
  </si>
  <si>
    <t>Sánchez Vigo, Pedro</t>
  </si>
  <si>
    <t>Pedro Sánchez Vigo</t>
  </si>
  <si>
    <t>n, obligándose al reintegro de estos y sus réditos; y que la persona que así lo determinase acuda á D. Pedro Sánchez Vigo, Secretario del referido limo. Cabildo. La persona ó personas que quieran prestar á interes, y baxo las seguridades convenientes, al venerable Dean y Cabildo de la santa iglesia d</t>
  </si>
  <si>
    <t>Sánchez Villalobos, Agustín</t>
  </si>
  <si>
    <t>Agustín Sánchez Villalobos</t>
  </si>
  <si>
    <t>nombrar para una Canongía de la catedral de Zamora, vacante por fallecimiento de D. Pedro Perez, á D. Agustín Sánchez Villalobos: para una Ración de la catedral de Sigiienza, vacante pof muerte de D. Juan Sotillo Hurtado, á D. Juan Casado, Cura Párroco Rector del hospicio de Salamanca: para una Media-Ración</t>
  </si>
  <si>
    <t>Sánchez y Béllmont, Henrique</t>
  </si>
  <si>
    <t>Henrique Sánchez y Béllmont</t>
  </si>
  <si>
    <t>nombrar para el Arcedianato de Ledesma, Dignidad de la catedral de Salamanca, vacante por muerte de D. Henrique Sánchez y Béllmont, á D.'Manuel Delgado Valle: para la Media-Ración que también Óbteñia en la misma catedral á D. Francisco Xavier Francos: para el Arcedianato de Galisteo, Dignidad de la catedral d</t>
  </si>
  <si>
    <t>Sánchez, Antonio</t>
  </si>
  <si>
    <t>Antonio Sánchez</t>
  </si>
  <si>
    <t>ento de infantería del Rey se ha servido promover S. M. ¿ segundos Subtenientes al Sargento primero D. Antonio Sánchez y i los Cadetes D. Hermenegildo Mancebo y D. Andrés Romero: en el de suizos de Schwaller á Subtenientes á los Cadetes D. Andrés Bonencij, D. Jayme Franzonij y D. Antonio Riva; y en</t>
  </si>
  <si>
    <t>Sánchez, Benito</t>
  </si>
  <si>
    <t>Benito Sánchez</t>
  </si>
  <si>
    <t>o también 4ós -.preliminares de la ciencia político-económica, e indicando sus ciencias auxiliares: D. Benito Sánchez sobre las artes secundarias; y D. Francisco Ber-gez sobre comercio y moneda-----Hecha la graduación del mérito de los , alumnos resultaron en la olase de sobresalientes el Dr. D.</t>
  </si>
  <si>
    <t>de primer año; y en la clase de buenos D. Rafael Bos Campesino, de tercer año, D. Francisco Oteiza, D, Benito Sánchez, D. Francisco Berges y D. Alfonso González de Araguz, de segundo año—_ Se celebraron también los dias 25 y 26 de Mayo los exámenes públicos de la cátedra de química, que dirige su</t>
  </si>
  <si>
    <t>Sánchez, Bernardo</t>
  </si>
  <si>
    <t>Bernardo Sánchez</t>
  </si>
  <si>
    <t>Cortijo, á Don TqsephCitiaeoyde Hijes: para otra, Vacante por fallecimiento de D. Estépan Mipgo,,i D. Bernardo Sánchez: para otra, vacante por muerte de D. Antonio Morales, á D. Juan Francisco Angel: para otra, vacante por fallecimiento de D. Manuel Medina, á D. Bruno Francisco López y Pascual : p</t>
  </si>
  <si>
    <t>Sánchez, Dionisio</t>
  </si>
  <si>
    <t>Dionisio Sánchez</t>
  </si>
  <si>
    <t>Nueva estampa en .medio pliego de marca ,. que representa la valerosa Jucha que Dionisio Sánchez, vecino de Viilacelama, tuvo con un formidsMe osó el &lt;Üa 6 de Setiembre de este sfío en la presa del rio Curuefio, á leguas de la ciudad de León. Véndele en las librerías de Escribano, ca</t>
  </si>
  <si>
    <t>Sánchez, Ignacio</t>
  </si>
  <si>
    <t>Ignacio Sánchez</t>
  </si>
  <si>
    <t>ovincial de Avila; y la Capellanía del primer batallón do mtantena ligera de Cataluña al presbítero D. Ignacio Sánchez \ aqucrizo. . ■ Asimismo se ha dignado el Rey promover en el regimiento de infantería de la Reyna á primeros Subtenientes a los segundos D. Joseph y Don Sebastian Pujol y Garcint,</t>
  </si>
  <si>
    <t>Sánchez, Joachín</t>
  </si>
  <si>
    <t>Joachín Sánchez</t>
  </si>
  <si>
    <t>por un Sacerdote, el qual dará razón á dichos hsre-r deros de cierta cantidad que les corresponde. D. Joachin Sánchez , inventor del específico y método curativo de las almorranas y de todos los afectos hemorroidales , con aprobación de S. M. á consulta del tribunal, del Proto-Medicato , ha visto</t>
  </si>
  <si>
    <t>rmedades, ha tenido la bondad de poner á su cuidado, y hoy sirven en perfecto estado de salud. Oirá D. Joachin Sánchez á los que le consulten en Madrid, y responderá á los de las provincias que le escriban sobre los mismos achaques , franqueándole las cartas. El alma en soledad en un dia de retiro</t>
  </si>
  <si>
    <t>Sánchez, Joseph</t>
  </si>
  <si>
    <t>Joseph Sánchez</t>
  </si>
  <si>
    <t>fusileros D. Manuel de la Torre; á esta resulta al Subteniente de granaderos, graduado de Teniente, D. Joseph Sánchez; á Subteniente de granaderos al de fusileros D. Salvador Salazar; á primer Subteniente al segundo D. Saturnino Fernandez, y á segundo Subteniente al Cadete D. Antonio Morgado: en</t>
  </si>
  <si>
    <t>Sánchez, Joseph María</t>
  </si>
  <si>
    <t>Joseph María Sánchez</t>
  </si>
  <si>
    <t>a á D. Alonso Sánchez Diosdado y Carrasco: en el de Ecija Tenencias de fusileros á los Subtenientes D. Joseph María Sánchez, D. Manuel Alaría Sánchez y D. Joseph María de Córdoba; la Subtenencia de cazadores á D. Manuel Vázquez, y Subtenencia de bandera á D, Alvaro Cataño: en el de León Subtenencias de</t>
  </si>
  <si>
    <t>Sánchez, Juan</t>
  </si>
  <si>
    <t>Juan Sánchez</t>
  </si>
  <si>
    <t>ez que los niños diesen un testimonio; publico de su aprovechamiento: de acuerdo con el catedrático D. Juan Sánchez, presbítero , señaló dia para un cértámen público, en el qual fuéron examinados D. Joseph Jaldon, D. Joseph Zornóza, D¿ Nicolás, D. Juan y D. Andrés Duran, D. Joseph Gutiérrez, Do</t>
  </si>
  <si>
    <t>Sánchez, Nicolás</t>
  </si>
  <si>
    <t>Nicolás Sánchez</t>
  </si>
  <si>
    <t>arcon; Subtenencia de granaderos á D. Andrés Canales; Subtenencias de fusileros al Sargento primero D. Nicolás Sánchez, D. Alexandro Vega, D. Rafael Lobaton y Don Isidro Pugi, y Subtenencias de bandera á D. Agustín Moseoso y D. Juan Altainirano. &lt; Al tiempo que. ha dado cuenta el Capitán general d</t>
  </si>
  <si>
    <t>Sancho Dávila</t>
  </si>
  <si>
    <t>Saavedra , y D. Joseph Patino : 4.0 D. Anto­ _ Veinte y ocho estampas de retratos y vinio Agustín , D. Sancho Dávila , D. Juan de ñetas. según se publicaron en la Historia de Austria, D. Alvaro de Bazan ,’Antonio de la vida de Ciceron , en 50 rs. líebrija, y Pedro Menendez Aviles: 5.0 Don Veinte</t>
  </si>
  <si>
    <t>Sañez Re, Antonio</t>
  </si>
  <si>
    <t>Antonio Sañez Re</t>
  </si>
  <si>
    <t>ario histórico de los Artes de la representan los principales sucesos de esta nqpesca nacional, por D. Antonio Sañez Re* vela, á Tí .rs. el juego. , guart. Cinco tomos 4.0 mayor, en pasta 450 Compendio de la Historia de España , esrs. con muchas estampas. crito en francés por elR. P. Duchesne : tra</t>
  </si>
  <si>
    <t>Sañez Regu, Antonio</t>
  </si>
  <si>
    <t>Antonio Sañez Regu</t>
  </si>
  <si>
    <t>iles para la conducta de la vida: compuesto en francés por Mr.de Callieres; y lo publica traducido; Don Antonio Sañez Regu rt , socio de mérito de la Real sociedad económica de Madrid. Ven ¿ese ta h librería de Alverá, carrera de S. Gerónimo. A1 macen de principiantes para el estudio de las lenguas es</t>
  </si>
  <si>
    <t>Santa Ma, Juan Antonio</t>
  </si>
  <si>
    <t>Juan Antonio Santa Ma</t>
  </si>
  <si>
    <t>anunció en las referidas gazetas, por haberse así resuelto por superiores órdenes: y de la del Sr. D. Juan Antonio Santa Ma ría , Teniente primero de Corregidor de esta villa, á quien está cometido privativamente el conocimiento de la subasta de dichas fincas, se ha señalado para el remate de las 5 pri</t>
  </si>
  <si>
    <t>Santa Mafia, Juan Antonio</t>
  </si>
  <si>
    <t>Juan Antonio Santa Mafia</t>
  </si>
  <si>
    <t>o y medio de agua potable, tasado todo en 458,8x1 rs. 8 mrs., acuda ante el*Sr. Teniente Corregidor D. Juan Antonio Santa Mafia y escribanía dé D. Santiago-Estepa? es el tér•minode 30 días ^ contados desde 13 de este mes. ó . ; ...... . ó Los poseedores de ios mayorazgos dé Vüláfuerte y Zapata , Sande y Mesa,</t>
  </si>
  <si>
    <t>rtificacióli de su cumplimiento sin costa alguna. .Por la audiencia del Sr. I). Juan Antonio Santa Mafia, Teniente Corregidorde ésta villa* ^éséjriBanl^'derl^'Tbm^-dé;Sán6Íía f "Pfido y sé eStásubastaudo elairéndamientd'-de las fénfcaay1 éfiecfor déÍ''ésfá^d';dé-:Ofj^é1y: Atav-OlállaV pafa|; d</t>
  </si>
  <si>
    <t>Santa MáHa, Juan Antonio</t>
  </si>
  <si>
    <t>Juan Antonio Santa MáHa</t>
  </si>
  <si>
    <t>triotismo, y á losjpresentes un justo motivo*para* sentir- su muerte* l'HVPoV la iudtencia del' Stv Dr Juan Antonio Santa MáHa '¿YestíriBátiíá-dei nfii mero de O. Antoni©FernandeV;se han sácadoé súbksta^ casas sítás-én esta cdnte , la una en la calle de Sant&amp; Catalina; la viéja^fiiím. 14, mana. 347 , que</t>
  </si>
  <si>
    <t>Santa Mam, Juan Antonio</t>
  </si>
  <si>
    <t>Juan Antonio Santa Mam</t>
  </si>
  <si>
    <t>tccimientos piadosos. Véndese 4 « quanos en el despacho de I. imprenta heal Por providencia del Sr. D. Juan Antonio Santa Mam, primer Tenimte Cor. reeidor de esta villa, y escribanía del numero de X&gt;. Vicenta de la Costa , se ha8mandado sacar i pública subasta dos casas, una sita en .a cabe aeHortt.ee»,</t>
  </si>
  <si>
    <t>Santa María'sé, Juan Antonio</t>
  </si>
  <si>
    <t>Juan Antonio Santa María'sé</t>
  </si>
  <si>
    <t>ribanía del número de D. Antonio L04 ye® dé Sal arar. -; - ■ En virtud de providencia de! mismo Sr, D. Juan Antonio Santa María'sé es^¿ tan. Subastando varias fincas, y señalado para su remate los dias siguientes: jpar* hoy 44 el de dos casas, una en la calle de S. Simón, núm. $, madz. $8; tás** da en 49,084 rs</t>
  </si>
  <si>
    <t>Santa María, Juan Antonio</t>
  </si>
  <si>
    <t>Juan Antonio Santa María</t>
  </si>
  <si>
    <t>la 74^ en vales r está señalado ei día 4 de este mes I las ira de sú mañana ea la audiencia del Sr. D. Juan Antonio Santa María ante D. Antonio Fernandez, Escribano del número. Quien quisiere hacer postura á una ca$ay sita íbera de la puerta de Fuencarraf; que llaman el tej ir de Hueso , perteneciente á la</t>
  </si>
  <si>
    <t>á las-memorias fundadas por el Sr._ Marques de Selva- Real , acuda á la audiencia que exerce el Sr. D. Juan Antonio Santa María, Teniente'Corregidor, de esta villa, y escribanía del número de I). Juan López Fando.,.las quales con expresión de su cabida, sitios y tasa son las siguientes. Una viña sita junto</t>
  </si>
  <si>
    <t>n el término del lugar de Majadahonda, de esta jurisdicción, acuda á Ja audiencia que exerce él Sr. D, Juan Antonio Santa María,Teniente Corregidor de esta villa y escribanía del número de D. Juan López Fando, los quales con expresión de su cabida, sitios y tasa son Jo5 siguientes. Cofradía de la Animas: u</t>
  </si>
  <si>
    <t>ueva al referido Ballester, ó en Barcelona á su hijo D. Antonio Ballester. Por la audiencia del Sr. D. Juan Antonio Santa María, y escribanía del número de D. Gervasio Fernandez Izquierdo, se están subastando dos tierras sitas en el término de Cienpozuelos y sitio que llaman ide la Vega , de caber itffaneg</t>
  </si>
  <si>
    <t>an 874a rs. ía mrs. Quien quisiere hacer postura á ellas acuda en el término de 30 dias ante el Sr. D. Juan Antonio Santa María por la escribanía de D. Vicente de la Costa. Diccionario histórico de los mas ilustres profesores de las bellas artes en España , compuesto por D. Juan Agustín Cean Bermudez, y pu</t>
  </si>
  <si>
    <t>alguna persona quisiere hacer míjora á lo menos én y laquarta parte de su remate acuda ante el Sr. D. Juan Antonio Santa María, Teñíénté Corregidor de esta villa, y escribanía del número de D. Gervasio Fer— • nandez Izquierdo, en el término de 30 dias.. ¿ í ■ r l &gt; -v.. El -Lie. D. ManueJ i Angel Carrancl</t>
  </si>
  <si>
    <t>que cumplirán en 13 del próximo mes de Mayo. Quien quisiere hacerla, acudirá ante, el referido.Sr. D. Juan Antonio Santa María, por la escribanía del mírnero de ,D. Antonio Fernandez , donde se admitirá. Para el remate de dos casas sitas en esta corte, la una en la calle de Embaxa— dores, mím. 31 y 3a de</t>
  </si>
  <si>
    <t>15, snanz. 40, tasada en 52,883 rs., y dan por ella la misma cantidad, acuda á la audiencia del Sr. D. Juan Antonio Santa María, del Consejo de S. M., Teniente Corregidor de esta villa, y escribanía del número de D. Juan López Fando, donde se admitirán las que hicieren siendo arregladas, estando señalado p</t>
  </si>
  <si>
    <t>ho postura alguna, se ha señalado el jueves 7 de Mayo á las 19 de su mañana en la audiencia del Sr. D. Juan Antonio Santa María, del Consejo de S. M. 9 primer Teniente Corregidor de esta villa, por ante I&gt;. Vicente de Ja Costa , Escfibáno del núoierp de ella. ge baila vacante el partido de Médico de la vil</t>
  </si>
  <si>
    <t>s Reales, el día i8_de este mes á las. xa de su mafiána en la audiencia del Sr. Teniente Corregidor D. Juan Antonio Santa María'. Quien quisiere hacer mejora, acuda á Ja misma audiencia y escribanía del número de IX Juan López Fando. , Por la audiencia del Sr. D. Juan Antonio Santa María, Teniente Corregido</t>
  </si>
  <si>
    <t>uyo valor se rebaxarán las cargas que sobre sí tuvieren las citadas casas. Por la audiencia del Sr. D. Juan Antonio Santa María, Teniente Corregidor de esta villa, y escribanía del número de X&gt;. Gervasio Fernandez Izquierdo, se están subastando 3 casas, la una en la calle del Mediodía grande, núm. 13, manz</t>
  </si>
  <si>
    <t>on que “generalmente* se procede ¿n Usta materia. El 14 de Abril se remató por la audiencia del Sr. D. Juan Antonio Santa María, del Consejo de S. M., Teniente Corregidor de esta villa, y escribanía del número de D. Juan Lope* Fando, una casa sita en la calle de, S. Mércos, mim. 17, manz. 304, tasada en 33</t>
  </si>
  <si>
    <t>as anticipaciones , se dirigirán personalmente ó por escrito á su Secretario capitular. Ante el Sr. D. Juan Antonio Santa María , Teniente Corregidor de esta villa , y escribanía de D. Santiago Estepar, se están subastando imas casas en la cada de la Madalena con vuelta á la de las Urosas , propias de las</t>
  </si>
  <si>
    <t>alguna persona quisiere hacer mejora, á lo menos en la quarta parte de su remate, acuda ante el Sr. D. Juan Antonio Santa María , y escribanía del número de D. Gervasio Fernandez Izquierdo, en el término da 30 días contados desde 3 del corriente, con arreglo á lo mandado por el Sr. Intendente de esta provi</t>
  </si>
  <si>
    <t>en el referido término ¿ la escribanía del número de D. Juan López Fando. Por la audiencia del Sr. D. Juan Antonio Santa María, Teniente Corregidor ele esta villa, y escribanía del número de D. Gervasio Fernandez Izquierdo, se está subastando una casa en la calle del Pez , núm. 2, manz. 448 , que contiene</t>
  </si>
  <si>
    <t>tasada en 9690 rs. 16 mrs. , y dan por ella iéd- rs. en vales Reales, acuda i la audiencia del Sr. D. Juan Antonio Santa María , Teniente Corregidor de esta villa, y escribanía del número de D. Juan López Fando, donde se admitirá la que hiciesen siendo arreglada , estando señalado para el remate de una y</t>
  </si>
  <si>
    <t>responde, se ha señalado el mártes 30 del corriente á las ia de la mañana en la audiencia del Señor D. Juan Antonio Santa María por ante D. Antonio Fernandez, Escribano del número. . Por edicto de 16 de este mes se cita y emplaza al poseedor de la encomienda de Mirabel, y á los herederos de los que lo haya</t>
  </si>
  <si>
    <t>o este término, se aprueba el citado remate. Quien quisiere hacer puji acuda á la audiencia del Sr. D. Juan Antonio Santa María, Teniente Corregidor de esta villa, y escribanía del número de Don Juan López Fando, donde se admitirá la que hicieren siendo arreglada. En virtud de auto proveído en 9 de Junio d</t>
  </si>
  <si>
    <t>e S. M., y Alcalde en su Real casa y corte , y escribanía de provincia de Dón Juan Bazateguú El Sr* D. Juan Antonio Santa María, Teniente Corregidor de esta villa, ha señalado para la celebración de varios remates los dias siguientes. Para los de dos casas,la una en la calle de la Palma,barrios de S.Pedro,</t>
  </si>
  <si>
    <t>á las xa de su mañana: cuyos remates se han de celebrar á las puertas de la audiencia del mismo Sr. D. Juan Antonio Santa María por ante D. Antonio Fernandez, Escribano del número. Por providencia del mismo Sr. Teniente primero de Corregidor de Madrid, ante D. Casimiro Antonio Gómez, de su número, se manda</t>
  </si>
  <si>
    <t>Santa Maria, Juan Antonio</t>
  </si>
  <si>
    <t>Juan Antonio Santa Maria</t>
  </si>
  <si>
    <t>ope* FandoyaudieiCia ¡del Si. D. Juan An-? ionio Santa María. ;,V ¿ En virnH de providencia del Sr. D. Juan Antonio Santa Maria , Teniente' Corregidor de esta villa , y por la escribanía d^ oiímtro de eÜa del cargo dé Don Antonio Fernán dea, se ha mandado sacar i 5u£&gt;SSÍ».. una casaren la■ caí le ,de. Ja-^</t>
  </si>
  <si>
    <t>tonio Diaz Noriega , que se admitirán las que hicieren siendo arregladas. Por la audiencia de.l Sr. D. Juan Antonio Santa María, y escribanía del número de D. Gervasio Fernandez Izquierdo, se ha mandado sacar á pública subasta un oficio de Procurador de los Reales Consejos perteneciente á la memoria fundad</t>
  </si>
  <si>
    <t>moneda. Quien quisiere hacer mejora á do menos jen da quarta parte de su remate, acuda ante el Sr. D. Juan Antonio Santa María , y escribanía del número de D. Ger</t>
  </si>
  <si>
    <t>dolid á D. Manuel Ruiz Picado, ó en Falencia i D. Joseph Tomé de Córdoba. Por providencias del Sr;. D. Juan Antonio Santa María, y escribanía del nú</t>
  </si>
  <si>
    <t>de las referidas fincas acudirá á la. ¡escribanía de D. Antonio Fernandez. Por la audiencia del Sr. D. Juan Antonio Santa María, Teniente Corregidor de esta villa, y escribanía del número de D. Gervasio Fernandez Izquierdo, se está subastando un oficio de Procurador de los Reales Consejos, tasado en ¿89 rs</t>
  </si>
  <si>
    <t>Santa María, Jüan Antonio</t>
  </si>
  <si>
    <t>Jüan Antonio Santa María</t>
  </si>
  <si>
    <t>io de Segovia,’ y no de Sigüenzá , corno se dixo equivocadamente. 4* í; 7i Por la audiencia del Sr. D. Jüan Antonio Santa María7 Teniente Corregidor de esta Vi! la , y poV la ésoribaníá*-del número de D. Gervasio Fernández^ Izquierdo', sé está subastando úna casa, sita en esta corte én la calle de Mira el</t>
  </si>
  <si>
    <t>, tasada en 81,954 rs. 17 mrs. Quien quisiere interesase en su compra acuda á la audiei cia del Sr. D. Juan Antonio Santa María , Teniente Corregidor de esta villa , por la escribanía del número de Don Tomas de Sancha , en el término de 30 dias. Por la audiencia del mismo Sr. D. Juan Antonio Santa María, y</t>
  </si>
  <si>
    <t>s., y dan por ella la misma cantidad, se ha señalado el 22 del presente mes en la audiencia del Sr. D. Juan Antonio Santa María , por la escribanía de D. Eustasio Saenz de Arellano, á las 12 de su mañana. En la Real aduana de la ciudad de Pontevedra ;se halla detenido un sobornal ó zurrón de grana, registr</t>
  </si>
  <si>
    <t>$$6 Por la audiencia del mismo Sr. D. Juan Antonio Santa María , y por la escribanía del número de D. Gervasio Fernandez Izquierdo, se está subastando una casa sita en el portal de Santa Cruz, núm. 3 , manz. 197 , tasada eri 104,939 rs. , á l</t>
  </si>
  <si>
    <t>hacer dicha mejora acuda ante dicho Sr. Juez y citada escribanía. En virtud de providencia del Sr. D. Juan Antonio Santa María ».Teniente Corregidor de esta villa , se han mandado subastar las fincas siguientes Mina-caía en la calle de las Platerías, núms. 7 y 8 , manz. 415, tasada ;en. 331,078' Otra en l</t>
  </si>
  <si>
    <t>y y en el Real sitio de S. Ildefonso en casa de D. Joseph ,Masárhaü. ' ' . ÍPor el juzgado d«! Sr. D. Juan Antonio Santa María , y escribanía del mime- " ró de D. Juan de Répide , se están subastando tres tierras en término de los lugares de Ambroz y Coscada : una en Valdevivar, con n fanegas y 6 ceiemine</t>
  </si>
  <si>
    <t>éctáb ló del corriente ; con arregí oá 1 ornan dad opor él Sr.' InrentíeMéde ésta próvjncíáy El'Sr. D. Juan Antonio Santa María ^Teniente Corregidor de esta villa , ba señalado el dia 48 de este mes de doce á una de la mañana £ las puertas dé sd audiencia para el remate de un oficio de Regidor perpetuo de</t>
  </si>
  <si>
    <t>o Sr. Teniente, á las 12 de sus mañanas, y escribanía dei número de D. Juan López Fando. Por el Sr. D. Juan Antonio Santa María, del Consejo de S. M., primer Tedíente Corregidor de esta villa , y escribanía del número de D. Vicente de la Costa , se han mandado publicar por término de 30 dias , como pertene</t>
  </si>
  <si>
    <t>ales reales. Quien quiera hacer mejora á lo menos en la quarta parte de su remate acuda ante el Sr. D. Juan Antonio Santa María, por la audiencia vacante y escribanía del número de I&gt;. Gervasio Fernandez Izquierdo, en el término de 30 dias contados desde ai de Setiembre, con arreglo á lo mandado por el Sr.</t>
  </si>
  <si>
    <t>icho Sr. Muñoz, calle de S, Mateó, núm 3, ó al expresado Sr. Armengol en Palma de! Mallorca. El Sr. D. Juan Antonio Santa María, del Consejo de S. M., primer Teniente Corregí íor de esta villa, por la escribaria drl número de D. Vicente de la’ Costa , ha sefi.*.lado él sábado 10 del corriente, en la audien</t>
  </si>
  <si>
    <t>do para su remate el 14 dé éste mes ú las 12 de su m^ficna , en las puertas de la audiencia del Sr. D. Juan Antonio Santa María , Teui^nte Corregidor de esta villa. Los remates celebrados en los dias 117 23 de Setiembre de tres casas: uní -en la calle del Escurial, niíins. .1* y 13, manz. 460, en la cantid</t>
  </si>
  <si>
    <t>tonio Díaz Ncriega. Quien quisiere hacer mejora acuda á dicha «scribat ía. Por la audiencia deí Sr. D. Juan Antonio Santa María, Teniente Corregido# de esta villa , y escribanía del número de Dt. Gervasio Fernandez Izquierdo &gt; se están subastando tres casas: la primera sita en la calle del Niño y vuelve á</t>
  </si>
  <si>
    <t>ho Sr. Alcalde, y escribanía de provincia de D. Juan Antonio Díaz Norieg*. Por la audiencia del Sr. D. Juan Antonio Santa María , Teniente Corregidor de esta villa, y escribanía del número de D. Gervasio Fernandez Izquierdo , se e?tá subastando una c?sa sita en la calle de las Beatas, mím. 14, manz. 498, q</t>
  </si>
  <si>
    <t>celemines, tasadas en 5400 rs , se ha seña’ado el miérco es 4 de Noviembre en' ía audiencia del Sr. D. Juan Antonio Santa María, primer Teniente .Corregidor de esta villa , á las ra de su rnsfí-ii a. Quien quisiese hacer postura á elía&gt; acuda á la escribanía del número de D. Vi-ente de la Cssta. Por la aud</t>
  </si>
  <si>
    <t>, portal de Paños; ó en Valencia á D. Domingo de Larena, de aquel comercio. Por providencia del Sr. D. Juan Antonio Santa María, del Consejo de S. M., jprimtr Teniente Corregidor de esta villa, dada ante D. Vicente de ia Cesta, Esciib3no del número de ella, se ha mandado sacar á pública subasta, como perte</t>
  </si>
  <si>
    <t>finca, acuda ante el mencionado.Sr. Alcalde y'citad'á escribanía. En virtud de providencia det Sr. D. Juan Antonio Santa María, Teniente Corregidor de esta villa, como Subdelegado de la Real Junta general de comerá ció, moneda y minas 5 por la escribanía de número de D. Antonio López de Salazar, Escribano</t>
  </si>
  <si>
    <t>y heredero de Doña Luisa de Avila , pa-, (ra. que en el termine de 15 dias comparezcan ante el Sr, D. Juan Antonio Santa María,, del Consejo de S. M. , Teniente Corregidor de esta villa , y escribanía del cargo de D. Antonio Fernandez, á justificar su acción , y percibir el capital que se halla .depositad</t>
  </si>
  <si>
    <t>, en el término de 30 días. A conseqüencia de tas Reales órdenes y en virtud de providencia del Sr. Don Juan Antonio Santa María se están subastando por término de 30 dias las fincas siguientes: una casa sita en la calle de Francos, mím. 22, matiz. aa8, tasada en 41,787 rs. Otra en la plazuela de Antón Msrt</t>
  </si>
  <si>
    <t>1146 del propio Sr. D. Juan Antonio Santa María , ante D. Vicente de la Costa, Escribano dei número de esta villa. Asimismo se ha señalado el propio día , an:e el mismo Sr. Juez y Escribano, el remate de otra casa sita en la ca</t>
  </si>
  <si>
    <t>o. entregará en la casa de-comercio de Toledano,: caite de la Montera. - í, Por providencia del Sr. D. Juan Antonio Santa María, dsí Consejo-de S. M.\ Teniente Corregidor de esta villa, de 31 de Octubre ultimo, se ha mand do citar, llamar y emplazar á los acreedores d la testamentaria 'del Sr. D. RafrteííJ</t>
  </si>
  <si>
    <t>. Hipotito de Quanda, su apoderado en Madrid, calle de la Ahnudena, núm. 3, quarto baxo. Por el Sr. D. Juan Antonio Santa María, caballero de la Real distinguida orden española de Cárlos 111, del Consejo de S. M., Teniente Corregidor de esta villa de Madrid &amp;c. se cita, Dama y emplaza á las parientas huérf</t>
  </si>
  <si>
    <t>er mejora acuda ante dicho Sr. A calde por la citada escribanía.. En virtud de providencia del Sr.. D. Juan Antonio Santa María, del Corsejo de S. M , primer Teniente Corregidor de esta villa , da la- ante D.. Vicente de I*. Costa, Escribano del número de ella., se han mandado publicar segunda vtz, por tér</t>
  </si>
  <si>
    <t>.. - . , • 1*47 En virtud de providencia del- Sr. D. Juan Antonio Santa María ,! Teniente Corregidor de esta villa, y por la escribanía del número de D. Antonio Fernandez, se están subastando 3 casas sitas una en la calle del Rosario , barrios de San Franci</t>
  </si>
  <si>
    <t>quarta parte, conforme á lo mandado por el Sr. Intendente de esta provincia. Por el juzgado del Sr. D. Juan Antonio Santa María, del Consejo de S. M., primer Teniente Corregidor de esta villa , se están subastando dos casas sitas en los barrios del Barquillo,la una en la ctlle de Jesús y María,núm. 8 ,manz</t>
  </si>
  <si>
    <t>ad de 93,271 rs. , se ha. señalado el día 2 de Enero á las ia de su maña: a en la audiencia del Sr. D. Juan Antonio Santa María, y por ante el £s"ribano del número D. Antonio Fernandez; previniéndose haberse hecho postura á ellas en las dos terceras partes de dicha retasa á vales Reales. Compendio cronológ</t>
  </si>
  <si>
    <t>Santa Marina, Joseph Gabriel</t>
  </si>
  <si>
    <t>Joseph Gabriel Santa Marina</t>
  </si>
  <si>
    <t>os regimientos de Alcázar de S. Juan, Pontevedra, Badajoz, Toro y Lugo á D. Isidro Alvarez de Lara, D. Joseph Gabriel Santa Marina, 1). Manuel Muñoz y-Cevallos, D. Miguel Santiilana, D. Victoriano Sau.ca y D. Marcos Romero. En consideración á la actividad y buen desempeño que ha acreditado D. Estéban de Artol</t>
  </si>
  <si>
    <t>Santa Msría, Juan Antonio</t>
  </si>
  <si>
    <t>Juan Antonio Santa Msría</t>
  </si>
  <si>
    <t>se íes devolverá con certificación de su cu ;;ólirtiirntó sih * Óstá alguna. Por el juzgado del Sr. D. Juan Antonio Santa Msría, Teniente Corregidor dte esta villa , y escribanía de número que regenta D* Juan de Répide, se están su** bastando varias tierras consistentes eíi este térmifio., á saber; Uná lin</t>
  </si>
  <si>
    <t>Santa Muna, Juan Antonio</t>
  </si>
  <si>
    <t>Juan Antonio Santa Muna</t>
  </si>
  <si>
    <t>álte de la yedra ,«m«. 4, manz. t7, usada en Jcúda en ¡í término de 30, «Mas, áía audiencia del Sr. D. Juan Antonio Santa Muna ? del qonsejode S. M;•*ITentenfe-Corregioor. ,de &lt;M vida., y «scnhan» del qSsUraha^^*”^0Uac«a sitaen esta corte en la caite de toom BÚtm to, manz. aa8, tasada en pv&gt;3( * 1" “ veod</t>
  </si>
  <si>
    <t>Santa, Antonio</t>
  </si>
  <si>
    <t>Antonio Santa</t>
  </si>
  <si>
    <t>n el de Santiago a primer Teniente al segundo D. Lorenzo Contreras, y á segundo Teniente al Alférez D. Antonio Santa; y en el de dragones de Alnunsa á Capitán al Teniente de granaderos, graduado de Capitán, D. Juan Dávadie, y á Ayudante al Teniente D. Joseph Yeste, concediéndole al mismo tiempo</t>
  </si>
  <si>
    <t>Santiago Miguel</t>
  </si>
  <si>
    <t>apitán de granaderos al de fusileros D. Ignacio Maraber; á Capitán al primer Teniente de granaderos D. Santiago Miguel; á primeros Tenientes de granaderos á los de fusileros D. Jacobo Casal, D. Juan de Torres y D. Ramón de Santiago; á primeros Tenientes a los segundos de granaderos D. Gerónimo de</t>
  </si>
  <si>
    <t>Santiago-Estepa</t>
  </si>
  <si>
    <t>8,8x1 rs. 8 mrs., acuda ante el*Sr. Teniente Corregidor D. Juan Antonio Santa Mafia y escribanía dé D. Santiago-Estepa? es el tér•minode 30 días ^ contados desde 13 de este mes. ó . ; ...... . ó Los poseedores de ios mayorazgos dé Vüláfuerte y Zapata , Sande y Mesa, en téfniiúo de 30 días , perent</t>
  </si>
  <si>
    <t>Santiilana, Miguel</t>
  </si>
  <si>
    <t>Miguel Santiilana</t>
  </si>
  <si>
    <t>ro y Lugo á D. Isidro Alvarez de Lara, D. Joseph Gabriel Santa Marina, 1). Manuel Muñoz y-Cevallos, D. Miguel Santiilana, D. Victoriano Sau.ca y D. Marcos Romero. En consideración á la actividad y buen desempeño que ha acreditado D. Estéban de Artola, Capitán del regimiento provincial de Castellón d</t>
  </si>
  <si>
    <t>Santinely, Luis</t>
  </si>
  <si>
    <t>Luis Santinely</t>
  </si>
  <si>
    <t>nombrado Ayudante primero del batallón de milicias disciplinadas de blancos de Caracas al Cap.itan D. Luis Santinely. - El Mercurio histórico y político de Julio se hallará en,el despacho de la imprenta Real y y en el Real sitio de S. Ildefonso en casa de D. Joseph ,Masárhaü. ' ' . ÍPor el juzga</t>
  </si>
  <si>
    <t>Santos Domínguez, Martín</t>
  </si>
  <si>
    <t>Martín Santos Domínguez</t>
  </si>
  <si>
    <t>res, se ha dignado coñférirlé la plaza que resultó vacante en la de Guadalaxara por l'a^bilacion de D. Martin Santos Domínguez; y ha nombrado igualmente para la plazaPdé Archivero del archivo general de Indias, en Sevilla, que se halla vacante ppr tnuerte de D. Pedro Reales y Colarte, á D. Álfcjres María</t>
  </si>
  <si>
    <t>Santos García</t>
  </si>
  <si>
    <t>erpos acudirán á la calie de los Reyes, casa núm. 5, quarto baxo , ó dirigirán sus cartas francas á D. Santos García, que vive en la expresada casa , quien remitirá por el ordinario la porción de pares que se le pidan ; en inteligencia de que ha de ser de cuenta de los cuerpos poner el importe e</t>
  </si>
  <si>
    <t>Santos Infante</t>
  </si>
  <si>
    <t>........... 4a. xa. Santos Infante..... Luis.............. CatalinaPelaez.... Berteruelo.... Valladolid...... 314. • Sargento.- Joseph Antonia Maga— Ramírez........</t>
  </si>
  <si>
    <t>Santos, Alonso</t>
  </si>
  <si>
    <t>Alonso Santos</t>
  </si>
  <si>
    <t>granaderos al de fusileros £). Miguel Murilio; á Teniente de fusileros al Subteniente de granaderos D. Alonso Santos, y á su resulta á D. Joachín de Ayala, Subteniente de fusileros: en el de Granada á Capítan de fusileros al Teniente de la misma clase D. Joseph Francisco Coronado ; á Tenientes d</t>
  </si>
  <si>
    <t>Santos, Joseph</t>
  </si>
  <si>
    <t>Joseph Santos</t>
  </si>
  <si>
    <t>de fusileros D. Juan Antonio Prado y.D: Tomas Valenzuela; á Capitanes de fusileros á los Tenientes Don Joseph Santos, D. Santiago de la Calle y D. Felipe Acosta, y á los paisanos D. Mauricio Villafuerte, D. Vicente Ladrón de Guevara, D. Isidro Delso y D.* Mariano Calatayud; al empleo de Ayudante</t>
  </si>
  <si>
    <t>Sanz, Joseph</t>
  </si>
  <si>
    <t>Joseph Sanz</t>
  </si>
  <si>
    <t>pesos por el premio de segunda clase, y 10 pesos á D. Xavier Estrada por el de tercera: 40 pesos á D. Joseph Sanz por el premio de la primara clase de arquitectura: 20 pesos á D. Ambrosio Lanzaco por el de segunda ciase: 15 pesos á D. Joseph Esteban: 12 pesos á D. Maauel Barta; y 10 pesos á D</t>
  </si>
  <si>
    <t>Sanz, Luis</t>
  </si>
  <si>
    <t>Luis Sanz</t>
  </si>
  <si>
    <t>nombrar para un Beneficio de la parroquial de la villa de Alcalá de Chivert, obispado de Tortosa, á D. Luis Sanz: para el’ Priorato de Ruesra, oficio regular del Real monasterio de S. Juan de la Peña, á D. Fr. Mateo Imguez; y para el oficio regular de Enfermero del Reai monasterio de Bañólas</t>
  </si>
  <si>
    <t>Sanz, Matías</t>
  </si>
  <si>
    <t>Matías Sanz</t>
  </si>
  <si>
    <t>al Sargento D. León de León: en el del Infante á Capitán al primer Teniente D. Matías Sanz; á esta resulta al segundo Teniente D. Antonio Sarmiento; á segundo Teniente ai Alférez D. Joachín Pcrez; á Alférez al Portaestandarte D. Joseph Blanco , y á Portaestandarte al Ca</t>
  </si>
  <si>
    <t>Sanz, Ramón</t>
  </si>
  <si>
    <t>Ramón Sanz</t>
  </si>
  <si>
    <t>.. ....... Ó63. 21. Ramón Sanz,....... Miguel Orosia Sanz......... La Res........... Jaca................. 7a6. 2. Mariano Flexo.... Juan......... Josepha Lahoz..... Edcb</t>
  </si>
  <si>
    <t>Saqueti, Cayetano</t>
  </si>
  <si>
    <t>Cayetano Saqueti</t>
  </si>
  <si>
    <t>servido el Rey promover á Teniente Coronel ai Capitán D. Joséph González : á- Capital* al Teniente D. Cayetano Saqueti; y á Tenientes* á1 losSubtenientes D^ Alonso* Diez de Ríber¿, Di Pedro Veftegás y Di -Miguei Villalobos; * ' ¡ ' ' El 29 de Noviembre de i8t&gt;6 falleció en la’ ciudad de Sigiienafa</t>
  </si>
  <si>
    <t>Sarmiento de Gamboa, Pedro (capitán)</t>
  </si>
  <si>
    <t>Capitán Pedro Sarmiento de Gamboa</t>
  </si>
  <si>
    <t>asta el .ti, á 8 rs. Irada uno~en rústica. Se Viage al estrecho.dé- Magallanes por. el. continua. • Capitán Pedro Sarmiento de Gamboa eij los Elementos físico - chimicos de la análisis años de 1579 y- 1580. Un tómo én 4." En general délas aguas : por D. Ignacio Antopapel á 14 rs., y á 19 en pasta. nio de Soto y Ar</t>
  </si>
  <si>
    <t>Sarmiento, Antonio</t>
  </si>
  <si>
    <t>Antonio Sarmiento</t>
  </si>
  <si>
    <t>: en el del Infante á Capitán al primer Teniente D. Matías Sanz; á esta resulta al segundo Teniente D. Antonio Sarmiento; á segundo Teniente ai Alférez D. Joachín Pcrez; á Alférez al Portaestandarte D. Joseph Blanco , y á Portaestandarte al Cadete D. Ramón Antonio López v en el de la Costa de Granad</t>
  </si>
  <si>
    <t>Sarmiento, Nicolás</t>
  </si>
  <si>
    <t>Nicolás Sarmiento</t>
  </si>
  <si>
    <t>a de cazadores á D. Pedro Teodoro Bríngss , Subteniente de fusileros, y Subtenencia de esta clase á D. Nicolás Sarmiento: Subtenencias de fusileros en los de Logroño y Toledo á Don Ramón García de Araoz y D. Pedro Lorenzo Toribio; y Subtenencias de bandera en los de Badajoz, Santiago, Betánzos y Cas</t>
  </si>
  <si>
    <t>Sarracín, General</t>
  </si>
  <si>
    <t>General Sarracín</t>
  </si>
  <si>
    <t>de Enero. ^ : E I dia y entró aquí la primer coluna de las tropas del General Murat, mandada por el General Sarracín. Siguen retirándose los austríacos. El dia 2 llegó á Pesaro uno de sus cuerpos, que descansó algunas horas, y siguió su marcha á la Romana. En Roma se sintió el 11 del mes último</t>
  </si>
  <si>
    <t>Sarri, Juan</t>
  </si>
  <si>
    <t>Juan Sarri</t>
  </si>
  <si>
    <t>teniente al Cadete D. Antonio Morgado: en el de Mallorca á primer Teniente al segundo de granaderos D. Juan Sarri; á segundo Teniente de granaderos al de fusileros D. Bernabé Chauri ; á segundo Teniente al Subteniente de granaderos D. Fernando Alcocer; á Subteniente de granaderos al de fusile</t>
  </si>
  <si>
    <t>Sastre, Agustín</t>
  </si>
  <si>
    <t>Agustín Sastre</t>
  </si>
  <si>
    <t>el Príncipe á Alférez al Portaestandarte D. Francisco de Céspedes; y á Portaestandartes al Sargento D. Agustín Sastre , y al Cadete del de caballería de la Costa de Granada D. Antonio 4-lvarez: en el de Borbon á Alférez al Portaestandarte D. Francisco de Paula Márquez: en el de Santiago á segundo</t>
  </si>
  <si>
    <t>Saturnino Fernández</t>
  </si>
  <si>
    <t>z; á Subteniente de granaderos al de fusileros D. Salvador Salazar; á primer Subteniente al segundo D. Saturnino Fernandez, y á segundo Subteniente al Cadete D. Antonio Morgado: en el de Mallorca á primer Teniente al segundo de granaderos D. Juan Sarri; á segundo Teniente de granaderos al de fusileros</t>
  </si>
  <si>
    <t>Saturnino Viles</t>
  </si>
  <si>
    <t>fian........... 41. Saturnino Viles......... Saturnino y Teresa Barraceda... PesíUa en el Rosellon.......... 9. aj. Juan Fabresa............ Joseph y María Fabresa.............. Id. en id.......... P- *3.</t>
  </si>
  <si>
    <t>Sau, Simón</t>
  </si>
  <si>
    <t>Simón Sau</t>
  </si>
  <si>
    <t>á esta resulta al primer Teniente D. Bartolomé Gelevert; á primer Teniente al segundo de granaderos D. Simón Sau</t>
  </si>
  <si>
    <t>Sau, Victoriano</t>
  </si>
  <si>
    <t>Victoriano Sau</t>
  </si>
  <si>
    <t>Alvarez de Lara, D. Joseph Gabriel Santa Marina, 1). Manuel Muñoz y-Cevallos, D. Miguel Santiilana, D. Victoriano Sau.ca y D. Marcos Romero. En consideración á la actividad y buen desempeño que ha acreditado D. Estéban de Artola, Capitán del regimiento provincial de Castellón de la Plana, en su c</t>
  </si>
  <si>
    <t>Sauer</t>
  </si>
  <si>
    <t>ando la punta ó extremo septentrional del primero de dichos continentes. El autor de la relación es Mr. Sauer, que hizo el mismo viage como secretario particular de Mr. Billings, y actualmente se halla en Londres para cuidar de la impresión de esta obra. Mr. Arrow-Smith está encargado de</t>
  </si>
  <si>
    <t>Saumarez</t>
  </si>
  <si>
    <t>has fuerzas, las quales van á relevar las que hay en Gibraltar y en eL Estrecho bald ías ordenes de Mr. Saumarez. - Se sostienen las voces de que quanto antes se despachará una esquadra al Brasil, á fin de defender, 6 mas bien ocupar aquella colonia antes que ll&amp;gucn á ella los enemigos. : U</t>
  </si>
  <si>
    <t>Saumarez, Almirante</t>
  </si>
  <si>
    <t>Almirante Saumarez</t>
  </si>
  <si>
    <t>favor de los desertores de marina que se presenten y vuelvan á servir de aquí á fin de Agosto. , El Almirante Saumarez, que manda en Gibraltar, despachó desde allí un bergantín al Almirante Warren pidiéndole refuerzos. Entre Coiné y el rio Morningtrée , en las costas de Essex, se está formando un</t>
  </si>
  <si>
    <t>Saumerez, General</t>
  </si>
  <si>
    <t>General Saumerez</t>
  </si>
  <si>
    <t>el auxilio de nuestras lanchas cañoneras, y baterías el ataque de la esquadra inglesa del mando del General Saumerez. ,, . \ •f Lasleyes ilustradas por las ciencias físicas , ó tratado de medicina, legal-y dé higiene .publica, escrito en francés por ;el ciudadano Francisco Manuel F.oderé, Médico</t>
  </si>
  <si>
    <t>Saunier, Capitán</t>
  </si>
  <si>
    <t>Capitán Saunier</t>
  </si>
  <si>
    <t>, y nuestra fragata tenia ya bastante pérdidi déige^tte^y eon$idteraí»les daños. Viendo-otrarvez el Capitán Saunier que era posible él abordage (con 'el qual hubiera conseguido la victoria) mandó fepetftlO; pero liosí enemigos Jo evitaron también , y con mas facilidad que!áíítes sLeausa del des</t>
  </si>
  <si>
    <t>tados, y el buque no obedecía casi al timón por tener destrozada una parte esencial del aparejo. El Capitán Saunier recibió varias heridas graves, y murió pocos momentos después. Recayó el mando en el Capitán de fragata Magendis, quien tuvo también muchas heridas, y hubo que llevarlo al puesto</t>
  </si>
  <si>
    <t>Saura, Domingo</t>
  </si>
  <si>
    <t>Domingo Saura</t>
  </si>
  <si>
    <t>IO el de Santiago á primer Teniente al segundo D. Francisco Ximenez; á Alférez al Portaestandarte D. Domingo Saura , y á esta resulta al Cadete Don Joseph de la Llama; en el de Montesa á Sargento mayor al Capitán D. Joseph Dhz ; y en el de la costa de Granada á primer Teniente al segundo gradu</t>
  </si>
  <si>
    <t>Saxá, Capitán</t>
  </si>
  <si>
    <t>Capitán Saxá</t>
  </si>
  <si>
    <t>aun noticia de las tropas inglesas que han • de llegar por el mar Roxo á Suez. Según unos avisos el Capitán Saxá se ha hecho á la vela para las costas de Damieta; pero según otros permanece todavía en Macri, así como el Gran Visir está en Gazza, en donde diariamente le llegan refuerzos. Pete</t>
  </si>
  <si>
    <t>Sayol, Juan</t>
  </si>
  <si>
    <t>Juan Sayol</t>
  </si>
  <si>
    <t>D. Joseph Urreay DortJ Pedro Mari ti y D. Pedro Pi riz , y;* pr ¡meros Subtenientes á losVsegundos D. Juan Sayol, D. Manuel de Ócbéa^Di Juan-Villegas, y á D. Joáchín1 Becerra , Soldado distinguido que fué del de Extremadura. En atención á los dilatados particulares méritos de D. Bartolmé de</t>
  </si>
  <si>
    <t>gundo Teniente al Subteniente de granaderos D. Joseph Urrea; y á esta resulta al primer Subteniente D. Juan Sayol: en el de Sevilla á segundo Teniente al Subteniente de granaderos D. Vicente Ruiz Cubero ; á Subteniente de granaderos al primer Subteniente D. Juan de Torres; á primer Subtenient</t>
  </si>
  <si>
    <t>Schhden, General</t>
  </si>
  <si>
    <t>General Schhden</t>
  </si>
  <si>
    <t>eneral Blucher ocupará las orillas del Ems, apostándose principalmente h ci;i su embocadura: el del General Schhden ocupará el We-sser, y la parte meridional del Electorado de Hannover, en Cuya p irte occidental estarán algunas tropas de las que manda el General Kleist; y otras de estas cerrará</t>
  </si>
  <si>
    <t>Schiit, General</t>
  </si>
  <si>
    <t>General Schiit</t>
  </si>
  <si>
    <t>, para coger por la espalda a las trapas austríacas^ que el General Rousseau manda en la Corona. El General Schiit atacó á Rlvoli; el GeneralBóudet marchó há-~ cia Roveredo para facilitar i aí General Rochambeauel paso del Adige: y reunido de. este modo el cuerpo dé Moncey* machará: á Ttéuto,</t>
  </si>
  <si>
    <t>Schimídediá, General</t>
  </si>
  <si>
    <t>General Schimídediá</t>
  </si>
  <si>
    <t>y Morí,' lo qual obligó al General austriairo ^á, abandonar los célebres puestos de la Carona; y el General Schimídediá ocifpado'la famosa altura dé Rivoíf Despacho á Roveredo al GeaeraP Báudét para sostener la naarcKU del'- Gene-' ral-'• Rbcbambéau.^: ' ■ * " En el Cuerpo legislativo se han aproba</t>
  </si>
  <si>
    <t>Schladen, General</t>
  </si>
  <si>
    <t>General Schladen</t>
  </si>
  <si>
    <t>tros muchos regimientos pasan de Silesia, la antigua Marca, y la Saxonia-Inferior al Alto-Wcscr. Ef General Schladen queda con el cuerpo de su mando en el Obispado de Munster, y el Mayor general Blucher sigue formando con el suyo el cordon por las orillas del Rhin y en la frontera del Ducado de</t>
  </si>
  <si>
    <t>ó delante de esta ciudad t le cerraron las puertas , y solo se permitió que entrase el Ayudante del General Schladen*. lo conduxéron á la casa de Ayuntamiento, y allí se convocó el vecindario. Eloñcial entregó una intimación de su General para que dexasen entrar un batallón, que no tardaría en l</t>
  </si>
  <si>
    <t>Schmer, General</t>
  </si>
  <si>
    <t>General Schmer</t>
  </si>
  <si>
    <t>00 heridos. El General de brigada Ducheyron, comandante de un regimiento de húsares, fue muerto; el General Schmer tuvo dos heridas , y el Ayúdente general Maiagiu un. brazo roto. Los ene-.</t>
  </si>
  <si>
    <t>Schroetcr</t>
  </si>
  <si>
    <t>úpiterr?a^dida-la gran distancia que hay de unorá otro. Mr..de. Zach.es autor-de ,este* proyecto; y Mr. Schroetcr, de Liíieuthal, es el presidente de dicha junta, la qual ha repartido, todo el zodíaco entre 24 socios corresponsales, á ñn de que cada juno en Li par te .que Je^orresponde, pueda</t>
  </si>
  <si>
    <t>Schullemburgo, Conde</t>
  </si>
  <si>
    <t>Conde Schullemburgo</t>
  </si>
  <si>
    <t>mes en las inmediaciones de esta capital. Hasta ahorá se ignora su .destino. El Ministro de Estado Conde Schullemburgo ha ido á Hannover para recibir el juramento de obediencia y fidelidad á este Soberano por todo el tiempo que sus tropas ocupen aquel país. Las de Hannover entregarán sus armas, y</t>
  </si>
  <si>
    <t>SchWáller, Joseph</t>
  </si>
  <si>
    <t>Joseph SchWáller</t>
  </si>
  <si>
    <t>de Aíe¡o y. P. Santiaga Escudero; y en d de Suizos de Sehwailér á Sargento mayor al Capitán primero D. Joseph SchWáller. También se ha servid© S. M. nombrar segundo Teniente en el de 'Caballería de la Costa de Granada al Alférez D. Pedro Valbuena. ^ El Rey: se ha servido nombrar paral una plaza de</t>
  </si>
  <si>
    <t>Sczusteck</t>
  </si>
  <si>
    <t>aro, y rechazó á los enemigos, que intentaban recobrar dicho pueblo. Al propio tiempo mandó también Mr. Sczusteck que dos compañías del regimiento de Lattermann atravesasen el Po en Eigarolo y ocupasen á Stellata y S. Biaggio: lo qual se execuió; y ademas hizo echar un puente volante entre es</t>
  </si>
  <si>
    <t>Seara, Joseph</t>
  </si>
  <si>
    <t>Joseph Seara</t>
  </si>
  <si>
    <t>.......... 123. i'\ Joseph Seara....... Francisco Jacinta Boaüao... Par de Sobras. Santiago....... 25. 24, Ramón Antelo..... Leandro.. Josepha Gerge..... S.</t>
  </si>
  <si>
    <t>Seb-sri</t>
  </si>
  <si>
    <t>taestandarte al Cadete D. Vicente López S'in Román: en el del Infante á Portaestandarte al Sargento D. Seb-sri -n de Torres: en el de Borbon á Alférez al Portaestandarte Don Isidro de Rueda y Amaya, y á Portaestandarte al Cadete D. Joachin de Mera y Peivyra: en el de Santiago á segundo Ten</t>
  </si>
  <si>
    <t>Sech, Juan Bautista</t>
  </si>
  <si>
    <t>Juan Bautista Sech</t>
  </si>
  <si>
    <t>Voluntarios de la Corona á Subteniente al segundo Subteniente del batallón de Voluntarios de Gerona D. Juan Bautista Sech. Al Brigadier D. Pedro Antonio Espejo, Sargento mayor de la Real Brigada de Carabineros, ha conferido S. M. la segunda Comandancia de dicho cuerpo. También ^e ha servido promover</t>
  </si>
  <si>
    <t>Seco, Joseph</t>
  </si>
  <si>
    <t>Joseph Seco</t>
  </si>
  <si>
    <t>terra....... 93* 3* Joseph Seco........ Francisco..... . Ántonia.de'Rarro. Vilacire.........Villalba............ 93. 3. • Bernardo • Corti- S.</t>
  </si>
  <si>
    <t>Secretario de Estado, Cardenal</t>
  </si>
  <si>
    <t>Cardenal Secretario de Estado</t>
  </si>
  <si>
    <t>^ ■ .*45 ferencias que el dffibtál^'^á'ülaihlíjqt^rlo' fí^cieis ^Sáflós His ha teñido con el Cardenal Secretario de Estado, hay señales de qué se harán algunas riiudanzas en varios puntos. JE1 Papa ha resuelto no pagar lúas á las tropas napolitanas, *las quaies, si permaneciesen en territorio eclesiás</t>
  </si>
  <si>
    <t>ales de plan* mayor. Se apeó en el alojamiento que le habian dispuesto por urden del gobierno, y el Cardenal Secretario de Estado fué .inmediatamente á cumplimentarle, iPoeq después., paso el General Murat con el.Géneral Berthier á visitar ál Sto* Padre: y. habiendorluego recibido por¡un extraordinario la no</t>
  </si>
  <si>
    <t>es v freíales franceses llegaron aquí el 28 del mes último, é inmediatamente pasaron á verse con el Cardenal Secretario de Estado. Poco después viniéron varios soldados con armas, y fueron directamente á parar en c. si del ciud, Cacault, Ministro de Francia. De Florencia ha venido también el General de artil</t>
  </si>
  <si>
    <t>Sedaño, Rafael</t>
  </si>
  <si>
    <t>Rafael Sedaño</t>
  </si>
  <si>
    <t>7'/ 5 Herran; á primer Teniente al Teniente de cazadores D. Rafael Sedaño; á esta resulta al segundo Teniente D. Francisco de Paula Uztariz; á segundo Teniente de fusileros al Alférez de cazadores D. Henrique Zuluaga; á Ahférez de cazadores al de fusile</t>
  </si>
  <si>
    <t>Seíma, Domingo</t>
  </si>
  <si>
    <t>Domingo Seíma</t>
  </si>
  <si>
    <t>ro........ 137. 13. Domingo Seíma...: Joseph......... Petronila Peralta. ViÚatranca.... Zaragoza........ ói. tú. Felipe López....... Eusebio,........ María Gómez...... C’armoj:^.......'Madridos..</t>
  </si>
  <si>
    <t>Selina, Fernando</t>
  </si>
  <si>
    <t>Fernando Selina</t>
  </si>
  <si>
    <t>erno de seis estampas sin el Otro del Rey nuestro Señor , grabado por epítome de sus vidas á go rs. D. Fernando Selina , en 6 rs.. Idem con el epítome á 60 rs.. Otro del Excreto. Sr. Principe de la Paz^ Colección de trages del Ticiano de todas por el mismo , en 6 rs. . ' las naciones conocidas has</t>
  </si>
  <si>
    <t>Selle</t>
  </si>
  <si>
    <t>c! autor. ¿ , Introducción ál estudio de la naturaleza y de la medicina: obra cscrira en alemán por Mr. Selle, médico del Rey de Prusia, académico de la Reaí de ciencias de Berlín, traducida del francés por D. Francisco Bonafon, profesor de niedicina</t>
  </si>
  <si>
    <t>Seminario y Correa, Pedro</t>
  </si>
  <si>
    <t>Pedro Seminario y Correa</t>
  </si>
  <si>
    <t>uilar: al empleo de Ayudante al Subteniente de! batallón de Milicias urbanas de infantería de Piura D. Pedro Seminario y Correa; á Tenientes á los distinguidos D. Francisco Iparraguirre, D. Juan Manrique de Lara, D. Joachin del Barco, Don Francisco García y D. Juan Joseph Orejuela; á Alféreces al Sargento</t>
  </si>
  <si>
    <t>Sempere y Guarinos, Juan</t>
  </si>
  <si>
    <t>Juan Sempere y Guarinos</t>
  </si>
  <si>
    <t>l Arenal. Ensayo de una Biblioteca española de los mejores escritores del reynado de Cárlos ni: por D. Juan Sempere y Guarinos , del Consejo de S. M., su Fiscal de la ChanciHería de Granada : 6 tomos en 8-.° inarquilla. Se hallará en la librería de Escribano, calle de las Carretas. El ingenioso hidalgo D.</t>
  </si>
  <si>
    <t>Señan y Pastor, Dionisio</t>
  </si>
  <si>
    <t>Dionisio Señan y Pastor</t>
  </si>
  <si>
    <t>Ibañez Falomir, á D. Joseph Trigueros. • Atendiendo él Rey á los méritos y servicios del presbítero D. Dionisio Señan y Pastor, ha venido en nombrarle para el Curato del Real sitio de S. Fernando de este arzobispado de Toledo, vacante por promoción de D. Manuel Anselmo de Enderica y Palacios á una Canongí</t>
  </si>
  <si>
    <t>Señan, Bernardo</t>
  </si>
  <si>
    <t>Bernardo Señan</t>
  </si>
  <si>
    <t>parroquia dé Vtlldtés^en 4a diócesis de Jaén j vacante por muerte de D. Miguel Francisco Aldecoa, á Don Bernardo Señan: para la Prestamera de la parroquia dé Valdemorillo, en el obispado de Cuenca, vacante por fallecimiento de D. Mareos Celestino Ganeedo, y el Beneficio de Valbuéna dé Duero, en la</t>
  </si>
  <si>
    <t>Sendere y Guarióos, Juan</t>
  </si>
  <si>
    <t>Juan Sendere y Guarióos</t>
  </si>
  <si>
    <t>blecimientos patrióticos, policía, y otros ramos pertenecientes á la historia civil de España : por D. Juan Sendere y Guarióos, del Consejo de 3. M., honorario en el de Hacienda, y Fiscal de lo civil en la Chancilleria de Granada: tomo i.° Contiene el prospecto de toda la obra: memoria sobre la ne-. cesid</t>
  </si>
  <si>
    <t>Senez, Capitán</t>
  </si>
  <si>
    <t>Capitán Senez</t>
  </si>
  <si>
    <t>ero á las 2 de la tarde volvió á atacar á la corbeta, cuya arboladura había caído en gran parte. El Capitán Senez juntó consejo para resolver lo que convenía en tal circunstancia: se reconoció que el buqae hacia 7 pulgadas de agua; que ademas del mal estado de todo su aparejo, tenia muchos ca</t>
  </si>
  <si>
    <t>Senssens, Antonio</t>
  </si>
  <si>
    <t>Antonio Senssens</t>
  </si>
  <si>
    <t>haya hallado Jo entregará á D. Uípiano García,Procurador en la Nunciatura. D.’ -Antonio Senssens, cirujano en esta corte, hac* bragueros elásticos para todas edades y sexos de los de mejor construcción y elásticidad , tacto que,no Impiden ihontar á caballo y hacer todo exercicio, aunqu</t>
  </si>
  <si>
    <t>Seoane Ibero, Luis</t>
  </si>
  <si>
    <t>Luis Seoane Ibero</t>
  </si>
  <si>
    <t>....... ................ 244,258. D. Alfonso Rolan de Tordesillas.............. ........ 182,283. r D. Luis Seoane Ibero..;............ ................... *82,313. D. Pedro de Cárdenas.................................. 403,921. i /1 villa de Fitero...*............... . 2D^,ó,^o. ; D. Diego de ^^urg</t>
  </si>
  <si>
    <t>Ser, Gabriel</t>
  </si>
  <si>
    <t>Gabriel Ser</t>
  </si>
  <si>
    <t>o del lugar de Ciguiñuela, en el obispado de VaHadcfikí, vacióte por muerte de D. Gracian Casado, a D Gabriel Ser, rano: para el Beneficio simple servidero de la parroquia de S. Benito de la dudadle Salamanca, vacante por fallecimiento de D. Joseph Lozano, a D. Pedro Ovando-, y para el Présta</t>
  </si>
  <si>
    <t>Serafirt Rodríguez de AlburquerqBe, Joseph</t>
  </si>
  <si>
    <t>Joseph Serafirt Rodríguez de AlburquerqBe</t>
  </si>
  <si>
    <t>ó de Reales Guardias Espiólas se ha servido el Rey promover á Alférez de gr nadaros al de fusileros D. Joseph Serafirt Rodríguez dé AlburquerqBe. En el de infantería de Mallorca 4 primer Teniente.. . al segundo de'.granaderos D. Bernabé Ch-uri; á segundo Teniente de gra• naderes a! de fusileros D. Ángel de Torosegundó Teni</t>
  </si>
  <si>
    <t>Serapio Moliner, Joseph</t>
  </si>
  <si>
    <t>Joseph Serapio Moliner</t>
  </si>
  <si>
    <t>, ............................. . Arcedianato de Villaviciosa, Dignidad de la catedral de Oviedo, á D. Joseph Serapio Moliner; y para el Beneficio Préstamo de la parroquia del Puerto de Béjar, en la diócesis de Piasencia, vacante por muerte de D. Gabriel Patricio Bertodano, á D. Ramón de Gortázar y Varel</t>
  </si>
  <si>
    <t>Serigteten</t>
  </si>
  <si>
    <t>ques de Cornwaliis llegó á París el dia 7 á las 4 de la tarde: le acompañan el Lord Drome, su hijo, Mr. Serigteten, su yerno, los Coroneles Nígthing. 11 y Littehalles, Mr. More y 15 personas dé comitiva. Halló en su posada una guardia de honor; y un crecido destacamento de caballería vino esco</t>
  </si>
  <si>
    <t>Serra y Ramonet, Joseph</t>
  </si>
  <si>
    <t>Joseph Serra y Ramonet</t>
  </si>
  <si>
    <t>cesis, á í&gt;. Joachin Otón: para otra de las parroquiales unidas de Fra;ga, en el propio obispado, á D. Joseph Serra y Ramonet: para otra Ración de la parroquial de Adahuesca, diócesis de Lérida, á D. Melchor Zamora: para tres Raciones de la parroquial de Azanuy, en la misma diócesis, 4 D. Antonio Carrera</t>
  </si>
  <si>
    <t>Serrano Barran, Gabriel</t>
  </si>
  <si>
    <t>Gabriel Serrano Barran</t>
  </si>
  <si>
    <t>al Subteniente de granaderos D. Nicolás de Salazar y Véíasco; á esta resulta al primer Subteniente D. Gabriel Serrano Barran das;á primer Subteniente al segundo D. Pedro Escudero ; y á segundo Subteniente al Cadete D. Ignacio de Lora y Cáceres: en el de voluntarios de Castilla á Capitán al primer Teniente</t>
  </si>
  <si>
    <t>Serrano de Revenga, Antonio</t>
  </si>
  <si>
    <t>Antonio Serrano de Revenga</t>
  </si>
  <si>
    <t>lada de Garoza , perteneciente á las temporalidades de los ex-Jesuitas, y se ha rematado á favor de D. Antonio Serrano de Revenga en 431 &amp; rs. á pagar en vales Reales, cuyo remate se halla aprobado por el Sr. Intendente de dicha ciudad en 2 de Diciembre de 1801; y por si hubiese quien hr.ga la mejora del quart</t>
  </si>
  <si>
    <t>Serrano, Antonio</t>
  </si>
  <si>
    <t>Antonio Serrano</t>
  </si>
  <si>
    <t>lación de viruelas, asistiendo personalmente en varics pueblos del partido de Confitan, su Teniente D. Antonio Serrano ¡Polo en Ciudad-Real, y el Subdelegado D. Cayetano Benitez-emCki&amp;pajX Juxfta«§Én; la epidemia .de viruelas padecidai el,^aho-íf94iid&gt;er¿.^0L,óS3cquC!;l^é tuyiéron; naturales murié</t>
  </si>
  <si>
    <t>elta de fusileros del Reyno de valencia al primer Teniente del regimiento de infantería de Mallorca D. Antonio Serrano. En América. El Rey se ha servido nombrar para la Dignidad de Arcediano de la catedral de Val lado! id de Mechoacan, vacante por fallecimiento de D,. Manuel Salcedo y Navarrete..,</t>
  </si>
  <si>
    <t>Serrano, Luis</t>
  </si>
  <si>
    <t>Luis Serrano</t>
  </si>
  <si>
    <t>ros Voluntarios de Estado D* Joseph Rui: en el de Toledo á primer Teniente al segundo de granaderos D. Luis Serrano; á segundo Teniente de granaderos al de fusileros D. Manuel de la Torre; á esta resulta al Subteniente de granaderos, graduado de Teniente, D. Joseph Sánchez; á Subteniente de gra</t>
  </si>
  <si>
    <t>Serrano, Pedro</t>
  </si>
  <si>
    <t>Pedro Serrano</t>
  </si>
  <si>
    <t>de Contreras. En la Real brigada de Carabineros ha nombrado el Rey Alférez al Sargento de la misma D. Pedro Serrano. En el regimiento de infantería de Jaén se ha servido promover el Rey á segundo Teniente al Subteniente de granaderos D. Nicolás de Salazar y Véíasco; á esta resulta al primer Sub</t>
  </si>
  <si>
    <t>Servidor, Domingo</t>
  </si>
  <si>
    <t>Domingo Servidor</t>
  </si>
  <si>
    <t>cada una. Veinte y Seis muestras del Arte de escribir Dos vistas del Prado de Madrid, en 30 rs. de D. Domingo Servidor! , que comprehen. Seis estampas en pliego de marca mayor den los números 41 , 42 , 47 , 48, 49, 55, de la Artillería volante , á 15 rs. cada una.. 62 , 63,64 , 66 , 74 , 75 , 76,7</t>
  </si>
  <si>
    <t>Seta, Antonio</t>
  </si>
  <si>
    <t>Antonio Seta</t>
  </si>
  <si>
    <t>aduanas y contribuciones consideradas en sus diver; sas relaciones, especialmente con .el comercio: D. Antonio Seta sobre la - junta de mejoras, propuesta por D. Bernardo Ward, y de la policía supé• rior é inferior: D. Fabián Lorente sobre H/propiedad y precio de las cosas: D- Francisco Oteiza</t>
  </si>
  <si>
    <t>SeVerino- JJrra</t>
  </si>
  <si>
    <t>diferentes maneras de inxerir á-entera satisfacción de los examinadores; y en la clase desmedíanos D. SeVerino- JJrra, D. Martin Eguilar y D. Benito Sanchez.._En los dias 8 y 9 del propio mes se celebráron los exámenes públicos y genérales de la cátedra de economía civil y de comercio, que con ta</t>
  </si>
  <si>
    <t>Severo Cardesid</t>
  </si>
  <si>
    <t>Hernández de Tejada, Teniente agregado ál propio;cuerpo: en el de Santiago Tenencia de fusileros á D. Severo Cardesid » Subteniente de granaderos ; su resulta al Subteniente D. Ramón Ribaduila , y Subtenencia de fusileros á D. Rampa Ñaharro Qzorcs, Barón de Casa Goda, Guardia de Corp-s retirado :</t>
  </si>
  <si>
    <t>Shairpe</t>
  </si>
  <si>
    <t>cia de Napper-Tandi. Esta noticia no concuerda con lo que se dixo de que el Rey le había perdonado. Mr. Shairpe, que fué el último Cónsul ingles que residió en Rusia, vuelve á Petersburgo con el mismo empleo. Se está alistando en Plirnouth una fragata para llevarlo á su destino. Las sumas q</t>
  </si>
  <si>
    <t>Shepher</t>
  </si>
  <si>
    <t>a los matrimonios siguientes: Ricardo Finch, de edad de año ha casado con Ana Wigley, que tiene 89: Mr. Shepher de 8i, con Ana. Watson de 24: Juan Colle de 76, con Mistriss Lope de 80; y Mr. Potter de 87, con Rebeca Helwel de 88. Haya i.° de Julio. H a recibido el Almirante Dewinter nuevas órd</t>
  </si>
  <si>
    <t>Sheridaii</t>
  </si>
  <si>
    <t>ner se diese á la Cárnará algún informe en órd n al propio asunto * de la. enfermedad del Rey; pero Mr. Sheridaii le disuadió de ello; ale ganado la esperanza del pronto restablecimiento de S. M., y que por consi-i guíente era inútil toda discusión sobré él asunto. Alabó* Mr.-Pite quanto&gt; con</t>
  </si>
  <si>
    <t>Sheridan</t>
  </si>
  <si>
    <t>haberlo solicitado así los de la Gran Bretaña, quienes lo habrán conseguido á fuerza de oro, Aunque Mr. Sheridan volvió á hablar esforzando su opinión, fue desechada su propuesta por casi toda la Cámara. Igual suerte tuvo la proposición que Mr. Jones hizo el día i.° de este mes sobre que se</t>
  </si>
  <si>
    <t>288 dente en lugar de Mr. Addingtoh; y ño obstante la oposición de Mr. Sheridan quede) elegido Mr. J. Mitford, á cuyo favor hablo Mi. Pitt. Sé han expedido á Plimouth órdenes para que todas las naves de guerra que se hallan en aquel departáírnénto¡setdisponga</t>
  </si>
  <si>
    <t>star las causas de mi conducta; y entonces se verá quan infundados son los cargos que se me hacen.”—Mr. Sheridan disculpó á Mr. Nichols, y añadió: „ Alegue lo que quiera Mr. Pitt, nunca podrá disculparse de haber gastado en 17 años 300 millones de esterlinas, y sacrificado la vida de 300$ in</t>
  </si>
  <si>
    <t>i-i guíente era inútil toda discusión sobré él asunto. Alabó* Mr.-Pite quanto&gt; con este motivo dixo Mr. Sheridan, y añadió que los-sentimientos que m i- infestaba eran dignos de un hombre que conoce la extensión de sus oh¡i &gt;a~i ciones, y lo que se debe á la decencia y -al decoro en un -.mom</t>
  </si>
  <si>
    <t>al fuere la situación en que nos veamos, jamas blvidarémos las obligaciones de que ha hecho mención Mr. Sheridan. La consideración mas importante de todas para un hombre público es la pública responsabilidad: y esta en el dia es muy .grande. Las circunstancias, son críticas. No me correspond</t>
  </si>
  <si>
    <t>vención de El-Arisch; y este fue el partido que se adoptó. A dicha sesión asistió el ciud. Tallien. Mr. Sheridan, censurando en su discurso al ministerio por haber dado á luz con un comentario una correspondencia interceptada á los franceses de Egipto, dixo que no merecía el menor crédito, p</t>
  </si>
  <si>
    <t>aminen los preliminares; y añadió que la Cámara no se ha empeñado en aprobarlos sin dicho examen. A Mr. Sheridan.oo le pareció muy gloriosa la paz „por la qual (dixo) pueden alegrarse todos; pero nadie debe hacer vanidad de ella. Es una paz que degrada al decoro nacional, lo qual ningún ingl</t>
  </si>
  <si>
    <t>posición de que se averiguase la conducta de los Ministros que declararon guerra á la Francia; pero Mr. Sheridan pidió que se suspendiese hasta mas adelante, no paree iéndole conveniente que se tratase de este asunto durante las negociaciones de paz; y Mr. Burdet convirrer en elfo. ’ Mr. Tie</t>
  </si>
  <si>
    <t>Sianey-Smith</t>
  </si>
  <si>
    <t>a que un barco en que se hallaban varios ingleses, entre ellos Mr. Hammer, dragomán ó intérprete de Mr. Sianey-Smith, zozobró en Roseta, ahogándose la mayor parte dé la gente..._El Lord Keith había nombrado al mismo Mr. Smith por comandante de un navio, 5 fragatas y otros buques destinados á una</t>
  </si>
  <si>
    <t>Sibbins</t>
  </si>
  <si>
    <t>gatas, cañoneras, y otros barcos para alguna de las expediciones que los enemigos tienen meditadas. Mr. Sibbins, empleado en la construcción naval en Plimouth, ha inventado un nuevo método de mudar las quillas de los navios, y se ha comprobado la experiencia en el nombrado^ Canopos de 84 ca</t>
  </si>
  <si>
    <t>Sick</t>
  </si>
  <si>
    <t>te al Conde de Lowendahl con la ratificación del convenio de neutralidad á Petersburgo: le acompaña Mr. Sick, oficial de la secretaría de dependencias extrangeras. Mr. Olsen, Ministro nombrado para residir en los Estados-Unidos de América, ha salido de aquí para embarcarse en Burdeos. Va</t>
  </si>
  <si>
    <t>Sidney Smith</t>
  </si>
  <si>
    <t>te W *rren se ha reunido en las aguas de Alejandría con el Lord Keíth y con e« Capitán Bax i; y que Mr. Sidney Smith ha subido por el Niio, obligando á Jas cañoneras francesas á acogerse al Cayro. Según la referid 1 gazeta las fuerzas délos franceses en Egipto no pasan de 8© hombres. Sin embargo</t>
  </si>
  <si>
    <t>Sidney-Smith</t>
  </si>
  <si>
    <t>el Nilo entrando por las bocas de Roseta y Damieta. El Lord Keith y Mr. Abercrombie han confiado á Mr. Sidney-Smith el mando de esta vanguardia. Hay gran desunión entre el referido Almirante Keith y el Lord Elginr Ministro británico cerca del Gran Señor. Envió este á Mr. Morrier, su secretarioal</t>
  </si>
  <si>
    <t>enor, con fecha de 18 de Enero, y dice: „ El i.° del corriente llegamos á esta rada descubierta por Mr. Sidney-Smith: es bastante capaz para toda la ésquadra inglesa, y está muy bien situada para ir directamente á la costa de Egipto. El General Móore ha ido á Acre, y nosotros saldremos de aquí l</t>
  </si>
  <si>
    <t>su violación por parte de los ingleses había sido una v infracción al derecho de las naciones : que Mr. Sidney-Smith tenia quantos poderes podía necesitar para ajustar el tratado: que dicha violación ha sido la primer causa de la colicion del Norte, de la mudanza de los Ministros austríacos, del</t>
  </si>
  <si>
    <t>nautas 6 albaneses, que se han reclutado en el Archipiélago, y forman un cuerpo baxo las órdenes de Mr. Sidney-Smith. El Almirante ingles Bickerton está bloqueando el puerto de Alexandría con algunos buques de su nación y 6 navios turcos , que el Capitán Baxá dexó en aquellos mares. -El Barón de</t>
  </si>
  <si>
    <t>las de Alexandría, en donde se apostó, apoyando su derecha al mar ,.y su izquierda al lago Maadieh. Mr. Sidney-Smith , que manda algunas embarcaciones? en* dicho" lago, mafi^ tenia comunicación por aquella parte con los naturales del país; ^ proporcionaba al exército los víveres y el agua: qpe n</t>
  </si>
  <si>
    <t>pero rechazamos á los enemigos. Quedaron heridos levemente los Generales Abercrombie, Moore, Nope, Mr. Sidney-Smith y el Coronel Paget. El Coronel Abercrombie lo fué de mas gravedad.__ El Lord Keith me dice en sus últimos pliegos que todo» los heridos se restablecen: cosa tanto mas extraña, quanto</t>
  </si>
  <si>
    <t>préstito que abrirá este año el gobierno ascenderá á millones de libras esterlinas. Espérase aquí á Mr. Sidney-Smith, que viene de Egipto con pliegos del Almirante Keyth. &gt; En las últimas noticias del Asia se refiere que el primer Ministro del Emperador de la China Lu-Mo-Sing, que era igualmente</t>
  </si>
  <si>
    <t>es extrangeras. La compañía de levante dió antes de ayer un espléndido banquete, al Lord Nelson y á Mr. Sidney-Smith. Entre los convidados estaban el Marques de Buckingham, el Lord Grenvillc, Mr. Guillermo Hamilton y Mr. Addington. De Portsmouth ha salido la fragata Macdstone con otros dos buque</t>
  </si>
  <si>
    <t>icitud. ° 9 * Casi rodos los emigrados franceses qüe hay en Inglaterra se restituyen al continente. Mr. Sidney-Smith puso el dia 18 en manos del Rey las credenciales que habia recibido como Ministro plenipotenciario de S. M. en la Puerta otomana. Dícese ahora que volverá á Constantinopla en cali</t>
  </si>
  <si>
    <t>Sidney-Sroi'th</t>
  </si>
  <si>
    <t>u patria. Otros vocales propusieron que se comtini-. casen ’ igualmente;. las instrucciones;dadas á Mr. Sidney-Sroi'th, cuyo honor (dixo Mr, Sheridan) onedaria comprometido si los Ministros no presentaban los documentos que se pedían: pues si aquel, oficial se excedió en sus poderes, no basta deci</t>
  </si>
  <si>
    <t>SidneySmiíh</t>
  </si>
  <si>
    <t>quanto esta desgracia aflige al exército y á ia esquadra. Incluyo copia del informe que me ha dado Mr. SidneySmiíh de la pérdida que tuvo en esta batalla el destacamento de marinos que sirve baxo sus órdenes. La herida que este oficial recibió no le impide seguir su servicio. Los soldados de marina</t>
  </si>
  <si>
    <t>Siduey-Smith</t>
  </si>
  <si>
    <t>de la compañía oriental han acordado en una de sus juntas dar gracias y una suma de 3© esterlinas á Mr. Siduey-Smith por su acertada conducta en las negociaciones de Egipto. Se envían de aquí al Bengala 6 personas impuestas en el cultivo y laboreo del cáñamo. r Las tropas del Rey de Birma, en la</t>
  </si>
  <si>
    <t>Sierra, Joseph</t>
  </si>
  <si>
    <t>Joseph Sierra</t>
  </si>
  <si>
    <t>omover á Capitán al Teniente de cazadores D. Manuel Parada; í Teniente de cazadores al de fusileros D. Joseph Sierra; á Teniente de fusileros ai Subteniente de cazadores D. Joseph María Cuervo; á Subteniente de cazadores al de fusileros D. Diego Basilio; á Subteniente de fusileros al segundo Ayu</t>
  </si>
  <si>
    <t>Sigíien, Juan Manuel</t>
  </si>
  <si>
    <t>Juan Manuel Sigíien</t>
  </si>
  <si>
    <t>entes al Sargento primero del mismo cuerpo D. Juan Colorado, al de Granaderos voluntarios de Estado D. Juan Manuel Sigíien7.2, y al Cadete del de Zamora D. Ignacio Mallen: y en el de infantería ee Borboo á primer Teniente al segundo de granaderos D. Pedro de St, Cricq de Classun, y á segundo Teniente</t>
  </si>
  <si>
    <t>Sigler Campero, Miguel</t>
  </si>
  <si>
    <t>Miguel Sigler Campero</t>
  </si>
  <si>
    <t>y se ha servido nombrar para la Canongía de la catedral de Valladolid, vacante por fallecimiento de D. Miguel Sigler Campero, á D. Joseph Gómez de Villavedon : para la Ración vacante en la misma catedral por promoción de D. Joseph Gafcía Nieto á una Canongía de la referida . íolesia, á D. Andrea Rom.-n:</t>
  </si>
  <si>
    <t>Silverio de Beingolea</t>
  </si>
  <si>
    <t>iente D. Melchor Alarcon; Tenencias de fusileros á D. Manuel de la Rey naga, D. Domingo Canigniani, D. Silverio de Beingolea y D. Damián Alarcon; Subtenencia de granaderos á D. Andrés Canales; Subtenencias de fusileros al Sargento primero D. Nicolás Sánchez, D. Alexandro Vega, D. Rafael Lobaton y Don Isidro</t>
  </si>
  <si>
    <t>Silverio Ruiz de Mendoza</t>
  </si>
  <si>
    <t>territorio de la orden de Calatrava, á D. Francisco Tuxan. En atención á los méritos y servicios de D. Silverio Ruiz de Mendoza, Administrador de todas rentas de S. Fúcar de Barramcda , se ha servido el Rey concederle los honores de Contador de sus Reales exércitos. Habiéndose reunido ya ios estados de los</t>
  </si>
  <si>
    <t>Silvestre Adriancen</t>
  </si>
  <si>
    <t>ía y D. Juan Joseph Orejuela; á Alféreces al Sargento primero D: Manuel Rodríguez, y í los paisanos D. Silvestre Adriancen, Don Joseph.María Medina, D. Domingo Peña y D. Joseph Valentín López, y á Portaestandarte á.D» Francisco Aguilar. &lt;■ El Consejo á consulta de la Comisión gubernativa, y con aproba</t>
  </si>
  <si>
    <t>Silvestre Díaz</t>
  </si>
  <si>
    <t>te....... . 81. 19. Silvestre Díaz...... Alonso..., .... Ines Moral.,........... Barruelo...... Torrelobato.... .89. 9. Joseph Eguia...... Vicente.. .... Madaíena Guia.,.. Erse............... Soria...</t>
  </si>
  <si>
    <t>Silvestre González</t>
  </si>
  <si>
    <t>alladolid en la de la viuda é hijo de Santander , en Salamanca en la de Barco, en Burgos en casa de D. Silvestre González, oficial mayor de correos, en Pamplona en la de la viuda é hijo de Longas , en Oviedo en la de Acero, en Segó vía en la de Alexandro , y en Barcelona en la de Valero Sierra. Persp</t>
  </si>
  <si>
    <t>Silvestre Navarro</t>
  </si>
  <si>
    <t>y Llorens: -para la Canongía llamada Capiscolía de la colegial de Casteilbó , diócesis de ■Urge!, á D. Silvestre Navarro: para otra Canongía de la colegial de Alcañiz, diócesis, dé Gerona, á D¿ Francisco Condon; para la Ración de la catedral de Avila, vacante por muerte de D. Juan de Toro y Tinajas,</t>
  </si>
  <si>
    <t>Simbschen Uegó, General</t>
  </si>
  <si>
    <t>General Simbschen Uegó</t>
  </si>
  <si>
    <t>de Semlin en orden á los sucesos de Belgrado. Las que se han recibido este correo contienen que el General Simbschen Uegó el 2o de Setiembre á Serolin; el mismo- dia fué con -buena escolta i, la confluencia del Danubio y el Sava, y allí-’conferenció con el Baxá da Belgrado. Añaden que los génízaros sig</t>
  </si>
  <si>
    <t>Simbschen, Feld-Mariscal</t>
  </si>
  <si>
    <t>Feld-Mariscal Simbschen</t>
  </si>
  <si>
    <t>de sus frutos para el Austria, hasta que se reintegren del importe de las deudas que satisfagan. Al Feld-Mariscal Simbschen y al Mayor general Festenberg se les ha encargado hagan en Semlin averiguaciones sobre el estado del comercio de Turquía. Trátase también de demoler las fortificaciones construidas</t>
  </si>
  <si>
    <t>Simbschen, General</t>
  </si>
  <si>
    <t>General Simbschen</t>
  </si>
  <si>
    <t>, acompañándole el mencionado Príncipe.—Parece que el General Klenau juntará sus tropas con las del General Simbschen y otras del Imperio para formar en los contornos de Eichstoedt la vanguardia del exército que ha de mandar el referido Archiduque. Francfort 2 de Diciembre. T odas las gazetas de Au</t>
  </si>
  <si>
    <t>sta la noche. El General austriaco Klenau atacó nuestra derecha mandada por el General Barbou, y el General Simbschen acometió á la izquierda, que estaba á las órdenes del General Duhem. Vmiéron unas y otras tropas á las manos, y pelearon cpn increíble encarnizamiento; pero no obstante la superio</t>
  </si>
  <si>
    <t>perador, sobre todo de los del Príncipe de Ligne, de Beaulieu y otros, que son parte del cuerpo del General Simbschen» ' Parece cierto que el Emperador ha firmado los prelimínares^de paz, y, que los ratificará así que los firmen también los Cónsules de la República, francesa. Taris iS de Enero. E</t>
  </si>
  <si>
    <t>Simón Antonio</t>
  </si>
  <si>
    <t>o» E 1 Rey se ha servido nombrar para la Canongía d$- la catedral de Cuenca, que vacó por muerte de D. Simón Antonio de, Salazar, á D. Francisco</t>
  </si>
  <si>
    <t>Simón Henrique</t>
  </si>
  <si>
    <t>leros al segundo de granaderos D. Antonio Cabrera; á segundo Teniente de granaderos al de fusileros D. Simón Henrique; á esta resulta al Subteniente de granaderos D. Angel García; á Subteniente de granaderos al primer Subteniente D. Juan González; á primeros Subtenientes á los segundos D. Jacinto</t>
  </si>
  <si>
    <t>Sloberg</t>
  </si>
  <si>
    <t>l zelo y resolución de estos vasallos, y ha dispuesto les den armas, y les paguen un sueldo diario. Mr. Sloberg, dueño de una herrería de Noruega, ha inventado un hornillo de hierro que produce la mayor economía de leña. Hízose aquí el experimento á presencia de individuos de la Reai junta</t>
  </si>
  <si>
    <t>Smith</t>
  </si>
  <si>
    <t>árceles; como se acredita por una serie de experiencias que constan en la correspondencia del mismo Dr. Smith con el primer Lord del Almirantazgo. Los estragos tan espantosos causados así por la fiebre amarilla como por las otras enfermedades epidémicas en todas las partes del globo, prec</t>
  </si>
  <si>
    <t>, zozobró en Roseta, ahogándose la mayor parte dé la gente..._El Lord Keith había nombrado al mismo Mr. Smith por comandante de un navio, 5 fragatas y otros buques destinados á una expedición secreta. Durante unos dias hubo embargo general en los puertos franceses de Cal ais, Dunkerque y</t>
  </si>
  <si>
    <t>uí de París el dia 15. El Gobernador Bentinck va á Francia; pero su viage no tiene objeto político. Mr. Smith, secretario particular que ha sido de Mr Pítt, ex-Ministro de Hacienda , acaba de comprar en el Condado de Esséx una posesión Hat mada el parque de Shortgrove , que le ha costado</t>
  </si>
  <si>
    <t>del Coronel Abercrombie. Todos los oficiales desembarcaron en Portsmouth, y han llegado á Londres. Mr. Smith venia con trage turco, sin faltarle el turbante, el chal y el ceñidor con dos pistolas. ‘ La universidad de Gotinga ha nombrado por individuo de aquel cuerpo al Dr. Jenner, que se</t>
  </si>
  <si>
    <t>Smitíi</t>
  </si>
  <si>
    <t>nado con quien ¿se tratase no tuviera poderes suficientes para ello? El Lord Hawkesburi sostuvo qee Mr. Smitíi no concurrió como’ parte directa al convenio de Egipto. Mr. Tierney dixo que convenia averiguar si el Lord Keith había escrito la mencionada carta por orden de ios. Ministros. „£í</t>
  </si>
  <si>
    <t>Smitli, Miguel</t>
  </si>
  <si>
    <t>Miguel Smitli</t>
  </si>
  <si>
    <t>zaumerios mas poderosos contra la fiebre amarilla. Este descubrimiento, debido hace algunos años al Dr. Miguel Smitli, se experimentó repetidas veces en un navio destinado para hospital, y en otros buques ingleses, y no ha dexado la menor duda de su preferencia á qualquiera otro preservativo, y p</t>
  </si>
  <si>
    <t>Sniardeli</t>
  </si>
  <si>
    <t>Jos ^strónomosjnpipblados por k sociedad han adlaniji4p.y tpmaJ-Ofá .cargp esta honrosa tarea; pero Mr. Sniardeli, catedrático de Cracovia, no ha podido,aceptar su nombramiento porque la uni</t>
  </si>
  <si>
    <t>Soberano, Príncipe</t>
  </si>
  <si>
    <t>Príncipe Soberano</t>
  </si>
  <si>
    <t>uerella ante el tribunal del supremo Juez. Petersburgo 22 de Noviembre. H aliase en esta capital el Príncipe Soberano de los oalmucos , como también el Lama ó gran sacerdote : traen una numerosa comitiva ; y el día 11 fuéron presentados á S. M. I., é hiciéron su juramento de fidelidad. Pasaron á palacio</t>
  </si>
  <si>
    <t>Sobrado, Juan</t>
  </si>
  <si>
    <t>Juan Sobrado</t>
  </si>
  <si>
    <t>rrez, D. Christóbal Bolano y D. Andrés jQlarria, y a segundos Subtenientes á.los Sargentos primeros D. Juan Sobrado , ¡ D. Manuel Torregrosa , este de granaderos, y, D. Juan ¡ Gallo , y i los’ Cadetes D. Joachín Albizu, D. Joseph Aballe, D. Juan Francisco Espinosa, delude Górdoha, y á D. Joseph</t>
  </si>
  <si>
    <t>; á primeros Subtenientes á los segundos D. Rafael Maroto, D. Antonio Casanoves, D. Manuel Cadavid, D. Juan Sobrado, D. Joachín Albizu, D. Joseph Aballe y D. Manuel Torregrosa, y á segundos Subtenientes á los Sargentos primeros D. Gabriel Cárdena y D. Francisco Joseph García, al Soldado disting</t>
  </si>
  <si>
    <t>Sobrevida, Francisco</t>
  </si>
  <si>
    <t>Francisco Sobrevida</t>
  </si>
  <si>
    <t>n el regimiento de caballería de Farnesio se ha servido promover S..M. á Alférez al Portaestandarte D. Francisco Sobrevida: en el de España á primer Teniente al segundo D. Elias Gavilanes, y á segundo Teniente al Alférez D. Alexo Paredes: en el de Calatrava á Alférez al Portaestandarte D. Joachín del</t>
  </si>
  <si>
    <t>Soengas, Blas Antonio</t>
  </si>
  <si>
    <t>Blas Antonio Soengas</t>
  </si>
  <si>
    <t>a Canongía de la colegial de la Coruña, en el arzobispado de Santiago, vacante por fallecimiento de Don Blas Antonio Soengas, á D. Fernando López Caamaño: para una Ración de la catedral de Sigüenza, vacante por muerte de D. Pascual Nieto, á D. Manuel de Lezairía Martínez, Cura de la villa de Slsamon y s</t>
  </si>
  <si>
    <t>Sofia de Hesse-Cassel, María (princesa)</t>
  </si>
  <si>
    <t>Princesa María Sofia de Hesse-Cassel</t>
  </si>
  <si>
    <t>muchos de sus heridos á Inglaterra, y también despachan dos'navíos de los que mas han padecido. La Princesa María Sofia de Hesse-Cassel, esposa del Príncipe Real, ha dado 120 rixdalers para las viudas y huérfanos de los valerosos dinamarqueses que perdieron la vida en defensa de la patria. Muchos particulares han</t>
  </si>
  <si>
    <t>Sofía Guillermina, Princesa</t>
  </si>
  <si>
    <t>Princesa Sofía Guillermina</t>
  </si>
  <si>
    <t>cumplimentar á la Real familia con motivo del feliz alumbramiento de la Reyna y el nacimiento de la Princesa Sofía Guillermina. Después ce*</t>
  </si>
  <si>
    <t>Soidtvilla, Francisco</t>
  </si>
  <si>
    <t>Francisco Soidtvilla</t>
  </si>
  <si>
    <t>en francés six. socorro de maestro, dispuesto para utilidad de tos que Se dedican á Wtt; idioma por D. Francisco Soidtvilla, maestro de lengua francesa en est corte. Se haííará ,á a rs. en la librería de Villareal, calla de lás Cartétas : puede iV ^éh carta. 1 *•*• Breve compendió de meditaciones, acom</t>
  </si>
  <si>
    <t>Soinpten</t>
  </si>
  <si>
    <t>cerca de la República francesa-. desembarcó el dia 12, y en breve llegará aquí con su familia y con Mr. Soinpten, su secretario de embaxada. Ha nombrado eí primer Cónsul para Comisario general de relaciones mercantiles en Lisboa al ciud. Beauchamp. Desde que llegó á París el Marques de Cornw</t>
  </si>
  <si>
    <t>Sokukow, Conde</t>
  </si>
  <si>
    <t>Conde Sokukow</t>
  </si>
  <si>
    <t>3 que por decretos de 25 de Agosto y 23 de Setiembre componen los cuerpos del General Feld-Maraca! Conde Sokukow, cerca de Witebsc, del General de infantería Goíonitschew-Kutusow cerca de Wladimir, y del General de caballería Conde de Pahlen, cerca de Brzesc en Lithuania. f s . Stockolmó 13</t>
  </si>
  <si>
    <t>Solana Cagigal, Joseph</t>
  </si>
  <si>
    <t>Joseph Solana Cagigal</t>
  </si>
  <si>
    <t>entes á los Subtenientes de granaderos D. Ratae de arcía y D. Joseph Qüiros,y al primer Subteniente D. Joseph Solana Cagigal; á Subtenientes de granaderos á los primeros Subtenientes D. Joseph Isasy, D.Tuan Yustini.ini y D. Antonio González; a primeros Subtenientes á los]segundos Dv-Joseph Alvarez Campa</t>
  </si>
  <si>
    <t>Solano, Joachín</t>
  </si>
  <si>
    <t>Joachín Solano</t>
  </si>
  <si>
    <t>s de Mora.. Las guerrillas se habían apoderado desde luego de la puerta de la villa, en cuya acción D. Joachin Solano , comandante de una de ellas, combatiendo con intrepidez y mucho valor, recibió dos heridas, de que murió el día 3 1 : llegado el destacamento de lá segunda división, se pose* sio</t>
  </si>
  <si>
    <t>Soler, Alberto</t>
  </si>
  <si>
    <t>Alberto Soler</t>
  </si>
  <si>
    <t>l dia i.° exercitó D. Felipe Martin sobre aritmética, y Don Ramón Garces sobre álgebra : el dia 2.0 D. Alberto Soler sobre la trigonometría plana, y D. Juan Antonio Comat sobre geometría: el día 3.? D. Gaspar Ornos sobre la aplicación del álgebra á la geometría, y D. Rafael Bos Campesino sobre l</t>
  </si>
  <si>
    <t>Soler, Juan Francisco</t>
  </si>
  <si>
    <t>Juan Francisco Soler</t>
  </si>
  <si>
    <t>i«oi, mím. 341,479, renovado' á favor dé D. Juan Francisco Soler, sin ningún endoso. Quien sepa su paradero lo. entregará en la casa de-comercio de Toledano,: caite de la Montera. - í, Por providencia del Sr. D. Juan Antonio Santa María, dsí Co</t>
  </si>
  <si>
    <t>Soler, Miguel Cayetano</t>
  </si>
  <si>
    <t>Miguel Cayetano Soler</t>
  </si>
  <si>
    <t>.1041 ñámente acogida por S. M., según consta de la Real orden comunicada pot el Exc. Sr. D. Miguel Cayetano Soler con fecha.de 25 de Enero de 1800, en la qual se la previene que convencido el Rey de que no puede haber otro objeto mas análogo y digno del empleo del fondo de los espolíos que el</t>
  </si>
  <si>
    <t>Solera, Juan</t>
  </si>
  <si>
    <t>Juan Solera</t>
  </si>
  <si>
    <t>ue* llaman. Va¡hO' do y el otro al Rollo, pertenecientes al! patronato de sangre que en ella fundó- D Juan Solera, tasadas en 11,384 rs. , y sé ha hecho postura á ellas en: esta mUma cantidad en moneda metálica. . Quiern quisiere hacer mejora acuda ante dicho Sr. A calde por la citada escriba</t>
  </si>
  <si>
    <t>Solis, Antonio</t>
  </si>
  <si>
    <t>Antonio Solis</t>
  </si>
  <si>
    <t>Calcografía establecida en dicha Imprenta Real. Setenta y ocho estampas, retratos de varo­ Carpió, D. Antonio Solis, -y D. Nicolás nes ilustres de la nación Española , en 13 Antonio: 2.0 el Cardenal Gil Albornoz, quadernos de á seis , que contienen: x.° Don Gonzalo Fernandez de Córdoba , el Gra</t>
  </si>
  <si>
    <t>Soliva, Salvador</t>
  </si>
  <si>
    <t>Salvador Soliva</t>
  </si>
  <si>
    <t>con Observaciones de las virtudes de varias principios de Algebra hasta equaciones del plantas, por D. Salvador Soliva y D. Joar segundo grado. Su autor D. Antonio Rosell,</t>
  </si>
  <si>
    <t>Sommariva, General</t>
  </si>
  <si>
    <t>General Sommariva</t>
  </si>
  <si>
    <t>Á:jt-lo -ce • En Tosca&amp;a ha habido* también alguna inquietud. ün: cuerpo: austríaco; mandado por el General Sommariva, obligo á los cisalpinos á^evacuar á Arezzo y Cortona, y envió partidas de tropas por todo; e^epais anunciando la llegada de un exército^ que ¡se adelantaba baxo las ¡ordenes ¡dél</t>
  </si>
  <si>
    <t>Sommerville, Capitán</t>
  </si>
  <si>
    <t>Capitán Sommerville</t>
  </si>
  <si>
    <t>consisten hasta ahora mas que en dos navios, una fragata y io buques de menor fuerza. Las manda el Capitán Sommerville, hermano del Lord de este nombre. Del puerto de Loríente avisan que un corsario ingles detuvo cerca de Pennemarck una embarcación dinamarquesa cargada de pescado salado con destin</t>
  </si>
  <si>
    <t>Somoza, Juan Joseph</t>
  </si>
  <si>
    <t>Juan Joseph Somoza</t>
  </si>
  <si>
    <t>seph Martínez de la Junquera ; segundo Teniente á Don Francisco Agredano y Morales, y Subteniente á D. Juan Joseph Somoza. En el regimiento provincial de Málaga ha conferiao el Rey Ja Tenencia de granaderos á D. Pedro Alcántara Roxas.y Narvaez, Teniente de fusileros; Tenencias de esta clase á D. Anto</t>
  </si>
  <si>
    <t>Sopreanis, Rafael</t>
  </si>
  <si>
    <t>Rafael Sopreanis</t>
  </si>
  <si>
    <t>clase á D. Joseph Arquellada, Subteniente de granaderos, y esta resulta al Subteniente de fusileros D. Rafael Sopreanis: en el de Murcia la Tenencia de cazadores á D. Gines Meseguer, Teniente de fusileros; Tenencia de esta clase á D. Mateo López, Subteniente de granaderos, y su resulta á D. Aparici</t>
  </si>
  <si>
    <t>Sori, Bernardo</t>
  </si>
  <si>
    <t>Bernardo Sori</t>
  </si>
  <si>
    <t>ndera deí batallón deí milicias disciplinadas de las* Quatró Villas; en la i-sla de Cuba, al Gádeto D. Bernardo Sori: y ha concedido agregación de Subteniente en el re^imien-? to de infantería *fixó de la Luisiana á' D. Fráñcisco Xavier Perez y Muro, Soldado distinguido del mismo cuerpo.. * v</t>
  </si>
  <si>
    <t>Sorondo, Gabriel</t>
  </si>
  <si>
    <t>Gabriel Sorondo</t>
  </si>
  <si>
    <t>os, el Brigadier I&gt;. Gerónimo González de Mendoza , y los; Capitanes de i N'avío D. Joseph. Jordán, D. Gabriel Sorondo, D.RafaelBennazár y D. Manuel de Urteza-, belj fueron de dict:unen en la úitima junta. cpie cclebr6 Apodaca, de que so procediese al incendio-éri ¿©sí términos que se hizo,ios sus</t>
  </si>
  <si>
    <t>Sosa, Santiago</t>
  </si>
  <si>
    <t>Santiago Sosa</t>
  </si>
  <si>
    <t>e Portocarrero; empleo de Alférez de granaderos al de fusileros D. Nicolás Bertiz, y de fusileros á D. Santiago Sosa y D. Pvamoii Gonzalo, Cadete y Sargento primero del propio regimiento: la Sargentía mayor dél de Milicias urbanas dé caballería de Huanuco al Capitán D. Pedro Antonio de Echegoven; em</t>
  </si>
  <si>
    <t>Sotero Casado de Aíviz, Pedro</t>
  </si>
  <si>
    <t>Pedro Sotero Casado de Aíviz</t>
  </si>
  <si>
    <t>dina: para la de la villa de Aimansa á D„ Domingo Francisco Fernandez : para la de la de Medellin á D. Pedro Sotero Casado de Aíviz ; y para la de la de Motil la del Palancar á D. Joseph María Perez de Rozas. j£n América. El Rey se ha dignado nombrar para uná Ración de la catedral de la Paz, vacante por ascens</t>
  </si>
  <si>
    <t>Sotillo Hurtado, Juan</t>
  </si>
  <si>
    <t>Juan Sotillo Hurtado</t>
  </si>
  <si>
    <t>á D. Agustín Sánchez Villalobos: para una Ración de la catedral de Sigiienza, vacante pof muerte de D. Juan Sotillo Hurtado, á D. Juan Casado, Cura Párroco Rector del hospicio de Salamanca: para una Media-Ración de la metropolitana de Sevilla, vacante por fallecimiento de D. Joseph Suarez Carbonero, i</t>
  </si>
  <si>
    <t>Souchet, Teniente General</t>
  </si>
  <si>
    <t>Teniente General Souchet</t>
  </si>
  <si>
    <t>* cabe¿a de sus colunas en* Azzolo, y mediante varios puestos comunica con el centro mandado por el Teniente General Souchet. La vanguardia se¿ ha establecido en Salvároza: tiene por su derecha la división de Watriñ, y por su izquierda las dos divisiones del centro. Los cuerpos de reserva quedan á espal</t>
  </si>
  <si>
    <t>Souham, General</t>
  </si>
  <si>
    <t>General Souham</t>
  </si>
  <si>
    <t>laban en las cercanías y se trasladaron inmediatamente ai campo de batalla. Sin embargo de ello* él General Souham; que estaba1 francés para persuadir les á un; ajuste/ Ál fin se cónvinor éa que los firanceses entrasen aqúí el 2ó. al medio dia» qué las tropas austríacas y bávaras se retirasen</t>
  </si>
  <si>
    <t>Souhám, General</t>
  </si>
  <si>
    <t>General Souhám</t>
  </si>
  <si>
    <t>a plana mayor del cuerpo dél General Samté-Súzanne ha llegado á Stúttgárd, en donde te aguardaba al General Souhám cuya división tomará qúárteléS dé invierúb én los( contornos de Luisburgo y de Heilbronn. Lás jdivisiónes: del Teniente General Grenier están en marcha para Baviera: el centró que</t>
  </si>
  <si>
    <t>ndo con las francesas y holandesas.. Un cuerpo de tropas francesas, que es parte de la división del General Souham, há entrado en el Palatinado del Rhin, acantonándose desde el Bugstrasse hasta Gernsheim. Escriben deStockolmo que el ministerio de Suecia ha intimado orden al Embaxador ingles en</t>
  </si>
  <si>
    <t>Souit, General</t>
  </si>
  <si>
    <t>General Souit</t>
  </si>
  <si>
    <t>ciones de Ferrara, Bolonia y la Romana.__ La mayor armonía reyna entre las tropas, que al mando del General Souit, ocupan la península de Otranto y los pueblos de aquel país, como también .con el gobierno napolitano. Para defender la rada de Tarento se habrán colocado ya 80 cañones en batería</t>
  </si>
  <si>
    <t>Souít, Teniente General</t>
  </si>
  <si>
    <t>Teniente General Souít</t>
  </si>
  <si>
    <t>alvi, Seérétafio de ®t¿ío def Papa, salid dé komaél dia 4 pára esta ciudad. / 1 &gt;. 1. . t;&gt;' ■’^ El Teniente General Souít despacho de Tarento el misino dia úh'-exjjy uw IfldJ'y | lid llwgdVlU &lt;4 V/LldlllU CrUll UUUtl4 UW-V|Uw IU3^11lQiCova lldU.MU sido^complétameritcdérrotádos;'já prinbipiój&amp;é^íaj^br qf</t>
  </si>
  <si>
    <t>Soulié, Andrés</t>
  </si>
  <si>
    <t>Andrés Soulié</t>
  </si>
  <si>
    <t>te Royo, alumnos de quarto año; D. Fausto Juara y Sánz, de tercer año, y D. Manuel Luis de Septien, D. Andrés Soulié, D. Ramón Mateo, D. Antonio y D. Isidoro Capilla, de primer año; y en la clase de buenos D. Rafael Bos Campesino, de tercer año, D. Francisco Oteiza, D, Benito Sánchez, D. Francis</t>
  </si>
  <si>
    <t>Soult, General</t>
  </si>
  <si>
    <t>General Soult</t>
  </si>
  <si>
    <t>para los dias pasan por Florencia tropas que van á aumentarlo, pues debe constar de 45© hombres. El General Soult manda el ala derecha, y el General Debdle la izquierda. Dícese que la marcha de este exército se resolvió en un consejo de guerra celebrado en Florencia, al qual asistiéron los Ge</t>
  </si>
  <si>
    <t>s escogidos: pudo librarse de los enemigos, arribó á Cefalonia, y desembarcó en Tatento. Entregó al General Soult pliegos del General Menou, y se despacharon á París por un correo extraordinario. Acababa de recibirse en Alexandría la noticia de la capitulación del Cayro. Los Generales Menou,</t>
  </si>
  <si>
    <t>Soult, Teniente General</t>
  </si>
  <si>
    <t>Teniente General Soult</t>
  </si>
  <si>
    <t>os xefesi principales; de los insurgentesv conocidos con eü nombre de barbetoS-, se presentaron ral Teniente General Soult. ofreciendo obedecer y someterse á las leyes de. la ¡República * con tal que les concediese un indulto general. Admitida su proposición, Tuérbn á:juntar su gente esparcida* por la</t>
  </si>
  <si>
    <t>Sóult, Teniente General</t>
  </si>
  <si>
    <t>Teniente General Sóult</t>
  </si>
  <si>
    <t>rieron medios de conseguirlo , y esta ventaja aumenta mucho su gloria.’* AcoWipafran dos cartas del Teniente General Sóult al General én xefe Btühe dándole duénia de sus progresos Contra los revoltosos de las provín^ fciás de Aótté é ívréá. El dia 17 quedaban casi todos redúcfdbá. ; * Sfe hán publicad</t>
  </si>
  <si>
    <t>iones en el término preciso de 30 dias---- Hecho y firmado en Florencia el 28 de Marzo de 1801.” El Teniente General Soult se puso en marcha el 2 de Abril con un cuerpo de 12© hombres para ocupar á Otranto, Tárenlo y Brindis. El ciud. SemonviHe, Ministro plenipotenciario de la República francesa en el</t>
  </si>
  <si>
    <t>Sousa Coutinho</t>
  </si>
  <si>
    <t>rvará á/Dússéldorff ni el referido Ducado de Berg. Roma 20 de Junio. E 1 Sr. de Sousa Coutinho, Ministro Plenipotenciario de Portugal cerca</t>
  </si>
  <si>
    <t>Spanochí, General</t>
  </si>
  <si>
    <t>General Spanochí</t>
  </si>
  <si>
    <t>seguridad de que todo se arreglará. Francfort 16 de Enero. .C^xpresan las cartas de Baviera que el General Spanochí (el qual como prisionero debia ir á Francia) ha recibido una carta del General en xefe Moreau avisándole que el Consejo áulico de Viena pedia de orden expresa ||lí Emperador que f</t>
  </si>
  <si>
    <t>Spanochi, General</t>
  </si>
  <si>
    <t>General Spanochi</t>
  </si>
  <si>
    <t>aba gustoso de esta ocasión para darle una prueba de su ilimitado aprecio: que ponía en libertad al General Spanochi; .y que habia dado órdenes para que pudiese llegar á Viena en el término de 48 horas.</t>
  </si>
  <si>
    <t>Sparron, Capitán</t>
  </si>
  <si>
    <t>Capitán Sparron</t>
  </si>
  <si>
    <t>mercantiles ó Cónsul de Francia en Civitavecchía. Un corsario de Dunkerque nombrado el Cairvoyant, Capitán Sparron, apresó el 28 de Enero á la altura de Witby, por los 54 grados, 40 minu^r tos de latitud,un bergatin ingles, llamado la Providencia; lo marinó y confió su mando á su primer Tenien</t>
  </si>
  <si>
    <t>Spenccr Smifh</t>
  </si>
  <si>
    <t>gobierno ingles ha puesto á cargo del Lord Elgin el despacho de las dependencias mercantiles de que Mr. Spenccr Smifh estuvo hasta ahora encargado. Peter¿burgo j.° de Febrero de 180 r. E 1 Príncipe Belmente Pignateli ha tenido su audiencia de.despedida del Emperador, quien en está ocasión le regaló</t>
  </si>
  <si>
    <t>Spencer Smith</t>
  </si>
  <si>
    <t>ndo alguna alteración política, hacen preparativos para retirarse^ y en breve saldrá de esta ciudad Mr. Spencer Smith. El Lora Elgin, que era Enviado extraordinario de Inglaterra, quedará en calidad de Ministró «ordinario de S. M. Británica ; pero se asegura que la Sublime Puerta le ha insinuado</t>
  </si>
  <si>
    <t>Spencer, Conde</t>
  </si>
  <si>
    <t>Conde Spencer</t>
  </si>
  <si>
    <t>El Al ñútante Conde de S* Vicente! primer ■ Lord def Almirantazgo 6 Ministro de Marinaseiidugar del Conde Spencer.¿Él Lordüobart,, teeñír plaza á Mr. Dundas , y Mr. Gárlos Yorke á Mr. Windham , Secretario de Guerra. El Lord Arden es Director de las casas de moneda. El Conde dé Liverpool, Pres</t>
  </si>
  <si>
    <t>cnvLrks 40 ó 50© hombres todos los años para restablecerlos en sus estados...... Tomó la palabra el Conde Spencer para censurar los preliminares; y en suma dixo: ,, A no ser lo que debo á mi Rey, á esta Cámara y á la patria, me hubiera limitado á lamentar en secreto una disposición tan desast</t>
  </si>
  <si>
    <t>Spencer, Coronel</t>
  </si>
  <si>
    <t>Coronel Spencer</t>
  </si>
  <si>
    <t>Os participo con gusto las ventajas que ha conseguido un cuerpo de ingleses y turcos mandado por el Coronel Spencer. Tuvo orden de salir de aquí hace unos 15 dias para echar á los enemigos de la ciudad y castillo de Roseta, que domina la navegación del Nilo. Esta empresa se logró perfectamente:</t>
  </si>
  <si>
    <t>á Roseta* para donde habia ya despachado un cuerpo de mas de 4© ingleses, contando el que manda el Coronel Spencer. De allí debía adelantarse con un número casi igual de tropas del Capitán Baxá contra Rhamanié, en donde han reunido los franceses 3© hombres. Muchos dias ántes se* habían recibid</t>
  </si>
  <si>
    <t>Spencer-Smith</t>
  </si>
  <si>
    <t>ciales y la tripulación se salvaron, y han llegado á Jamayca. AI volver de Constantinopla á Trieste Mr. Spencer-Smith, último Ministro ingles en Turquía, hubo de perecer, por haber dado á la costa en la isla de Coos el barco en que venia. Tuvo la fortuna de librarse de aquel peligro, y ha llegado</t>
  </si>
  <si>
    <t>Spranger, Capitán</t>
  </si>
  <si>
    <t>Capitán Spranger</t>
  </si>
  <si>
    <t>que á Petersburgo. Una fragata inglesa nombrada Eoló encalló cerca de Cimbritshaven, en Scania. El Capitán Spranger, que la mandaba, escribió tnmcdiatamenr-: al comandante de aquel puerto pidiéndole socorros, espucialm nte L.nch s en que poner su artillería á iin de aújír su buque. Se le conced</t>
  </si>
  <si>
    <t>Sprengporjtenf, General</t>
  </si>
  <si>
    <t>General Sprengporjtenf</t>
  </si>
  <si>
    <t>mperador Alejandro 1 ha quedado ¡muy satisfecho del encargo; que por su orden desempeñó en París el General Sprengporjtenf^y en .prueba? de ello le ha nombrado gran Cruz de la orden de S. Alexandro Newsky, cuyas insignias le ha dado guarnecidas de diamantes^ como un favor particular. Todos los oficial</t>
  </si>
  <si>
    <t>Sprengportcn</t>
  </si>
  <si>
    <t>no de 13b, llamado la República, y no tardará en botarse al agua el nombrado' el Aguila. Hallándose Mr. Sprengportcn en casa del General Berthier , Ministro de Guerra, vió la Relación de la expedición de Egipto, que acaba de publicar dicho Ministro, quien le regaló un exemplar. Mr. Sprengporten lo</t>
  </si>
  <si>
    <t>Sprengporten</t>
  </si>
  <si>
    <t>ción de la expedición de Egipto, que acaba de publicar dicho Ministro, quien le regaló un exemplar. Mr. Sprengporten lo en</t>
  </si>
  <si>
    <t>Sprengporten, General</t>
  </si>
  <si>
    <t>General Sprengporten</t>
  </si>
  <si>
    <t>lia salido de aquí para Parina el Consejero de Estado Moreau de Saint Merí. Al retirarse á Rusia el General Sprengporten irán con él 4896 prisioneros de guerra de aquella nación que se hallan en Francia. El Ayudante que el mismo General despachó de aquí á Petersburgo, tardó ió días en llegar á aquel</t>
  </si>
  <si>
    <t>lio, L as tropas rusas que estuvieron prisioneras en Francia, y vuelven á su patria mandadas por el General Sprengporten t han llegado á las fronteras de aquel Imperio, De Viena ha salido Mr, Moravview para Offen, adonde va á colocar la primer piedra de una iglesia griega, que el Emperador Alexandro</t>
  </si>
  <si>
    <t>Stackpoole</t>
  </si>
  <si>
    <t>.ancló en Abukir, se quemó poco después de dar fondo. Se salvó toda la tripulación, y su comandante Mr. Stackpoole ha llegado á Portsmouth. El Duque de York ha examinado las fortificaciones de Rye y las bateTÍas de Dungeness, en Fplkstone: llegó luego i Douvres, y visitó las tropas acantonadas</t>
  </si>
  <si>
    <t>Stadion</t>
  </si>
  <si>
    <t>ph n, las quales no son de ley, ni tienen el valor que representan. Berlín 6 de Noviembre. Q uando. Mr. Stadion , Ministro imperial, comunicó á este gabinete la elección de los Obispos de Munster y Colonia, declaró qué S. M. I. habia convenido en ella por miramiento á la constitución, y por</t>
  </si>
  <si>
    <t>Staray, General</t>
  </si>
  <si>
    <t>General Staray</t>
  </si>
  <si>
    <t>superior qup habiendo el mencionado Príncipe admitido el mando en xefe del exército de Alemania, el General Staray mandará baxo sus órdenes la legión de Bohemia y Moravia__ ~Rn 'aviso posterior se dice que $. A. llegó á dicho exército, y ha tomado, ya el mando en xefe. , Munich 20 de Diciembre</t>
  </si>
  <si>
    <t>Starray, General</t>
  </si>
  <si>
    <t>General Starray</t>
  </si>
  <si>
    <t>e Cárlos , con anuencia del Emperador, ha nombrado al General Melas para comandante en Bohemia , al General Starray para el Austria, y al General Bellegarde para Italia. Avisan de Peterswaradin que en aquella parte de la frontera han de juntarse 40© hombres, incluyéndose en este número las trop</t>
  </si>
  <si>
    <t>Steding</t>
  </si>
  <si>
    <t>lindenstoIpe, Lagerbielke y Debesche, que acompañan á S. M., y ha conferido la orden de S. Andrés á Mr. Steding, Embajador de„Suecia c.n aquella, corte,,General Toll. A las demas personas principales de la comitiva ha dado también S. M. Imperial señales de su munificencia. El Rey se proponi</t>
  </si>
  <si>
    <t>Steeger, Antonio</t>
  </si>
  <si>
    <t>Antonio Steeger</t>
  </si>
  <si>
    <t>egundo D. Gen ir o de Kreuth,; á esta resulta al Tejiente D. Juan Lipp, y á Teniente al Subteniente D. Antonio Steeger.: en .él de Betschart á Teniente de granaderos al de fusileros D. Bonifacio Kop_penhan,y á secundo Teniente de fusileros al Subteniente de granaderos Don Joseph Abhospital ; y en</t>
  </si>
  <si>
    <t>Sterret</t>
  </si>
  <si>
    <t>21 á poniente de la isla dé Malta una fragata tripolina de 14 cañones y 80 hombres de tripulación. Mr. Sterret la atacó cO» denuedo, y al cabo de un combate reñidísimo de 3 horas la apresó, habiéndole matado 20 hombres y herido 30. En la marinería americana hq húbola menor desgracia. .Milán 1</t>
  </si>
  <si>
    <t>Stockes</t>
  </si>
  <si>
    <t>r-menixf que navegaba á Bengala con un cargamento valuado en 600© pesos, ‘y JLcúyo bordo se hallaba Mr. Stockes, que iba de Gobernador á la isla del Príncipe de Gáles. Quedó prisionero, y fue conducido á Tranquebar. ,Los gastos públicos de esta República, durante un año coRt ido desde &gt; de</t>
  </si>
  <si>
    <t>Stockfieth y los Capitanes Krabben y Grave, Almirante</t>
  </si>
  <si>
    <t>Almirante Stockfieth y los Capitanes Krabben y Grave</t>
  </si>
  <si>
    <t>forme sobre los medios de poner la provincia de Jutlandia en el mejor estado de deferís,. El Centra-Almirante Stockfieth y los Capitanes Krabben y Grave son individuos de dicha junta. No causa poca extrañeza en Suecia el procedimiento de la marina inglesa , la qual sin embargo del convenio de Petersburgo se ha apoderado recienteme</t>
  </si>
  <si>
    <t>Stolberg-Wernigerode, Conde</t>
  </si>
  <si>
    <t>Conde Stolberg-Wernigerode</t>
  </si>
  <si>
    <t>Soberano. Asimismo Mr. de Luchesini presentó al Barón Munchauseu, Chambelán de S. M. Prusiana, y al Conde Stolberg-Wernigerode. Finalmente, el ciud. Marescaíchi, Ministro de la República cisalpina ; presentó ai General cisalpino Lechi, y á los ciudadanos Aldini, Servelloni y otros. Todos estos súgetos , c</t>
  </si>
  <si>
    <t>Stonor, Carlos</t>
  </si>
  <si>
    <t>Carlos Stonor</t>
  </si>
  <si>
    <t>O-Daly, D. Pedro Dejouy ,D. Pablo Rosello,D.Miguei 1 uictll,f)on Manuel de Olmedo, D. Joachín Buil, D. Carlos Stonor, D. Felipe Ancora v D. Benito Albini; á primeros Subtenientes a los segundos D. Agustín Poncerot, D. Bernardo Álvarez, D. Blas Áivarez, D. Joseph Aguado y ÓquenHo , D. Tomas Cante</t>
  </si>
  <si>
    <t>Stori</t>
  </si>
  <si>
    <t>de caballería. Finalmente, Mr. Murray, Ministro plenipotenciario de los Estados-Unidos, presentó á Mr. Stori ¿ ciudadano de dichos Estados. r &gt; Se habían interrumpido los enlaces de amistad que subsistían entre la República francesa y dichos Estados-Unidos de América. El primer Cónsul ac</t>
  </si>
  <si>
    <t>Stori, Almirante</t>
  </si>
  <si>
    <t>Almirante Stori</t>
  </si>
  <si>
    <t>arina de la República, inclusos los marineros. En la propia Cámara Se ha leído una carta del Contra-Almirante Stori, que está prisionero en Inglaterra, y pedia se le comunicasen los cargos y acusaciones que le han hecho sobre su conducta quando la entrega de la esquadra bátava á los ingleses: p</t>
  </si>
  <si>
    <t>Stoult, Teniente General</t>
  </si>
  <si>
    <t>Teniente General Stoult</t>
  </si>
  <si>
    <t>perse^nirt k los értemi^ós hasta él TagltanáehfOv se tramaba una • étonspfraéion en riaiñbnte. Él ■ Teniente General Stoult tomó al ínstente providencias que desconcertaron á los conspiradores. Las tropas piamonteeáis a^redicátton en ésta circunstanda que están á cubierto de toda seducción,</t>
  </si>
  <si>
    <t>Straton</t>
  </si>
  <si>
    <t>nistro de Inglaterra en esta corte, ha obtenido su retiró, y no tardará en restituirse á su patria. Mr. Straton, Secretario de embaxada, queda por Encargado de Negocios hasta la llegada de otro Ministro. Hannóver 11 de Abril, E 1 cuerpo de t4© prusianos que está en marcha, tomará el dia 16</t>
  </si>
  <si>
    <t>ñctUA tendr i su primer audiencia del Emperador, en la qual su ;aiitecesor se despedirá de S. M-----Mr. Straton, .secretario de dicha ¿mbaxada inglesa, va a Constantinopla, en donde residirá como Ministro interino de U8U’Ena'breve se espera aquí al Conde Luis de Cqbehtzel, que vuelve de - P</t>
  </si>
  <si>
    <t>ca, se está disponiendo £ salir de aquí para volver á su patria; pero antes hará un viage á Egipto. Mr. Straton, que ha de reemplazarle en calidad de Ministro extraordinario, llegará quanto antes á Viena. Una fragata inglesa, que ha venido de Alcxandría, tráxo ios primeros tributos de Egipt</t>
  </si>
  <si>
    <t>Strick de Linschoten</t>
  </si>
  <si>
    <t>iney, que va de Ministro de los Estados-Unidos á la corte de Madrid, y el ciud. Strick de Linschoten, Ministro que fue de la República bátava en Stuttmmd. Habiendo sabido este gobierno por un correo extraordinario que el Rey de,« Inglaterra habla ratificado los preliminares de paz, ha dado</t>
  </si>
  <si>
    <t>Stuart, General</t>
  </si>
  <si>
    <t>General Stuart</t>
  </si>
  <si>
    <t>90 muertos ó heridos; pero en la segunda los ingleses derrotaron enteramente á los insurgentes. El General Stuart ha tomado el mando de aquel país. Una carta de Bombay escrita en el mes de Marzo refiere la muerte del hermano del Rajah de Petumber*. dos mugeres mozas, viudas del difunto, se qu</t>
  </si>
  <si>
    <t>Stuwart</t>
  </si>
  <si>
    <t>604 Se asegura que el mismo Mr. Stuwart ha traído también una carta del Rey de Inglaterra para el Príncipe Real. Parece que se han despachado órdenes para que las tropas dinamarquesas se retiren de Hamburgo. Berlín 12 d</t>
  </si>
  <si>
    <t>Stuwart, Coronel</t>
  </si>
  <si>
    <t>Coronel Stuwart</t>
  </si>
  <si>
    <t>que representó al cuerpo de labradores en 4 dietas generales de Suecia. Copenhague 13 de Mayo. E 1;Coronel Stuwart^qus vino de Lóndres en calidad de correó, tnxo al Almirante Parker la orden dé entregar el mando de la esquadra inglesa ert el Báltico al Almirante Nelson, y de que se restituyese</t>
  </si>
  <si>
    <t>Suaiez, Francisco Antonio</t>
  </si>
  <si>
    <t>Francisco Antonio Suaiez</t>
  </si>
  <si>
    <t>López Fando. Por el Juzgado del Sr. Teniente prime» de Coraqgvdor D. Juan Antonio «*»T v Tfi-io de D. Francisco Antonio Suaiez, se -subasta *ina escribanía 4e número y perteneciente Á la ocurrencia de acsudores Llanada A ios</t>
  </si>
  <si>
    <t>Suárez Carbonero, Joseph</t>
  </si>
  <si>
    <t>Joseph Suárez Carbonero</t>
  </si>
  <si>
    <t>io de Salamanca: para una Media-Ración de la metropolitana de Sevilla, vacante por fallecimiento de D. Joseph Suarez Carbonero, i D¿ Joseph María de Tovar: para otra.de la propia iglesia , que vacó por muerte de D. Juan Machado, á D. Miguel Luis González, Cura de la parroquial de Sta. Catalina de aquella</t>
  </si>
  <si>
    <t>Suárez de Villar, Domingo Antonio</t>
  </si>
  <si>
    <t>Domingo Antonio Suárez de Villar</t>
  </si>
  <si>
    <t>para ü Catfqngía de la colegial de Santillana, diócesis de Santander,» vacante por fallecimiento de D. Domingo Antonio Suarez de Villar, á í). Joseph, Ramón Ru.iz:,para la Media-Ración de la metropolitana de Granada, vacanre por, muerte de D. Gaspar de Amorovieta, á D. Baltasar Melchor Carretero: para el Beneficio</t>
  </si>
  <si>
    <t>Suárez Montenegro, Luis</t>
  </si>
  <si>
    <t>Luis Suárez Montenegro</t>
  </si>
  <si>
    <t>ez, á D. Antonio Vidaurreta; para la Ración titular de la ca* tedral de Lugo, vacante por muerte de D. Luis Suarez Montenegro, á Don Juan Antonio Peñabad de Cale, Capellán de número de la Real Armada: para la Média-Ración de la catedral-- de Málaga, vacante por promoción de D. Joseph Lachambre á una. Can</t>
  </si>
  <si>
    <t>Suárez, Alonso</t>
  </si>
  <si>
    <t>Alonso Suárez</t>
  </si>
  <si>
    <t>ómez, y á segundos Subtenientes á los Cadetes de los del Principe, Zaragoza, Toledo, Córdoba y León D. Alonso Suarez, D. Pedro Sagarra , 0. Pedro Refojos Pardmas, 0, Gerónimo Pogio y D. Hermeaegil—' do Ceva]los;,á los Sargentos primeros del de Murcia 0. Francisco Román del Llano,-del de Navarra</t>
  </si>
  <si>
    <t>Suárez, Francisco Antonio</t>
  </si>
  <si>
    <t>Francisco Antonio Suárez</t>
  </si>
  <si>
    <t>ernandez Henestrosa , natural que fué de la villa de Navalcarnero, vecina de esta corte, y viuda de D. Francisco Antonio Suarez, que falleció en a de Febrero del año pasado de 1800, para que dentro del preciso último y perentorio término de ó dias acudan al juzgado del Sr. D. Pedro González Calderón, Cabal</t>
  </si>
  <si>
    <t>en i8y3ta8 rs. 2 mrs. Quien quisiere hacer postura á dicha finca acuda ante dicho Señor y oficio de D. Francisco Antonio Suarez. A cons&amp;qüencia de ios Reales decretos, y en virtud de particular comisión con</t>
  </si>
  <si>
    <t>Suárez, Manuel</t>
  </si>
  <si>
    <t>Manuel Suárez</t>
  </si>
  <si>
    <t>ar; su resulta al Subteniente de fusileros O. Manuel García, y una Subtenencia de bandera al Cadete D. Manuel Suarez. En ol regimiento de Milicias disciplinadas de infantería de Guayaquil ha promovido también S. M. á Teniente Coronel al Capitán D. Agustín Oramas; y en el de igual clase de la pla</t>
  </si>
  <si>
    <t>Suárez, Pedro</t>
  </si>
  <si>
    <t>Pedro Suárez</t>
  </si>
  <si>
    <t>........... go. a8. Pedro Suarez...... Ramón...........Josepha de Ponte. Jubin............. Miraflores..... . «jo. a8. Manuel Marifio.... Salvador....... Juana Diego....... Pedras........... Mahia.</t>
  </si>
  <si>
    <t>Subo, Conde</t>
  </si>
  <si>
    <t>Conde Subo</t>
  </si>
  <si>
    <t>bow, que filé despedidodel-servicio de Pajilad* acaba de ser promovido á General d» infantería 5 el Conde Subo&gt;v, Gene?ral "de* caballería , ha&gt; sidó nombradv xefe del regimidñtq dejeqráceros de guardias dé SV M, Imperial j^yjqs, Cpnd^ Y Nesselrpdp yucl ven i servir los empleos qué-tenían</t>
  </si>
  <si>
    <t>Subow, Conde</t>
  </si>
  <si>
    <t>Conde Subow</t>
  </si>
  <si>
    <t>estan nombrados el General Feld-Mariscal Conde de Soltickow, los Generales de infantería Príncipe y Conde Subow, el Vice-Canciller Príncipe Kurakin, el Vice-Presidente del Consejo de guerra Lamba, el General de infantería y Procurador general BeklechoíF, el Tesorero de estado Barón Wazilief</t>
  </si>
  <si>
    <t>Suchet, General</t>
  </si>
  <si>
    <t>General Suchet</t>
  </si>
  <si>
    <t>ze, que me parecían importantes como punto intermedio de Castel-Nuovo, y que cubría á Peschiera. El General Suchet los atacaba por el frente , y el General Delmas por la espalda. Impaciente este General al ver que tardaban en rendirse, corrió al reducto principal, y llamando ál oficial austríaco l</t>
  </si>
  <si>
    <t>SuíToick, Lord</t>
  </si>
  <si>
    <t>Lord SuíToick</t>
  </si>
  <si>
    <t>baxo las órdenes dH Almirante Cornwallis. Hizo rumbo á poniente. En la Cámara de los Pares habló el Lord SuíToick el mismo día 30 so</t>
  </si>
  <si>
    <t>SurcoufF, Capitán</t>
  </si>
  <si>
    <t>Capitán SurcoufF</t>
  </si>
  <si>
    <t>a de 336 hombres, inclusos no soldados y un General. Después de una hora de combate, se resolvió el Capitán SurcoufF á dar el abordage, y para ello le arrojó una bomba que aunque pequeña intimidó mucho á los enemigos. Abordaron entonces Ies franceses, y en menos dé 20 minutos se apoderaron del b</t>
  </si>
  <si>
    <t>Sutter, Joseph</t>
  </si>
  <si>
    <t>Joseph Sutter</t>
  </si>
  <si>
    <t>e Franzonij y D. Antonio Riva; y en el de Betschart á Subtenientes de granaderos á los de fusileros D. Joseph Sutter y D. Camilo Tiny, y á Subteniente al Cadete D. Francisco Gugger. Eí Conseco, á consulta de la Comisión gubernativa de consolidación de Vales, y con aprobación de S. M., ha acordado la</t>
  </si>
  <si>
    <t>Sutton, Capitán</t>
  </si>
  <si>
    <t>Capitán Sutton</t>
  </si>
  <si>
    <t>tuvo, volvio el dia 4 las Dunas, y amo la bandera de mando. Su esquídra queda baxo las órdenes del Capitán Sutton. Ayer mañana salió de Yarmoutli el AUnirante Dickson con 4 navios de línea y tres buques menores para cruzar en las aguas de la isla de Gorea. De orden del gobierno se está alista</t>
  </si>
  <si>
    <t>Suzzo, Príncipe</t>
  </si>
  <si>
    <t>Príncipe Suzzo</t>
  </si>
  <si>
    <t>otros: carecen sobre todo de vino y aguardiente. Entre los ingleses hay también muchos enfermos. El Príncipe Suzzo ha tenido que pagar á los bandoleros que le prcmdiéron una suma muy crecida por su rescate, y ha tornado otro camino para concluir su viage. Háblase de la partida de varios oficia</t>
  </si>
  <si>
    <t>Rusia. Ha llegado á esta capital con toda su familia el Hespodar Príncipe Ipsilanti. Su sucesor el Príncipe Suzzo sé halla ya en su nuevo destino. Todo indica que no tardará en ajustarse la paz con Francia, cuya alian** za es la mas antigua de las que han contraído los turcos con las potencia</t>
  </si>
  <si>
    <t>Suzzosaliddeíiqoí, Príncipe</t>
  </si>
  <si>
    <t>Príncipe Suzzosaliddeíiqoí</t>
  </si>
  <si>
    <t>Í)E ¿8ox. *. ¡ f-1' ÍÜ Oí:,j, ;&gt; í?:nv¿íi. Constantinopia ip de Agosto, f'.í "•* ; '1 1i.i'Hf JcLl Príncipe Suzzosaliddeíiqoí 3 con su y ^e^l^nibfe pira Moldavia. LÍevafea una csqpíta.d? gienízatos; y siii -embargo de ello ha sido ¿tapado en el camino por una .gavilla 4é¡ bandoleros armados., que ademas</t>
  </si>
  <si>
    <t>Symes, Capitán</t>
  </si>
  <si>
    <t>Capitán Symes</t>
  </si>
  <si>
    <t>o mucha extensión las relaciones de los ingleses con el Reyno de Ava de resultas de la embocada del-Capitán Symes á la corte de Urmarapoor, algunos comerciantes viajaron por aquel país, y entre otros objetos de curiosidad é ínteres, encontrárdn, manantiales de una substancia mineral muy semej</t>
  </si>
  <si>
    <t>T Francisco Carabano, Miguel</t>
  </si>
  <si>
    <t>Miguel T Francisco Carabano</t>
  </si>
  <si>
    <t>e, D. M*uycio Estrada, á los Cadetes D. Franc.sco X,vior de Parcelo, que 1c. e* del de Extremadura, D. Miguel T D Francisco Carabano, D Joseph V»dal y D. Bartolomé Polo, y al Soldado distinguido del de Malaga D. Tade°¿iTos1 raimientos provinciales se ha servido el Rey nombrar Sargento mayor del de Soria á D. Fr</t>
  </si>
  <si>
    <t>Taboada, Francisco</t>
  </si>
  <si>
    <t>Francisco Taboada</t>
  </si>
  <si>
    <t>ncipal 133 rs. : 24 rs* de renta á dinero, que se pagan por los ferales de Pedro González C-cheda y D. Francisco Taboada, regulados en feo rs. : s 500 rs., regulados de producto por un quinquenio al servicio ordinario de ios vasallos de la jurisdicción de Lleza , con exclusión de eclesiásticos , neb</t>
  </si>
  <si>
    <t>Tade</t>
  </si>
  <si>
    <t>T D Francisco Carabano, D Joseph V»dal y D. Bartolomé Polo, y al Soldado distinguido del de Malaga D. Tade°¿iTos1 raimientos provinciales se ha servido el Rey nombrar Sargento mayor del de Soria á D. Francisco Calonge, que lo era del de Avila, y ® ¿ esta resulta i D. Francisco Meodiri,</t>
  </si>
  <si>
    <t>Táfalla, Juan</t>
  </si>
  <si>
    <t>Juan Táfalla</t>
  </si>
  <si>
    <t>fio dé 1^92 , en él qiiál sé Aumentan las especies de quina nuevamente descubiertas en eí Perú por D, Juan Táfalla, y lá quina naranjada de Sta. Fe, con su estampad Afíá-' dése la respuesta á la memoria de las qdinas de Sta. Fe, que insertó D. Francis-1 cb Zea en los Analeé dé historia natural</t>
  </si>
  <si>
    <t>Tafur, Joseph Manuel</t>
  </si>
  <si>
    <t>Joseph Manuel Tafur</t>
  </si>
  <si>
    <t>tado Zapata: empleo de Portaguión del regimiento de Milicias urbanas de dragones de Chota al Cadete D. Joseph Manuel Tafur: Compañía de granaderos en el de Milicias urbanas de infantería de Andabuaylas al Capitán de fusileros D. Juan Baltasar de Aldazabal; Compañía d¿ fusileros al Teniente D. Pascual</t>
  </si>
  <si>
    <t>Tajonera y Vidal, Joseph</t>
  </si>
  <si>
    <t>Joseph Tajonera y Vidal</t>
  </si>
  <si>
    <t>..................... . 746,565, Doña María Josepha Pisón y Dalmases con Ios J 1 f* v r J 4504,518. D. Joseph Tajonera y Vidal............................ 522,591. D. LuisPuig............... 523,729.</t>
  </si>
  <si>
    <t>Talbot</t>
  </si>
  <si>
    <t>ue se retire inmediatanunté de allí. Hace 6 dias salió de esta ciudad para restituirse á Inglaterra Mr. Talbot, que vino el verano último en calidad^de Encargado de Negocios de S. M. británica. Mr. de Ehrénsverd, Plenipotenciario sueco en Lóndrés, habrá salido de -aquella ciudad quando lle</t>
  </si>
  <si>
    <t>a ciudad el Príncipe Real de su viage á Helsingborg. A principios de la semana última salió de aquí Mr. Talbot, que era En** eargado de Negocios de Inglaterra en Suecia ; y habiendo encontrado en su camino un correo despachado de Londres á Mr. Drummond, volvió con ¡él para saber por el con</t>
  </si>
  <si>
    <t>Tallien</t>
  </si>
  <si>
    <t>rédito, pues se había hallado falsa en varios puntos. ,,Por cxemplo (añadió) se asegura en ella que Mr. Tallien había perdido un ojo; y todos ios vocales pueden reconocer que ios tiene muy sanos.” Concluida la sesión fueron Mr. Sheridan y el General Tarleton á conversar con el ciud. Tallien</t>
  </si>
  <si>
    <t>Tallo, Juan Antonio</t>
  </si>
  <si>
    <t>Juan Antonio Tallo</t>
  </si>
  <si>
    <t>esta córte , en junta general celebrada el 16 de Diciembre del año próximo pásadó adjudicó al Lie. D. Juan Antonio Tallo , su individuo de número y áctnaf Secretario, él premio de la medalla académica, que con arreglo á sus constituciones'acostumbra señalar anualmente á aquel de sus individuos qué m</t>
  </si>
  <si>
    <t>Tamara</t>
  </si>
  <si>
    <t>ifestó el sumo aprecio que hacia de la amistad del nuevo Soberano de Rusia, y quan grato le era que Mr. Tamara permaneciese en Constantinopla. Concluida la audiencia presentó el Gran Visir á dicho Embr.xador de parte de S. A. un solitario valuado en 10© florines; y á las demas personas de</t>
  </si>
  <si>
    <t>Tamara, General</t>
  </si>
  <si>
    <t>General Tamara</t>
  </si>
  <si>
    <t>on todos loS Ministros otomanos. Dícese que en él se trato sobre uni representación enérgica que el General Tamara, Embaxador de Rusia, liá héchp contra la expedición de los ingleses á Egipto. Entre otras cosas expone la corte de Rusia que la Sublime Puerta dehe oponerse á dicha ex*</t>
  </si>
  <si>
    <t>GAZETA DE MADRID DEL MARTES 14 DE JULIO DE 1801. Conslantinomia 12 de Mayo. -ül General Tamara se presento uno de estos días al Gran Señor, y en audiencia publica le entregó sus nuevas credenciales como Embaxador de Rusia. S. A. ai recibirlas le dirigió la palabra; ío qual</t>
  </si>
  <si>
    <t>Tancredi, Antonio</t>
  </si>
  <si>
    <t>Antonio Tancredi</t>
  </si>
  <si>
    <t>ph Aldrete; á Teniente de fusileros al Subteniente de cazadores D. Luis loa** ñez, y á su resulta á D. Antonio Tancredi, Subteniente de fusileros: en el de Málaga á Teniente de fusileros á D. Luis de Sousa, Subteniente de granaderos-; á este empleo á D. Francisco López Bueno, Subteniente de fusiler</t>
  </si>
  <si>
    <t>Tar</t>
  </si>
  <si>
    <t>iones de la citada plaza. &lt; Motivos de mi fe en Jesuchristo : disertación traducida del francés por D. Tar— quato Torio de la Riva, y escrita por Mr. Vouglans, Consejero del gran Consejo en París , para hacer ver á los incrédulos: i.° la divinidad de nuestra religión y de las sagradas</t>
  </si>
  <si>
    <t>Tarjuclo, Mateo</t>
  </si>
  <si>
    <t>Mateo Tarjuclo</t>
  </si>
  <si>
    <t>........... 4a. ia. Mateo Tarjuclo... Juan.............. Isabel Barbula..... Consuegra...;. Toledo.............. 7$. 34, Agustín JPano...... Agustín......... Antonia Pueyo.... Barbastro.......</t>
  </si>
  <si>
    <t>Tarleton, General</t>
  </si>
  <si>
    <t>General Tarleton</t>
  </si>
  <si>
    <t>ios vocales pueden reconocer que ios tiene muy sanos.” Concluida la sesión fueron Mr. Sheridan y el General Tarleton á conversar con el ciud. Tallien, ei qual pasó luego á oir los debates de ía Cámara de los Pares, ~XT Maya j de Abril. V arios navios de línea ingleses se avistaron el 28 desde ía</t>
  </si>
  <si>
    <t>Tasa, Luis</t>
  </si>
  <si>
    <t>Luis Tasa</t>
  </si>
  <si>
    <t>........... x^S. 2. Luis Tasa,,..,.,..... Félix... Antonia Romero,. Alcanadre..... Idem...... ....... Ó63. 21. Ramón Sanz,....... Miguel Orosia Sanz......... La Res........</t>
  </si>
  <si>
    <t>Tasi</t>
  </si>
  <si>
    <t>s :fuerzas de tierna * rentas, v policía* justicia , -politica y ¿comercio:: escrita en francés por Mr. Tasi, Comisario de la marina francesa , traducida é ilustrada con un sucinto relato de; la reciiperacion de Oran y tres mapas geográficos de dichos creyuo^ por p.í Joseph jAntpniQiCiar</t>
  </si>
  <si>
    <t>Tason, Juan</t>
  </si>
  <si>
    <t>Juan Tason</t>
  </si>
  <si>
    <t>e S. Miguel; para otra Canongía vacante en la propia colegial por fallecimiento de D. Juan Parra, á D. Juan Tason; y para la Ración de la colegial de Xerez de la Frontera, en el dicho arzobispado de Sevilla, vacante por fallecimiento de D. Ignacio Virto, á D, Antonio Joseph Granado, Cura de S</t>
  </si>
  <si>
    <t>Tatter</t>
  </si>
  <si>
    <t>ubre. S egun cartas de Hannóver el Conde de Munster, que había ido á Londres, ha salido de allí con Mr. Tatter» secretario de legación, para Petersburgo, adonde lleva un encargo extraordinario de su Soberano. En nombre de los Príncipes de Nassau-Orange, Usingen y Weilburgo se celebran en D</t>
  </si>
  <si>
    <t>Taváres, Francisco</t>
  </si>
  <si>
    <t>Francisco Taváres</t>
  </si>
  <si>
    <t>ccessit, se indican los sistemas establecidos en ei mundo conocido para el mismo objeto.__ El socio D. Francisco Taváres ofrece 600 rs. al pueblo que acredite con documentos correspondientes tener en su término mayor numero de niños expósitos de ambos sexos destetados y existentes en 31 de Agosto de</t>
  </si>
  <si>
    <t>Tayll, Alexandro</t>
  </si>
  <si>
    <t>Alexandro Tayll</t>
  </si>
  <si>
    <t>ia D. Pedro Antonio Ferrero; y á Subtenientes en los de Suizos de Rutimin y Betschart á los Cadetes D. Alexandro Tayll y D. Jacobo Wasser: en el batallón de infantería de Canarias á Capitán al primer Ayudante D. Juan Bataller; á primer Ayudante al primer Teniente D. Félix Uriundo; á primer Teniente al</t>
  </si>
  <si>
    <t>Taylor</t>
  </si>
  <si>
    <t>esar una de dichas cañoneras; pero quedaron casi destruidas por el vivísimo fuego de los españoles. Mr. Taylor, primer Teniente de la Cleopatra, y 3 marineros fuéron muertos, y otros 6 hombres heridos; y de la Andrómaca 6 perdieron la vida, y 10 quedaron heridos de gravedad. •. ... r. ‘ Ac</t>
  </si>
  <si>
    <t>Tealdo, Agustín</t>
  </si>
  <si>
    <t>Agustín Tealdo</t>
  </si>
  <si>
    <t>este de granaderos. En el de infantería de Granada á primer Teniente de granaderos al de fusileros D. Agustín Tealdo: en el de España á segundos Subtenientes al Sargento primero de granaderos del de Mallorca D. Tomas González, y al Alférez de Fragata.de Ja Real armada D. Joseph Valcárcel; y en e</t>
  </si>
  <si>
    <t>Tejero, Diego</t>
  </si>
  <si>
    <t>Diego Tejero</t>
  </si>
  <si>
    <t>a, han resultado mas beneméritos y agraciados con los tres premios de á 5.5 pesos D. Leoncio López, D. Diego Tejero y D. Francisco Bercial, y con los otros tres premios de,á 3^ pesos D. Bonifacio Vega , D. Manuel Prieto y D. Isidoro Moraytá. Como aun quedaban jóvenes dignos de particular atención p</t>
  </si>
  <si>
    <t>Telíer, Manuel</t>
  </si>
  <si>
    <t>Manuel Telíer</t>
  </si>
  <si>
    <t>... ...... rag. 10. Otro. Manuel Telíer........ ........... Antonio......... Gracia Martínez.. Lesiñena........ Zaragoza....... 101. 22. Cabo a.° Lúeas Sacanillas...... Pascual........ , Francisca Monfor</t>
  </si>
  <si>
    <t>Temple, Conde</t>
  </si>
  <si>
    <t>Conde Temple</t>
  </si>
  <si>
    <t>es quizá tan ventajosa como era posible hacerla en las circunstancias en que nos habían puesto.” El Conde Temple declaró que no podía aprobar la paz; y sin embargo, votó á favor de la respuesta de gracias, la qual se aprobó unánimemente en ámbas Cámaras. Espérase en breve la esquadra de la Manc</t>
  </si>
  <si>
    <t>Teniente de Guardias Warren</t>
  </si>
  <si>
    <t>rdida. El Teniente Coronel Dickson, los Sargentos mayores Ogle y Vigoreux, y el Teniente de Guardias Warren, hijo único del Contra-Almirante de este nombre, perdiéro.n la vida en el encuentro de 13 de Marzo; y el Teniente Coronel Erskine perdió una pierna.'Otros muchos oficiales se nombran co</t>
  </si>
  <si>
    <t>Tenorio de la Vanda, Manuel</t>
  </si>
  <si>
    <t>Manuel Tenorio de la Vanda</t>
  </si>
  <si>
    <t>e libros á D. Joseph María Teran; y las de Oficiales de glosa de primera, segunda y tercera clase á D. Manuel Tenorio de la Vanda,Don Manuel Arnaiz y D. Rafael Rincón. Consiguiente á lo que se anunció al público por medio de los diarios de 24 y 28 , y la gazeta de 26 de Diciembre último, se verificó en la ma</t>
  </si>
  <si>
    <t>Tenorio y Giles, Joachín</t>
  </si>
  <si>
    <t>Joachín Tenorio y Giles</t>
  </si>
  <si>
    <t>orre y D. i'oseph Alvarez de Escovar, y á Subtenientes de granaderos y cazadores á*los de fusileros D. Joachin Tenorio y Giles y D. Francisco de Silva Berlanga; en el de Bujalance á Teniente de fusileros al Subteniente D. Fernando Fernandez de Arroyo, y á Subteniente de cazadores al de fusileros D. Joseph Muñ</t>
  </si>
  <si>
    <t>Teobaído Chichera, Francisco</t>
  </si>
  <si>
    <t>Francisco Teobaído Chichera</t>
  </si>
  <si>
    <t>97° pitancs á los Tenientes de granaderos D. Antonio Cabnnety ,. D. Francisco Teobaído Chichera y ai Ayudante, graduado de fcapitan, D. Federico Hackenhergerj á Teniente de granaderos al de fusileros D. Llris Richenbach, y á grado de^Cagitan al Ayudante m^s antiguo del mismo c</t>
  </si>
  <si>
    <t>Teodoro Bríngss, Pedro</t>
  </si>
  <si>
    <t>Pedro Teodoro Bríngss</t>
  </si>
  <si>
    <t>Joseph Herrera Ladrón y D. Ramón Castriilo Cevallos: en el de Momerey la Subtenencia de cazadores á D. Pedro Teodoro Bríngss , Subteniente de fusileros, y Subtenencia de esta clase á D. Nicolás Sarmiento: Subtenencias de fusileros en los de Logroño y Toledo á Don Ramón García de Araoz y D. Pedro Lorenzo</t>
  </si>
  <si>
    <t>Teodoro de Almeyda</t>
  </si>
  <si>
    <t>en Sevilla en la de Rerard , y en Granada en la de Cea. La Preciosa: alegoría moral atribuida al P, D. Teodoro de Almeyda, que del idioma portugués traduxo al castellano para común utilidad y recreo espiritual «el pueblo, christiano D. Francisco Narciso Varelp. de Castro : un tomo en 4.0 Véndese en;</t>
  </si>
  <si>
    <t>Teodoro de Almeydá</t>
  </si>
  <si>
    <t>ión de las personas curiosas que no ban freqiientado las aulas: obra escrita en portugués por el P. D. Teodoro de Almeydá, de la congregación del oratorio de San Felipe Neri, y déla academia de las Ciencias de Lisboa. Segunda impresión corregida y aumentada: 10 tomos en 8.° marquilia. Se hallará en l</t>
  </si>
  <si>
    <t>8.° marquilla, á 18 rs. en papel, ta, 30 en rustica, y 24 en papel. y 23 en pasta. Sermones del P. D. Teodoro de Almeyda* Cartas de Leonardo Euler á una Prin­ traducidos por el P. D. Francisco Vázquez: cesa de Alemania sobre varias materias de 3 tomos, á 36 rs. en pasta, y 22 en papel. Física y Filo</t>
  </si>
  <si>
    <t>Teran, Joseph María</t>
  </si>
  <si>
    <t>Joseph María Teran</t>
  </si>
  <si>
    <t>ase á Don Manuel Fernando Mascato: la de Archivero á D. Joseph María Orañez; !a Oficial de libros á D. Joseph María Teran; y las de Oficiales de glosa de primera, segunda y tercera clase á D. Manuel Tenorio de la Vanda,Don Manuel Arnaiz y D. Rafael Rincón. Consiguiente á lo que se anunció al público</t>
  </si>
  <si>
    <t>Teresa</t>
  </si>
  <si>
    <t>referido lugar; el Sr. D. Andrés González de Barcia, del Consejo de Castilla, por sí y á nombre de Doña Teresa, su tia, y de Doña Felipa y de D. Manuel González de Barcia, sus hermanes; el R. P. Abad del colegio de S. Vicente, orden de S. Benito, de la universidad de Oviedo, y demas compat</t>
  </si>
  <si>
    <t>Francisco de Echevarría y Maortua,que tienen que comunicarles asuntos que importan mucho á la misma Doña Teresa ó sus herederos. Casimiri Gomezii Ortegae , ¿Botan". professoris., Pharmacop. «t B/hdici Regíi •Hóndrarii, riovarum , aut rariorum plantarum descriptionurn : Decas noca et deCimá.</t>
  </si>
  <si>
    <t>Teresa Ana Brígida Berangier</t>
  </si>
  <si>
    <t>oriales á la Justicia, que Jos admitirá hasta el 13 de Enero próximo. Se desea saber el paradero de Doña Teresa Ana Brígida Berangier, si es muerta ó viva y y en el primer caso quienes son sus albaceasró herederos. £1 año ce 1797 vivía en Cádiz, en el barrio de S. Lorenzo: los,que tupieren; intereses con ■dicha</t>
  </si>
  <si>
    <t>Terraíba, Gabriel</t>
  </si>
  <si>
    <t>Gabriel Terraíba</t>
  </si>
  <si>
    <t>mera titulada de Ja Mitacion de Tcba, en la misma diócesis de Córdoba, vacante por fallecimiento de Don Gabriel Terraíba, á D. Diego Perez Bravo. En la compañía Española, del Real cuerpo de Guardias de Corps ha nombrad© el Rey Cadete de numero al supernumerario D. Andrés de Castro: en lá compañía It</t>
  </si>
  <si>
    <t>Terrene, Pedro</t>
  </si>
  <si>
    <t>Pedro Terrene</t>
  </si>
  <si>
    <t>gento primero de granaderos D. Francisco Fernandez: en el de Borbon á primer Subteniente al segundo D. Pedro Terrene, y á segundo Subteniente al Teniente del provincial de Mallorca D. Miguel Hermand: en el de Mallorca á primer Teniente ai segundo de granaderos D. Joachín Armendariz</t>
  </si>
  <si>
    <t>Texedor Carranza, Francisco</t>
  </si>
  <si>
    <t>Francisco Texedor Carranza</t>
  </si>
  <si>
    <t>ados anuales cobrados en tercios. Se admiten memoriales en todo el mes dé Mayo por Jos comisionados D. Francisco Texedor Carranza y D. Gabriel García Sobrino , diputado y procurador del común de aquella villa. v ^ Se cesta saber el paradero de Bernardo Sabxl, natural de Saffrbriíck en Alemania, que fue primtr Sa</t>
  </si>
  <si>
    <t>Teyxeira, Pedro</t>
  </si>
  <si>
    <t>Pedro Teyxeira</t>
  </si>
  <si>
    <t>pción del Rey no de Portugal y de los Rey nos de Castilla que parten con su frontera, delineada por D, Pedro Teyxeira, dedicada al Sr. Rey D. Felipe IV por D. Joseph Lendinez de Guevara. Véndese en casa-de Sotos á 20 r*. Teatro nuevo español, ó colección de las piezas dramáticas nuevas, que desde</t>
  </si>
  <si>
    <t>Tharreau, General</t>
  </si>
  <si>
    <t>General Tharreau</t>
  </si>
  <si>
    <t>cer el tratado que asegura su posesión al exército francés. Os remito copia de la intimación que el General Tharreau hizo al Gobernador de Porto-Ferrayo, y de la respuesta de este. Aunque parece resuelto á defenderse,**espero comunicaros el correo próximo la rendición de la plaza y la ocupación</t>
  </si>
  <si>
    <t>Thompson, Tomás</t>
  </si>
  <si>
    <t>Tomás Thompson</t>
  </si>
  <si>
    <t>or resultas ei ajuste de un armisticio. Dos Capitanes ingleses, Mrs. Rion y Moff, fuéion muertos; y Mr. Tomas Thompson perdió una pierna. La Cámara de Representantes de los Estados-Unidos americanos , en junta de 17 de Febrero, proclamaron por nuevo Presidente, por 4 años, á Mr. Tomas Jtíferson, e</t>
  </si>
  <si>
    <t>Thureau, General</t>
  </si>
  <si>
    <t>General Thureau</t>
  </si>
  <si>
    <t>fs, oficial de la Secretaría de Hacienda. Hay alguna inquietud en muchos Cantones, y se dice que el General Thureau irá al Valais con un cuerpo de tropas. Milán 5 de Noviembre* S egun avisos de Roma, así que el Sto. Padre supo por un extraordinario que le envió el prim.r Cónsul, la conclusión d</t>
  </si>
  <si>
    <t>Thurreau, General</t>
  </si>
  <si>
    <t>General Thurreau</t>
  </si>
  <si>
    <t>1301 General Thurreau. Luego que se verifique la cesión del Valais, se cederá el Frikthal á la República helvética: la parte oriental se añadirá al Cantón de Argovia, y la occidental se agregará al de</t>
  </si>
  <si>
    <t>Tierney</t>
  </si>
  <si>
    <t>? El Lord Hawkesburi sostuvo qee Mr. Smitíi no concurrió como’ parte directa al convenio de Egipto. Mr. Tierney dixo que convenia averiguar si el Lord Keith había escrito la mencionada carta por orden de ios. Ministros. „£í hecho de que se, trata es muy grave: si sale cierto, será un.</t>
  </si>
  <si>
    <t>e no tienen mas objeto que satisfacer la curios!-' dad personal de algunos vocales; pero le replicó Mr. Tierney extrañando que los Ministros resistiesen comunicar las luces que se requieren para probar la existencia de un número de tropas que cuestan á la nación 6oo2&gt; libras esterlinas cada a</t>
  </si>
  <si>
    <t>ron hablando algunos vocales á favor de la proposición de Mr. Grey, y. otros peroraron contra ella. Mr. Tierney preguntó si el Ministro de Guerra continuaría aun mucho tiempo desperdiciando Jos tesoros y derramando la sangre de los ingleses. El Presidente le advirtió que se excedía; y Mr. T</t>
  </si>
  <si>
    <t>ervicio de la marina, inclusos 30© soldados, por tiempo; de 70 meses con-r tados desde 21.de Marzo. Mr. Tierney observó que nastaiahpraj jamas se habían concedido para este servicio- mas de 12 ó© hombres* y qil^aun es^ tos se habían reducido á no©. Mr. PÍtt contestó que la colicicm , del No</t>
  </si>
  <si>
    <t>Inglaterra : según el primero, que es de Mr. Morcan, asciende á 506.136,972 libras: el segundo, por Mr. Tierney, la reduce á 490.009,846; y según el tercero , presentado al Parlamento por el Canciller del Echiquier, y aprobado por la Cámara baxa, no pasa de 426.207,865 libras, ó 2557.247,19</t>
  </si>
  <si>
    <t>que había de hacer el 18 sobre que se examine la conducta de los últimos Ministros. A propuesta de Mr. Tierney se revocará con alguna anticipación la orden que prohibía á los panaderos la venta de pan reciente,supuesto que ya han cesado las causas que obligaron á tomar aquella providencia.</t>
  </si>
  <si>
    <t>e que se tratase de este asunto durante las negociaciones de paz; y Mr. Burdet convirrer en elfo. ’ Mr. Tierney pidió en otra sesión que se concediese á los particulares la libertad de hacer el comercio de la India. Mr. Addington se opuso á esta proposición diciendo que 1* compañía oriental</t>
  </si>
  <si>
    <t>Tierra, Domingo</t>
  </si>
  <si>
    <t>Domingo Tierra</t>
  </si>
  <si>
    <t>e al Subteniente de granaderos D. Christóbal Vilanoba; .4 Subteniente de granaderos al de fusileros D. Domingo Tierra; á primer Subteniente al segundo D, Isidro Valverde, y á segundo Subteniwate al Cadete del de Africa D. Antonio deVizmes: habiendo nombrado también Capellán del tercer batallón de</t>
  </si>
  <si>
    <t>Tiirreau, General</t>
  </si>
  <si>
    <t>General Tiirreau</t>
  </si>
  <si>
    <t>s en es^ fado de servfrrv y en¿c«ya:construcción y establecimiento se emplearán estas sumas. 5.0 El General Tiirreau , que está encargado de abrir un camino de comunicación entre el Simplón y la Cisalpina, y los Prefectos de los dehospicios! El 26 de Febrero llegó á París el-Condede Cobeñtzel. P</t>
  </si>
  <si>
    <t>Timoteo de Ribera, Francisco</t>
  </si>
  <si>
    <t>Francisco Timoteo de Ribera</t>
  </si>
  <si>
    <t>, al Sargento segundo voluntario D. Manuel Cortes y Obel, y á los paisanos D. Vicente García Seijo, D. Francisco Timoteo de Ribera, D. Manuel Estéban de Olivares, D. Gregorio Gómez de Ap iricio, D. Joseph de la Barreda, D. Agustín García de Arce, D. Mirtin Mármol, D. Andrés Vázquez, D. Andrés Ximenez, Don Fer</t>
  </si>
  <si>
    <t>Timoteo Inclan Arango, Juan</t>
  </si>
  <si>
    <t>Juan Timoteo Inclan Arango</t>
  </si>
  <si>
    <t>ar-^ cía, D. Pedro Antonio Fernandez y D. Ramón de Veíasco; y á segundos Subtenientes á los Cadetes D. Juan Timoteo Inclan Arango, D. Juan Boixo y D. Juan Naghten; y en el de Ilibernía ha conferido S. M. Coiúpama á su caballero Page D. Antonio Aylnerich; y ha promovido en el de infantería suizo de Reding á S</t>
  </si>
  <si>
    <t>Timoteo O Scanlan</t>
  </si>
  <si>
    <t>ologético, de la inoculación, ó demostración de lo importante que es al particular y al estado; por Don Timoteo O Scanlan, Médico de los Reales exércitos: a tomos en 8.° Se hallarán en la librería de Hurtado., calle de las Carretas. , Catalina, ó la Bella Labradora, comedia nueva en tres actos , trad</t>
  </si>
  <si>
    <t>Tirapegui, Joseph María</t>
  </si>
  <si>
    <t>Joseph María Tirapegui</t>
  </si>
  <si>
    <t>eph Vivancos; y Tenencia veterana en el regimiento de Milicias. disciplijudás de «pañoles de Lima á D. Joseph María Tirapegui. En cumpiimiento de lo m and ado pqr S. M. en la Real-pragmática san.cion de 30 de Agosto del año último, se presentaran desde i.° de Abril .próxbn.o hasta 31.de Mayo los vales de</t>
  </si>
  <si>
    <t>Tirry, Ramón</t>
  </si>
  <si>
    <t>Ramón Tirry</t>
  </si>
  <si>
    <t>Gerónimo dé ¡Luque: para la Media-Racioii que obtiene , y resultará vacante en la rtn$ma iglesia, á D. Ramón Tirry yEacyípata (i. Dignidad de Maestrescuela dé la catedral de Segovia, vacante pór fallecimiento de D. Bernardo Mgrqpéz, á Di Ventura Henrique de 'Padeció,' CíaDignidad de Prior yCario</t>
  </si>
  <si>
    <t>Tisane, Estéban</t>
  </si>
  <si>
    <t>Estéban Tisane</t>
  </si>
  <si>
    <t>nis en id.. 8i. ao. Estéban Tisane........... Silvestre y Catalina Pe¿ayre..... Sureda en id.... 81. a&lt;5l Joseph Girbau...-........ Crispin y Farriola Ves.... ..... . Prada en id...... 60.. 30I Francisco R</t>
  </si>
  <si>
    <t>Toachín Gonzalo Rodríguez</t>
  </si>
  <si>
    <t>o y Losada : para la del Qmmanar de ía Orden á D. Agustín de la Azuela: para ¡a de Segura de León á D. Toachín Gonzalo Rodríguez ; y para la de Villafranca a Don Ventura Martínez de Carballar, todas de primera clase o de entrada, y en ei territorio de la orden de Santiago. . , . El Consejo 4 consulta de la</t>
  </si>
  <si>
    <t>Toledo, Joseph</t>
  </si>
  <si>
    <t>Joseph Toledo</t>
  </si>
  <si>
    <t>de la catedral de la Paz, vacante por ascenso de D. Joseph Eraso á Racionero de la misma iglesia, á D. Joseph Toledo: para una Ración de la propia, vacante or ascenso de D. Juan de Urisa y Almonacid á otra de la de Arequipa, r D. Joseph de Arjona: para la Media Ración , que este dexa, á D. Nicol</t>
  </si>
  <si>
    <t>Toledo, Luis Ángel</t>
  </si>
  <si>
    <t>Luis Ángel Toledo</t>
  </si>
  <si>
    <t>Joseph de Urmeneta, Alcayde de la Real aduana de aquella capital; y ha nombrado para este destino á D. Luis Angel Toledo, Vista primero de ella, y para el que este dexa á D. Manuel Olaverri, Vista segundo de la misma aduana. El Consejo á consulta de la Comisión gubernativa de Consolidación de Vales,</t>
  </si>
  <si>
    <t>Toll, General</t>
  </si>
  <si>
    <t>General Toll</t>
  </si>
  <si>
    <t>n dadas las órdenes en todo el camino para su mayor comodidad durante el viage. Acompañan al Rey el General Toll, el Almirante Cronstet, Mr. de BaJamb, Caballerizo mayor, Mr. de Giiienstope, Capitán de Guardias, uno de sus Gentilhombres, un Oficial de la ChancilJería, un Médico de Cámara &amp;c_</t>
  </si>
  <si>
    <t>S. M., y ha conferido la orden de S. Andrés á Mr. Steding, Embajador de„Suecia c.n aquella, corte,,General Toll. A las demas personas principales de la comitiva ha dado también S. M. Imperial señales de su munificencia. El Rey se proponia no estar mas que 9 dias en Petersburgo: y siendo así</t>
  </si>
  <si>
    <t>Bóurgomg. Después de comer tuvieron■ Sv M. y A. otra ‘conferencia muy larga, á la que concurrió el General Toll. A ias 5 déíá tarde se embaréó él Príncipe de Dinamarca para restituirse a Eiscnéur, y</t>
  </si>
  <si>
    <t>Tomás Esteban</t>
  </si>
  <si>
    <t>-segundo D. Rafael de Mora, y á -segundo Subteniente al Sargento primero distinguido del de ’Saboya D. Tomas Esteban: en el de Aragón á Capitán al Ayudante D. Juan Hungo de Velasco; á esita ¿resulta al primor Teniente D. Antonio Ortega,; á primer Teniente al segundo de granaderos D. Imiis de Sot</t>
  </si>
  <si>
    <t>Tomás Santiago</t>
  </si>
  <si>
    <t>te dd de la Rey na D. Manuel MarjaTaxdo: eh el de Aragon á Capltan al primer Teniente de grauaderos D. Tomas Santiago; ?á 'prither Teniente de granadero» a) de fusileros D. Mateo GtialUr; á primer. Teniente aisegundo de granaderos D. Francisco de Torres; á segundo:Teniente de, granaderos -al de f</t>
  </si>
  <si>
    <t>Tomás Vicente</t>
  </si>
  <si>
    <t>icnza , D. Diego Covarrubias y Leyva, Siete estampas de pliego de marca mayor Juan Urbina , y el P. D. Tomas Vicente de los caballos de Velazquez, grabadas por Tosca: Q.° D. Hugo de Moneada, el Car­ Goya al agua fuerte , en 42 rs. denal Silíceo , Bartolomé de Carranza, Don Trece estampas grabadas al ag</t>
  </si>
  <si>
    <t>Tomasa, Buenaventura</t>
  </si>
  <si>
    <t>Buenaventura Tomasa</t>
  </si>
  <si>
    <t>Subtenientes al Gadete dd regimiento de infantería fixo de Guatemala D. IMefonso de Yóldi y Uclés i D. Buenaventura Tomasa , á este en calidad de agregado. En atencion á las circunstancias de Dv Joseph de Masdévall, primer Médico de Cámara de S.M. ,se haservidoconcederlelos honores dei ConsejodeHacien</t>
  </si>
  <si>
    <t>Tomasi, Pedro</t>
  </si>
  <si>
    <t>Pedro Tomasi</t>
  </si>
  <si>
    <t>. Tomas dá Nueva y completa Gramática Italiana, Ynarte. Un tomo en 8.° marquilla con 6 esc su autor D. Pedro Tomasi , Presbítero. Un tampas dibuxadas y grabadas por hábiles protomo en 4.0 á 13 rs. en papel, y 19 en pasto. fesores, á 30 rs. en papel y 40 en pasta. Grammatica Hebraica completa ex</t>
  </si>
  <si>
    <t>Tomé de Córdoba, Joseph</t>
  </si>
  <si>
    <t>Joseph Tomé de Córdoba</t>
  </si>
  <si>
    <t>üenza á D. Eugenio Sanz Calvo, dei comercio, en Valladolid á D. Manuel Ruiz Picado, ó en Falencia i D. Joseph Tomé de Córdoba. Por providencias del Sr;. D. Juan Antonio Santa María, y escribanía del nú</t>
  </si>
  <si>
    <t>Tomé, Luis</t>
  </si>
  <si>
    <t>Luis Tomé</t>
  </si>
  <si>
    <t>en la baxi'da de Sta. Cruz, casa núm. 2: en Valiadolid k D. Francisco Durango é hijo: en Bílrgos á D. Luis Tomé: en Logroño á D. Marcial Antonio Martínez; y por íó que mira á las provincias exentas en Vitoria á.D. Juan Ramón González de Echavarri, Tesorero de la misma provincia; pues se les</t>
  </si>
  <si>
    <t>Tomis Antelo</t>
  </si>
  <si>
    <t>. Francisco Valdelomar, Subteniente de fusileros: en el de Pontevedra la Subtenencia de cazadores á D. Tomis Antelo, Subteniente de fusileros: en el de Valencia Tenencia de fusileros á D. Alonso Ramos, Subteniente de granaderos: en e! de Castellón de la Plana la Subtenencia de granaderos á D. P</t>
  </si>
  <si>
    <t>Tooke</t>
  </si>
  <si>
    <t>ro ha dado todavía á luz las suyas; pero en el café de Lloyd se ha pu lie ido el siguiente aviso: „Mr. Tooke, Agente de la comparía oriental n Constantinopla, escribe con fecha de 19 de Junio confirmando la noticia de haberse rendido el castillo y ciudad del Gayro a! cabo de varias accio</t>
  </si>
  <si>
    <t>Topea, Antonio</t>
  </si>
  <si>
    <t>Antonio Topea</t>
  </si>
  <si>
    <t>aCí j: - postulará el la acada ai*juzgado ?eS¿r¡sbo:dt&gt; Comisión por Ja. escribanía *dei niímero dé D. Antonio Topea 5a laaai; .*r. .j, v -m \r n-* * irooi &lt;:v ’i En 'la’1 viWal de Jadraque31 provincia de Gusdalaxara , venden las 'restantas fincas pertenecientes á la memoria &lt;d«l Seno. Sacrament</t>
  </si>
  <si>
    <t>Toréate Torio</t>
  </si>
  <si>
    <t>» "J Ortología y diálogos decaítgvafía, aritmética, graméticáycrtografí* crS«llana, dispuestos por D. Toréate Torio «fe JX Riva para de los Reales sémioarios y es-uelas públicas donde se ha esta b lee idosumétedo:chra ír¡cispeosable en el dia para facilitar los maeitrosel que cemprebende él Art</t>
  </si>
  <si>
    <t>Toribio Azebal</t>
  </si>
  <si>
    <t>as urbanas dé caballería de Huanuco al Capitán D. Pedro Antonio de Echegoven; empleos de Teniente á D. Toribio Azebal y D. Estéban Ximenéz, y de Portaestandarte al Sargento primero D. Diego Adalid: Subtenencias de bandera en el de Milicias disciplinadas de'infantería dé Arequipa á los Cadetes D. Jose</t>
  </si>
  <si>
    <t>Toribio Moran</t>
  </si>
  <si>
    <t>e San Pedfo' y D, Pedro de la Cámara1; etr el de- Oviedo Tenencias de fusileros ár los Subtenientes D. Toribio Moran y D. Juan Nepomuceno Vaidés: en eL de Ctd'did-Rodrigo’ Tenencia de fusileros á D. Juan Antonio Frade, Subteniente de granaderos, y esta resulta al Subteniente de fusileros D. Gaspar?</t>
  </si>
  <si>
    <t>Toribio Ximenez</t>
  </si>
  <si>
    <t>ombrar para la Ganongía y Dignidad de Chantre de la colegial de S. Felipe, vacante por promoción de D. Toribio Ximenez á'una Canongía de León, á D. Pedro Antonio Brte: para una Ración de la metropolitana de Tarragona, vacante pon fallecimiento de D. Joseph Bertrán, á D. Rafael de Galli: para el Be</t>
  </si>
  <si>
    <t>Tormo y Pont, Vicente</t>
  </si>
  <si>
    <t>Vicente Tormo y Pont</t>
  </si>
  <si>
    <t>á D. Joseph Roxo Guillen ; y para la Vara de Alcalde mayor de las villas de Adra, B rja y Dalias á D. Vicente Tormo y Pont. También ha venido S. M. en conceder los honores del Consejo de Hacienda á su prim&lt; r Cirujano de Cámara D. Antonio Gimbernat, en consideración á sus servicios; y honores de Alcal</t>
  </si>
  <si>
    <t>Tormo y Vidal, Vicente</t>
  </si>
  <si>
    <t>Vicente Tormo y Vidal</t>
  </si>
  <si>
    <t>la de la Granja dé Torreherrnosa, de primera clase ó entrada, territorio de la orden de Santiago, á D. Vicente Tormo y Vidal. Habiendo resultado vacante por fallecimiento del presbítero D. Antonio Ramos la dirección del colegió de $♦ Telmo de Sevilla, se ha servido S. M.</t>
  </si>
  <si>
    <t>Tormo, Gabriel</t>
  </si>
  <si>
    <t>Gabriel Tormo</t>
  </si>
  <si>
    <t>ara la Canongía de la colegial del Salvador de dicha dudad de Sevilla, vacante por fallecimiento dé D, Gabriel Tormo, á D. Matías Muriel, Cura de S. Miguel; para otra Canongía vacante en la propia colegial por fallecimiento de D. Juan Parra, á D. Juan Tason; y para la Ración de la colegial de Xe</t>
  </si>
  <si>
    <t>Tornas Sánchez Granados</t>
  </si>
  <si>
    <t>cimiento de la citada sefiora, ó la existencia de algún heredero, tenga la bondad de comunicárselo. D. Tornas Sánchez Granados, profesor de farmacia , individuo del Real colegio de Madrid , vende en su botica de la ciudad de Lucena un específico fe-* brífugo galicano, muy especial para tercianas, quartana</t>
  </si>
  <si>
    <t>Tornquist, Coronel</t>
  </si>
  <si>
    <t>Coronel Tornquist</t>
  </si>
  <si>
    <t>ferido á Mr. Adelung, Asesor del colegio. Stockolmo jo de Julio. H a enviado el ministerio orden al Coronel Tornquist, que se h illa mandando la fragata Tétis en el Mediterráneo, para que reúna los barcos nacionales que quieran volver á Suecia, y les sirva de escolta en aquel mar contra los insul</t>
  </si>
  <si>
    <t>Torqu'to Torio</t>
  </si>
  <si>
    <t>cana de Ercilla; á D. Joseph de Nieva las Aventuras de Gil Blas; á D. Joseph de Rivacova el Arte de D. Torqu'to Torio; a Don Andrés ViHamartin otro exemplar de los Viages de Wanton, y á D. Joachín de Miera los Diálogos del mismo D. Torquato: los dos primeros y h Araucana los franqueó S. E. El dia</t>
  </si>
  <si>
    <t>Torquato</t>
  </si>
  <si>
    <t>és ViHamartin otro exemplar de los Viages de Wanton, y á D. Joachín de Miera los Diálogos del mismo D. Torquato: los dos primeros y h Araucana los franqueó S. E. El dia 3 de este mes falleció en esta corte de edad de 75 años cumplidos el Exc. Sr. D. Pedro Joachín de Murcia y Córdoba, Consej</t>
  </si>
  <si>
    <t>Torquato Torio de la Bi-va</t>
  </si>
  <si>
    <t>o por D. Pedro Guixá y Planas á los cinco tamaños de la colección de muestras y arte de escribir de Don Torquato Torio de la Bi-va, mandado establecer y observar en las escuelas del Hevno por orden de Hnvento que r.o solo facilita la enS-rfianza en el arte de escribir por la ex£ct-itud&lt;y limpieza con que se p</t>
  </si>
  <si>
    <t>Torquato Torio de la Riva</t>
  </si>
  <si>
    <t>. Infanta Princesa del Brasil. Enterado el Rey del zelo, singular inteligencia y aplicación con que D. Torquato Torio de la Riva, en beneficio dé la primera educación ha impreso á costa de su propio haber con considerables desembolsos la obra que compuso intitulada: Arte de escribir por reglas y con muestra</t>
  </si>
  <si>
    <t>elantando 7 rs. por cada excmplar en rústica. Colección de muestras de letra bastarda, escritas por D. Torquato Torio de la Riva, conforme al sistema de ensefianca que propone en su nuevo Arte de escffc* bir por reglas y con muestras (mandado establecer por S. M. en todas las escuelas del rey no), y dispues</t>
  </si>
  <si>
    <t>Torregrosa, Manuel</t>
  </si>
  <si>
    <t>Manuel Torregrosa</t>
  </si>
  <si>
    <t>Bolano y D. Andrés jQlarria, y a segundos Subtenientes á.los Sargentos primeros D. Juan Sobrado , ¡ D. Manuel Torregrosa , este de granaderos, y, D. Juan ¡ Gallo , y i los’ Cadetes D. Joachín Albizu, D. Joseph Aballe, D. Juan Francisco Espinosa, delude Górdoha, y á D. Joseph Gliver : í en el de Extr</t>
  </si>
  <si>
    <t>Torrellebreta, Joseph</t>
  </si>
  <si>
    <t>Joseph Torrellebreta</t>
  </si>
  <si>
    <t>9 Cepeda y D. Joseph Torrellebreta, y al de fusileros D. Miguel de Leyva;* á segundos Tenientes de granaderos á los de fusileros D. Jo seph Malpica y D. Felipe Gironda; á segundos Tenientes á los Subtenientes de gr</t>
  </si>
  <si>
    <t>Torres, Francisco</t>
  </si>
  <si>
    <t>Francisco Torres</t>
  </si>
  <si>
    <t>n al primer Teniente de granaderos Don Ramón Pose ; á primer Teniente de granaderos al de fusileros D. Francisco Torres; á primeros Tenientes á los segundos de granaderos D. Pedro Zorrilla,.D. Vicente Cevailos y D. Eugenio Iglesias, y al de fusileros Don Francisco Fernandez ; á segundos Tenientes d</t>
  </si>
  <si>
    <t>Torres, Joachín</t>
  </si>
  <si>
    <t>Joachín Torres</t>
  </si>
  <si>
    <t>Erigía de la metropolitana de Sevilla,’ tacante por fallecimiento de D. Pedro ¿Hermosa y Espejo, á D. Joachin Torres: para la Ración 'du£ esté óbd ftéüé én la misma iglesia, y resultaráUváfeante, á D. Agustín Morenoy Gk-f tiho'y^Gurá dél Sagrárió dé aquella Ciudad: para la Ganoiigía vacante éf?</t>
  </si>
  <si>
    <t>Torres, Joseph</t>
  </si>
  <si>
    <t>Joseph Torres</t>
  </si>
  <si>
    <t>nimo Moreo; á esta resulta al Capítan segundo D. Simón Ibarra; á Capitán segundo al primer Teniente Don Joseph Torres; á primer Teniente al segundo D. Pedro Gasea; á segunde Teniente al primer Subteniente D. Justó Racax; á primer Subteniente al segundo D. Miguel Párraga, y á segundo Subteniente a</t>
  </si>
  <si>
    <t>Torres, Juan</t>
  </si>
  <si>
    <t>Juan Torres</t>
  </si>
  <si>
    <t>er Teniente del de Toledo D. Bonifacio de Ribas, y á segundos Subtenientes á los Sargentos primeros D. Juan Torres y D, Narciso de Salas, y á los Cadetes í). Joseph y D. Estéban Barriga, y al de Cantabria D. Pedro Antonio Ferrero; y á Subtenientes en los de Suizos de Rutimin y Betschart á los Cade</t>
  </si>
  <si>
    <t>.......... 437. 28. Juan Torres........ Juan........... ... María Caba......... Membrilla..... Manzanáres..... 81. 14. D. Benito Guar- D.a Juana Guardiola.......... ....</t>
  </si>
  <si>
    <t>Tortosa, Joachín</t>
  </si>
  <si>
    <t>Joachín Tortosa</t>
  </si>
  <si>
    <t>al segundo D. A.ntonio Peón y Heredia: en el de infantería de Irlanda á Capitán á su caballero Page D. Joachín Tortosa: en el primer batallón de Voluntarios de Aragón á Capitán primero aí primer Ayudante D. Gerónimo Moreo; á esta resulta al Capítan segundo D. Simón Ibarra; á Capitán segundo al pri</t>
  </si>
  <si>
    <t>Tostado, Alonso</t>
  </si>
  <si>
    <t>Alonso Tostado</t>
  </si>
  <si>
    <t>80 rs. nardino de Rebolledo , y D. Luis de Gón- Veinte y quatro estampas grabadas por las ora: 6.° D. Alonso Tostado, Luis Vives, pinturas qne Lucas Jordán hizo al. fresco en f K Diego Hurtado de Mendoza, D. Gerónimo de Zurita, D. Diego de Saavedra Fael casan del Buen Retiro : las 16 expresan la</t>
  </si>
  <si>
    <t>Totty, Almirante</t>
  </si>
  <si>
    <t>Almirante Totty</t>
  </si>
  <si>
    <t>nte de Copenhague, y enviaron otros 4 fá Inglaterra como inservibles. .&gt; La esquadra mandada por el Almirante Totty se dirigid el dia 13 a1 Báltico, y la del Lord Ncison se avistó el 12 cerca de la isla de Bornholm. El Lord Saint-Helens, que va á Petersburgo en calidad de Embaxador de S. M. Bri</t>
  </si>
  <si>
    <t>y Graves han vuelto á la bahía de Kioege con la división principal de aquellas fuerzas navales.* el Almirante Totty quedaba con otra división cerca de Borholmtel Capitán Murray, mandando una esquadra pequeña, se hallaba delante de Dantzick; y el Lord Powleé cruzaba con algunos buques á vista de</t>
  </si>
  <si>
    <t>pras crecidas de laña del país. Londres 28 de Noviembre. A yer habrá salido de Portsmouth el Contra-Almirante Totty en el navio Saturno de 74, que ya á la Martinica. La fragata Eolo, que debía salir con aquel buque, se detendrá algunos dias para esperar á varios oficiales emigrados que han de emb</t>
  </si>
  <si>
    <t>TqsephCitiaeoyde Hijes</t>
  </si>
  <si>
    <t>oro titulada de S. Valerio, de la catedral: de Sigtenza ,¿vacante por muerte de D. Pedro Cortijo, á Don TqsephCitiaeoyde Hijes: para otra, Vacante por fallecimiento de D. Estépan Mipgo,,i D. Bernardo Sánchez: para otra, vacante por muerte de D. Antonio Morales, á D. Juan Francisco Angel: para otra, vacant</t>
  </si>
  <si>
    <t>Traáegni, Carlos</t>
  </si>
  <si>
    <t>Carlos Traáegni</t>
  </si>
  <si>
    <t>menca del Real cuerpo de. Guardias de Corps ha-' nombrado el Rey Cadete de número al supernumerario D. Cárlos Traáegni; • y por Cadete supernumerario al'Guardia D. Juan Dagiu. .. .. '* S. M. se ha dignado distinguir con los honores de Comisario’ ordenador de sus cxércitos á D. Juan García Martínez</t>
  </si>
  <si>
    <t>Trabadillo, Joseph</t>
  </si>
  <si>
    <t>Joseph Trabadillo</t>
  </si>
  <si>
    <t>, Jaén, Burgos y Valencia á D. Nicolás González Arango, D. Dionisio ie la O Mfigar y Garcisanchez., D. Joseph Trabadillo, D. Joachtn María de Flores Cardero , D. Marcelino García Riofrió, D. Antonio Barriopuevo , D. Ramón Castriílo Cevallos, D. Joseph Herrera Ladrón y Don Joseph B-día. .. En conside</t>
  </si>
  <si>
    <t>Traitor</t>
  </si>
  <si>
    <t>a plaza. Esto es incierto: pues el tr t.¿do de Luneville se opone formalmente á ello. El encargo de Mr. Traitor se reduce á reedificar las casas de dicha ciudad, en la qu d de resultas de la guerra solamente se cuentan 13 habitables. Francfort a 8 de Setiembre. A unque el asesino de Mr. Hen</t>
  </si>
  <si>
    <t>Trances Mr, General</t>
  </si>
  <si>
    <t>General Trances Mr</t>
  </si>
  <si>
    <t>húsares enemigos, haciendo prisioneros á 40 de ellos; y miniando una partida de guerrilla libró al General Trances Mr. de Maillehois de caer en imnos de tos croatos. Se esmeraba tanto en el servicio de, S. M., que. muchas veces llegó á conducir por sí mismo la fagina para .las** trincheras de nue</t>
  </si>
  <si>
    <t>Trapero, Félix</t>
  </si>
  <si>
    <t>Félix Trapero</t>
  </si>
  <si>
    <t>ubtenencia de bandera á D. Andrés Román, Cadete dél de indo / fusileros al Subteniente dé cazadores D. Félix Trapero; lis Subtenencias de granaderos y cazadores á los Subtenientes D. JdsepH María ArqueBada y D. Juan Gómez, y Subtenencia de bandera á D-. Juan de Dios Angulo y Astorga; y en el de</t>
  </si>
  <si>
    <t>Trasierra, Pedro</t>
  </si>
  <si>
    <t>Pedro Trasierra</t>
  </si>
  <si>
    <t>Costa de Granada á Alféreces al Sargento distinguido, graduado de Alférez, D. Juan Ruiz y al Cadete Don Pedro Trasierra; y en el de dragones de Pavía á Capitán al agregado en esta clase D. Pedro Medrano. El Rey se ha servido nombrar Cirujano mayor del hospital militar de la plaza de Alicante á D. R</t>
  </si>
  <si>
    <t>Trece</t>
  </si>
  <si>
    <t>D. Hugo de Moneada, el Car­ Goya al agua fuerte , en 42 rs. denal Silíceo , Bartolomé de Carranza, Don Trece estampas grabadas al agua fuerte, de Antonio Covarrubias y Leyva , Antonio Pé­ varios pensamientos , por D. Ramón Bayeu» rez , y D. Joseph Pellicer : ro.“ D. Pedro Gon­ en 12 rs. zá</t>
  </si>
  <si>
    <t>Treillard, General</t>
  </si>
  <si>
    <t>General Treillard</t>
  </si>
  <si>
    <t>a cercasen á los enemigos por ia izquierda subiendo á la altura principal: mandó igualmente "que el General Treillard con su reserva de caballería se dirigiese al camino de Bamberg; y que el Ayudante Deverine con los carabineros atacase al enemigo por su frente. Sin embargo de estos movimientos r</t>
  </si>
  <si>
    <t>Trigge y del Contra-Almirante Duckworth, Teniente General</t>
  </si>
  <si>
    <t>Teniente General Trigge y del Contra-Almirante Duckworth</t>
  </si>
  <si>
    <t>de las islas dinamarquesas y suecas en las Indias occidentales; se extractarán aquí los pliegos del Teniente General Trigge y del Contra-Almirante Duckworth. t H A conseqiiencia de las órdenes expedidas por Mr. Dundas el 14 y el 31 de Enero, el Teniente General Trigge, comandante en xefe de las fuerzas terrestres en las islas de barlo</t>
  </si>
  <si>
    <t>Trigge, Teniente General</t>
  </si>
  <si>
    <t>Teniente General Trigge</t>
  </si>
  <si>
    <t>e Duckworth. t H A conseqiiencia de las órdenes expedidas por Mr. Dundas el 14 y el 31 de Enero, el Teniente General Trigge, comandante en xefe de las fuerzas terrestres en las islas de barlovento y sotavento, salió el 16 de Marzo del puerto de S. Juan, en la isla de Antigua, que se había señalado por</t>
  </si>
  <si>
    <t>Trigueros, Diego</t>
  </si>
  <si>
    <t>Diego Trigueros</t>
  </si>
  <si>
    <t>39 2 bienes de D. Diego Trigueros, la que está tasada en x(5g0 rs., en cuya cantidad se ha hecho postura á ella, y sé ha admitido, mandando'continuar los pregones por 8 dias mas, y señalado para el rematé el £7 de</t>
  </si>
  <si>
    <t>Trigueros, Joseph</t>
  </si>
  <si>
    <t>Joseph Trigueros</t>
  </si>
  <si>
    <t>de la parroquial de Cinco Alquerías, en la misma diócesis, que obtenia D. Joseph Ibañez Falomir, á D. Joseph Trigueros. • Atendiendo él Rey á los méritos y servicios del presbítero D. Dionisio Señan y Pastor, ha venido en nombrarle para el Curato del Real sitio de S. Fernando de este arzobispado d</t>
  </si>
  <si>
    <t>Trocouis, Juan Antonio</t>
  </si>
  <si>
    <t>Juan Antonio Trocouis</t>
  </si>
  <si>
    <t>ignado S. M. nombrar para una Ración de la catedral de Mérida de Maracaybo, vacante por renuncia de D. Juan Antonio Trocouis, á D. Christóbal Osorio Nieto de Paz, Cura en el arzobispado de Santa Fe. En cumplimiento de lo mandado por S. M. en Real Pragmática Sanción de 30 de Agosto de 1800, y Real Cédula</t>
  </si>
  <si>
    <t>Tuan</t>
  </si>
  <si>
    <t>i D Tuan fosepli Elquezabal, Cadete de la de Riogrande; y á segundovjy Alférez de ia quarta compañía velante de la provincia de Nueva Vizcaya al Cadete de la del presidio del Tucson D. Ber</t>
  </si>
  <si>
    <t>Tubil, Manuel Francisco</t>
  </si>
  <si>
    <t>Manuel Francisco Tubil</t>
  </si>
  <si>
    <t>ez de Córdoba: para la Tesorería al Canónigo D. Juan Anselmo Medrano: para la Canongía al Racionero D. Manuel Francisco Tubil: para una Media Ración de la catedral de la Paz, vacante por ascenso de D. Joseph Eraso á Racionero de la misma iglesia, á D. Joseph Toledo: para una Ración de la propia, vacante</t>
  </si>
  <si>
    <t>jona, en dicha diócesis ; y para una Ración do la metropolitana de Manila, yacante por promoción de D. Manuel Francisco Tubil á la Canongía de merced de ella , á D. Bernardo Fernandez Abasca!, El Consejo á consulta de la Comisión gubernativa, y con aprobación de S. M., ha acordado que se extingan 1280 Va</t>
  </si>
  <si>
    <t>Tune, Juan</t>
  </si>
  <si>
    <t>Juan Tune</t>
  </si>
  <si>
    <t>........... 1a. 17. Juan Tune..................* Pedro y Teresa........................... Tolosa en id...... $8, 2p. D. Juan Negre Du- D. Gerónimo f Doña Margarita lalt........ ....... ........ . Dubas</t>
  </si>
  <si>
    <t>Tura, Joseph</t>
  </si>
  <si>
    <t>Joseph Tura</t>
  </si>
  <si>
    <t>......... . 8». a6, Joseph Tura................ Francisco y María Mallota....... Villalongaenid. 81. a6, Juan Just................. Francisco y Isabel Lluveras....... Sureda en id.^., gr. g. Juan Güimesaras.</t>
  </si>
  <si>
    <t>Tuuty, Juan</t>
  </si>
  <si>
    <t>Juan Tuuty</t>
  </si>
  <si>
    <t>á Ayudante al primer. remente D. Juan de Francia*; a primer Teniente de granaderos al de^ fusileros D. Juan Tuuty, a primeros Tenientes á ios segundos de granaderos D. Cayetano a a y</t>
  </si>
  <si>
    <t>Tuxan, Francisco</t>
  </si>
  <si>
    <t>Francisco Tuxan</t>
  </si>
  <si>
    <t>-, lia de Daymiel, de segunda clase, provincia de la Mancha, territorio de la orden de Calatrava, á D. Francisco Tuxan. En atención á los méritos y servicios de D. Silverio Ruiz de Mendoza, Administrador de todas rentas de S. Fúcar de Barramcda , se ha servido el Rey concederle los honores de Cont</t>
  </si>
  <si>
    <t>Tyrwith</t>
  </si>
  <si>
    <t>minares. En un parlamentario, que el 28 de Setiembre salió de Douvres para Calais, va como pasagero Mr. Tyrwith, secretario del Príncipe de GáleSé Ignórase el objeto de su viage. Según noticias recientes de Egipto el General Baird y las tropas de su mando que desembarcáron en Suez, se había</t>
  </si>
  <si>
    <t>Üdefonsa de Garro y Ári, María</t>
  </si>
  <si>
    <t>María Üdefonsa de Garro y Ári</t>
  </si>
  <si>
    <t>i2 de^M^vieiBbrje éírimQ -fa|íecip en .esta corte á lof 42 años. Cumplidos- de edad la -Excma. Sra. Doña María Üdefonsa de Garro y Ári^cun Veraiz y Monteagudo, Marquesa que fue de: Campollano. ^ Su talento, prudencia y amabilidad, y sobre todo su corazón compasivo y caritativa para con los pobres, han hecho no*mé</t>
  </si>
  <si>
    <t>Ufano, Joseph</t>
  </si>
  <si>
    <t>Joseph Ufano</t>
  </si>
  <si>
    <t>nientes del batallón veterano de infantería fiico de Caracas 4 los Subtenientes- del propio cuerpo* D, Joseph Ufano y D. JósephEopez; y. Subteniente de granaderos de dicho batallón al de fusileros -Da Pabló Sanlchez,, . , n Se ha dignadoj S. JM.qconceder grado de Teniente* Coronel de; caballe-ría á</t>
  </si>
  <si>
    <t>Ugena, Domingo</t>
  </si>
  <si>
    <t>Domingo Ugena</t>
  </si>
  <si>
    <t>os sobré lasciencias, escritos en francés por el R. P. Bernardo* Lamí;:¡traducidos é ilustrados por D. Domingo Ugena, presbítero: esta obra presenta un plan exácto y sencillo para estudiar las ciencias , y servirse de ella» con uctUdad pública: el nombre de su autor excusa1 sv apoiogía: las univ</t>
  </si>
  <si>
    <t>Uípiano García</t>
  </si>
  <si>
    <t>de Marzo á D. Matías Diez Gamarra, presbítero en Tordelaguna. Quien lo haya hallado Jo entregará á D. Uípiano García,Procurador en la Nunciatura. D.’ -Antonio Senssens, cirujano en esta corte, hac* bragueros elásticos para todas edades y sexos de los de mejor construcción y elásticidad , tacto q</t>
  </si>
  <si>
    <t>Ulloa, Diego</t>
  </si>
  <si>
    <t>Diego Ulloa</t>
  </si>
  <si>
    <t>Guardias de infantería Española; y ha nombrado para esta resulta al Capitán D. Diego Ulloa, Teniente de la misma Real brigada. En el regimiento de caballería del Rey se ha servidoS. M. promover á Alférez al Portaestandarte D. Francisco Gayeta, y á esta resulta al Cadete D. Pedro</t>
  </si>
  <si>
    <t>Ulrlco Betérmann, Juan</t>
  </si>
  <si>
    <t>Juan Ulrlco Betérmann</t>
  </si>
  <si>
    <t>e Don ^Francisco de Paula. Grifols: en el regimiento suizo de Ruttiman á Capitán aguado ai Teniente D. Juan Ulrlco Betérmann : en el de Reding^í Capi±jtan primero al Capitán segundo D. Gen ir o de Kreuth,; á esta resulta al Tejiente D. Juan Lipp, y á Teniente al Subteniente D. Antonio Steeger.: en .él d</t>
  </si>
  <si>
    <t>Una, Carlos (archiduque)</t>
  </si>
  <si>
    <t>Archiduque Carlos Una</t>
  </si>
  <si>
    <t>to alguno. Art. 13. Queriendo el Generalren, xefe del exército del Rhin dar por su parte á S. A. el Archiduque Cárlos Una prueba nada;equívoca de las causas que le han movido á pedir la evacuación del Tirol, declara que excepto el castillo de Kuefstein, Schoemitz y Fenitermuntz, se limitará á poner e</t>
  </si>
  <si>
    <t>Unruth, General</t>
  </si>
  <si>
    <t>General Unruth</t>
  </si>
  <si>
    <t>en las riberas del Ems, se han retirado por disposición del General Blucher que las manda. Acaba el General Unruth de recibir orden de Berlín para que se pongan en el pie de paz todos los regimientos de Franconia; pero los que estan en Westphalia permanecen por ahora en estado de guerra. No hay t</t>
  </si>
  <si>
    <t>Uornbgo Antonio de Miranda</t>
  </si>
  <si>
    <t>quartiüo de agua dulce en un p-tio , y está tasada en *70,3 rs. acuda ante el Sr. Alcalde de corte D. Uornbgo Antonio de Miranda ,, por ]a escribanía de provincia de D. Joseph Fernández dé Uceda, detade se admitirán las que hicieren siendo arregladas. ' ! - ; ! ■■■&gt;■■ Curso completo de anatomía del cuerpo h</t>
  </si>
  <si>
    <t>Urbano Blanco</t>
  </si>
  <si>
    <t>dolid....... 4$- *• Urbano Blanco.... Matías,...... Rosa Vázquez...... S. Mames de Losa..... . Chantada........ 39- »7* Domingo</t>
  </si>
  <si>
    <t>Uriarte, Manuel</t>
  </si>
  <si>
    <t>Manuel Uriarte</t>
  </si>
  <si>
    <t>ero................... 718,997, . - &gt; ■ v..,D» Francisco de Izaguirre*.....i.............783^062. ¡ D. Manuel Uriarte....................... 719,007. D. Luis Carrera.................. 719,001. D. Francisco Antonio Bengoecheá*............i,.. 781,680. , D. Joseph; Conde..-.....,...........732^642.</t>
  </si>
  <si>
    <t>Uriszar de Alda, Antonio</t>
  </si>
  <si>
    <t>Antonio Uriszar de Alda</t>
  </si>
  <si>
    <t>e Toro á Joseph Joachín Fernandez de Ocampo: para el de la ciudad de .Santo Domingo de la Calzada á D. Antonio Uriszar de Alda— ca: para ei de la ciudad de Orense á D. Vicente Godino: para el de las Alpujarras del Reyno de Granada á D. Rafael Aynar y Sala: para el de la villa de Estepona á D. Antonio Jose</t>
  </si>
  <si>
    <t>Uriundo, Félix</t>
  </si>
  <si>
    <t>Félix Uriundo</t>
  </si>
  <si>
    <t>ría de Canarias á Capitán al primer Ayudante D. Juan Bataller; á primer Ayudante al primer Teniente D. Félix Uriundo; á primer Teniente al segundo D. Pedro García; á esta resulta al Subteniente de granaderos D. Juan Granados; á Subteniente de granaderos al de fusileros D. Gaspar Fernandez, y á S</t>
  </si>
  <si>
    <t>Urizar de Aldaca, Antonio</t>
  </si>
  <si>
    <t>Antonio Urizar de Aldaca</t>
  </si>
  <si>
    <t>d de Plasencia se ha servido nombrar el Rey á D. Joseph Castilla: para el de letras de la de Toro á D. Antonio Urizar de Aldaca :para el de la villa de Albacete á Don Luis Antonio Mosquera : para el de la de Molina de Aragón á D. Ignacio Yañcz Ribadeneyra *. para la vara de Alcalde mayor mas moderna de ía</t>
  </si>
  <si>
    <t>Urqiiijo, Domingo</t>
  </si>
  <si>
    <t>Domingo Urqiiijo</t>
  </si>
  <si>
    <t>ría Gómez de Humaran, D. Manuel Pantoja, D. Joseph Ignacio García, D. Cayetano Revueltas, a! Cadete Don Domingo Urqiiijo, y a los paisanos D. Fernando Pineda, D. Juan de Dios Pader^s, D. .Juan Marcelino Casas, D. Casildo Posada y D. Nicolás de Lora; á Subtenientes de granaderos al Cadete, D. Bartolo</t>
  </si>
  <si>
    <t>Urquiz, Juan Nepomuceno</t>
  </si>
  <si>
    <t>Juan Nepomuceno Urquiz</t>
  </si>
  <si>
    <t>z a D. Joseph I oblo Calvo: ía de Oficial de la mesa de bebidas prohibidas de la misma Contaduría á D. Juan Nepomuceno Urquiz; y para la de Escribiente de la misma oficina á D. Juan Hernando.</t>
  </si>
  <si>
    <t>Urraza, Juan Antonio</t>
  </si>
  <si>
    <t>Juan Antonio Urraza</t>
  </si>
  <si>
    <t>Joachin González de Castro , en donde se admitirán las pujas y mejoras que se hagan , y no en la de D. Juan Antonio Urraza, según se anunció en las referidas gazetas, por haberse así resuelto por superiores órdenes: y de la del Sr. D. Juan Antonio Santa Ma ría , Teniente primero de Corregidor de esta</t>
  </si>
  <si>
    <t>Urrea, Joseph</t>
  </si>
  <si>
    <t>Joseph Urrea</t>
  </si>
  <si>
    <t>D. Nicolás Dusmet. En el de infantería de la Reyna á segundo Teniente al Subteniente de granaderos D. Joseph Urrea; y á esta resulta al primer Subteniente D. Juan Sayol: en el de Sevilla á segundo Teniente al Subteniente de granaderos D. Vicente Ruiz Cubero ; á Subteniente de granaderos al pri</t>
  </si>
  <si>
    <t>UrreaAsimismo, Bernardo</t>
  </si>
  <si>
    <t>Bernardo UrreaAsimismo</t>
  </si>
  <si>
    <t>ia quarta compañía velante de la provincia de Nueva Vizcaya al Cadete de la del presidio del Tucson D. Bernardo UrreaAsimismo se ha servido S. M. conceder el grado de Capitán de Caballéría á D. Juan Francisco Granados, Teniente de la compañía presidul del N° eT Teniente General Marques de S. Simón, Coman</t>
  </si>
  <si>
    <t>Urreay DortJ Pedro Mari, Joseph</t>
  </si>
  <si>
    <t>Joseph Urreay DortJ Pedro Mari</t>
  </si>
  <si>
    <t>Laureano de Salas y D. Tomas dé Cear rote ;• á tenientes de granaderos á los segundos Subtenientes D. Joseph Urreay DortJ Pedro Mari ti y D. Pedro Pi riz , y;* pr ¡meros Subtenientes á losVsegundos D. Juan Sayol, D. Manuel de Ócbéa^Di Juan-Villegas, y á D. Joáchín1 Becerra , Soldado distinguido que fué del de E</t>
  </si>
  <si>
    <t>Urruchurtu, Antonio</t>
  </si>
  <si>
    <t>Antonio Urruchurtu</t>
  </si>
  <si>
    <t>e, D. Domingo Verastegui y D. Ildefonso de la Barreda; á Tenientes de granaderos á los de fusileros D, Antonio Urruchurtu y D. Esréban Ximenez; á Tenientes de fusileros á los Subtenientes D. Cecilio Calonge, D. Antonio Navarro, D. Buenaventura Berrueco, D. Manuel Urruchurtu, D. Joseph María Gómez de Huma</t>
  </si>
  <si>
    <t>Urruchurtu, Manuel</t>
  </si>
  <si>
    <t>Manuel Urruchurtu</t>
  </si>
  <si>
    <t>s de fusileros á los Subtenientes D. Cecilio Calonge, D. Antonio Navarro, D. Buenaventura Berrueco, D. Manuel Urruchurtu, D. Joseph María Gómez de Humaran, D. Manuel Pantoja, D. Joseph Ignacio García, D. Cayetano Revueltas, a! Cadete Don Domingo Urqiiijo, y a los paisanos D. Fernando Pineda, D. Juan</t>
  </si>
  <si>
    <t>Uschakow</t>
  </si>
  <si>
    <t>e; .el; pago del resto de estai suma./_Por Otra parte;, el gabiütte de - Rusia está: sentido de que Mr. Uschakow , sopretexto de que los buques de su mando eran viejos , no ha desempeñado las órdenes, que tenia de ir á Malta con las tropas del Príncipe Wolkensky , y se retira con ellas á Cri</t>
  </si>
  <si>
    <t>Uschakow, Almirante</t>
  </si>
  <si>
    <t>Almirante Uschakow</t>
  </si>
  <si>
    <t>odavía surta en Rojoot-Deréh, en donde se detiene esperando nuevas órdenes de su corte desde que el Almirante Uschakow ha recibido la noticia de haberse entreg ido M ita á los ingleses. Antes de ayer el Barón de Ehrensverd , Ministro extraordinario de Suecia, llegó aquí encargado por su corte de h</t>
  </si>
  <si>
    <t>Inglaterra, los que también comunicó desxje luego.á este gobierno* iLa esquadra rusa mandada por el Almirante Uschakow se hizo á la vela el día 8 para el mar Negro. Como los rebeldes de .la Turquía europea tienen cortada por varias par-? tes la comunicación de esta capital, ha subido mucho aquí el</t>
  </si>
  <si>
    <t>Utrera, Francisco Xavier</t>
  </si>
  <si>
    <t>Francisco Xavier Utrera</t>
  </si>
  <si>
    <t>El dia 7 de Junio se consagró en la iglesia de PP. Capuchinos de San Antonio del Prado el limo. Sr. D. Francisco Xavier Utrera, Obispo de Cádiz, siendo padrino el Exc. Sr. Duque de Medinaceli y Santistéban: consagrante el limo. Sr. D. Joseph Antonio Garnica, Obispo de Osma, por indisposición deí Exc. Sr.</t>
  </si>
  <si>
    <t>Va, Fernando</t>
  </si>
  <si>
    <t>Fernando Va</t>
  </si>
  <si>
    <t>; á primer Teniente al segundo de granaderos D. Manuel Barranco; á esta resulta al segundo Teniente D. Fernando Va— lledor; á segundo Teniente al Subteniente de granaderos D. Christóbal Vilanoba; .4 Subteniente de granaderos al de fusileros D. Domingo Tierra; á primer Subteniente al segundo D,</t>
  </si>
  <si>
    <t>Va, Francisco</t>
  </si>
  <si>
    <t>Francisco Va</t>
  </si>
  <si>
    <t>s de Requesens , D. Bartolomé las Virtudes Cardinales , y las otras dos las Leonardo de Argensola , D. Francisco Va­ „batallas de Granada: todas en 80 rs. lles, D. Juan de Ribera , D. Juan de Pala- Seis estampas del Poema de la Música, en fox y Mendoza , y el Mtro. Fr. Luis Ponce ■ 18 rs. de Le</t>
  </si>
  <si>
    <t>Vado, Luis Santiago</t>
  </si>
  <si>
    <t>Luis Santiago Vado</t>
  </si>
  <si>
    <t>la obligación que tienen todas las órdenes y clases del est ido de incorporarse en ellos. El socio D. Luis Santiago Vado, Catedrático de matemáticas por S. M. en esta capital, hizo un breve aunque expresivo apostrofe al Rey Ntro. Sr., minifestando que de ningún modo podia la sociedad honrar y celebr</t>
  </si>
  <si>
    <t>Vaícarce, Manuel</t>
  </si>
  <si>
    <t>Manuel Vaícarce</t>
  </si>
  <si>
    <t>ro.” El Rey se ha servido nombrar para la Canongía de la catedral de León, vacante por promoción de D. Manuel Vaícarce á la Dignidad de Tesorero de la misma catedral, á D. Pedro Pascual García: para el Arciprestazgo de Rioja, en la diócesis de Calahorra, vacante por fallecimiento de D. Francisco P</t>
  </si>
  <si>
    <t>Vaicárcel y Daoiz, Luis</t>
  </si>
  <si>
    <t>Luis Vaicárcel y Daoiz</t>
  </si>
  <si>
    <t>ha sabido hacer aumentar la actividad y acierto de su actual Director el Dr. D. Luis Vaicárcel y Daoiz, Canónigo de esta santa iglesia. Procedióse' á la distribución de premios después de celebrar el santo sacrificio, con asistencia de la música , el Dr. D. Antonio Afbarracin , Prebendado de</t>
  </si>
  <si>
    <t>Vaidejuily, Salvador</t>
  </si>
  <si>
    <t>Salvador Vaidejuily</t>
  </si>
  <si>
    <t>29x y al Sargento primero de granaderos D. Juan Ferrery, y a Subtenientes de bandera á los Cadetes D. Salvador Vaidejuily y D. Joseph Arnao, graduado de Subteniente, y al Sargento primero D. luis Guinety. El Rey se ha dignado conferir el empleo de Comandante de esquadroa del regimiento de Milicias urbana</t>
  </si>
  <si>
    <t>Vaídelomar, Joseph</t>
  </si>
  <si>
    <t>Joseph Vaídelomar</t>
  </si>
  <si>
    <t>io Vicente Piñeyro y Fariña: en el de Bujalance i Teniente de fusileros al Subteniente de cazadores D. Joseph Vaídelomar, y á Subteniente de cazadores al de fusileros D. Joseph M«ma Sánchez: en el de Segorve á Teniente de fusileros al Subteniente D. Pablo Gómez; y á Subtenientes de bandera en los de</t>
  </si>
  <si>
    <t>Vaienzu, Antonio</t>
  </si>
  <si>
    <t>Antonio Vaienzu</t>
  </si>
  <si>
    <t>nuel JlOlJiO» l ' j « -&gt;cr Agustni Gorrero a e^ * servido promover S. M. á Judo Teniente ai Alférez D. Antonio Vaienzu-.h : en el de boreon a Afférez al Portaestandarte D. Joseph de Castro; y a esta resulta a. Sargen^ carabineros D. Pedro Menor: en el de España a CaP*t'Jn í* P''™er Teniente de cara</t>
  </si>
  <si>
    <t>Vailejo, Antonio Joseph</t>
  </si>
  <si>
    <t>Antonio Joseph Vailejo</t>
  </si>
  <si>
    <t>gación de, residencia que tiene anexa; y para la Capellanía Real de Granada, vacante por muerte, de D. Antonio Joseph Vailejo., i D. Laureano de Avila y, Ximenez, Cura propio y Examinador Sinodal del obispado de Guadix. Satisfecho el Rey de los buenos servicios y mérito que ha contraido el’ Sn D. Pasca d</t>
  </si>
  <si>
    <t>Vaílisons, Pedro</t>
  </si>
  <si>
    <t>Pedro Vaílisons</t>
  </si>
  <si>
    <t>.......... *¡6. 24. Pedro Vaílisons........... Pedro y Catarina Rcgeras. S, Lorenzo de la</t>
  </si>
  <si>
    <t>Vajladáres de Sotoruayor, Antonio</t>
  </si>
  <si>
    <t>Antonio Vajladáres de Sotoruayor</t>
  </si>
  <si>
    <t>Peal, y por otros al célebre español Antonio Perez, Secretarlo^ de 'aquel SoIk rs rio : la da á luz D. Antonio Vajladáres de Sotoruayor. Se hallaran Ja-librería de Hurtado , calle de las Carretas. ^ Cartas de Madama Montier á su hija, escritas en francés por Madama le Prin.ce de Beaumont, y traducidas por Doña Mar</t>
  </si>
  <si>
    <t>Valbuena, Francisco</t>
  </si>
  <si>
    <t>Francisco Valbuena</t>
  </si>
  <si>
    <t>stro principal del Real seminario de Versara : para la Canongn de la de León, vacante por muerte de Don Francisco Valbuena, y no haber sacado D. Lorenzo Mackeon ( t quien a-rició S. M. en ella) la Real presentación durante ehtiémpo prefinido, i li. Manuel Anselmo de Enderica y Palacios : para el Benef</t>
  </si>
  <si>
    <t>Valbuena, Pedro</t>
  </si>
  <si>
    <t>Pedro Valbuena</t>
  </si>
  <si>
    <t>se ha servid© S. M. nombrar segundo Teniente en el de 'Caballería de la Costa de Granada al Alférez D. Pedro Valbuena. ^ El Rey: se ha servido nombrar paral una plaza de Mmistró de la Real Audiencia/dé Mallorca :á D^JoachiiiiiSisternes. f í ^ : r ' .En América^ El Rey se ha dignado conferir él em</t>
  </si>
  <si>
    <t>Valcárcel, Francisco</t>
  </si>
  <si>
    <t>Francisco Valcárcel</t>
  </si>
  <si>
    <t>ico titular de ella D. Judas Navarro: en la de Garroviilas vacunó una niña del profesor de medicina D. Francisco Valcárcel; y en ia de Alcántara inoculando del mismo modo á los nietos de su Gobernador i presencia, suya, del médico titular, de varios oficiales y de otras personas-, cuyo virus ha servid</t>
  </si>
  <si>
    <t>Valcárcel, Joseph</t>
  </si>
  <si>
    <t>Joseph Valcárcel</t>
  </si>
  <si>
    <t>primero de granaderos del de Mallorca D. Tomas González, y al Alférez de Fragata.de Ja Real armada D. Joseph Valcárcel; y en el batallón de Voluntarios de Gerona á segundo Subteniente al Cadete del primer batallón de Voluntarios de Barcelona D. Cayetano Roig. También en el regimiento de caballería</t>
  </si>
  <si>
    <t>Valdcs, Joseph Juan</t>
  </si>
  <si>
    <t>Joseph Juan Valdcs</t>
  </si>
  <si>
    <t>s segundos D. Joseph y Don Sebastian Pujol y Garcint, D. Juan y D. Agustín López, O. Joseph Madera, D. Joseph Juan Valdcs, D. Joseph. de Eliza, D. Jos. ph Nin y Don RVmón AÍm-rÍch; V á segundos Subtenientes al Sargento primero del de Voluntarios de Casulla D. Gerónimo Julián Anaya , al de ¡a misma cU</t>
  </si>
  <si>
    <t>Valdelomar, Francisco</t>
  </si>
  <si>
    <t>Francisco Valdelomar</t>
  </si>
  <si>
    <t>rdoba Tenencia de fusileros á D. Joseph Ortiz y Fernandez, Subteniente de cazadores, y su resulta á D. Francisco Valdelomar, Subteniente de fusileros: en el de Pontevedra la Subtenencia de cazadores á D. Tomis Antelo, Subteniente de fusileros: en el de Valencia Tenencia de fusileros á D. Alonso Ramos,</t>
  </si>
  <si>
    <t>Valderrama, Félix</t>
  </si>
  <si>
    <t>Félix Valderrama</t>
  </si>
  <si>
    <t>lo fueron en la clase de etimología D. Pedro de Oviedo y D. Gil Rufrancos; en etimología y versión D. Félix Valderrama, D. Manuel Argomaniz (los que con solos cinco meses de estudio tráduxéron con propiedad los pasages que se les señalaron de las Selectas) y O. Manuel de la Fuente, y en la de sint</t>
  </si>
  <si>
    <t>Valdes, Joseph</t>
  </si>
  <si>
    <t>Joseph Valdes</t>
  </si>
  <si>
    <t>es Guardias Españolas se ha servido promover S. M. á Xeniente de granaderos al seguá&amp;o de fusileros D. Joseph Valdes deL Busto; á segundo Teniente al Alférez de cazadores D. Pedro Castejon, y á Alférez de granaderos al de fusileros» D. Manuel Zorrilla : en el de Reales Guardias Walonas á Alféreces</t>
  </si>
  <si>
    <t>Valdes, Joseph Juan</t>
  </si>
  <si>
    <t>Joseph Juan Valdes</t>
  </si>
  <si>
    <t>na se ha servido el Rey promover á segundos Subtenientes £ los Cadetes D. Juan y Dí Agustín López, D. Joseph Juan Valdes, D. Joseph de Eliza, D. Ramón Aymerich y Don Ramón Santinelly, y á los Sargentos primeros D. Joseph Madera y D. Joseph Nin: en el d© Granada á segundo Teniente al primer Subtenien</t>
  </si>
  <si>
    <t>Valdivielso, Ambrosio</t>
  </si>
  <si>
    <t>Ambrosio Valdivielso</t>
  </si>
  <si>
    <t>los remi-í tirá en Madrid á D. Pedro Valdivielso, calle del Duque de Alba, ó en Burgos •al referido D. Ambrosio Valdivielso. - . El Sr. Intendente de esta provincia por sus decretos de 27 de Mayo último y 5 de este mes ha señalado el término de 30 di as contados desde dichas fechas para la admisión de</t>
  </si>
  <si>
    <t>Valdivielso, Pedro</t>
  </si>
  <si>
    <t>Pedro Valdivielso</t>
  </si>
  <si>
    <t>endosados á favor de D. Ambrosio-Valdivielso. Quien los hubiere hallado los remi-í tirá en Madrid á D. Pedro Valdivielso, calle del Duque de Alba, ó en Burgos •al referido D. Ambrosio Valdivielso. - . El Sr. Intendente de esta provincia por sus decretos de 27 de Mayo último y 5 de este mes ha señala</t>
  </si>
  <si>
    <t>Valencia, Francisco</t>
  </si>
  <si>
    <t>Francisco Valencia</t>
  </si>
  <si>
    <t>deros a. de fusneros D Columbario Cabrera : Tenencias de fusileros a los Subtenientes de granaderos Don Francisco Valencia y D. Miguel Gnecco-, Subtenencias de granaderos a íos de fusileros D. Joseph Angulo y D. Antonio Penalosa ; y Subtenencia, de bandera al Sargento primero D. Agustín López y al Gdi t d</t>
  </si>
  <si>
    <t>Valentín Bernal</t>
  </si>
  <si>
    <t>bispado de Burgos, vacante por promoción de D. Manuel Marrón á una Canongía de la misma colegial, á D. Valentín Bernal: para una Capellanía de Coro de la santa iglesia primada de Toledo, vacante por muerte de D. (Domingo Bode, á D. JosephCirilo Martin, Maestro, lector de coro de la misma santa igl</t>
  </si>
  <si>
    <t>Valentín de Foronda</t>
  </si>
  <si>
    <t>z y compafií**, calle depreciados. Segunda edición de la lógica dé Condillác, puesta en diálogo por D. Valentín de Foronda, corregida, y adicionada con un tratado sobre toda cíase de argumentos y de sofismas $ observaciones de Loke y Malebranche para buscar la verdad^ y reflexiones de la aritmética mo</t>
  </si>
  <si>
    <t>atura y en las ciencias són únicamente efecto de la educación,y de la mayor ó menor aplicación: por D. Valentín de Foronda. Se hallará á real y -medio en las librerías de la viuda de Cerro, red de S. Luis , y en la de Munita, xalle de las Carrétasv Puede ir en cart^,; Misiones y sermones del P. Pedro</t>
  </si>
  <si>
    <t>los anteriorea en la librería de Escribano , calle de las Carretas. Su precio a rs. Miscelánea, por D. Valentín de Foronda : contiene disertación sobre la nobleza del comercio. Paralelo de la sociedad de S. Su'picio de París con la casa, de misericordia de Victoria. Disertación sobre la utilidad que p</t>
  </si>
  <si>
    <t>Valentín del Campo</t>
  </si>
  <si>
    <t>leo de Teniente Coronel del regimiento de Milicias urbanas de caballería de Si Pabio de Chalaquez á D. Valentín del Campo, Sargento mayor del mismo cuerpo: la Subtenencia de la primera compañía veterana de la dotación de Chiíoe ai Cadete de la de dragones D. Joseph Velazquez: dos empleos de Teniente</t>
  </si>
  <si>
    <t>Valentín Francés</t>
  </si>
  <si>
    <t>e España, por Dóií Joseph Ortiz y Sanz, de la Real bib ioteca de S. M. , acudirán á la librería 'de D. Valentín Francés , calle de las Carretas, á recoger el tomo 6.° y adelantar el</t>
  </si>
  <si>
    <t>Valentín García Narro</t>
  </si>
  <si>
    <t>ervido nombrar para la Dignidad de Dean de la metropolitana de México, vacante por fallecimiento de D. Valentín García Narro, al Arcediano de la propia D. Juan Francisco Campos: para, el Are dim.to al Chantre D. Manuel Antonio de Sindovalpara la Chaotría al Maestrescuela D. Joseph Ruiz de Conejares: par</t>
  </si>
  <si>
    <t>Valentín Gutiérrez</t>
  </si>
  <si>
    <t>s D. Joseph Ovalle y D. Antonio Bonifacio de Alquer, y sus resultas á los Subtenientes de fusileros D. Valentín Gutiérrez y D. Manuel Calvo Tfagacete: en el de Burgos las Subtenencias de granaderos y cazadores á los Subtenientes de fusileros D. Joseph Herrera Ladrón y D. Ramón Castriilo Cevallos: en el d</t>
  </si>
  <si>
    <t>Valentín Moralejo</t>
  </si>
  <si>
    <t>niente al Subteniente de granaderos D. Joseph del Rio; á Subteniente de granaderos al ele fusileros D. Valentín Moralejo: á Subteniente al de bandera D. Joseph de la Torre, y á esta resulta al Cadete D. Domingo de Lamaddz. 7" Por Real orden de 22 de este mes se ha dignado el Rey declarar que la grac</t>
  </si>
  <si>
    <t>Valentín Quirós</t>
  </si>
  <si>
    <t>á Portaestandarte al Cadete D. Cayetano Zaldua; y en el de Calatrava á segundo Teniente al Alférez D. Valentín Quirós. El Rey se ha servido nombrar Sargento mayor del regimiento provincial de Santiago al de la misma clase del de Laredo D. Manuel Quiroga y Cornide: para esta resulta á D. Juan Góme</t>
  </si>
  <si>
    <t>Valentín Saleta</t>
  </si>
  <si>
    <t>........... 31. 12. Valentín Saleta......... Valentín y Francisca Calantre... Prada en ei Kosellon............ 2p. 3a.</t>
  </si>
  <si>
    <t>Valeriano García</t>
  </si>
  <si>
    <t>éreces á los Portaestandartes D. Joseph Lináres y D. León de León, y á Portaestandartes al Sargento D. Valeriano García, y á los Cadetes del de caballería de la Costa de Granada D. Baltasar del Corral y D. Ambrosio González : en el de Montesa á primer Teniente al segundo de carabineros D. Joseph de</t>
  </si>
  <si>
    <t>Valero Claver</t>
  </si>
  <si>
    <t>ntería de Aragón y Cazadores Voluntarios de la Corona á los presbíteros D., Juan Bueno y Cevallos y D. Valero Claver. : También se ha servido S. M. promover en el regimiento de caballería de Híisares Españoles á Sargento mayor al Capitán, graduado de Teniente Coronel, D. Joseph Pineda: en el de</t>
  </si>
  <si>
    <t>Valero Glos</t>
  </si>
  <si>
    <t>........ . 116. 3a. Valero Glos......... Antonio........ Lorenza Campillo. Aifaxar-in...... Zaragoza......... 118. 4. Manuel del Olmo. Juan.,............ María Juárez. Escusa déla</t>
  </si>
  <si>
    <t>Valero Sana, Miguel</t>
  </si>
  <si>
    <t>Miguel Valero Sana</t>
  </si>
  <si>
    <t>para otra Canongía de la catedral: de Albárr^cia, ívacante' por fallecimiento de D. Miguel Molina,i D. Miguel Valero Sana, Rector ó Cura párroco del lugar de Pozondon, en dicha diócesis : para una Canongía de la colegial de Manrésa^diócesis de Vique, á D. Antonio Abadía de Barbará y Llorens: -para la</t>
  </si>
  <si>
    <t>Valero, Ramón</t>
  </si>
  <si>
    <t>Ramón Valero</t>
  </si>
  <si>
    <t>creación- de 1 £ de Setiembre , renovados Jos ao en nombt? de 3&gt;. Diego Badiola, y los: 17 en el de D. Ramón Valero , sin otro endoso: sus números son 159,180 , 166,836 , 161,680, i&lt;5«,PQ7, 163,986,166,219, r68,aja, 168,969,170,560, 172,744, 173,43*, *75r938&gt; 11%&gt;Q%9} 178,466, 188,721 ,188,918,</t>
  </si>
  <si>
    <t>Valkonski, Príncipe</t>
  </si>
  <si>
    <t>Príncipe Valkonski</t>
  </si>
  <si>
    <t>os de sus allegados , de &gt;sus descendientes y de ¡Nos mismo, tenemos á bien resolver que eJbCoronel Príncipe Valkonski*¿su sobrino , hijo de hermana, entre en su línea recta, y que desde ahora úse el título de Príncipe Repnin, para que no se extinga la rama de los Príncipes Repnins, que han servid</t>
  </si>
  <si>
    <t>Valladáres de Sotomayor, Antonio</t>
  </si>
  <si>
    <t>Antonio Valladáres de Sotomayor</t>
  </si>
  <si>
    <t>en su puesto, calle de Alcalá. El Emperador Alberto 1, y la Adelina, i.a y a.a parte: comedias por D. Antonio Valladáres de Sotomayor. = La Dama labradora : comedia nueva en dos actos por D. Vicente Rodríguez de Arellano, representada en el teatro de la calle 4», la Cruz. Se hallarán en el puesto de libros de Jo</t>
  </si>
  <si>
    <t>Valladáres, Antonio</t>
  </si>
  <si>
    <t>Antonio Valladáres</t>
  </si>
  <si>
    <t>latitud y longitud.=Tambien se halla en dicha lonja una porción de juegos de la Leandra, novela de D. Antonio Valladáres, 4 tomos en 8.°, á 6 rs. en rústica y 8 en pasta. La moral de esta obra y el. embeleso de su lectura, la sensibilidad que mueve, y la pintura de la virtud, la colocan entre las bu</t>
  </si>
  <si>
    <t>Valladares, Antonio</t>
  </si>
  <si>
    <t>Antonio Valladares</t>
  </si>
  <si>
    <t>oro y D. García Vailedor; á segundos Tenientes de granaderos á los de fusileros D. Francisco Pardo, D. Antonio Valladares y D. Luis de Rueda; á segundos Tenientes á los Subte</t>
  </si>
  <si>
    <t>Valladares, Pedro</t>
  </si>
  <si>
    <t>Pedro Valladares</t>
  </si>
  <si>
    <t>u Alcalde de casa y corte , á quien está cometida dicha Real facultad, y escribanía de provincia de D. Pedro Valladares, en el término de 30 dias, que se admitirán las quese hicieren, no siendo manos . muertas, ni en minos cantidad de la en que respectivamente están tasadas. A Jas dos tierras corre</t>
  </si>
  <si>
    <t>Vallancour, Agustín</t>
  </si>
  <si>
    <t>Agustín Vallancour</t>
  </si>
  <si>
    <t>sta resulta al segando Teniente D. Juan del Azabal; á segundo Teniente al Subteniente de granaderos D. Agustín Vallancour; á Subteniente de graUad^ros ;al pdméro ¡dé, fusileras D. Juan Rodríguez Almeyda, y á primer Subteniente al segundo D. Prudencio Castañeda: en el de Sevilla á segundo Subteniente</t>
  </si>
  <si>
    <t>Valle de la Cerda, Pedro</t>
  </si>
  <si>
    <t>Pedro Valle de la Cerda</t>
  </si>
  <si>
    <t>Gaspar de Bardales, del Consejo de S. M. en el de Hacienda , como poseedor del mayorazgo que fundó D. Pedro Valle de la Cerda; Don. Francisco Rico, vecino de Madrid, y en su representación D. Eusebio María Ferrer, vecino también de esta villa; D. Ramón Francisco de la Palma, vecino de Toledo, como poseed</t>
  </si>
  <si>
    <t>Valles y Dávila, Simón</t>
  </si>
  <si>
    <t>Simón Valles y Dávila</t>
  </si>
  <si>
    <t>edral de Valladolid, vacante por promoción de D. Antonio Ceruelo Sanz á una Canongía de Orihuela, á Don Simón Valles y Dávila;y para el Beneficio servidero de la villa de Coria» en la diócesis do Sevilla, vacante por fallecimiento de D. Diego Moreno de Aguilar, á D. Pedro Joseph de Contreras. En la Real</t>
  </si>
  <si>
    <t>Valles, Juan Bautista</t>
  </si>
  <si>
    <t>Juan Bautista Valles</t>
  </si>
  <si>
    <t>eros D. Christóbal Ximene?. En consideración í la actividad y buen desempeño que ha acreditado Frey D. Juan Bautista Valles, Coronel del regimiento provincial de Castellón de la Plana, en su comisión de perseguir i los contrabandistas y malhechores en el Rey no de Valencia, se ha servido el Rey concede</t>
  </si>
  <si>
    <t>Valter, General</t>
  </si>
  <si>
    <t>General Valter</t>
  </si>
  <si>
    <t>ó con la frente ó cabeza de la división del General Ney. En este ataque quedó gravemente herido’ el General Valter. El General Decan consiguió ..que los polacos se adelantasen y sostuviesen á Richepanse y y* mientras que en el centro se decidía la suerte de las anuas, un cuerpo que iba de Wáss</t>
  </si>
  <si>
    <t>Van, General</t>
  </si>
  <si>
    <t>General Van</t>
  </si>
  <si>
    <t>esto de nuestras tropas se halla entre Jiranno y Sudrio prontas á salir por el mencionado valle. El General Van^ damme tiene su quartel general en Ponte. La brigada izquierda del General Baraguey de Hílíiers, que hace un mes se hallaba en la Valtelina, ocupa ahora la Engadina-Superior, y de</t>
  </si>
  <si>
    <t>Vanderwiseh, Coronel</t>
  </si>
  <si>
    <t>Coronel Vanderwiseh</t>
  </si>
  <si>
    <t>las tropas dinamarquesas que se hallan en estas inmediaciones se puso; en marcha para Lubeck; y el Coronel Vanderwiseh hizo su intimación á la ciudad en nombre del Rey de Dinamarca. Dos diputados- del Senado saliéron á presentar las llaves al Príncipe Federico de Hesse, hijo •del Principé Cárlos,</t>
  </si>
  <si>
    <t>Vansittart</t>
  </si>
  <si>
    <t>cer disposiciones para su partida; y en efecto, esta tarde salid precipitadamente para Elsen^ur con Mr. Vansittart. En la referida nota, o ultimátum , pide Ja corte de I ondres que S. M. Dinamarquesa se separe de la colicion del Norte, permita á la escuadra inglesa atravesar el Sund , no dé en</t>
  </si>
  <si>
    <t>rtes de Dinamarca é Inglaterra se reduce á que Mr. Drummond, Encargado de Negocios de Inglaterra, y Mr. Vansittart, que vino aquí con una comisión de su gobierno , pidiéron que se les reconociese como Enviados británicos, y que se admitiesen sus credenciales. Se les declaró que mientras que el</t>
  </si>
  <si>
    <t>ue no se interceptarán los pliegos. :í -Ií». ■■■ • . ■ : •••* , .• ,• .■ 1 ■ * Apénas llegó á Leith Mr. Vansittart se despachó de aquel puerto: un barco muy velero con cartas para el Almirante Parker* Posteriormente han salido para el Sund otras embarcaciones. De Liíford escriben con fecha del</t>
  </si>
  <si>
    <t>pecie de franquicia hasta el mes de Octubre ó Noviembre próximo. El motivo de esta gracia la expuso Mr. Vansittart. diciendo que los .comerciantes de vino tienen en Oportp grandes,repuestos, y Jo envían á Inglaterra según su consumo fy necesidad; pero en, la crítica situación fen. que -serhall</t>
  </si>
  <si>
    <t>Vanvoss, Capitán</t>
  </si>
  <si>
    <t>Capitán Vanvoss</t>
  </si>
  <si>
    <t>cogidas en el Texel, nombrada la Emboscada, salió de Sheerness el día 9 por la mañana al mando del Capitán Vanvoss para Irlanda, y uña hora después, habiéndose abierto por un costado, se fue a piqué. Pereciéron 8 personas, entre ellas dos mugeres y un niño de 6 años. Los navios de S. M. denomi</t>
  </si>
  <si>
    <t>Vanwiteli, Francisco</t>
  </si>
  <si>
    <t>Francisco Vanwiteli</t>
  </si>
  <si>
    <t>ral. S. M. ha promovido á Ingenieros directores de sus exércitos, plazas y fronteras á los en xefes D. Francisco Vanwiteli, D. Miguel Constanzó y D. Francisco de Fersen. En las compañías de artilleros Milicianos provinciales de la plaza de Cádiz se ha servido el Rey, nombrar Capitán á D. Baltasar Moor</t>
  </si>
  <si>
    <t>Vap, Diego</t>
  </si>
  <si>
    <t>Diego Vap</t>
  </si>
  <si>
    <t>ancengías de la misma colegial á D. Francisco Antonio Martínez de Torres, D. Genaro Clemente Rubio, D, Diego Vap</t>
  </si>
  <si>
    <t>Várela, Joseph</t>
  </si>
  <si>
    <t>Joseph Várela</t>
  </si>
  <si>
    <t>Teniente de granaderos al de fusileros D. Diego Clarke; á primer Teniente al segundo cíe granaderos D. Joseph Várela; á esta resulta al segundo Teniente D. Carlos de Caumont; á segundo Teniente al primer Subteniente'D. Agustín Ponzerot; á Subtenientes de granaderos á los primeros Subtenientes D.</t>
  </si>
  <si>
    <t>Varell, Pedro</t>
  </si>
  <si>
    <t>Pedro Varell</t>
  </si>
  <si>
    <t>........... 81. aÓ, Pedro Varell................ Joseph y, Teresa Beltran..... Tuy en el Ro~ . sel</t>
  </si>
  <si>
    <t>Várgas, Lorenzo</t>
  </si>
  <si>
    <t>Lorenzo Várgas</t>
  </si>
  <si>
    <t>ádo-ps'ra la Canongía de la catedral dé* Sita; Fe de Bogotá, que ha resultado vacáhté por muerte de D. Lorenzo Várgas, i D. Ferhandó Caúiacho, Racionero de la misma iglesia. Ha. mandado S. M. que la feria de Mayrena del Alcor se celebre este año lo mismo que en los anteriores, dando principio el</t>
  </si>
  <si>
    <t>Vargas, Luis</t>
  </si>
  <si>
    <t>Luis Vargas</t>
  </si>
  <si>
    <t>primeros D. Juan Calvo y Antequera, D. Fernando Rodríguez, D. Mariano Cevallós, D. Gregorio Alagon, D. Luis Vargas y D. Diego Orellana, y á Subtenientes de.bandera á D. Pedro Estrada, D. Diego de la Vaca y Don Bartolomé del Peso, también Sargentos primeros del mismo cuerpo: á Sargento mayor del de</t>
  </si>
  <si>
    <t>Vasconi, Joseph</t>
  </si>
  <si>
    <t>Joseph Vasconi</t>
  </si>
  <si>
    <t>la qde'han'concluido el último curso completo de los quatro años,1 baxola dirección del catedrático D. Joseph Vasconi. En estos actos observaron el método prescrito de disertar cada uno por espacio de una hora sobre la materia que le había ca^ bido por suerte, y de satisfacer después á las pregun</t>
  </si>
  <si>
    <t>7®4 y dando ál propio tiempo Iasgr acias en nombre del Real cuerpo patriótico al profesor D. Joseph Vasconi , á quien sele concedió título de socio ae mérito literario. Este contestó con las expresiones mas propias de su gratitud; y el alumno D. Ramón Garcescorrespondió igualmente con o</t>
  </si>
  <si>
    <t>Vatrin, General</t>
  </si>
  <si>
    <t>General Vatrin</t>
  </si>
  <si>
    <t>siguen desfilando hácia Nápoles* El General francés Casabianca llegó deTcligno aquí el día 27, y el General Vatrin él 28. Algunos dias antes ' transitó también por esta ciudad el General de artillería Du'anlóy, que de Ñipóles pasa á Florencia.' No pudiendo S.3. por falta de medios restablecer</t>
  </si>
  <si>
    <t>Vatriri, General</t>
  </si>
  <si>
    <t>General Vatriri</t>
  </si>
  <si>
    <t>cíficamente-todos los asuntos pendientes con el gabinete de las, Tullerías. ’ ... ■ i. Ha salido el‘General Vatriri para Ñapóles , de donde avisan que el General Acton, el Duque de Gravina, y el Embaxador ,de Rusia, quedaban disponiéndose p,»ra ir á Palermo. ' &gt;■- ‘ \ •» En Maceraracapital de l</t>
  </si>
  <si>
    <t>Vázquez Tabeada, Manuel</t>
  </si>
  <si>
    <t>Manuel Vázquez Tabeada</t>
  </si>
  <si>
    <t>sileros al Teniente de la misma clase D. Joseph María Pardo Montenegro; á su resulta al Subteniente D. Manuel Vázquez Tabeada, y á Subtenientes de bandera á D. Dámaso Bernardo Aldao Rodríguez del Monte y D. Fernando Manuel Montenegro: en el de Mondoñedo á Teniente de cazadores al de fusileros D. Tomas Fr</t>
  </si>
  <si>
    <t>Vázquez, Andrés</t>
  </si>
  <si>
    <t>Andrés Vázquez</t>
  </si>
  <si>
    <t>Gregorio Gómez de Ap iricio, D. Joseph de la Barreda, D. Agustín García de Arce, D. Mirtin Mármol, D. Andrés Vázquez, D. Andrés Ximenez, Don Fernando Antonio del Mármol, D. Joseph María del Toro, D. Antonio Bravo y D. Joseph de Jesús Paderes: últimamente á Subtenientes de bandera á los plísanos</t>
  </si>
  <si>
    <t>Vázquez, Ángel</t>
  </si>
  <si>
    <t>Ángel Vázquez</t>
  </si>
  <si>
    <t>........... ¿o. aS. Angel Vázquez.... Domingo....... Dofia María Arias. Viilaestebez.. Chantada............ 45* 10. Andrés Sabor ido.. Pedro............ Bárbara Jorge..... Castro........... Deza..</t>
  </si>
  <si>
    <t>Vázquez, Bartolomé</t>
  </si>
  <si>
    <t>Bartolomé Vázquez</t>
  </si>
  <si>
    <t>lesia del convento de Sto. Tomas de esta corte, que sé ha procurado copiar exáctamente, grabada por D. Bartolomé Vázquez: se hallará en la portería del expresado convento de Sto. Tomas, y en las librerías de Escribano, calle de las Carretas , y de Barco, carrera de S. Gerónimo. Memorial literario, ó</t>
  </si>
  <si>
    <t>Vázquez, Francisco</t>
  </si>
  <si>
    <t>Francisco Vázquez</t>
  </si>
  <si>
    <t>cesos mas interesantes,; ,y ya, que justamente prendado de lá obra del laborioso Mr. Anquetil el P. D. Francisco Vázquez, cuya piedad y eradicjauson bjen notorias,.ha íibrflzadQ el empeño de^sü traduc-í Q&lt;j^|¡¡íi obsequio de los Españoles ; tenemos la satisfacción de: presentarla al público,, adorna</t>
  </si>
  <si>
    <t>a. Sermones del P. D. Teodoro de Almeyda* Cartas de Leonardo Euler á una Prin­ traducidos por el P. D. Francisco Vázquez: cesa de Alemania sobre varias materias de 3 tomos, á 36 rs. en pasta, y 22 en papel. Física y Filosofía, traducidas por D. Juan Diccionario de las maravillas de la naLópez de Peñ</t>
  </si>
  <si>
    <t>Vázquez, Juan</t>
  </si>
  <si>
    <t>Juan Vázquez</t>
  </si>
  <si>
    <t>niente de granaderos al primer Subteniente D. Ramón de Lara; á primeros Subtenientes á los segundos D. Juan Vázquez y D; Nicolás Gamarra,. y á segundos Subtenientes a D. Joseph y D. Joachín Moreno Cagigal, Sargento distinguido del regimiento de Cantabria y Cadete del de Málaga:: en el batallen de V</t>
  </si>
  <si>
    <t>Vázquez, Manuel</t>
  </si>
  <si>
    <t>Manuel Vázquez</t>
  </si>
  <si>
    <t>María Sánchez, D. Manuel Alaría Sánchez y D. Joseph María de Córdoba; la Subtenencia de cazadores á D. Manuel Vázquez, y Subtenencia de bandera á D, Alvaro Cataño: en el de León Subtenencias de fusileros á D. Vicente Fernandez Luna, D. Martin de Quevedo y Aíonteagudo y D. Antonio Perez; y en el d</t>
  </si>
  <si>
    <t>Vázquez, Pedro</t>
  </si>
  <si>
    <t>Pedro Vázquez</t>
  </si>
  <si>
    <t>a8. 4* Pedro Vázquez... Francisco.....* Manuela Eouza... S. Miguel de Olleros.,*..* Idem................ ay. aa.</t>
  </si>
  <si>
    <t>Vega, Alexandro</t>
  </si>
  <si>
    <t>Alexandro Vega</t>
  </si>
  <si>
    <t>e granaderos á D. Andrés Canales; Subtenencias de fusileros al Sargento primero D. Nicolás Sánchez, D. Alexandro Vega, D. Rafael Lobaton y Don Isidro Pugi, y Subtenencias de bandera á D. Agustín Moseoso y D. Juan Altainirano. &lt; Al tiempo que. ha dado cuenta el Capitán general de la provincia de V</t>
  </si>
  <si>
    <t>Vega, Joseph</t>
  </si>
  <si>
    <t>Joseph Vega</t>
  </si>
  <si>
    <t>........... 37. 10. Joseph Vega........ Joseph.......... María Fernandez. Edrada.... Conso...................... SO. ss. Manuel García....Simón..*;; ..... Tomasa López *... Sta* Marta.... Conso....</t>
  </si>
  <si>
    <t>Veiazquez, Luis Joseph</t>
  </si>
  <si>
    <t>Luis Joseph Veiazquez</t>
  </si>
  <si>
    <t>o hasta la entrada de los romanos: sacados de escritores originales y monumentos contemporáneos por D. Luis Joseph Veiazquez, Marques de Valdeflores. Se hallarán en rústica á 8 rs. en las librerías de Escribano, calle de las Carretas , y de Perez, calle de S. Dámaso, frente á la de Juanelo. Descripción</t>
  </si>
  <si>
    <t>Veinte</t>
  </si>
  <si>
    <t>Alvaro de Bazan ,’Antonio de la vida de Ciceron , en 50 rs. líebrija, y Pedro Menendez Aviles: 5.0 Don Veinte y una estampas iluminadas de los Juan de Austria, Fr. Luis de Granada, Mar­ pavimentos de Rielves y Jumilla, en dos tin de Azpilcueta , Pedro Chacón , D. Ber- quadernos de á 10 y ir</t>
  </si>
  <si>
    <t>Vela y Olmo, Manuel</t>
  </si>
  <si>
    <t>Manuel Vela y Olmo</t>
  </si>
  <si>
    <t>ra de S. Gerónimo, Historia filosófica,de la sociedad humana; traducción que dexó hecha del tescano D. Manuel Vela y Olmo, Abogado que fué del colegio de esta corte ¡ un tomo en 8.° mayor. Es obra interesante í toia cíase de personas, pms ens fi&lt;* lo que debe ser la vida social en todos los estados d</t>
  </si>
  <si>
    <t>Velasco, Martín</t>
  </si>
  <si>
    <t>Martín Velasco</t>
  </si>
  <si>
    <t>*,............. 72. Martin Velasco.... Antonio.........Josepha García.... Guardia......... Logroño.......... 25$. 27. Joseph Galindo.... Juan.............. María Santos....... Salamanca...., Idem..</t>
  </si>
  <si>
    <t>Velazquez, Felipe</t>
  </si>
  <si>
    <t>Felipe Velazquez</t>
  </si>
  <si>
    <t>iales los empleos siguién* tes. En . el de Sigüenza Compañía de fusileros al Teniente de granaderos Don Felipe Velazquez; su resulta á D. Joseph de Ariza y Taboada, Subteniente de. granaderos , y este empleo á D. Marcelo Dávila, Subteniente de fusileros: en el de Monterey .compañía de fusileros al.</t>
  </si>
  <si>
    <t>Velazquez, Joseph</t>
  </si>
  <si>
    <t>Joseph Velazquez</t>
  </si>
  <si>
    <t>la Subtenencia de la primera compañía veterana de la dotación de Chiíoe ai Cadete de la de dragones D. Joseph Velazquez: dos empleos de Teniente del regimiente de Milicias urbanas de caballería de Chancay á D. Luis Joseph Cabezas y D. Pedro de la Puente: igual ascenso en las compañías de Milicias u</t>
  </si>
  <si>
    <t>Velazquezde Silva, Diego</t>
  </si>
  <si>
    <t>Diego Velazquezde Silva</t>
  </si>
  <si>
    <t>ra , Pablo de CésMapa de la Isla de Menorca , en papel imperial , de dos pliegos , en 30 rs. pedes, D. Diego Velazquezde Silva , Alon­ Idem otro de las Californias , en 25 rs. so Cano , Bartolomé de Murillo, y Juan de Quatro estampas de devoción , en quarto, Herrera: 13." D. Iñigo López de Mendoza, grabad</t>
  </si>
  <si>
    <t>Velez Cachupín, Francisco</t>
  </si>
  <si>
    <t>Francisco Velez Cachupín</t>
  </si>
  <si>
    <t>encia por el orden y fechas de sus imposiciones. Los acreedores censualistas é hipotecarios fueron: D. Francisco Velez Cachupín, vecino de Granada; el Sr. D. Joseph Ladrón, Teniente General de los Reales exércitos , vecino de Madrid, y la Sra. Doña María Faustina Ladrón de Guevara, su muger; el Sr. D. Gasp</t>
  </si>
  <si>
    <t>Velez de Guevara, Luis</t>
  </si>
  <si>
    <t>Luis Velez de Guevara</t>
  </si>
  <si>
    <t>ra edición del Diablo Coxuelo : verdades sofiadas y novelas de la otra vida : traducidas á esta por D. Luis Velez de Guevara , añadidas enigmas y novelas : un tomo en 8.° Se hallará en la librería de Calleja ,calle de Majaderitos angosta, esquina á la de las Carretas. Quaderno 35 de la colección general</t>
  </si>
  <si>
    <t>Velez, Ramón</t>
  </si>
  <si>
    <t>Ramón Velez</t>
  </si>
  <si>
    <t>...... *4- Ramón Velez....... Juan..... . María Ramos...... S. Vicente,... Sto. Demingo de la</t>
  </si>
  <si>
    <t>Ven, Joseph</t>
  </si>
  <si>
    <t>Joseph Ven</t>
  </si>
  <si>
    <t>rnado c©n láminas;: escrito par-, ticulármente para la instrucción de los cirujanos partidarios por D. Joseph Ven-* tura Pastor : dos tomos en 4.0 Se hallarán en las librerías de Escribano y de1 Qiiiroga. ...... . . - • •. - - - - ~— La Religión Christiana-autorizada por el testimonio de los a</t>
  </si>
  <si>
    <t>Venancio Xareño, Antonio</t>
  </si>
  <si>
    <t>Antonio Venancio Xareño</t>
  </si>
  <si>
    <t>os de Estado á primer Teniente al segundo D. Joseph Basoa y Ondona, y á esta resulta al Subteniente D. Antonio Venancio Xareño; en el de Nápoles á Capitán de granaderos al de fusileros D. Francia-* cu Borlasca; Capkair al Ayudante D;Francisco Narvaez; á Ayudantes á los primeros Tenientes D. Manael Torralb</t>
  </si>
  <si>
    <t>Venancio Xarreño del de León, Antonio</t>
  </si>
  <si>
    <t>Antonio Venancio Xarreño del de León</t>
  </si>
  <si>
    <t>cias en el mismo cuerpo á D. Joseph de Luna y D. Luis Manuel Zamora, Subtenientes del de Navarra, á D. Antonio Venancio Xarreño del de León, á D. Joseph de Elizalde y D. Francisco Sánchez de la Peña del de Granada, á D.Policarpo de Frias del de España, á D. Jacinto Ruis del fixo de Ceuta, y á D. Vicente Ferreri del de</t>
  </si>
  <si>
    <t>Venosa, Joseph</t>
  </si>
  <si>
    <t>Joseph Venosa</t>
  </si>
  <si>
    <t>habiendo nombrado también Capellán del tercer batallón del de infantería de Mallorca al presbítero D. Joseph Venosa; y Subteniente de la tercera compañía de Almería, una de las de infantería fixa de la Costa de Granada, al Soldado distinguido de la de Velez-Málaga D. Joseph Canga Arguelles. El</t>
  </si>
  <si>
    <t>Vera, Joachín</t>
  </si>
  <si>
    <t>Joachín Vera</t>
  </si>
  <si>
    <t>h Solves y al Cadete del de Burgos D. Miguel Pitez: en el ouadA xara á. Capitán á su caballero Page D. Joachín Vera: en el de Granada á primer* Subteniente al segundo D. Vicente Romero: en el ce Zaragoza á piinier. Subteniente al segundo D. Francisco Fernandez, y á segundo Subteniente.al. Cadet</t>
  </si>
  <si>
    <t>Verastegui, Domingo</t>
  </si>
  <si>
    <t>Domingo Verastegui</t>
  </si>
  <si>
    <t>Tenientes D. Joseph María Berrueco, D. Mateo Nuñez, D. Antonio Flor y Olmos, D. Hilario del Mueute, D. Domingo Verastegui y D. Ildefonso de la Barreda; á Tenientes de granaderos á los de fusileros D, Antonio Urruchurtu y D. Esréban Ximenez; á Tenientes de fusileros á los Subtenientes D. Cecilio Calonge,</t>
  </si>
  <si>
    <t>Verdejo, Francisco</t>
  </si>
  <si>
    <t>Francisco Verdejo</t>
  </si>
  <si>
    <t>uia mercantil, librería de Esparza, en Madrid. Adiciones al primer tomo del Compendio matemático de D. Francisco Verdejo , Catedrático de matemáticas de los Reales estudios de esta corte. En él se propone el autor aclarar y extenderse lo posible en la mayor parte de las proposiciones que abraza en e</t>
  </si>
  <si>
    <t>Vi-ente de la Cssta</t>
  </si>
  <si>
    <t>á las ra de su rnsfí-ii a. Quien quisiese hacer postura á elía&gt; acuda á la escribanía del número de D. Vi-ente de la Cssta. Por la audiencia del Sr. D. Juan Antonio Santa María, Teniente Corregidor de esta villa , y escribanía del número de D. Gervasio Fernandez Izquierdo , se ha mandado sacar á públi</t>
  </si>
  <si>
    <t>Vial, General</t>
  </si>
  <si>
    <t>General Vial</t>
  </si>
  <si>
    <t>á ¡Orleans^. de dppde^segqirján á embarcarse ¡para su» destino. ¡_(;,,ó4^.}v'V';'..*■ .-V/ ■ ■ ■ El General Vial reciei^rllégádp de ^gjptp.,ha presentado ál primer Cónsul el .tronco de una estatua antigua de b^ltp * d$'Játíb$y.í&gt;r belleza. Representa el;cuerpo; de u/i rnozo de 15. aqo^ qn. q</t>
  </si>
  <si>
    <t>Vicario, Manuel</t>
  </si>
  <si>
    <t>Manuel Vicario</t>
  </si>
  <si>
    <t>,........ , 408. 9. Manuel Vicario... Joseph........ Manuela Serrato., Baltanás....... Palencia......... 1*3. 7.- Antonio Lisandra. Roque......... ... Isabel Montes,.... Sarrion........ Teruel... .</t>
  </si>
  <si>
    <t>Vicebté Casado</t>
  </si>
  <si>
    <t>ses y D. ÁntóUió Mémbrilla; á primeros Subtenientes á los segundos Di Pedro’Pen, D. Manuel dé ¿es y D. Vicebté Casado, y á' segundo Subteniente alCadéte D. Jóséph" Delgado: en el de la Corona ásé* gundo Subtenienteal Cadete*I)i Jóseph Igíésiás y Bsjrráñtési: en .el/dé.So-i ría á pri mer Teniente'</t>
  </si>
  <si>
    <t>Vicenrte González</t>
  </si>
  <si>
    <t>nte al Cadete D. Joseph Narvaez: en -el de America á segundo Teniente al Subteniente de granaderos *D. Vicenrte González-: á Subteniente de granaderos al primer Subteniente D. Francisco Plaseneia; á primer Subteniente al segundo D. Joseph Bages, y á segundo Subteniente ál C id te del 'de Ultonia I).</t>
  </si>
  <si>
    <t>Vicens, Joseph</t>
  </si>
  <si>
    <t>Joseph Vicens</t>
  </si>
  <si>
    <t>endo conferido igualmente la compañía suelta de fusileros del Reyno de Valencia al Teniente de ella D. Joseph Vicens. S. M. se ha dignado nombrar para la Vara de Alcalde mayor de la vi-, lia de Daymiel, de segunda clase, provincia de la Mancha, territorio de la orden de Calatrava, á D. Francisco</t>
  </si>
  <si>
    <t>Vicenta Pacheco Tellez Girón, María</t>
  </si>
  <si>
    <t>María Vicenta Pacheco Tellez Girón</t>
  </si>
  <si>
    <t>nado los jugadores 460,332 rs. muriá en esta corte i los sesenta y seis años de edad la Excma. Sra. Doña María Vicenta Pacheco Tellez Girón .Duquesa viuda de Osuna, Dama noble de la orden de la Reyna Mana Luisa. El sentimiento de su pérdida ha sido correspondiente al general aprecio que la habían grangeado la bondad d</t>
  </si>
  <si>
    <t>VicenteTor</t>
  </si>
  <si>
    <t>D. Vicente Martínez ; de otro, núm, 466,797, á D. Francisco Gutiérrez, y de otro, núm. 466,801 , á D. VicenteTor-!res ; ha pedido que para evitar reclamaciones ulteriores que entorpezcan y le detengan la entrega de dichos vales, después de hecha la prueba que intenta, mediante no consta ni‘se</t>
  </si>
  <si>
    <t>Victo, Antonio (archiduque)</t>
  </si>
  <si>
    <t>Archiduque Antonio Victo</t>
  </si>
  <si>
    <t>salva de artillería. UVia comitiva brillante y nu-* Bierosa le acompaño hasta la iglesia en que el Archiduque Antonio Victo-*' rio fué elegjdo y proclamado Elector con generales y repetidos aplausos del concurso; Por la noche se iluminó toda la ciudad.— Como el Ministro de Prusia ha. protestado nuevamen</t>
  </si>
  <si>
    <t>Víctor Joseph Marina</t>
  </si>
  <si>
    <t>I09° Torres; á Teniente ele cazadores al de fusileros D. Víctor Joseph Marina, y á igual empleo de fusileros á D. Joseph María Ortega,Subteniente de la propia clase : en el de Murcia á Capitán de fusileros al Teniente D. Joseph Aldrete; á Teniente de fusile</t>
  </si>
  <si>
    <t>Víctor Kotchubey, Conde</t>
  </si>
  <si>
    <t>Conde Víctor Kotchubey</t>
  </si>
  <si>
    <t>un juez y dos asesores nobles, otros dos asesores comerciantes, y dos labradores. Se asegura que el Conde Víctor Kotchubey reemplazará en el ministerio de Negocios extrangeros al Conde de Panin, quien á causa de su salud ha pedido una suspensión de todo trabajo durante 3 años. Ha nombrado S. M. I. Con</t>
  </si>
  <si>
    <t>Víctor, General</t>
  </si>
  <si>
    <t>General Víctor</t>
  </si>
  <si>
    <t>piiestos déizquierda del Rliíñ desdé Dusseldórff hasta ;Mágüh¿ia¿ ■ Dúrápte su auséhcifi mandará el General Víctor aquellas, tropas. : u; ^ ^ ,/. Stras b urgoig dtt Jimio.' t - , if E h ,el Mercurio dé Ratisbona, cuyo autor es muy adicto á los ingleses, sé lumpubücádo^ grandes victorias conseg</t>
  </si>
  <si>
    <t>paz y alianza del año de 1795. No quedarán en esta República mas que 10© franceses mandados por el General Víctor, y los demás la evacuarán en todo el mes de Octubre. Basilea 13 de Setiembre, '■ E 1 dia 7 por la mañana la Dieta helvética tuvo su primera sesión en las casas consistoriales de B</t>
  </si>
  <si>
    <t>Victoria</t>
  </si>
  <si>
    <t>testamentaria que otorgó á 13 de Febrero de 17$*, nombrando por sus legítimos herederos á D. Juan , Doña Victoria, D. Julián, Doña Manuela, Dofía Bernarda y D. Miguel de Carta Luzuriaga; y no habiendo parecido el D. Julián á recoger la parte que le correspondía ce 61$ pesos, .3 tomines y $ gr</t>
  </si>
  <si>
    <t>Victoria de Félix</t>
  </si>
  <si>
    <t>n elásticos que no molestan ni aún en los embarazos. Vivé en la calle del Olivo, núm. g, quarto a.* Doña Victoria de Félix , oculista en esta corte, que continúa en la curación de todas las enfermedades'de los ojos, ha perfeccionado de tal modo la delicada operación de la cataracta , que rara vez se l</t>
  </si>
  <si>
    <t>Victoria, Rafael</t>
  </si>
  <si>
    <t>Rafael Victoria</t>
  </si>
  <si>
    <t>ro del mismo regimiento, y empltos de Portaestandartes á los Sargentos primeros D. Mariano Quixada, D. Rafael Victoria y D. Joseph Vivancos; y Tenencia veterana en el regimiento de Milicias. disciplijudás de «pañoles de Lima á D. Joseph María Tirapegui. En cumpiimiento de lo m and ado pqr S. M. en la</t>
  </si>
  <si>
    <t>Victorino de Arroyo, Joseph</t>
  </si>
  <si>
    <t>Joseph Victorino de Arroyo</t>
  </si>
  <si>
    <t>ría dé Arequipa á los Cadetes D. Joseph Romero, D. Joseph Barrera, Don Juan Bautista Arrospide, y á D. Joseph Victorino de Arroyo: el empleo de Alférez de carabineros del de Milicias urbanas de caballería de lea al de fusileros D. Francisco Nandin: Tenencia en el esquadron de Milicias urbanas de caballería d</t>
  </si>
  <si>
    <t>Vidal, Joseph Manuel</t>
  </si>
  <si>
    <t>Joseph Manuel Vidal</t>
  </si>
  <si>
    <t>: para-otra de la colegial de Bayona, diócesis de Tuy» vacante por muerte de D. Domingo Martínez, á D. Joseph Manuel Vidal, Cura de la parroquia de Santa Marina de Bayna, en el mismo obispado: para un Beneficio de la parroquia de $. Miguel ee la ciudad de Cuenca', vacante porfallecimiento de D. Joseph</t>
  </si>
  <si>
    <t>Vidaurre, Diego</t>
  </si>
  <si>
    <t>Diego Vidaurre</t>
  </si>
  <si>
    <t>tenciaria de la Sta. Iglesia de Comayagua, en el Reyno de Goatemala, al Dr. D. Diego Vidaurre, Presbítero.</t>
  </si>
  <si>
    <t>Vidaurreta, Antonio</t>
  </si>
  <si>
    <t>Antonio Vidaurreta</t>
  </si>
  <si>
    <t>: para la Canongía de-la catedral dé Falencia; vacante por fallecimiento de Doá Manuel González, á D. Antonio Vidaurreta; para la Ración titular de la ca* tedral de Lugo, vacante por muerte de D. Luis Suarez Montenegro, á Don Juan Antonio Peñabad de Cale, Capellán de número de la Real Armada: para l</t>
  </si>
  <si>
    <t>Vidiella, Diego</t>
  </si>
  <si>
    <t>Diego Vidiella</t>
  </si>
  <si>
    <t>ito Gregorio en la tercera clase de la misma. Ncf hubo opositor en la primera clase de escultura. A D. Diego Vidiella;20 pesos por el premio de segunda clase, y 10 pesos á D. Xavier Estrada por el de tercera: 40 pesos á D. Joseph Sanz por el premio de la primara clase de arquitectura: 20 pesos á</t>
  </si>
  <si>
    <t>ViHamartin, Andrés</t>
  </si>
  <si>
    <t>Andrés ViHamartin</t>
  </si>
  <si>
    <t>Joseph de Nieva las Aventuras de Gil Blas; á D. Joseph de Rivacova el Arte de D. Torqu'to Torio; a Don Andrés ViHamartin otro exemplar de los Viages de Wanton, y á D. Joachín de Miera los Diálogos del mismo D. Torquato: los dos primeros y h Araucana los franqueó S. E. El dia 3 de este mes falleció e</t>
  </si>
  <si>
    <t>Viilanueva, Benito</t>
  </si>
  <si>
    <t>Benito Viilanueva</t>
  </si>
  <si>
    <t>-r » que se contemple acreedor 4 ia referida testamentaría acuda con los .tfoclímenlos necesarios 4 D. Benito Viilanueva , vecino de esta corte, que vive en la calle de Alcalá, núm. &lt;3, quarto a.° , frente ai pasadizo del Buen-suceso , quiea está autorizado con las facultades necesarias para satisfa</t>
  </si>
  <si>
    <t>Viilaret- Joyeuse, Almirante</t>
  </si>
  <si>
    <t>Almirante Viilaret- Joyeuse</t>
  </si>
  <si>
    <t>Leclerc ha llegado á Brest, en donde se habrá embarcado el 21. Por el telégrafo se ha sabido que el Almirante Viilaret- Joyeuse debia dar el 22 á su esquadra la órden de que nadie baxase á tierra aesde aquel dia, y que estuviese pronta á zarpar.” „ El Ministro plenipotenciario de los Estados-Un id os recien l</t>
  </si>
  <si>
    <t>Vilanoba, Christóbal</t>
  </si>
  <si>
    <t>Christóbal Vilanoba</t>
  </si>
  <si>
    <t>resulta al segundo Teniente D. Fernando Va— lledor; á segundo Teniente al Subteniente de granaderos D. Christóbal Vilanoba; .4 Subteniente de granaderos al de fusileros D. Domingo Tierra; á primer Subteniente al segundo D, Isidro Valverde, y á segundo Subteniwate al Cadete del de Africa D. Antonio deV</t>
  </si>
  <si>
    <t>Vilbreal, Francisco</t>
  </si>
  <si>
    <t>Francisco Vilbreal</t>
  </si>
  <si>
    <t>la Media-Ración de este á D. Francisco Armenta y Godoy: para la Ración vacante por fallecimiento de D. Francisco Vilbreal, á Don Ignacio Arjona: para la Media-Ración que este obtiene, y resultará vacante, á D. Francisco Paula Cerero: para la Ración vacante por ascenso de I). Francisco de Paula Bucare</t>
  </si>
  <si>
    <t>Viles, Joseph</t>
  </si>
  <si>
    <t>Joseph Viles</t>
  </si>
  <si>
    <t>et en id.. 40. afl. Joseph Viles............... Saturnino y Teresa Marrasena... Pesilia en id.... P- 23. Pedro Munte............... Joseph y Rosa Ramonadié......... Delsolé en id.... p. 23» Antonio Rubie....</t>
  </si>
  <si>
    <t>Vilieneuve, Almirante</t>
  </si>
  <si>
    <t>Almirante Vilieneuve</t>
  </si>
  <si>
    <t>se pornron muy bien.” El Capitán de fragata Lugan, recien llegado de Egipto, ha escrito al Contr {-Almirante Vilieneuve, comandante de la marina francesa en Italia, la siguiente carta con fecha de Otranto á 25 de Agosto: ,, En mí anterior nad 1 os dixe de las cosas de Egipto. Ahora os diré que aun</t>
  </si>
  <si>
    <t>Viljena, Joseph</t>
  </si>
  <si>
    <t>Joseph Viljena</t>
  </si>
  <si>
    <t>eü; las Subtenencias dev granaderos y cazadores á los Subtenientes de fvA sileros DI Alonso Ramos y D. Joseph Viljena, y Subtenencia de bandera, á P. LuísEseuder: en el de Cuenca Subtenencias dé .fusileros á D. Joachiq Váides y-D; Juan Antonio Escalante : en: el de Betánzosfa Subtenencia de cazad</t>
  </si>
  <si>
    <t>Villa, Francisco</t>
  </si>
  <si>
    <t>Francisco Villa</t>
  </si>
  <si>
    <t>.,........ i&lt;5. 32, Cabo, a.0 Francisco Villa........... Miguel....... ... María Sandoval... Polan............ Toledo........... 17a. 34. Miguel Nogues.... Miguel....... ... Antonia Maneso.. Borja.............. Idem.</t>
  </si>
  <si>
    <t>Villaamil, Antonio</t>
  </si>
  <si>
    <t>Antonio Villaamil</t>
  </si>
  <si>
    <t>isma clase; la Subtenencia de cazadores á D. Pascual Gamero y Santos, y Subtenencias de fusileros á D. Antonio Villaamil, D. Francisco de Paula Barrantes, D. Pedro Lobo Cabrilla y D. Francisco Bcrja Sandoval : en el de Badajoz la Tenencia de cazadores á D. Vicente Berriz, Teniente de fusileros; Tene</t>
  </si>
  <si>
    <t>Villaba, Ambrosio</t>
  </si>
  <si>
    <t>Ambrosio Villaba</t>
  </si>
  <si>
    <t>y á primer Teniente ai segundo D. Gerónimo Aguilar; á segundo Teniente ai Subteniente de granaderos D. Ambrosio Villaba; á esta resulta al primer Subteniente D.'Joachín-Ramón Cabero; á primer Subteniente al segundo D. Francisco de Paula Miranda, y á segundo Subteniente al Sargento primero D. Franci</t>
  </si>
  <si>
    <t>Villalobos, Capitán</t>
  </si>
  <si>
    <t>Capitán Villalobos</t>
  </si>
  <si>
    <t>á pública subasta por término de 30 dias, á instancia del actual poseedor del vínculo que fundó el Capitán Villalobos, conforme á los Reales decretos, f \ fanegas de tierra en a pedazos, situadas en el término de Vicálbaro, jurisdicción de esta villa: el uno al sitio que dicen la Dehesilla de Amb</t>
  </si>
  <si>
    <t>Villalobos, Joachín</t>
  </si>
  <si>
    <t>Joachín Villalobos</t>
  </si>
  <si>
    <t>o herido de Borbon , y dos soldados' muertos de María Luisa , cuyos caballos recogió el Subteniente D. Joachín Villalobos á costa de dos bayon&lt;*tazos, matando al que se los dio; por cuya razón le conferí el gradó de Teniente. El citado Black mostró en esta ocasión qué su crédito de buen militar no es</t>
  </si>
  <si>
    <t>Villanueva, Xavier</t>
  </si>
  <si>
    <t>Xavier Villanueva</t>
  </si>
  <si>
    <t>én en el regimiento de caballería deí Rey se ha servido promover S. M. á Alférez ai Portaestandarte D. Xavier Villanueva, y á Portaestandarte al Cadete D. Baltasar Í3élindnte; y en ei de Santiago á Alférez al Portaestandarte D. Pedro Rodríguez, y á esta resulta al Cadete D. Fernando de Milla; habien</t>
  </si>
  <si>
    <t>Víllaret, Almirante</t>
  </si>
  <si>
    <t>Almirante Víllaret</t>
  </si>
  <si>
    <t>, el Teniente Nichoíjon, el qual fué recibido con demostraciones de aprecio. Comió aquel dia con el Almirante Víllaret, y al siguiente con el Almirante Gravina. Poco antes de salir de aquel puerto le regaló Madama Vi</t>
  </si>
  <si>
    <t>Villaret-Joyeuse, Almirante</t>
  </si>
  <si>
    <t>Almirante Villaret-Joyeuse</t>
  </si>
  <si>
    <t>E. Firmado i C. Cardenal Consalvi Ha llegado de Brest á París el Almirante Latoucbe-Treville; y el Almirante Villaret-Joyeuse saldrá quanto antes de aquí para aquel puerto. El cuerpo de tropas francesas que hay en los estados del Papa se llamará desde ahora exército de observación del mediodía. De Nántes</t>
  </si>
  <si>
    <t>disponiendo fiestas magníficas para obsequiar á estos ilustres viageros. El dia ió llegó á Brest el Almirante Villaret-Joyeuse, y el t 7 tremoló su bandera en el navio Océano : la esquadra francesa la saludo con 13 cañonazos , y la española le hizo también salva. El dia 18 se tomó en la junta de sanidad d</t>
  </si>
  <si>
    <t>Villaseñor, Andrés</t>
  </si>
  <si>
    <t>Andrés Villaseñor</t>
  </si>
  <si>
    <t>Joseph Muñoz del Castillo: en el de Alcázar de S. Juan á Subteniente de granaderos al de fusileros D. Andrés Villaseñor, y á Subtenientes de bandera 4 D. Juan Ramón LouTes y Peña y D, Vicente de León; y en el de Móntete;/ a Suht: nientes de bandera á D» Joseph Domínguez Gil y D. Pedro Ico-doro Erin</t>
  </si>
  <si>
    <t>Villavicencío, Francisco</t>
  </si>
  <si>
    <t>Francisco Villavicencío</t>
  </si>
  <si>
    <t>deí de Farnesici D. Miguel de Sóbrevilla: en el de la Costa de Cránadá a Capitán ál primer Teniente D. Francisco Villavicencío; en el de dragones de la Reyna á Teniente al Alférez D. Nicolás Narni Mancinelli; j en el regimiento de caballería de Calatrava ha conferido S. M. Compañía D. Manuel Ayala, Cadete</t>
  </si>
  <si>
    <t>Villeneuve, General</t>
  </si>
  <si>
    <t>General Villeneuve</t>
  </si>
  <si>
    <t>de la República francesa cerca de S. S. ; y ántes de ayer tuvo audiencia privada, acompañándole el General Villeneuve y otros 3 Generales franceses. El Papa le recibió con mucha distinción y demostraciones de amistad. Turin 24 de Abril. E I iS por la tarde, poco después de recibir el General Jourda</t>
  </si>
  <si>
    <t>Villenouve, Almirante</t>
  </si>
  <si>
    <t>Almirante Villenouve</t>
  </si>
  <si>
    <t>sicilianos, que habían quedado enfermos tn aquella, capital, han salido ya para Ñapóles. El Contra-Almirante Villenouve ha pasado por Bolonia para Ancona. Milán 2 6 de Marzo. A i sí que se ratifique el tratado de paz evacuarán los franceses el territorio venech.no, y retrocederán á esta República.</t>
  </si>
  <si>
    <t>Viñas, Francisco</t>
  </si>
  <si>
    <t>Francisco Viñas</t>
  </si>
  <si>
    <t>bteniente de granaderos al primero de fusileros D. Mariario Ribas ; á primer Subteniente al segundo D. Francisco Viñas, y á segundo Subteniente al Cadete del de infantería de Guadalaxara D. Juan Bautista Robi : en el batallón de Volantarios de Gerona á Capitán primero al Capitán segundo D. Joseph</t>
  </si>
  <si>
    <t>Viñau, Francisco</t>
  </si>
  <si>
    <t>Francisco Viñau</t>
  </si>
  <si>
    <t>mineralogía y metéoros; en segundo lugar y clase de buenos a Don Manuel Garin, D. Manuel Lozano . y D. Francisco Viñau; yen tercer lugar y clase de medianos á D. Joseph Coronas y D. Pedro Sebastian.;—A todos los aíamnos que quedan nombrados en cada una de las tres cátedras expresadas se les repart</t>
  </si>
  <si>
    <t>Vinicgra, Luis</t>
  </si>
  <si>
    <t>Luis Vinicgra</t>
  </si>
  <si>
    <t>(jarees.j^esta. resulta al primer Subteniente D. Marians Cañellas; á primer Subteniente al segundo D. Luis Vinicgra, y x seguade Subteniente af Sargento primero degranaderosD. Ramón Perez.y; r ; / También en el regimiento de cabaIlcría del R.ey se ha servido S. M; promover á prime r T eni en te</t>
  </si>
  <si>
    <t>Vinuesa, Joseph</t>
  </si>
  <si>
    <t>Joseph Vinuesa</t>
  </si>
  <si>
    <t>el de la villa de Estepona á D. Antonio Joseph Montero y Mira: para el de la vi-* lia de Carrion á D. Joseph Vinuesa: para el de la población de Gíbraltar, que reside en S. Roque, á D. Ignacio Perez Vizcaíno; y para la Vara de Alcalde mayor de la ciudad de Valladoüd á D. Juan Antonio Bringas. El</t>
  </si>
  <si>
    <t>Virizucla, Manuel</t>
  </si>
  <si>
    <t>Manuel Virizucla</t>
  </si>
  <si>
    <t>niente de granaderos al de fusileros D. Ramón Sánchez de la Guerra; á primer Subteniente al.segundo D. Manuel Virizucla, y á esta resulta al Cadete D. Fernando Antonio Muñoz; en el de Navarra á Comandante del tercer batallón al Sargento mayor del de León, graduado de Teniente Coronel, D. Julián de</t>
  </si>
  <si>
    <t>Virto, Ignacio</t>
  </si>
  <si>
    <t>Ignacio Virto</t>
  </si>
  <si>
    <t>colegial de Xerez de la Frontera, en el dicho arzobispado de Sevilla, vacante por fallecimiento de D. Ignacio Virto, á D, Antonio Joseph Granado, Cura de S. Bartolomé de aquella ciudad. S. M. ha nombrado Exento supernumerario á D. Juan Cerda, Brigadier de la Compañía Italiana del Real cuerpo de</t>
  </si>
  <si>
    <t>ra Ración de la eolegial de Xerez de la Frontera, diócesis de Sevilla, vacante por fallecimiento de Don Ignacio Virto, á D. Juan Izquierdo y Uclés, Capellán de la casa de-misericordia de la ciudad de Cádiz: para otra Ración de la metropolitana de Toledo, vacante por promoción de D. Andrés de León</t>
  </si>
  <si>
    <t>Viruesv, Francisco</t>
  </si>
  <si>
    <t>Francisco Viruesv</t>
  </si>
  <si>
    <t>fusileros D. Pedro Gerónimo’ Alémauy:, y á primee. Temén£é al agregado en esta clase al de Valencia D. Francisco Viruesv •?* ' , También se ha servido el Rey conferir la Sargentía mayor del regiiniea»</t>
  </si>
  <si>
    <t>Vital, Juan</t>
  </si>
  <si>
    <t>Juan Vital</t>
  </si>
  <si>
    <t>ález y 'Dy Agustín Martínez, y á los primeros Subtenientes D. Francisco Caballero, D. Jóseph Girón, D. Juan Vital, D. Joseph Arevaliilo, D. Luis de Ribera, Don Francisco Orellana, D. Laureano de Salas y D. Tomas dé Cear rote ;• á tenientes de granaderos á los segundos Subtenientes D. Joseph U</t>
  </si>
  <si>
    <t>Viu, Jorge</t>
  </si>
  <si>
    <t>Jorge Viu</t>
  </si>
  <si>
    <t>mpeller........ 41* Jorge Viu................ . Antonio y Ana Blane......... ....... Perpifian........... 41. Saturnino Viles......... Saturnino y Teresa Barraceda... PesíUa en el Rosellon.......... 9. aj.</t>
  </si>
  <si>
    <t>ViUaespesa, Joseph</t>
  </si>
  <si>
    <t>Joseph ViUaespesa</t>
  </si>
  <si>
    <t>Josepn Murzo: en el batallón de cazadores 7Voluntarios de Barbastro á segundo Subteniente al Cadete D. Joseph ViUaespesa; y en el regimiento de infantería de Borbori á primer Teniente al segundo de granaderos D. Agustín Castelmaure; á segundo Teniente de granaderos al de fusileros D. Henrique de Cha</t>
  </si>
  <si>
    <t>ViUamií' y Saayedraíj, Francisco</t>
  </si>
  <si>
    <t>Francisco ViUamií' y Saayedraíj</t>
  </si>
  <si>
    <t>para í la Dignidad :de Prior y Canongía unida de la catedral* de ^londoúedo,: vácante por muerte de D. Francisco ViUamií' y Saayedraíj á D.-Juan Francisco Romero ^ Cura de la parroquia dé la villa de Deza en el obispado de Sigüenza :lpara el Arcédianato de Ribas del Sil, Dignidad de la catedral dé Astorga, vacant</t>
  </si>
  <si>
    <t>Vivas, Andrés</t>
  </si>
  <si>
    <t>Andrés Vivas</t>
  </si>
  <si>
    <t>á segundo Subteniente al Cadete D. Francisco Samper: en el de Córdoba á Ayudante al primer Teniente D. Andrés Vivas; á esta resulta al segundo Teniente de granaderos D. Francisco D ona ; á segundo Teniente de granaderos al de fusileros D. Migue e í0&gt; á segundos Tenientes á los Subtenientes de g</t>
  </si>
  <si>
    <t>Vizcaíno Pérez, Vicente</t>
  </si>
  <si>
    <t>Vicente Vizcaíno Pérez</t>
  </si>
  <si>
    <t>al arreglado i las leyes de España, que para direccion dé los Alcaldes y Jueces ordinarios escribió D. Vicente Vizcaíno Perez, del Consejo de S. M. , y Fiscal de lo civil en la Real audiencia del Reyno de Galicia : tres tomos en 8.° =s Tratado de la jurisdicción ordinaria para dirección y guia dé los Alc</t>
  </si>
  <si>
    <t>Vizconde de Zoliná, Coronel</t>
  </si>
  <si>
    <t>Coronel Vizconde de Zoliná</t>
  </si>
  <si>
    <t>el batallón de Voluntarios de Barbastro de su cargo, y un esquadron de Borbon al mando del Teniente Coronel Vizconde de Zoliná: emprendió su comisión á las quatro de la madrugada del 2, y á la una de su tarde se presentó delante de la plaza tomando posiciones confusas que pudieran aparentar mayor fuerza q</t>
  </si>
  <si>
    <t>Vouglans</t>
  </si>
  <si>
    <t>n Jesuchristo : disertación traducida del francés por D. Tar— quato Torio de la Riva, y escrita por Mr. Vouglans, Consejero del gran Consejo en París , para hacer ver á los incrédulos: i.° la divinidad de nuestra religión y de las sagradas escrituras, que son como fuente- y origen de nuestra</t>
  </si>
  <si>
    <t>W-ick</t>
  </si>
  <si>
    <t>omisario imperial ha dado á entender á algunos Ministros de la Dieta el desagrado de S. M. I. Entre Mr. W-ick^am.y los emigrados suizos se ha, hecho un nuev$ coi**trato, según el.qual los 3 regimientos de Salís, Roverea y Bachmanñ'.Suelven á entrar por otros 6 años al servicio de Inglater</t>
  </si>
  <si>
    <t>Wairother, Coronel</t>
  </si>
  <si>
    <t>Coronel Wairother</t>
  </si>
  <si>
    <t>l Víctor íEaiieau Lahorie: y S. A. R. el Archiduque Garlos, al Sargento mayor Confde de Grima, y ai Coronel Wairother.de Vetái ,*de la plana* mavort los ■ «nales hán convenido en los artículos siguientes: Art. i.°-£a Hnea de demarcación entré ia parte del exército de Alemania que el Generar A lig</t>
  </si>
  <si>
    <t>Walmoden, General</t>
  </si>
  <si>
    <t>General Walmoden</t>
  </si>
  <si>
    <t>l Electorado de Hannover, y mantenerse allí á expensas del país: pues en vano aquella Regencia y el General Walmoden dirigiéron repetidas r- presentaciones al General Kleist y al gabinete de Berlín para que se reduxesen á 12© hombres ó i5©quando mas. Avisan de Minden que quando los prusianos se</t>
  </si>
  <si>
    <t>Waltber, General</t>
  </si>
  <si>
    <t>General Waltber</t>
  </si>
  <si>
    <t>zmos debida agestado ipor- los añosde^-79S ¿ 99ys?800. Ayisah dei ¿Brisgaw que- ha* vúéltó allí el1 General Waltber y y se ha én</t>
  </si>
  <si>
    <t>Waltersdorf, General</t>
  </si>
  <si>
    <t>General Waltersdorf</t>
  </si>
  <si>
    <t>Paftifi.• * í 1 : ■. - t ■ ¡ . . Copenhague 3 de Noviembre. ■&lt; E in! lai instrucciones * dadas al' General Waltersdorf y' demas Comisarios Reales destinados para las islas dinamarquesas de Américá, se les previene - ’v « entre otras cosas que examinen la conducta de los oficiales y empleados civiles</t>
  </si>
  <si>
    <t>Walterstoríf, General</t>
  </si>
  <si>
    <t>General Walterstoríf</t>
  </si>
  <si>
    <t>de la Espada. Elseneur u de Abril. E 1 día 9 por la tarde se ajustó entre el Almirante Nelson y el General Walterstoríf un tratado de armisticio, que consta de los j artículos siguienr tes: „ i.° Así que se firme esta tregua cesarán las hostilidades entre la esquadra del Almirante Hide-Parker, y la</t>
  </si>
  <si>
    <t>Walther, General</t>
  </si>
  <si>
    <t>General Walther</t>
  </si>
  <si>
    <t>■los voluntariamente. . k Varios oficiales y muchos soldados franceses del cuerpo, que al mando del General Walther está acantonado en el Brisgaw, han conseguido licencia temporal para ir á Francia. El resto de dichas tropas permanece ocupando el Brisgaw: país que, según dicen, se cederá á la ord</t>
  </si>
  <si>
    <t>n la promesa de obediencia á las leyes, y de fidelidad al gobierno. strasburgo 26 de Noviembre. E t General Walther , comandante de las tropas francesas en el Brisgaw, ha recibido orden de ir al instante á Rochefort, en donde se embarcará para Santo Domingo , en cuya expedición servirá baxo las</t>
  </si>
  <si>
    <t>Wan-herck, Agustín</t>
  </si>
  <si>
    <t>Agustín Wan-herck</t>
  </si>
  <si>
    <t>eph Isasy; á esta resulta al primer Subteniente D. Lorenzo Cervera; 4 primer Subteniente al segundo D. Agustín Wan-herck, y á segundos Subtenientes á los Cadetes del de infantería de Burgos ^ fixo de Ceuta Don Sebastian de Arcos y D. Antonio Ordoñez; en él de España á primeros Tenientes á los segund</t>
  </si>
  <si>
    <t>Wan-nerck, Francisco</t>
  </si>
  <si>
    <t>Francisco Wan-nerck</t>
  </si>
  <si>
    <t>de infantería de Córdoba se ha servido el Rey promover á primer Teniente al segundo de granadero^. D. Francisco Wan-nerck; á segundo Teniente de granaderos ai de .fusileros D. Christóbai Artola; á segundo Teniente ai Subteniente de- granaderos D. Joseph Isasy; á esta resulta al primer Subteniente D.</t>
  </si>
  <si>
    <t>Ward, Bernardo</t>
  </si>
  <si>
    <t>Bernardo Ward</t>
  </si>
  <si>
    <t>aciones, especialmente con .el comercio: D. Antonio Seta sobre la - junta de mejoras, propuesta por D. Bernardo Ward, y de la policía supé• rior é inferior: D. Fabián Lorente sobre H/propiedad y precio de las cosas: D- Francisco Oteiza sobre las artes primitivas; explicando también 4ós -.prelimi</t>
  </si>
  <si>
    <t>Warin, Almirante</t>
  </si>
  <si>
    <t>Almirante Warin</t>
  </si>
  <si>
    <t>ó y dió caza a úna fragata inglesare guerra nombrada la Incendiaria, despachada de Gibraltar por el Almirante Warin para observar á la esquadra. Consiguió alcanzarla á las 9 de Ja noche, y la apresó. Monta 28 piezas de artillería entre obuses y cañones. El dia 3 £ acabaron de reunirse los buque</t>
  </si>
  <si>
    <t>Warn-n, Almirante</t>
  </si>
  <si>
    <t>Almirante Warn-n</t>
  </si>
  <si>
    <t>e se verifique y cumpla el plan de las secularizaciones. París 4 de Abril. L a esquadra inglesa del Almirante Warn-n , que perseguida por la del Contra-Almirante Ganthcamne se acogió á Mahon, se aprovechó del moiTKnto en que este General había entrado en el puerto de Tolon para salir nuevamente</t>
  </si>
  <si>
    <t>Warren, Almirante</t>
  </si>
  <si>
    <t>Almirante Warren</t>
  </si>
  <si>
    <t>397 El 18 de Febrero entró el Almirante Warren en Mabon con 4 navios de línea y otras tantas fragatas, después de buscar inútilmente por el Mediterráneo la esquadra del Almirante Gantheaume. Se han recibido cartas directas de lá</t>
  </si>
  <si>
    <t>re esto, ha quedado admitido el voto de Mr. Goertz. Londres jo de Mayo. D ícese que la esquadra del Almirante Warren se ha dirigido hacia Liorna. Ha recibido el gobierno cartas del Lord Elgin, Embaxador británico en Constantinopla , en que avisa haber llegado ai mar Roxo un cuerpo mandado por el</t>
  </si>
  <si>
    <t>ida la suerte de aquel pais. Una carta de Constantinopla de 11 de Mayo expresa que I31 esquadra del Almirante Warren llegó á avistar la del Almirante Gantheaume, sin que una ni otra se atreviesen á emprender un ataque, aunque estuviéron 24 horas á la vista. Un temporal alejó á los franceses: y e</t>
  </si>
  <si>
    <t>fin de Agosto. , El Almirante Saumarez, que manda en Gibraltar, despachó desde allí un bergantín al Almirante Warren pidiéndole refuerzos. Entre Coiné y el rio Morningtrée , en las costas de Essex, se está formando un campamento muy crecido, al qual tiene orden de ir la guarní-* cion de Colchest</t>
  </si>
  <si>
    <t>os de tropas inglesas. De Constantjnopla han calido 2 fragatas turcas para aumentar la esqúadra del Almirante Warren ; &lt;y el Gran Señor ha enviado presentes de gran precio di Gran* Visir, al Capitán Baxá y al LordKeith.__ Siguen haciéndose en Turquía grandes preparativos de defensa para oponerse</t>
  </si>
  <si>
    <t>os ingleses ,&lt; qiie : molestan la navegación de dicho imr. f De Córigo escriben que la esqúadra del Almirante Warren, compuesta de 10 -navios y varías fragatas, per-siguió hasta aquellas aguas a1 la ^Jet A Imítame Gañtheaúmef pero perdiendo la esperanza dé alcanzarlai tomo díf partido de volvét</t>
  </si>
  <si>
    <t>stá bombardeando á Porto-Ferrayo. Nuestras baterías impiden la entrada del puerto á la esquadra del Almirante Warren, que cruza en aquellos mares con 7 navios de línea y 4 fragatas. El dia 7 parte de ella se dirigió á la playa de Marciana; y el 8 á las 4 de madrugada gran número de cañoneras y t</t>
  </si>
  <si>
    <t>ndonada á las olas. r Según los movimientos y las disposiciones que se advierten en la esquadra del Almirante Warren, puede presumirse que no tardará en lincer alguna empresa para defender á Porto-Ferrayo, cuyo asedio prosigue por p rte de los franceses con la mayor actividad. Ayer pasaron á la</t>
  </si>
  <si>
    <t>Warren, Lord</t>
  </si>
  <si>
    <t>Lord Warren</t>
  </si>
  <si>
    <t>cruzando, y una de sus lanchas llegó á parlamentar: un oficial dixo que se esperaba quanto ántes al Lord Warren, que con 8 navios de línea va á reemplazar al Almirante Keith. Llegó Viliemet el 23 á Malta, en donde posteriormente entró la fragata inglesa Flora con el cadáver del General Aber</t>
  </si>
  <si>
    <t>Wasiliew</t>
  </si>
  <si>
    <t>ae las insignias de la orden de S. Juan de Jerusalen.—Para Ministro de Hacienda ha nombrado S. M. á Mr. Wasiliew, que ya lo fué en tiempo de Catalina 11. 7 Stockolmo g de Abril. 1 ista mañana salid con viento favorable la esquadra de galeras en número de 50 velas, en las quales van los regim</t>
  </si>
  <si>
    <t>Watrin Hace, General</t>
  </si>
  <si>
    <t>General Watrin Hace</t>
  </si>
  <si>
    <t>as galeota cruza á la. altura de Capo de Anzo, y ha cogido ya 14 embarcaciones napolitanas. - r; El General Watrin Hace disposiciones para tomar por asalto á PortoFerrayo sí no hay otromedio de rendir la plaza. El cuerpo de franceses campada cerca de sus murallas adelanta mucho las obras de sitio :</t>
  </si>
  <si>
    <t>Watrin, General</t>
  </si>
  <si>
    <t>General Watrin</t>
  </si>
  <si>
    <t>Spoleto y Perusa , y entrar en el mencionado Reyno por Ascoli. Parece que solamente la división del General Watrin quedará en la Marca de Ancona y en el Ducado de Urbino; y aun se espera que no ocupará sino la ciud de Ancona, limitándose su fuerza á 1500 hombres. La suma carestía que reyna en</t>
  </si>
  <si>
    <t>arte de la Pulla, sin que los habitantes hayan hecho la menor oposición á su entrada. Dícese que el General Watrin está nombrado comandante general en las tres legaciones. H a salido de aquí una embarcación para Egipto con médicos, cirujanos, pintores &amp;c. Se asegura que el Embaxador francés dest</t>
  </si>
  <si>
    <t>e la República cisalpina, no dependerán sino del exercito de Italia. , Tampoco parece cierto que ei General Watrin esté nombrado comandante de los países cisalpinos, que en otro tiempo formaban las tres lega-' ciones. Florencia i.° de Mayo. C onforme al tratado de paz ajustado con Nápoles, debía</t>
  </si>
  <si>
    <t>l Brisgaw han recibido contraorden, y ademas han ocupado la abadía de S. Blas y algunos pueblos. El General Watrin manda todas las tropas francesas que hay ahora en el Brisgaw. Ha llegado á París Guillelmo Corbert , irlandés, que sirvió en los exércitos de la República: fué preso en Hamburgo c</t>
  </si>
  <si>
    <t>Wazilieff, Barón</t>
  </si>
  <si>
    <t>Barón Wazilieff</t>
  </si>
  <si>
    <t>jo de guerra Lamba, el General de infantería y Procurador general BeklechoíF, el Tesorero de estado Barón Wazilieff, el Gobernador militar de Petersburgo Conde de Pablen, el Consejero privado Príncipe de Lapukin, el Ministro de comercio Príncipe Gargarinn, el Almirante y Vice-Presidente del Con</t>
  </si>
  <si>
    <t>Wdtobmdster, Almirante</t>
  </si>
  <si>
    <t>Almirante Wdtobmdster</t>
  </si>
  <si>
    <t>- í.» ; Stockointo d8&lt;de Julián . ' . •^A'.'sl ¿b «q iCd cbusejo de guerra celebrado ph¿a juzgar al Almirante Wdtobmdster^ comandante (de Ja esquadra de Carlscronav hadada hoysu sementad,- h qúal consiste en deponerle de todos su&amp;* empleos, militUri-s: pitiaváu íujfúe m proba que la ésquadra no pudo</t>
  </si>
  <si>
    <t>Wédel, Coronel</t>
  </si>
  <si>
    <t>Coronel Wédel</t>
  </si>
  <si>
    <t>solicitud del Ministro ruso. Los cuerpos prusianos, que entraron en Cuxhaven, están mandados por él Coronel Wédel. Como aquella ciudad, por ser reducida, no tiene proporción de alojar á tantas tropas, se ha acantonado una parte de ellas en el país hanoveriano de Hadeln, perteneciente al Rey d</t>
  </si>
  <si>
    <t>Western</t>
  </si>
  <si>
    <t>terio no se apartará de los principios sancionados ya con la aprobación de los Comunes.” Le replicó Mr. Western insistiendo en que la Cámara debia conocer 4 los nuevos Ministros antes de poner en ellos su confianza; y que los que se nombraban en el público no tenían ningún derecho á que la</t>
  </si>
  <si>
    <t>Westmoreland, Conde</t>
  </si>
  <si>
    <t>Conde Westmoreland</t>
  </si>
  <si>
    <t>n es Director de las casas de moneda. El Conde dé Liverpool, Presidente del Consejo de comercio. Él Conde Westmoreland está encargado del sello privado &amp;c. Son muchos los que opinan que este ministerio mal combinado^ durará poco tiempo; y aun son mas los que qreen que los actuales principios polític</t>
  </si>
  <si>
    <t>Whitam, Coronel</t>
  </si>
  <si>
    <t>Coronel Whitam</t>
  </si>
  <si>
    <t>ámes. De resultas se ha restituido á esta capital. Há nombrado el Rey para Gobernador de Curazao al Coronel Whitam. ^ Sin embargo de los muchos granos que se introducen en Inglaterra, volvió á subir ayer el precio del pan., y ahora cuesta 2 rs. la libra. De Hamburgo ha llegado á Newcastle el p</t>
  </si>
  <si>
    <t>Whitbread</t>
  </si>
  <si>
    <t>n que adoptar el sistema político que ha puesto i Inglaterra en las orillas del precipicio:. Siguió Mr. Whitbread -y reconvino á Mr. Pitt de que había trastornado todas las proposiciones de Mr. Harrisom Recordó que los últimos subsidios están señalados hasta mediados de Marzo; y que asi aun q</t>
  </si>
  <si>
    <t>Wiazzolli</t>
  </si>
  <si>
    <t>H a mandado este Soberano que sea reconocido como Cónsul general del Emperador de Alemania en Rusia Mr. Wiazzolli, á quien Paulo 1 había prohibido á principios de Noviembre de 1800 tomase este título. ÍLa carta que S. M. I. dirigió á la sociedad económica de esta capital estaba concebida en e</t>
  </si>
  <si>
    <t>Wick</t>
  </si>
  <si>
    <t>se supone trae la ratificación del Emperador al convenio recien firmado en Petersburgo. Añaden que Mr. Wick ha salido ya de aquí para Rusia con la ratificación de este Soberano. El dia 16 celebraron junta general los accionistas de la compañía de la India. El presidente leyó una carta d</t>
  </si>
  <si>
    <t>Wickam</t>
  </si>
  <si>
    <t>de modo, ya á fuerza de dinero, ya valiéndose de otro qualquier medio, que se retardase el viage de Mr. Wickam. En efecto, cumplió el Príncipe el enr cargo en términos de llegar á Viena 15 horas &gt;¿ntés; que el comisario britár pico, elqualhal’ó todoel a&amp;untoconcluidg. &gt; Parts 6 de Enero de</t>
  </si>
  <si>
    <t>ativos á las secularizaciones y resarcimientos que han de hacerse en fuerza de la paz de Luneviile. Mr. Wickam, Comisario ingles,-ha declarado á las tropas de Wurtemberg, pagadas por Inglaterra, que el Rey su amo no tiene ya necesidad de ellas. En quanto á los regimientos suizos que están</t>
  </si>
  <si>
    <t>Wickham</t>
  </si>
  <si>
    <t>a; pero parece que conserva todavía esperanzas de volver á indisponerlas y armarlas contra Francia, Mr. Wickham, que fué mucho tiempo comisario bric nico en el exército de Condé, y en el cuerpo de emigrados suizos, se ha restituido á Inglaterra. Durante su comisión gastó sumas quantiosísima</t>
  </si>
  <si>
    <t>Wicomb, Lord</t>
  </si>
  <si>
    <t>Lord Wicomb</t>
  </si>
  <si>
    <t>a publicado.. De Calais á Douvres llego el dia 26 una embarcación, á cuyo bordo viene de Francia el Lord Wicomb. La fragata Tcrpsícore ha enviado á las Dunas un bergantín prusiano nombrado la Isabel y Juana, que iba de S. Martin á Embden cargado de sal. Dícese que se han roto las negociacio</t>
  </si>
  <si>
    <t>Wilberforce</t>
  </si>
  <si>
    <t>de Suez. " .* Ha llegado á tal extremo la carestía y escasez de granos en algunas provincias , que Mr. Wilberforce asegura que de 26© personas empleadas en las fábricas de 9a Condado, las iS@ se hallan sin trabajo. f 1 En la Cámara baxa se anuló el día 16 el permiso que se había concedido de m</t>
  </si>
  <si>
    <t>nares ia Francia interviene como parte en la garantía de la integridad del Imperio otomano.0 Siguió Mr. Wilberforce manifestando rezelos sobre esta garantía, pues interviniendo en ella la Francia, puede aquella potencia obligar á la Gran Bretaña en qualquiet circunstancia á cumplir dicha garant</t>
  </si>
  <si>
    <t>Williams</t>
  </si>
  <si>
    <t>os enemigos si Mr. Cathcart no lo hubiese sacado á remolque. La -parte de: mi división mandada, por Mr. Williams cogió un londro , y aiacalum berganrtin ; pero;;su tripulación padeció casi tanto como la nuestra í ; p u es-r casi -fodo*srlos:qne. la componían iuérólí muer tos ó he ridos. Entr</t>
  </si>
  <si>
    <t>Windham</t>
  </si>
  <si>
    <t>Marinaseiidugar del Conde Spencer.¿Él Lordüobart,, teeñír plaza á Mr. Dundas , y Mr. Gárlos Yorke á Mr. Windham , Secretario de Guerra. El Lord Arden es Director de las casas de moneda. El Conde dé Liverpool, Presidente del Consejo de comercio. Él Conde Westmoreland está encargado del sello</t>
  </si>
  <si>
    <t>los prisioneros: de, guerra enfermos ó heridos. También se adoptáron l^s proposiciones hechas: por Mr. Windham sobre el número de tropas y gft§tps &lt;Jel e^érpitpí ^l úiúmero de hombres en actual servicio asciende á 303,002 , en esta formas 193,187 d.e tropas regladas, 78,400 de milicias»iy</t>
  </si>
  <si>
    <t>en los preliminares se vería que la celebra por motivos muy diferentes de los de Mr. Fox. Síguit5se Mr. Windham, que fué el que con mas empeño sostuvo estos últimos años la continuación de la guerra. Dixo que no aprobaría dicha respuesta si pudiese su aprobación recaer sobre los preliminare</t>
  </si>
  <si>
    <t>Winne</t>
  </si>
  <si>
    <t>ábricas, ai comercio y á las; rentas dé éste país.” • ' *Él^ Duque de Montrosé en la Cámara alta, y Mr. Winne en la baxa, propusiéron la acostumbrada respuesta de gracias .al discurso Real. El Lord Fitzwiiliám y Mr. Gréy pidiéron en las respectivas Cámaras que en dicha téspuésttf se inserta</t>
  </si>
  <si>
    <t>nía el Duque de Montrose, y 73 la aprobáron. • . En la Cámara de los Comunes fué, como se ha dicho, Mr. Winne quien se encargo de proponer la respuesta al discurso Real. Sostuvo su proposición Mpí Cornwaliis, y declaró que el estado en que se. halla esta nación respecto á otras de Europa,</t>
  </si>
  <si>
    <t>Wisch, Coronel</t>
  </si>
  <si>
    <t>Coronel Wisch</t>
  </si>
  <si>
    <t>en casa de los habitantes; pero usa partida de /ellas ha salido á ocupar á Travemurvia.al mando del Coronel Wisch; y ahora no quedan en esta ciudad mas que 5 0.0 hombres de infantería y i@o dragones baxo 'las órdenes del General Blucher. El Príncipe Eedericó de Hesse, con un cuerpo de ¿tropas</t>
  </si>
  <si>
    <t>Withworth, Lord</t>
  </si>
  <si>
    <t>Lord Withworth</t>
  </si>
  <si>
    <t>s Otto, y los correos de París llegan y salen con mucha freqiiencia. Dícese que se ha dado orden ai Lord Withworth para que se disponga á marchar, supuesto que no tardarán en llegarle los pasaportes del ministerio francés. - Causan inquietud al gobierno los muchos alborotos que hay en varias p</t>
  </si>
  <si>
    <t>Witworth, Lord</t>
  </si>
  <si>
    <t>Lord Witworth</t>
  </si>
  <si>
    <t>s que intenten pasarse á países extrangeros, y á quantos les soliciten para ello. Se asegura que el Lord Witworth irá á residir en calidad de Emhaxador ingles cerca del gobierno de Francia. Mr. Jackson, que ha ido á París, reemplazará allí á Mr. Merri, que va á Amiens en calidad de secretario</t>
  </si>
  <si>
    <t>Wolkensky, Príncipe</t>
  </si>
  <si>
    <t>Príncipe Wolkensky</t>
  </si>
  <si>
    <t>de su mando eran viejos , no ha desempeñado las órdenes, que tenia de ir á Malta con las tropas del Príncipe Wolkensky , y se retira con ellas á Crimea.- ¿ Stockolme 19 de Noviembre.■A p caba el ministerio ruso de hacer proposiciones muy. ventajosas al núes-* tro para un tratado de alianza, en el</t>
  </si>
  <si>
    <t>Wóod</t>
  </si>
  <si>
    <t>ejn&amp;?, de Bérri y de Enghien ¿irán &lt;éft‘'i^¿biridtr¿r|fó% 'en'eLqt^í W'abtrra cóírii^ário británico Mr. Wóod , como sucesor del Coronel Ramsay, que lo fue anteriormente^-.ElDuque de B^rri sirve al Rey de;Ñápeles. ¿__Xa Diirqucsaile Áftóis;¿se.íúJseílt^áé Clagqnfurtji al acercarse ájaquek</t>
  </si>
  <si>
    <t>Wrede, General</t>
  </si>
  <si>
    <t>General Wrede</t>
  </si>
  <si>
    <t>coñ la de Di* na marca se colocarán telégrafos en las costas de ambos Rey nos. Ha salido de aquí el General Wrede para las costas de poniente en calidad de segundó comandante militar : y el Barón de Polinquist está nombrado Contra-Almirante de la esquadra de Cárlscrona, destinada á obrar con</t>
  </si>
  <si>
    <t>ar las negociaciones con el Lord Saint-Helens. Se ha disuelto el exército, que baxo Jas órdenes del General Wrede se había formado en las costas orientales: los regimientos que lo componían han vuelto á sus antiguos acantonamientos; pero el de Sudermania se embarcará aquí en la división de ca</t>
  </si>
  <si>
    <t>Wreede, General</t>
  </si>
  <si>
    <t>General Wreede</t>
  </si>
  <si>
    <t>iiornbrado Gobernador general de dicho Palatinado, y residirá en Manheim. Baxo sus órdenes manda eí General Wreede, el quai sentará su quartel en Heydelberga. Así que se recibió en JMunich la inesperada noticia del ataque de los austriacos9 se celebró consejo pleno de estado presidido por el E</t>
  </si>
  <si>
    <t>Wtlber</t>
  </si>
  <si>
    <t>Mr. Wtlber forcé ha presentado á S. M. un recurso firmado por 20©; habitantes de la ciudad de Leeds, que atribuyen á la guerra la actual carestía y la decadencia de sus fábricas. , El barco</t>
  </si>
  <si>
    <t>Wuchasowich, General</t>
  </si>
  <si>
    <t>General Wuchasowich</t>
  </si>
  <si>
    <t>didy ^nctóv^i ^ 4 r F tr d£i jcuerpa qúe ese i haliabau'eQLql jTíeóí anpridiónal baxolasórdenés dll General Wuchasowich ha ido á juntarse con el exército principalaustríaco aquelestátmel páis^ée.KJaástbaia^Síflq^no^ídicLí^ a?. isv,k &amp;b sen A . . : ■ ¿El tGíenoraitfrauces.MacmoEtt salidi^iyer'dó aqu</t>
  </si>
  <si>
    <t>Wuckassowich, General</t>
  </si>
  <si>
    <t>General Wuckassowich</t>
  </si>
  <si>
    <t>la legión itálica que precedía á las demas tropas. La retaguardia de los enemigos, mandados por el General Wuckassowich, quemó el puente de S. Jorge, é hizo frente á nuestra vanguardia, que se hallaba sin artillería. La legión itálica, á las órdenes del General Lechi, después de apoderarse de la ca</t>
  </si>
  <si>
    <t>Wurm</t>
  </si>
  <si>
    <t>atorio. Él Duque y la Duquesa de Gotha, muy aficionados al estudio de la astronomía, han regalado á Mr. Wurm* profesor de esta ciencia en Blaubeuren, los instrumentos de que necesita para hacer sus observaciones. Francfort 14 di Setiembre. E I dia 9 llegó á esta ciudad el Conde de Markow</t>
  </si>
  <si>
    <t>Xaraquerhada, Francisco</t>
  </si>
  <si>
    <t>Francisco Xaraquerhada</t>
  </si>
  <si>
    <t>rimeros Tenientes D. Juan Pedrosá y D¿'Manuel Ruiz; á primér Teniente de granaderos ai de fusileros D. Francisco Xaraquerhada; á primeros Tenientes^ al segundo Teniente dé granaderos D. Carmen Cervetpy y á los de fusileros D. Lorenzo Botija, D¿ Joseph Acostá, D. Joséph,JC)6Tscey Doní Luis Gerveto; á segu</t>
  </si>
  <si>
    <t>Xasarew</t>
  </si>
  <si>
    <t>rzos contra el ala derecha de un batallón de granaderos, que estaba baxo las órdenesu inmediatas de Mr Xasarew. Éí tuego.de nuestra artillería contra U caballería enemiga ja obligó i suspeur 4er desdé luego*; aquel ataque^ y, entonces se dirigió contra la caballería »el Grusin, &gt;la‘qual so</t>
  </si>
  <si>
    <t>Xaxier de Olea y Carrasco, Francisco</t>
  </si>
  <si>
    <t>Francisco Xaxier de Olea y Carrasco</t>
  </si>
  <si>
    <t>Cadete D. Pedro Alsina. Asimismo ha nombrado S. M. para la Regencia de la Audiencia de la Coruña á D. Francisco Xaxier de Olea y Carrasco; y para la Fiscalía del Crimen de la Chancillería de Valladolid, que este obtenía, á D. Diego Joseph Salazar. También ha venido S. M. en prorogar por tiempo de seis años en el Cor</t>
  </si>
  <si>
    <t>xefe á</t>
  </si>
  <si>
    <t>ontadas; admitida su oferta, nombró el Secretario de Estado para comandantes en xefe á.losy Duques Mattey y Braschi, sobrino</t>
  </si>
  <si>
    <t>xefe Abdullahy Jayme Francisco Menou entablara desde luego negociaciones con</t>
  </si>
  <si>
    <t>oríficas para ellas mismas: resolvió el consejo que se propusiese al General en xefe Abdullahy Jayme Francisco Menou entablara desde luego negociaciones con los Generales de las potencias aliadas para la evacuación de Alexandría, con tal que fuese baxo condiciones honoríficas al exército francés y auxiliar, ventajosas</t>
  </si>
  <si>
    <t>xefe aceptando el aníiistieio ha creído qUe detenerse en medio</t>
  </si>
  <si>
    <t>conqúistaira toda la?Austria.^ y auii dictara leyes* enda cápital. El Genetahén xefe aceptando el aníiistieio ha creído qUe detenerse en medio de tan briiiantés victorias, era conformarse con el carácter de mo*</t>
  </si>
  <si>
    <t>xefe ai General Grenier marcha</t>
  </si>
  <si>
    <t>rle 200 prisioneros, entre los quales hay varios oficiales. Mandó el General en xefe ai General Grenier marcha-; se ¿ Lauden con sus dos divisiones, y la misma orden dio á las de Grouchí y Richepanse. Envió en seguida al propio punto el equipage de puentes para echar uno</t>
  </si>
  <si>
    <t>xefe Augercau</t>
  </si>
  <si>
    <t>pais de Solms Braunfels disfrutará la neutralidad estipulada con el General en xefe Augercau.” El General de división Andreossi, xefe interino de la plana mayor del exército galo-bátavo,- ha dirigido al Ministro de Guerra una relación, que extractada d</t>
  </si>
  <si>
    <t>xefe Augereauy el Teniente General Barón de Simbschen se extenderá</t>
  </si>
  <si>
    <t>ncluido, pa- t ra. el exército del Rhin, la línea convenida entre el General en xefe Augereauy el Teniente General Barón de Simbschen se extenderá de Bayersdorf á Lichtenech , siguiendo por la orilla derecha del Rednitz y el curso del Mein , en la prolongación del Rednitz hasta la línea de neutralidad; y asi</t>
  </si>
  <si>
    <t>xefe baxo las órdenes del Archiduque Juan</t>
  </si>
  <si>
    <t>á algunos Generales austriacos, y, que .el Conde dé Kóllówfatfr, que mandaba en xefe baxo las órdenes del Archiduque Juan, ha sido llevado á Vicha escoltado por un oficial de plana niavor. Entre los 20 Wállories qué forman la legión de Bohemia hay uno compuesto enteramente de estu</t>
  </si>
  <si>
    <t>xefe Bernadt</t>
  </si>
  <si>
    <t>n-OtríiS’viíVi^s.éfíícf^és*/'', í!/r. . _ j / 'l '*/, j ^fysrífite'Axósi^.'. en xefe Bernadt&gt;úé, recien llegado aq¡uf, há pasado revista i</t>
  </si>
  <si>
    <t>xefe BeÜegarde</t>
  </si>
  <si>
    <t>parte de sús fuerzas. (Según Redaran los prisioneros las mandaba el. General en xefe BeÜegarde). La situación del Teniente General Dupont era apurada; pero el Teniente Ger neral Suchet, qua se hallaba por aquella parte , no dudó destacar del cuerpo de su</t>
  </si>
  <si>
    <t>xefe brigada Luis Boriápárfé</t>
  </si>
  <si>
    <t>de Dicieiobtre escriben de íeríin \|ue' acababa de llegar allí cíe Dantzick. eí xefe brigada Luis Boriápárfé, y que se disponik 4í5^í«‘r,parar ei exército.,francesrV;.... . _ , , *,•■/ -o .;, - Lm$réÁ &amp;&lt;de Enero. ; E sta compama^ie/ital^b.^.récibidó,. .noticia. dé. qu</t>
  </si>
  <si>
    <t>xefe Brune</t>
  </si>
  <si>
    <t>raitfrauces.MacmoEtt salidi^iyer'dó aquíIcob fimédiascBrigadas; y el General en xefe Brune^qiieseliaila todavía* en esta(ciúdad:v ha revisa tadoitodo el’exercit^repubnc^úmídc? ¿*¡ie o'r; C' í.-'ir í . . v. i ■b^vhifníj^y- .ó on mucha actividad se aba</t>
  </si>
  <si>
    <t>xefe Brune ha escrito al Ministro de Guerra con fecha</t>
  </si>
  <si>
    <t>no huyérón de sjéÉqskbtti tÉói^ós» ‘i?. ’ !Í ., ' J4 de Febrero* r t General en xefe Bruñe ha escrito al Ministro dé Guerra con fecha de Verbna 4; 21 de. Enéro dicíéndóle : ,&gt;M?éntra$ que nuestras tropas vic-; foth^s perse^nirt k los értemi^ós hasta él TagltanáehfOv se tramaba una • étonspfraéio</t>
  </si>
  <si>
    <t>xefe Brune y el General austríaco Bellegarde</t>
  </si>
  <si>
    <t>or: „EI 16 del corriente se ajustó en Treviso el armisticio entre el General en xefe Bruñe y el General austríaco Bellegarde. Los austríacos han evacuado todo el país del lado de acá del Tagmmcnto. El General Oudinot, xefe de la plana mayor1, ha salido dé Treviso para París con las c</t>
  </si>
  <si>
    <t>xefe Btubc</t>
  </si>
  <si>
    <t>s relaciones de nuestros exércitos. ,, El Teniente General Dupont al General en xefe Btubc. Quartel general de Azota G de Diciembre. Ayer hubo en Macaría una acción » cuyas resultas fueron felicísimas para el exército francés. El intento de lo* ¿nemi</t>
  </si>
  <si>
    <t>xefe Btühe dándole duénia de sus progresos Contra los revoltosos</t>
  </si>
  <si>
    <t>ho su gloria.’* AcoWipafran dos cartas del Teniente General Sóult al General én xefe Btühe dándole duénia de sus progresos Contra los revoltosos de las provín^ fciás de Aótté é ívréá. El dia 17 quedaban casi todos redúcfdbá. ; * Sfe hán publicado taitibíen las siguientes ckffSs recibidas de Ifáliá. „EÍ Gen</t>
  </si>
  <si>
    <t>xefe con el suyo se retiró á Alexandría</t>
  </si>
  <si>
    <t>a invasión del Visir, y la reunión de los dos exércitos enemigos. El General en xefe con el suyo se retiró á Alexandría, y mandó formar un campo atrincherado, y poner la plaza en estado de defensa. Según sus órdenes hice salir de Salahieh y Belbeis á todos los hombres inútiles p</t>
  </si>
  <si>
    <t>xefe Conde de Béilegardé</t>
  </si>
  <si>
    <t>más ramos gubernativos que había anteriormente. Espérase hoy aquí al General en xefe Conde de Béilegardé. Roma _p de Abril. L a corte de Ñapóles ha ratificado el tratado de paz ajustado con la República francesa. De resultas, las tropas de aquella nación evacuarán</t>
  </si>
  <si>
    <t>xefe Conde de Bellegarde llego efdiaif á esta ciudad</t>
  </si>
  <si>
    <t>ienden la embocadura de los ríos de Holanda. Venecia /&amp; de AbriL E 1 General en xefe Conde de Bellegarde llego efdiaif á esta ciudad y y fijó recibido con-salva de artillería de todos los navios del puerto.Presenció; luego las evoluciones que en uno de los canales executáron las barcas caño-. n$</t>
  </si>
  <si>
    <t>xefe dada el dia</t>
  </si>
  <si>
    <t>cuerpo de cazadores del Tirol. Florencia 79 de Abril. P or orden del General en xefe dada el dia 15 se manda que todos los refugiados romanos y napolitanos salgan de Toscana en lo que queda de este mes.. Los primeros se presentarán á Monseñor Galeppi, y lo</t>
  </si>
  <si>
    <t>xefe de</t>
  </si>
  <si>
    <t>n heridos, y al General Delmas le dio una bala- en la ropá; Él General Óudinot* xefe de: laTplananaiayof &gt; cogió con sus-compañías* sueltas una pieza de artillería* é hizo prisicpiercúi taíhfisajnes de É31^* ^ General Bóudet es digno t de11 a ma y</t>
  </si>
  <si>
    <t>Xefe de</t>
  </si>
  <si>
    <t>Plano de la -bahía de A!gecíras y del fondeadero de pibraltar, levantado pop el Xefe de. eiquadra dél la «Real Armada 1&gt;. Vicente Tofiño..Se hallará en rasa de Aguilera, caH&amp; de A tQrhjZj y puede ¡servir para ..hacerse q^rgo de la posición de la e</t>
  </si>
  <si>
    <t>xefe de batallón</t>
  </si>
  <si>
    <t>dan comprehendídos en la capitulación.__ Firmado: Dalhousie, Coronel. Viriacne, xefe de batallón de* ingenieros, comandante de la tropa y del castillo de Abukir. __ Aprobado por el comandante en xefe. — Firmado: J. Hope, Ayudanté general." Los prisioneros de</t>
  </si>
  <si>
    <t>xefe de batallón contra aquellos revoltosos</t>
  </si>
  <si>
    <t>de marina acantonados en Sena , para que despachase 400 hombres al mando de un xefe de batallón contra aquellos revoltosos, cuyo numero es bastante crecido á causa de las inteligencias de los ingleses que ocupan á Porto-Ferrayo , desde donde sus pérñdcs emisarios comunican diariame</t>
  </si>
  <si>
    <t>xefe de batallón y comandante de la ciudadela de Turin</t>
  </si>
  <si>
    <t>ros cuerpos que estaban en Turin; y se erigirá una estatua at ciud. Jaquemain , xefe de batallón y comandante de la ciudadela de Turin, que perdió la vida en el puente levadizo al defender la entrada de aquella fortaleza. S. A. S. el Elector de Baviera ha ratificado el tratado que se firmó el</t>
  </si>
  <si>
    <t>xefe de brigáda</t>
  </si>
  <si>
    <t>iene igual» puedesér miJórE''.'yV/'- : **' " 4-1 é''- S¿le Enero, ;"y ■' '• B 1 xefe de brigáda 'Dessaix escribe alcomandante de FráncFoirt desde Neuof que el día 29 hubo en el obispado de Fulda una refriega con las trompis maguntinas dé Mr.Aibini,que¡ at</t>
  </si>
  <si>
    <t>xefe de brigada</t>
  </si>
  <si>
    <t>renunciado á la reunión de los departamentos bélgicos.” ' Los ciudadanos Ferci, xefe de brigada , y Mangourit, Capitán Ayudante del General Monnier, háh presentado ai Ministro de Guerra 7 banderas cogidas á los austríacos en verona: El Gapitan Múller, Ayu</t>
  </si>
  <si>
    <t>Xefe de brigada</t>
  </si>
  <si>
    <t>e del 9 al 10, dexando en el castillo 110 nombres de guarnición mandados por un Xefe de brigada, que capitularon á la mañana inmediata. El mismo dia cogimos 3 oficiales y 50 hombres de á cabillo que habían salido de Alexandría. Habiéndose retirado los ene</t>
  </si>
  <si>
    <t>e. 3.0 Los heridos quedan baxo la protección de los ingleses. Firmado. Lacroix, Xefe de brigada. — El Capitán Baxá.” Ayer llegó un correo de Hamburgo, y de resultas se han esparcido otras noticias de Egipto: una de ellas es haberse rendido la plaza de Ale</t>
  </si>
  <si>
    <t>itán Baxá; y los ciudadanos Donzelot y « Moran, Generales d¿ brigada, y Tarayre,Xefe de brigada, por parte del «General de división BeiiLrd. Artículo I. Las tropas francesas de todas clases y sus auxiliares, mandadas por el General Belliard, evacuarán la</t>
  </si>
  <si>
    <t>xefe de brigada Cavalier</t>
  </si>
  <si>
    <t>drá el exército británico hallarse en una situación muy apurada. El xefe de brigada Cavalier, que escoltaba un convoy de 600 camellos con 500 hombres de infantería, caballería y artillería, tuvo la desgracia de verse ro^ deado por el exército ingles en</t>
  </si>
  <si>
    <t>xefe de brigada de carabineros</t>
  </si>
  <si>
    <t>sabe si va á Viena ó á Constantinopla. Aunque se dixo que el ciud. Caulincourt, xefe de brigada de carabineros, estaba nombrado Embaxador de Francia cerca del Sultán, ahora se asegura que va á Petersburgo con la ratificación del gobierno francés al tratado de paz con Ru</t>
  </si>
  <si>
    <t>xefe de brigada de ingenieros</t>
  </si>
  <si>
    <t>lación del General Belliard , y á cuyo bordo se hallan los ciudadanos Hautpoul, xefe de brigada de ingenieros, Regnier, Comisario de guerra, y Champí, director general de la fábrica de pólvora. Os remito todos los pliegos que me entregó el ciud. Hautpoul. El exército d</t>
  </si>
  <si>
    <t>xefe de brigada de ingenieros Hautpoul</t>
  </si>
  <si>
    <t>eral Belliard con los angío-turcos, ha sido conducido á Francia en compañía dél xefe de brigada de ingenieros Hautpoul, para comunicar al gobierno la próxima llegada de los cuerpos de tropas mandadas por&gt; el General Belliard. El total de dichas tropas, inclusos los empleados ci</t>
  </si>
  <si>
    <t>xefe de brigada Dufour</t>
  </si>
  <si>
    <t>or el xefe de brigada Herculaie, la 2.3 por ei Ayudante Fricot, y la 3.a por el xefe de brigada Dufour. JE! quartel general saldrá con la 2.a coluna. Los xefes de los cuerpos comunicarán cada dos dias el estado de su situación y las novedades que ocurran; y los</t>
  </si>
  <si>
    <t>xefe de brigada Dupas</t>
  </si>
  <si>
    <t>at, Bron y otros: st$~ exército era mucho masi crecido que el de Alexandría. El xefe de brigada Dupas'.mandaba en la cindadela del. Gayro, y el General de brigada Almeyrás en Gizeh. El exército ingles del General Hutchinson se hallaba ett {Terrahnée, y el ¿Capit</t>
  </si>
  <si>
    <t>xefe de brigada Fcrey</t>
  </si>
  <si>
    <t>leto. Uo puesto colocado en S. Miguel sostuvo el primer ruego, y se replegó. E! xefe de brigada Fcrey, viendo que los enemigos intentaban seriamente atacar á Macaría, hizo las primeras disposiciones de defensa, y el General Calvin luego que supo la inarcha de l</t>
  </si>
  <si>
    <t>Xefe de brigada Henin</t>
  </si>
  <si>
    <t>cia en esta corte, despachó el domingo último á Paris, en calidad de correo, al Xefe de brigada Henin, que es uno de sus Ayudantes. El dia anterior salió de aquí para Petersburgo el Chambelán Lowendahl; y al mismo tiempo se despachó un cúter para aquella capita</t>
  </si>
  <si>
    <t>xefe de brigada Herculaie</t>
  </si>
  <si>
    <t>Italia por el monte pequeño de S. Bernardo tn 3 ccíunas, mandadas la i.a por el xefe de brigada Herculaie, la 2.3 por ei Ayudante Fricot, y la 3.a por el xefe de brigada Dufour. JE! quartel general saldrá con la 2.a coluna. Los xefes de los cuerpos comunicarán cada</t>
  </si>
  <si>
    <t>Xefe de brigada Lacuée</t>
  </si>
  <si>
    <t>dor de Francia en la corte de Viena. Lleva por primer secretario de embajada al Xefe de brigada Lacuée, por segundo al eiud. Dodun, y por tercero al ciud. Posnel. . También está nombrado el General de división Clarke para Ministro de Francia cerca del Rey de Tos</t>
  </si>
  <si>
    <t>xefe de brigada Lauriston</t>
  </si>
  <si>
    <t>cia para negociar y tratar sobre la paz con el mismo Marques dé, Cornwallis. El xefe de brigada Lauriston, Edecán del primer Cónsul, hizo una visita al Duque de Yorck en su casa de Piccadilly. Los Príncipes franceses se retiráron á Escocia así que se fírmáron los p</t>
  </si>
  <si>
    <t>iario de la República cerca de la Puerta Otomana. Hállase de vuelta en París el xefe de brigada Lauriston , Edecán de Bonaparte, que llevó á Londres la ratificación de este gobierno á los preliminares de paz. El Contra-Almirante G-antheaume, de quien nada se hablab</t>
  </si>
  <si>
    <t>les, como también al Ayudante general Duroc, que acaba de llegar de Rusia, y al xefe de brigada Lauriston, que fue el que llevó á Londres la ratificación de los preliminares de paz. Aun no se sabe el dia en que saldrán de aquí para Amiens los Plenipotenciarios de F</t>
  </si>
  <si>
    <t>xefe de brigada Luis Bonaparte</t>
  </si>
  <si>
    <t>uerpos tienen orden de aprontarse á marchar al primer aviso. Restablecido ya el xefe de brigada Luis Bonaparte, se presentó el dia 4 •en palacio, y aquella noche cenó con SS. MM. &gt; Frantfort ig de Enero* S e asegura que el Archiduque Cárlos estuvo el 6 de este mes en el</t>
  </si>
  <si>
    <t>xefe de brigada Luis Pomparte</t>
  </si>
  <si>
    <t>es repugna mucho fa tidea de ir á Malta 6 á Egipto. Enteramente restablecido el xefe de brigada Luis Pomparte, se despidió el dia 5 de S. M. Prusiana y de toda la Real familia; y el 7 salió de Berlín para restituirse á París pasando por Potsdam. .^ «j*&gt; Londres 18 de F</t>
  </si>
  <si>
    <t>xefe de brigada Marioti á</t>
  </si>
  <si>
    <t>mpomarina, y las tropas se juntaron en este último pa-r rage, del qual salió el xefe de brigada Marioti á las 2 de madrugada pa4 ra Longone. Parece que hallará en aquella plaza alguna resistencia de parte del paisanage que está pagado por los ingleses, y quizá encontra</t>
  </si>
  <si>
    <t>xefe de brigada Netherwood</t>
  </si>
  <si>
    <t>l ao de Noviembre , y solo tardó 20 dias en su travesía. En este buque viene el xefe dé brigada Netherwood, el qual al remitir al gobierno los pliegos de que es portador, escribe al primer Cónsul que las noticias recientes dé Francia recibidas en Egipto por nrár y-p</t>
  </si>
  <si>
    <t>xefe de brigada Rotniecky</t>
  </si>
  <si>
    <t>legó aquí el regimiento de uhlanos polacos, y la artillería ligera al mando del xefe de brigada Rotniecky. El General de división Dombrowsky salió á recibir á dicho cuerpo con todos los oficiales de la primera legión polaca. El General en xefe pasó revista á estas</t>
  </si>
  <si>
    <t>xefe de brigada Sebastiani</t>
  </si>
  <si>
    <t>también á dicha colonia. Escriben de Munich que ha pasado por aquella ciudad el xefe de brigada Sebastiani, edecán del primer Cónsul: fué presentado al Elector, y comió en palacio. No se sabe si va á Viena ó á Constantinopla. Aunque se dixo que el ciud. Caulincourt,</t>
  </si>
  <si>
    <t>xefe de brigada Simón le mataron el caballo que montaba</t>
  </si>
  <si>
    <t>s xefes de batallón Chauveh, Michel y Frederic: este fué mortalmente herido. Al xefe de brigada Simón le mataron el caballo que montaba.” Siguen los elogios* Continuación de las noticias de Egipto. En varias cartas dirigidas al Ministro de Guerra por el General Menou, le dice^ „Las trapas están</t>
  </si>
  <si>
    <t>Xefe de brjgddáí PJMrat</t>
  </si>
  <si>
    <t>* le concedió a^uel,General permiso para,restituirse á- Europa; lc acompaña eí Xefe de brjgddáí PJMrat; y traen banderas y estandartes cbgidoslen^diferetiteSiaeeipiiéSiá: los turcos. Envía también Me-' nou una:poícioh~7deazficgrdelque ¿e fabrica en Egipto, y mue</t>
  </si>
  <si>
    <t>xefe de chouanes llamado Georges</t>
  </si>
  <si>
    <t>ntimientos que el gobierno francés profesa á Paulo I. i De Nántes avisan que el xefe de chouanes llamado Georges, después de faltar á la palabra que dió de obedecer á las leyes de la República, pasó á Inglaterra, y recibió instrucciones y dinero para fomentar nuevas insur</t>
  </si>
  <si>
    <t>xefe de derrotar á los ingleses</t>
  </si>
  <si>
    <t>ió-, brar delante de ellas quanio se presentasen, para dar tiempo al General en xefe de derrotar á los ingleses., y venir con todas sus fuerzas contra los turcos. El dia 15 escribí al General Donzelot, á quien habían dexado en Siut, que evacuase el Egipto-Superior, y á m</t>
  </si>
  <si>
    <t>xefe de dicha píana mayor</t>
  </si>
  <si>
    <t>írculo de Biviera.h t'ir.bfru:: oso A l&gt; 01»r&gt; • Óra El mismo General Deselles, xefe de dicha píana mayor, liabia dirigido anteriormente h^igiiiénte: barlak Jtosenhuim ro de í&gt;membt^Íiú dHatodarostaeataade&gt;:qi^^hexérciíbudél Hhin atravesó? ayer éLInn ^or ^Neupénsen</t>
  </si>
  <si>
    <t>xefe de dicho cuerpo</t>
  </si>
  <si>
    <t>a: y luego depositáron las banderas en casa del Mariscal de corte Hauch, que es xefe de dicho cuerpo. Toda la corte asistió á esta ceremonia, á la quaí concurrieron también los dos oficiales francesas recien llegados Lauriston y Berthier. La esquadra inglesa c</t>
  </si>
  <si>
    <t>xefe de él</t>
  </si>
  <si>
    <t>gase de su campamento ó cantón sin licencia mas de lo que esté permitido por el xefe de él. 16. Los crímenes de homicidio y de insubordinación con los oficiales serán castigados con todo el rigor de la ordenanza. 17. Con el mismo rigor serán castigad</t>
  </si>
  <si>
    <t>xefe de esquadron en ei regimiento</t>
  </si>
  <si>
    <t>ta de sanidad de Marsella declaración al ciud. Henrique ViÜemet de Charieville, xefe de esquadron en ei regimiento</t>
  </si>
  <si>
    <t>xefe de estos arsenales</t>
  </si>
  <si>
    <t>DEL VIERNES 30 DE OCTUBRE DE i8or. Constantinopla 2$ de Agosto. s urif-Effendi, xefe de estos arsenales, ha salido para el Cayro coa el empleo de Contralor general de .Egipto. Las últimas noticias que se han recibido de Egipto no pasan de 31 de JF»-, lio. El Capi</t>
  </si>
  <si>
    <t>xefe de ía plan</t>
  </si>
  <si>
    <t>los enemigos derrotados en Macaría. Carta del General de división F. Andreosi, xefe de ía plan* miyor del exército galo-báta vo', al Ministro déla Guerra. „Quarl el general de Herzogen- Aurach 20 de Diciembre. Después de la batalla de Burg-Eberach dádá e</t>
  </si>
  <si>
    <t>xefe de la colicion</t>
  </si>
  <si>
    <t>tralidad de los mares; y aun se dice que el Emperador Alexandro se ha declarado xefe de la colicion , manteniéndose invariabl emente unido con Dinamarca y Suecia para sostener y defender sus comunes intereses.___Se asegura asimismo que el Ministro de Francia</t>
  </si>
  <si>
    <t>Xefe de la comitiva</t>
  </si>
  <si>
    <t>. M. al Exc. Sr. Conde de Montarco, Consejero de Estado, para que acompañase al Xefe de la comitiva, y diese fe de la entrega que hizo del Real cadáver á la Priora y religiosas, y demas actos que se requerían. Las tropas hiciéron á su tiempo las salvas y hono</t>
  </si>
  <si>
    <t>xefe de la esquadra</t>
  </si>
  <si>
    <t>ran que será el Almirante Parker el que vendrá, y que Nelson tomará el mando en xefe de la esquadra. Añaden que en el combate de Copenhague hubo descuido ó falta de inteligencia en las señales, y que se hará examen de ello. También ha redimió el</t>
  </si>
  <si>
    <t>xefe de la esquadra inglesa del Báltico</t>
  </si>
  <si>
    <t>lson al Vice-Almirante sueco Gronstedt: „ Navio S. Jorge 8 de Mayo. Habiendo el xefe de la esquadra inglesa del Báltico, mi antecesor, permitido á solicitud del Emperador de Rusia que las embarcaciones mercantes suecas navegasen libremente en dicho mar, sentiría yo que sobrevini</t>
  </si>
  <si>
    <t>xefe de la esquadra sueca de galeras</t>
  </si>
  <si>
    <t>los preliminares de la paz marítima. Ha muerto Mr. de Rosenstein, Almirante en xefe de la esquadra sueca de galeras. Copenhague ij de Noviembre. P ara seguridad de la navegación se ha colocado recientemente en el banco de arena que está al sur delante de la isla de Amrum, y</t>
  </si>
  <si>
    <t>xefe de la plana mayor</t>
  </si>
  <si>
    <t>os han evacuado todo el país del lado de acá del Tagmmcnto. El General Oudinot, xefe de la plana mayor1, ha salido dé Treviso para París con las condiciones del armisticio.’* ' I Ha conferido el primer Cónsul eí ministerio de Jo Interior en propiedad al ciud. Ch</t>
  </si>
  <si>
    <t>de este mes.. Los primeros se presentarán á Monseñor Galeppi, y los segundos:al xefe de la plana mayor, para tomar los pasaportes que necesiten. Se previene igualmente al gobierno de Toscana que pasado dicho término no dé alojamiento ni víveres á dichos refugiad</t>
  </si>
  <si>
    <t>udad, el Prefecto marítimo, el xefe militar de la marina, el primer Ayudante en xefe de la plana mayor, y el Comisario ordenador en xefe del exército. Presidia el General Menou, el qual informó al consejo de que en las fatales circunstancias en que se hallaban l</t>
  </si>
  <si>
    <t>xefe de la plana mayor de la mencionada división cisalpina</t>
  </si>
  <si>
    <t>iudad» Posteriormente se. ha publicado la siguiente relación del ciud. Fontana, xefe de la plana mayor de la mencionada división cisalpina: „ Conforme á las órdenes del General Miollis, comandaste en Toscana, la división del General Pino, apostada en S. Casiano, se puso en marcha el 13 á las 5 de</t>
  </si>
  <si>
    <t>xefe de la plana mayor del cuerpo de observación</t>
  </si>
  <si>
    <t>de 6o cañonazos. Parts 24 de Enero. E 1 General de división Leopoldo Berthier, xefe de la plana mayor del cuerpo de observación, ha dirigido al Ministro de Guerra la carta siguiente; Milán 13 de Enero. Ciud. Ministro. El General Murat recibió vuestras órdenes en Ginebra; y al instante s</t>
  </si>
  <si>
    <t>xefe de la plana mayor del exércitó de Italia</t>
  </si>
  <si>
    <t>e eEquártel general de Mouzanbano ha escrito el General de diva-! sion Oudinot, xefe de la plana mayor del exércitó de Italia, ál Ministro' de Guerra dos cartas con fecha de 26 de Diciembre, en que da cuenta del paso del Miñcio. En la primera dice: „El General en xefe hábil hecho sus</t>
  </si>
  <si>
    <t>xefe de la plana mayor del exército de Italia</t>
  </si>
  <si>
    <t>la al otro lado del Brenta.” Extracto de carta del General de división Oudinot, xefe de la plana mayor del exército de Italia, al Ministro de Guerra. 9&gt; Quartel general de Castcl~franca.i2 de Enero. Hémos alcanzado nuevas ventajas en los 3 últi-. mos dias: seguimos ganando terreno, y</t>
  </si>
  <si>
    <t>xefe de la plana mayor del exército de los Grisones</t>
  </si>
  <si>
    <t>e los arrojó haciendo 200 prisioneros.” Se han publicado’también dos cartas del xefe de la plana mayor del exército de los Grisones. La primera, fecha en el quartel general de Chíavena á ó de Diciembre, contiene la relación del paso del Splugen por parte de dicho exército. La segunda dice s</t>
  </si>
  <si>
    <t>xefe de la plana mayor del exército del Rhin</t>
  </si>
  <si>
    <t>es cartas , escritas al Ministro de Guerra por el General de división Desolles, xefe de la plana mayor del exército del Rhin. „ Quartel general de Steyer 24 de Diciembre. El exército ha con? tiniudo sus movimientos. Los enemigos no defendieron el Traun, y nuestro Centro atravesó aque</t>
  </si>
  <si>
    <t>xefe de la plana mayor del exército galo-bdtavoy al Ministro</t>
  </si>
  <si>
    <t>o de observación está en marcha'pata A neón a.” Carta del General F. Andreossi, xefe de la plana mayor del exército galo-bdtavoy al Ministro de Guerra. »Qtuirtel general de Nuremberg 2 de Enero. En consecuencia del art. i.° del tratado de armisticio concluido, pa- t ra. el exército del Rhin, la línea c</t>
  </si>
  <si>
    <t>xefe de la plana mayor del propio exército de Italia</t>
  </si>
  <si>
    <t>el Brenta, y va á entrar en Borgo de \ al-Su gana.” Carta del General Oudinot, xefe de la plana mayor del propio exército de Italia,fecha enVicenza el mismo dia. „ Ayer entró aquí et exército, co-; mo tuve la honra de avisároslo en mi anterior. En sus marchas y operaciones, desde el 5 hasta</t>
  </si>
  <si>
    <t>Xefe de la primera división destacó el dia</t>
  </si>
  <si>
    <t>ndo su izquierda, y encadenando su posición con el grueso de las divisiones. El Xefe de la primera división destacó el dia 4 un cuerpo de ella, al mando del Mariscal de Campo D. Juan Ordoñez , compuesto de un batallón de Guardias Españolas con su compañía de cazadores , otro de Wal</t>
  </si>
  <si>
    <t>Xefe de la quarta división</t>
  </si>
  <si>
    <t>ñor. S^Ror: El día 5 ordené al Teniente General D. Francisco Xavier de Negrete, Xefe de la quarta división , y del ataque de Gampomayor, que enviase un destacamento proporcionado á embestir y intimar con ímpetu á la pequeña plaza de Ouguella, única fortaleza que que</t>
  </si>
  <si>
    <t>xefe de la Real brigada de Carabineros</t>
  </si>
  <si>
    <t>i \ ' * r /;-? Al Teniente General D. Antonio Córdoba y Heredia, Comandante en? xefe de la Real brigada de Carabineros, ha conferido el Rey la Capitanía General de Ja Provincia de Castilla la Nueva; y ha nombrado S. M. por segundo Comandante militar de la Plaza de Madrid , con</t>
  </si>
  <si>
    <t>xefe de la tercera división</t>
  </si>
  <si>
    <t>omo lo verifique, con todo el exército. Al Teniente General Marques de Castelar,xefe de la tercera división , confié la empresa de embestir á Olí venza; y al Mariscal de Campo D. Juan Carrafa, con una sección dé la misma división Ja de apoderarse de Jurumeña. Al Teni</t>
  </si>
  <si>
    <t>xefe de la vanguardia Marques de la Solana</t>
  </si>
  <si>
    <t>el Capitán de caballería D. Martin de la Carrera, Ayudante de Campo del General xefe de la vanguardia Marques de la Solana. — Como por razón de la distancia calculo que V.E. no podrá dar sus órdenes para la suspensión de hostilidades, y deba evitar la efusión de sangre , prevengo á</t>
  </si>
  <si>
    <t>xefe de las tropas que forman el exército de observación</t>
  </si>
  <si>
    <t>arios Generales prusianos y muchos oficiales de plana mayor. Tomará el mando en-xefe de las tropas que forman el exército de observación, y también de las que se dirigen »1 Weser y á las fronteras del Electorado de ílannóver___Según algunas gazetasse ha intimado en Berlín al Prí ncipe Adolfo, Go</t>
  </si>
  <si>
    <t>xefe de los respectivos exércitos en</t>
  </si>
  <si>
    <t>cha comunicación. XXL Se ratificará al presénte convenio por los comandantes en xefe de los respectivos exércitos en las 24 horas después dé firmarse.. Firmado quádruplo en el lugar de las conferencias, entre los dos exércitos, el 27 de Junio de 1801; y aprobado y ratificado en e</t>
  </si>
  <si>
    <t>xefe de su división</t>
  </si>
  <si>
    <t>ellos, no los admitió. Le comunicaron luego los preliminares, y él Jos envió al xefe de su división, que constaba de ó navios, y poco después hicióron todos salva. Dunkerque 26 de Octubre. L os comerciantes de este puerto han enviado dos diputados á París par</t>
  </si>
  <si>
    <t>xefe de sus exércitps</t>
  </si>
  <si>
    <t>Rey á los distinguidos servicios del Brigadier D. Antonio Samper, Ingeniero en xefe de sus exércitps,,plazas y fronteras, y Ayudante general del Estado mayor, se ha&lt; dignado S. M. conferirle los empleos de Capitin general, Gobernador é Intendente de la isla de</t>
  </si>
  <si>
    <t>xefe de to</t>
  </si>
  <si>
    <t>Ti ¿k Námtmbrt. g &gt;fcdnferidó S; jM. íftb tandgrave de He^e-Gassel el nr&gt;ndo en xefe de to&amp;y lár« p¥étf neto*¿te- Wesfphaliá y nombrando igualmi nte por Sub-Inspecde éüaíal' Góróbél Fr^ytkg eiAi fCD riiqdíil» rs de sueldo., Ayer vblvio de'Saxonia áqü</t>
  </si>
  <si>
    <t>xefe de todas las tropas que van á campaña</t>
  </si>
  <si>
    <t>el 4 de Abril. En Minden se espera mañana, al Duque de .Brunswick , Ge*neral en xefe de todas las tropas que van á campaña. &gt; «No tardarán los franceses en evacuar á Dusseldorff, llevándose los archivos del pais de Juliers,.que se hablan traído aquí quando las tropas republicanas h</t>
  </si>
  <si>
    <t>xefe de- ía plana mayor de aquel</t>
  </si>
  <si>
    <t>que no llegaban, á semejante altura*. fía nombrado ,el Grep,eral Me- , non.por xefe de- ía plana mayor de aquel; exército ah(Lene^raLde brigada Lagrange en lugar del-General de división EUmas.. Se* ha formado un jar-3 din nacional botánicopara el. quaLpide. Menou varias</t>
  </si>
  <si>
    <t>xefe déE ramo de justicia en Egipto</t>
  </si>
  <si>
    <t>as haypv cogido. r Ha dispuesto Menoii que baxo la censura del ciud:. Fouriere, xefe déE ramo de justicia en Egipto , se publique en el Cayro un diario árabe con eE título de Tambyeh (avisos), cuyo redactor será el xeque Seyd Ismaíl-éfcKhacbab, archivista del Di van, y redac</t>
  </si>
  <si>
    <t>xefe del</t>
  </si>
  <si>
    <t>ta mas que 5 jornadas de Vie»na. Allí pidió el Príncipe Carlos, y el General en xefe del.exército deí r Rhin concedió un armisticio, cuyas condiciones vais á saber. El.Conde de Cobentzel, Plenipotenciario del Emperador én Luneviile, ha declarado en</t>
  </si>
  <si>
    <t>rán sus instrucciones del ministerio de guerra de Francia , y no del General en xefe del: exército de Italia. Ocuparán los castillos de Vado, Spezzia y Gavi. Con la artillería del castillo de Savona se guarnecerán las baterías y los castillos de Va</t>
  </si>
  <si>
    <t>xefe del estado mayor del exército de observación</t>
  </si>
  <si>
    <t>firmado el 29 ó el 30 del mes último. E! General de brigada Leopoldo Berthier, xefe del estado mayor del exército de observación, ha escrito al Ministro de marina desde Florencia con fecha del ió de Marzo diciéndole: ,,En fuerza de los movimientos populares que se manifestaban en algunas</t>
  </si>
  <si>
    <t>xefe del estado mayor del exército de Oriente</t>
  </si>
  <si>
    <t>República sé pongan en el .estado de paz. -' El General de división Lagrange , xefe del estado mayor del exército de Oriente, ha escrito la siguiente carta al Ministro de Guerra: „ A bordo del navio el Brukel, en la rada de Tolon, 11 de Octubre. Después de los sucesos de Alexandría,</t>
  </si>
  <si>
    <t>xefe del estado mayor general en que avisa con fecha</t>
  </si>
  <si>
    <t>el Teniente General Debelle ha comunicado á la Junta gubernativa una carta del xefe del estado mayor general en que avisa con fecha del 24 que por decreto del primer Cónsul, Bolonia, Ferrara, Ravena, y todo el territorio de la República cisalpina, no dependerán sino del exercito de Italia. , Ta</t>
  </si>
  <si>
    <t>xefe del exército</t>
  </si>
  <si>
    <t>ch, primer Burgrave: „S.M. Imperial y Real se ha dignado conferirme el mando en xefe del exército; y pareciéndome justo transferirme quanto antes á mi destino , lo comunico desde luego al primer Burgrave y á la Regencia del Reyno, declarándoles que conservo</t>
  </si>
  <si>
    <t>xefe del exercito</t>
  </si>
  <si>
    <t>quadrá se hubiese opuesto‘á la retirada, y que la hubiese mandado el General en xefe del exercito._ Mr. Jekyll dixo que por lo que había oido juzgaba que solo los Ministros eran ios culpados, y que debían dar cuenta de sft .c$$diícfá. Le replicó Mr. Dundas»</t>
  </si>
  <si>
    <t>rina, el primer Ayudante en xefe de la plana mayor, y el Comisario ordenador en xefe del exército. Presidia el General Menou, el qual informó al consejo de que en las fatales circunstancias en que se hallaban las tropas había mirado como obligación proponer</t>
  </si>
  <si>
    <t>xefe del exército austríaco en Italia</t>
  </si>
  <si>
    <t>e en la legión de Bohemia. Se asegura que el General Bellegarde, comand *nte en xefe del exército austríaco en Italia, ha recibido orden de no at.car, y de mantenerse en la defensiva, sin duda hasta que reciba refuerzos. Las últimas noticias de Viena expresan que el Emperador</t>
  </si>
  <si>
    <t>xefe del exército confirmó todos estos informes</t>
  </si>
  <si>
    <t>a á manifestarse en los meses de Octubre y Noviembre. El Comisario ordenador en xefe del exército confirmó todos estos informes. (Se continuará.)</t>
  </si>
  <si>
    <t>xefe del exército de Alemania</t>
  </si>
  <si>
    <t>ado por orden superior qup habiendo el mencionado Príncipe admitido el mando en xefe del exército de Alemania, el General Staray mandará baxo sus órdenes la legión de Bohemia y Moravia__ ~Rn 'aviso posterior se dice que $. A. llegó á dicho exército, y ha tomado, ya el</t>
  </si>
  <si>
    <t>xefe del exército de Batavia</t>
  </si>
  <si>
    <t>aunfeis; y en conseqüencia se ha ajustado entre el General Augereau, General en xefe del exército de Batavia, autorizado á este efecto por el gobierno francés, y Mr. Zwackh, Consejero privado, con los plenos poderes necesarios del Príncipe reynante de Solms-Braunfeis,</t>
  </si>
  <si>
    <t>xefe del exército de Italia</t>
  </si>
  <si>
    <t>neros austriacos que vienen á Francia. Paris 5 de Enero de 1801. E 1 General en xefe del exército de Italia, Bruñe, ha escrito al Ministro de Guerra la siguiente carta: „Valegio 27 de Diciembre d la tina de la mañana. El dia 17 la vanguardia enemiga, mandada por Jos</t>
  </si>
  <si>
    <t>nes y de Italia: con tas instancias mas eficaces, particularmente al General en xefe del exército de Italia, para que concluya por.su parte una suspensión de armas. Al propio .tiempo se proporcionarán todos los medios</t>
  </si>
  <si>
    <t>s franceses que se emplean en pescar. El .Consejero de Estado Bruñe, General en xefe del exército de Italia, ha dirigido al, Ministro de Guerra la siguiente carta : ,, Quartel general"ie Vicenta.20 de Enero» Vos castillos 'de Verona capitularon el 17 de este mes. Emp</t>
  </si>
  <si>
    <t>xefe del exército de Oriente</t>
  </si>
  <si>
    <t>: „En cumplimiento del decreto de 21 de Marzo de 1797,por el qu ¡1 el Generó en xefe del exército de Oriente, queriendo dar un testimonio de satisfacción á los 300 valerosos soldados mandados por el General Junot, que en el combate de Nazareth rechazáron á 3© hombres</t>
  </si>
  <si>
    <t>Xefe del exército de una nación generosa y leal</t>
  </si>
  <si>
    <t>6oo los nuestros. Me complace considerar que siendo V. E. el Xefe del exército de una nación generosa y leal, nb tendré el dolor jamas de notar la mas pequeña contravención. Si la advirtiese por un error ó mala inteligencia de lps subalternos, daré á V. E. prontísimo</t>
  </si>
  <si>
    <t>xefe del exército galo-bátavo</t>
  </si>
  <si>
    <t>del Rhin remitirá con la mayor brevedad el presente convenio á los Generales en xefe del exército galo-bátavo, de los Grisones y de Italia: con tas instancias mas eficaces, particularmente al General en xefe del exército de Italia, para que concluya por.su parte una su</t>
  </si>
  <si>
    <t>xefe del exército ingles empleado en el Mediterráneo y en</t>
  </si>
  <si>
    <t>a grande. El Rey ha conferido al Mayor general Juan Hely Hutchínson el mando en xefe del exército ingles empleado en el Mediterráneo y en los dominios del Gran Señor, con el grado dé Teniente General. Las tropas de infantería , artillería y milicias de Edimburgo Irn tomado luto por 4 semanas con moti</t>
  </si>
  <si>
    <t>xefe del exército Je Tt lia</t>
  </si>
  <si>
    <t>lána mayor del exército del Rhin. , ■ El Consejero de'Estado Bruñe , Général en xefe del exército Je Tt lia, ha escrito al Ministro de la Guerra la Siguiente carta fecha- en el qirartef gétteíjíl^de^Vérbfiía^á f de Títíérbi/ ,yL6$; • énéniígbs1 sé Rabian Atrincherado</t>
  </si>
  <si>
    <t>xefe del exército portugués</t>
  </si>
  <si>
    <t>Junio de 1801. Carta que con fecha de 7 del corriente se dirigió al General en xefe del exército portugués* v 1 Excmo. Señor.—El Generalísimo del exército de S. M. Católica firmó ayer un tratado de paz con Portugal, en el qnal se previene que por ninguna de las Pote</t>
  </si>
  <si>
    <t>xefe del exército se presentó para hacerle ia</t>
  </si>
  <si>
    <t>lo al principio de la acción: vivió 8 dias, y en este intermedio el cirujano en xefe del exército se presentó para hacerle ia‘ Amputación, asegurando y respondiendo de las resultas, pues no peligraba1 su vida, y de lo contrario rio podía esta durar mucho. Los amigos. Aél 'Generah le a</t>
  </si>
  <si>
    <t>xefe del gobierno civil</t>
  </si>
  <si>
    <t>la guarnición de aquella plaza. EÍ ciud. Leroy, Prefecto marítimo de Egipto, el xefe del gobierno civil, y varios oficíales, superiores, vienen en dichos buques, los quales han hecho su viage en 23 dias. Al tiempo de su partida habían cesado las inundaciones del</t>
  </si>
  <si>
    <t>xefe del Imperio</t>
  </si>
  <si>
    <t>cluiria la paz no solamente con el Austriaj sino también con el Emperador como xefe del Imperio, a fín de evitar las lentitudes(.de un congreso. S. Ms no pudo substraerse de esta condición, y la comunica á los estados, ófre-* ciendo sostener en; quanto se</t>
  </si>
  <si>
    <t>nsideraciones que coincidían con ella,exigían el mas maduro examen de parte del xefe del Imperio; y S. M. no. podía detenerse en dar á conocer inmediatamente en una carta escrita de su mano el estado de las cosas y su resolución á todos los Electores, así</t>
  </si>
  <si>
    <t>xefe del Imperio aquella parte del condiisum</t>
  </si>
  <si>
    <t>. resolverse á admitir el encargo de lá Dieta general, ni aprobar en calidad de xefe del Imperio aquella parte del condiisum; pero por no separarse de lo que establece la constitución, aprueba la cooperación del Imperio en la forma acostumbrada de una deliberación de la Dieta ; y sup</t>
  </si>
  <si>
    <t>xefe del Imperio germánico</t>
  </si>
  <si>
    <t>r, el Conde de Cobentzel, así en-calidad déRey* dcvBóhe^ mía y Hungría, como de xefe del Imperio germánico^ Al día siguiente W dirigió á todos los Ministros austríacos residentes en los diferentes Círculo* del Imperio una circular, que substancialmente decía: „ La R</t>
  </si>
  <si>
    <t>xefe del imperio no podía negarse a ella</t>
  </si>
  <si>
    <t>Cabildo se hizo sin faltar á la constitución; y que así S. M, I. en calidad de xefe del imperio no podía negarse a ella; que ademas el Archiduque Antonio no tom ria posesión de aquellos estados sino en ei caso de que no sean comprehendidos en las seculariza clores. Berlín 27 de</t>
  </si>
  <si>
    <t>xefe del Imperio una diputación de dos ó quatro estados</t>
  </si>
  <si>
    <t>n condición aigima, á S. M. el Emperador de Alemania: 5 piden que se agregue al xefe del Imperio una diputación de dos ó quatro estados: 17 proponen esta diputación para el caso en que el Emperador no quiera tomar á su cargo el -arreglo de las indemnizaciones: 2 piden que S. M. I. presente el p</t>
  </si>
  <si>
    <t>xefe del r exéreito dél cO</t>
  </si>
  <si>
    <t>porS.Maran íáiBotzfeilíf ií * -Ei Consejero de- Estad©' Bernadottey General en xefe del r exéreito dél cO¿est* ha; escrito al qnrimer Cónsul dándole cuéntá de que lastropasde su mando han cogido muchos bandidos de los que infestaban aquéllos países. Algunos de ello</t>
  </si>
  <si>
    <t>xefe del ramo de justicia en Egipto</t>
  </si>
  <si>
    <t>383................................................................ y xefe del ramo de justicia en Egipto, nos "ha comunicado tu intención acerca de los llamados santones, .que corren desnudos las calles sin que les cause rubor su desnudez; y de vuestra parte nos h</t>
  </si>
  <si>
    <t>xefe del ramo político en aquella colonia</t>
  </si>
  <si>
    <t>En la misma expedición irá el ciud. Daure en calidad de Comisario ordenador, y xefe del ramo político en aquella colonia. El Marques de Cornwallis ha dado una gran comida al ciud. Joseph Bonaparte, al Ministro de Relaciones exteriores, á varios Ministros extrangeros y Generales,</t>
  </si>
  <si>
    <t>xefe del Real establecimiento de ésta ciencia</t>
  </si>
  <si>
    <t>,&lt;5 Secretario capitular. Don Antonio Joseph Cavanilles, Profesor de botánica y xefe del Real establecimiento de ésta ciencia, dará principio á sus lecciones en la mañana del mirtes 30 de Junio á las 8 y media. Quien quisiere hacer mejora i. dos casas, la una sita en la costanilla de</t>
  </si>
  <si>
    <t>xefe delibere sobre tan importante objeto</t>
  </si>
  <si>
    <t>para que la Dieta lo exámine y resuelva: 4 proponen que la Dieta junta con -su xefe delibere sobre tan importante objeto: 12 opinan á que el Emperador, juntamente con el de Rusia y el Rey de Prusia, arreglen este asunto; finalmente, un solo estado pide que el Emperador presente d</t>
  </si>
  <si>
    <t>xefe dexó al General Dumonccau para el ataque del castillo</t>
  </si>
  <si>
    <t>r la primera: y en efecto el dia 30 la ocupamos por capitulación. Ei General en xefe dexó al General Dumonccau para el ataque del castillo, con la gente y la artillería competente. La noche del 29 al 30 había mandado Augereau que el Ayudante Deverine pasase con una media brigada y un regimiento de</t>
  </si>
  <si>
    <t>xefe estaba resuelto á defenderla hasta el último extremo</t>
  </si>
  <si>
    <t>ía con el resto del exército: la plaza tenia bastantes víveres, y el General en xefe estaba resuelto á defenderla hasta el último extremo.” Por el mencionado parlamentario ha recibido el gobierno la siguiente carta del General de división Belliard al primer Cónsul. ,, El Cayro jo de Jamo. Después</t>
  </si>
  <si>
    <t>xefe hábil hecho sus disposiciones</t>
  </si>
  <si>
    <t>embre, en que da cuenta del paso del Miñcio. En la primera dice: „El General en xefe hábil hecho sus disposiciones, y dado sus órdenes para que ayer al amanecer atravesase el* exércitó dicho rio por dos puentes que debida echarse en Monzanbahb. El*</t>
  </si>
  <si>
    <t>xefe haée efectivamente las suyas para acometerlos</t>
  </si>
  <si>
    <t>a.. Según sus disposiciones parece que temen ser atacados. Nuestro General en ; xefe haée efectivamente las suyas para acometerlos, á lo qual están bien dispuestas las tropas. — Acaba de llegar el Coronel austríaco Debaste como parlamentario. Viene sin duda á tratar de armisticio; pero no</t>
  </si>
  <si>
    <t>xefe interino de la plana mayor</t>
  </si>
  <si>
    <t>allóse ser la nombrada Suceso,de 40 cañones.” El General de brigada Franceschi, xefe interino de la plana mayor del ^xércíto de Italia, ha escrito al Ministro de Guerra desde el quartel dé Milán con fecha de 19 de Enero dándole cuenta-de la entrada de los franceses í ii M ín</t>
  </si>
  <si>
    <t>xefe interino de la plana mayor del exército galo-bátavo</t>
  </si>
  <si>
    <t>estipulada con el General en xefe Augercau.” El General de división Andreossi, xefe interino de la plana mayor del exército galo-bátavo,- ha dirigido al Ministro de Guerra una relación, que extractada dice así: Quartel general de Closter-Eberach 5 de Diciembre. El 24 de Noviembre á las 4 de la</t>
  </si>
  <si>
    <t>xefe Leclerc ha llegado á Brest</t>
  </si>
  <si>
    <t>embre. S e han publicado en el Monitor los siguientes artículos: „E1 General en xefe Leclerc ha llegado á Brest, en donde se habrá embarcado el 21. Por el telégrafo se ha sabido que el Almirante Viilaret- Joyeuse debia dar el 22 á su esquadra la órden de que nadie baxase</t>
  </si>
  <si>
    <t>xefe los conduxo á la gran bae</t>
  </si>
  <si>
    <t>rdo del navio el Din marca de 74 “cañones, mandado por el Chambelán Bille. Este xefe los conduxo á la gran bae.ía Mamada Drey-Crone, que se introduce en el mrr, y tn la qual se -está trabajando para reforzarla: tendrá ^9 piezas de artillería con un parapeto, y podrá hac</t>
  </si>
  <si>
    <t>xefe Macdonald</t>
  </si>
  <si>
    <t>etrocediese; pero el General Dumas, que sabia la ñrme resolución del General en xefe Macdonald, persistió en la empresa, y dio por escrito la orden de adelantar. Al fin, venciendo obstáculos y peligres, llegó dicha coluna á la altura del hospedage; y cor</t>
  </si>
  <si>
    <t>xefe mando desarmar las dos compañías de granaderos del primer</t>
  </si>
  <si>
    <t>ó la media brigada mím. 60; pero se negó á marchar. Antes de ayer el General en xefe mando desarmar las dos compañías de granaderos del primer y tercer batallón , y las envió á la ciudadda de Turin. Los dos referidos batallones, que llegaron aqiií ayer y hoy, debian ser castigados del mismo modo; pero m</t>
  </si>
  <si>
    <t>xefe mandó que á toda costa se abriese camino</t>
  </si>
  <si>
    <t>enerales y de sus animosas tropas superaron todos los obstáculos. El General en xefe mandó que á toda costa se abriese camino. En efecto, hechas las disposiciones para ello se repitió el dia i.° del corriente la tentativa de atravesar ia montaña. Salió de Splugen la coluna, precediend</t>
  </si>
  <si>
    <t>xefe Menou</t>
  </si>
  <si>
    <t>as de Egipto. ^ , . &gt;■ Ei 12 de Octubre se publicó^un reglamento del General en xefe Menou ¡ sqbre la cantidad, repartimiento y cobro de las contribuciones que los gre-" míos de mercaderes y artesanos de las ciudades han de pagar, rebasando, á propor</t>
  </si>
  <si>
    <t>y 176 heridos. Extracto de varios pliegos remitidos de Egipto por el General en xefe Menou, el Prefecto marítimo Leroy, y el Capitán de Marina Guien, y recibidos por el aviso S. Felipe. ,,Los últimos avisos de Egipto anunciaban la llegada de 7 embarc</t>
  </si>
  <si>
    <t>os dias, y ahora consta de 4 á 5® hombres. Esperamos quanto ántes al General en xefe Menou, que según dicen llegará mañana con su exército; y es probable que mediante un ataque concertado se consiga obligar á los enemigos á embarcarse, si no lo hicie</t>
  </si>
  <si>
    <t>al primer Cónsul. ,, El Cayro jo de Jamo. Después de la partida del General en xefe Menou y!del exército para Abukir quedé el 12 de Marzo en e! centró de este país con un cuerpo de 2553 hombres para defender el Egipto, la ciudad del Cayro y su distrit</t>
  </si>
  <si>
    <t>xefe Menou llegó el</t>
  </si>
  <si>
    <t>nas, para encerrar á la guarnición de Alexandría en sus murallas. El General en xefe Menou llegó el 1: con su quartel general á Rabmanié, en donde sé iban juntando las varias divisiones de su exército.—Es probable que á estas horas se haya resuelto la suerte</t>
  </si>
  <si>
    <t>xefe Menou llegó el dia</t>
  </si>
  <si>
    <t>ido salir ayer, me aprovecho de su detención j&gt;ara informaros que el General en xefe Menou llegó el dia 11 á Rahmanié,.en donde parece que se reúne su exército. Lo esperamos aquí ántes del dia 21. Si para entonces no se han embarcado los enemigos, no serán muchos</t>
  </si>
  <si>
    <t>xefe Menou se entablasen nuevas negociaciones</t>
  </si>
  <si>
    <t>ntes que el Capitán Baxá se retirase de aquellas costas propuso al Ge^ neraí en xefe Menou se entablasen nuevas negociaciones; pero eL General francés declaro que sólo la. fuerza de las armas ó una orden expresa de su «gobierno podrían obligare á evacuar aquella conquista. ? Parece ,q</t>
  </si>
  <si>
    <t>xefe militar de la marina</t>
  </si>
  <si>
    <t>adas en los campamentos atrincherados' y en la ciudad, el Prefecto marítimo, el xefe militar de la marina, el primer Ayudante en xefe de la plana mayor, y el Comisario ordenador en xefe del exército. Presidia el General Menou, el qual informó al consejo de que en l</t>
  </si>
  <si>
    <t>xefe militar Guien escribió al Prefecto marítimo</t>
  </si>
  <si>
    <t>respondencia de Egiptó traída por el Osíris, es la siguiente copia de la que el xefe militar Guien escribió al Prefecto marítimo ^Tenee, confecha?de Alexandría á 16 de Marzo, dándole cuenta de lo acaecido con- los ingleses, desde el dia i.de dicho-mes. Aunque, nada importante añade á lo</t>
  </si>
  <si>
    <t>xefe More</t>
  </si>
  <si>
    <t>pvLL-y salimos parailSalzburgo, adonde noTardarémos en llegar. ;E- Gene ral, en xefe More.au sigue con celeridad el alcance de los enemigos....... El exército austríaco del Tiro! se balja ya sin comunicación ;5éon , ei del Archiduque Juan , y aplace</t>
  </si>
  <si>
    <t>xefe Moreau al Ministre de la Guerra</t>
  </si>
  <si>
    <t>reau. París jo de Diciembre. S e ha publicado la siguiente carta del General en xefe Moreau al Ministre de la Guerra: .. , nQuartel general de Anzittg. § dé Diciembre. Tengo la satisfaGcjonJde daros cuenta de un acoirtecimienta muy glorioso para el exército que man-? 1</t>
  </si>
  <si>
    <t>xefe Moreau avisándole que el Consejo áulico de Viena pedia</t>
  </si>
  <si>
    <t>l qual como prisionero debia ir á Francia) ha recibido una carta del General en xefe Moreau avisándole que el Consejo áulico de Viena pedia de orden expresa ||lí Emperador que fuese cangeado por el General Colii; y que. en consequencia puede restituirse al Austria.</t>
  </si>
  <si>
    <t>xefe Moreau con otros Generales y oficiales de graduación</t>
  </si>
  <si>
    <t>n las casas consistoriales, y cena de 200 cubiertos á que asistió el General en xefe Moreau con otros Generales y oficiales de graduación. Se iluminó la torre de la catedral, que presentaba una vista hermosísima, y se divisaba á 8 leguas de distancia. Parts 17 de Mayo. f E 1 Barón de Molí acaba d</t>
  </si>
  <si>
    <t>xefe Moreau para el quartel general de su exército</t>
  </si>
  <si>
    <t>ad, emprenderán quanto antes su marcha-----El dia 3 salió de aquí el General en xefe Moreau para el quartel general de su exército , el qual se, trasladará á Munich el dia 11. Las tropas helvéticas que.había en esta ciudad se han puesto en marcha para B. silea; y varios regimientos de caba</t>
  </si>
  <si>
    <t>xefe Moreau un armisticio</t>
  </si>
  <si>
    <t>Ministrotdé la; Guerra , que el Archiduque Garlos día;propuestooal tGenéral enl xefe Moreau un armisticio, anunciándole que /el Émperador despachab^un correo á AIrl dé Cííbeutzel con &gt;díden&gt; d¡¿. dt|e drrmase la' pazsffi éaráetef &lt;felbATchiduqiiO£C&amp;rlo&amp;,‘yí?suEnoto</t>
  </si>
  <si>
    <t>xefe Moreaual General Víctor íEaiieau Lahorie</t>
  </si>
  <si>
    <t>o han elegido respectiva mente cop • poderes espedíales, á-saberr el General en xefe Moreaual General Víctor íEaiieau Lahorie: y S. A. R. el Archiduque Garlos, al Sargento mayor Confde de Grima, y ai Coronel Wairother.de Vetái ,*de la plana* mavort los ■ «nales hán convenido en los ar</t>
  </si>
  <si>
    <t>xefe Murat</t>
  </si>
  <si>
    <t>ia ha venido también el General de artillería Rioult, y se espera al General en xefe Murat. Gínova j de Jimio* L a publicación de la paz de Luncville se hizo aquí con mucha pompa el 29 del mes ú timo. Ha salido de esta ciudad un destacamento de tropa</t>
  </si>
  <si>
    <t>envió aquí por extraordinario esta noticia asi que se la comunicó el General en xefe Murat. Ya están evacuadas varias aldeas del territorio de Urbi no, que las tropas cisalpinas habían ocupado, y que según ei tratado de Tokntino pertenecen al l\*pa.</t>
  </si>
  <si>
    <t>ar en su nombre el juramento de fidelidad de la nación toscana. El Gene* ral en xefe Murat., que llegó ayer aquí, salió esta mañana para Florencia ú lin de atender á las disposiciones que se requieren para recibir al Soberano : y así que se haya hech</t>
  </si>
  <si>
    <t>xefe Murat al Ministro de Guerra</t>
  </si>
  <si>
    <t>cow, enviado por Alexandro 1 para suceder á Mr. Kalitchew. Carta del General en xefe Murat al Ministro de Guerra. ,, Afilan rj&gt; de Setiembre. Hace varios dias que se está bombardeando á Porto-Ferrayo. Nuestras baterías impiden la entrada del puerto á la esquadra del Almir</t>
  </si>
  <si>
    <t>xefe nombrarán oficiales de las respectivas planas mayores</t>
  </si>
  <si>
    <t>xefe para que retroceda á Baviera</t>
  </si>
  <si>
    <t>iudad de Lintz, capital del Austria-Super,ior, ha recibido orden del General en xefe para que retroceda á Baviera. __ Los Generales austríacos han comprado los almacenes que los franceses tenían en Baviera y Suabia, y ahora servirán para los 4 cuerpos austríacos, que luego</t>
  </si>
  <si>
    <t>xefe se restituye á Francia el ciud</t>
  </si>
  <si>
    <t>os al Prefecto de Tolon para que los envie á París. Con anuencia del General en xefe se restituye á Francia el ciud. Descotils, individuo del instituto de Egipto , que trae una apreciable colección de minerales recogidos cerca de la catarata, en los desiertos que separan al</t>
  </si>
  <si>
    <t>xefe sentará su quartel general en Wurtzburgo</t>
  </si>
  <si>
    <t>arque de artillería se establecerá en el castillo de Wurtzburgo,y ei General en xefe sentará su quartel general en Wurtzburgo.” Hay en ei departamento de Brest dos esquadras prontas á zarpar: la una, mandada por el Contra-Almirante Latouche, consta de 5 navios y varias 11. ves menores</t>
  </si>
  <si>
    <t>xefe superior</t>
  </si>
  <si>
    <t>declaro , Generalísimo de mis armas de mar y tierra,que os deben reconocer por xefe superior, y dirigiros todos sus- recursos,-pues de vos deben depender los sistemas de dirección y economía de todos los cuerpos, los quales es mi Real voluntad os hagan</t>
  </si>
  <si>
    <t>xefe supremo</t>
  </si>
  <si>
    <t>I. cstípuhse al mismo tiempo por el Imperio, y firmase el tratado en calidad de xefe supremo. La importancia de esta proposición, y las diferentes consideraciones que coincidían con ella,exigían el mas maduro examen de parte del xefe del Imperio; y S.</t>
  </si>
  <si>
    <t>ese de concluirse estipulase yo también por la paz del Imperio en mi calidad de xefe supremo. JBl Plenipotenciario imperial y real sabia que el derecho de cooperación de los Electores, Príncipes y Estados del Imperio en objetos relativos á la paz, está</t>
  </si>
  <si>
    <t>Imperial y Real á mandar se firmase por el Imperio germánico, ett calidad de su xefe supremo , el tratado de pazidejinifcivo de Luneville, están claramente expuestos en los documentos; que' acomipañabaa a^ d^retQ^imr perial de 21 de Febrero, y ademas l</t>
  </si>
  <si>
    <t>de asistir á las diputaciones del Imperio, y recomend ndose á la protección del xefe supremo, para que manténga la independ encia de todos los miemjbrps del cuerpo germánico, Créese que el gabinete austríaco no tardará en ratificar el conclusum, cuyo t</t>
  </si>
  <si>
    <t>xefe supremo del Imperio</t>
  </si>
  <si>
    <t>en Viena á 14 de este mes, que substanci.ilmente dice: ,,S. M. I. en calidad de xefe supremo del Imperio, y protector de la Iglesia germánica* ha dado su plena aprobación á lo resuelto por los dos grandes Cabildos de Colonia y Munster en lo per* ten*.cíente á 1. s</t>
  </si>
  <si>
    <t>xefe sus varias divisiones á la Valtelina</t>
  </si>
  <si>
    <t>a que el exército desíüaba por el Splugen hacia Chiavena, enviaba el General en xefe sus varias divisiones á la Valtelina. Parte de la vanguardia ha entrado ya en el valle de Camonica por el paso de Apriga , y de este modo comunica con ei ala izquierda del exército de Italia. El r</t>
  </si>
  <si>
    <t>xefe transferirme entre vosotros</t>
  </si>
  <si>
    <t>se tuvo aviso de la llegada de una esquadra inglesa, me permitió él General en xefe transferirme entre vosotros. He sabido con satisfacción la conducta de la 4.* compañía de trabajadores de artillería de ma*Tina en lo sucedido el día 8. En los demas marinos he encontrado</t>
  </si>
  <si>
    <t>xefe y</t>
  </si>
  <si>
    <t>ue de perder la.v id a.resultas -de «finas di fe tenidas movidas entre el mismo xefe y, el: Baxáde Tfípolt de Siria, ha mandado el Visir deponer á aquel comandante* que uo queras obedecerle i causa de las continuas quedas que le daban cpntra las</t>
  </si>
  <si>
    <t>Xerez, Manuel</t>
  </si>
  <si>
    <t>Manuel Xerez</t>
  </si>
  <si>
    <t>ente agregado D. Joachin de Nava y Campománes : y en el regimiento de Ñapóles á Capitán al Ayudante D. Manuel Xerez. &gt; En atención á las circunstancias y servieios de D. Joseph García Cedrian, Contador de reglamentos en S. Sebastian, se ha servido el Rey concederle honores de Contador de sus Re</t>
  </si>
  <si>
    <t>Xiinenez de Novallas y Pinzolac, Pedro</t>
  </si>
  <si>
    <t>Pedro Xiinenez de Novallas y Pinzolac</t>
  </si>
  <si>
    <t>al de dicha catedral, vacante por promoción de D. Lorenzo Ruiz á una entera de Ja propia iglesia, á D. Pedro Xiinenez de Novallas y Pinzolac para un-Benencio Subdiaconil de la catedral de Terrosa, vacante por r promoción,de D. Juan Bautista Also -4 .una ilación de íamiisma catedral, áD. Joseph Despax.: para, el Benefic</t>
  </si>
  <si>
    <t>Ximene, Christóbal</t>
  </si>
  <si>
    <t>Christóbal Ximene</t>
  </si>
  <si>
    <t>nuel Gómez de'Barreda; y en el de dragones de Lusitania á Alférez al Sargento primero de granaderos D. Christóbal Ximene?. En consideración í la actividad y buen desempeño que ha acreditado Frey D. Juan Bautista Valles, Coronel del regimiento provincial de Castellón de la Plana, en su comisión de pe</t>
  </si>
  <si>
    <t>Ximenez Arrutave, Ignacio</t>
  </si>
  <si>
    <t>Ignacio Ximenez Arrutave</t>
  </si>
  <si>
    <t>o Eslava, á D. Juan Joseph del Olmo: para una Ración de la de Córdoba, vacante por fallecimiento de D. Ignacio Ximenez Arrutave, á D. Francisco de Armcnta y Godoy, Racionero electo de la metropolitana de Sevilla; y para un Beneficio de la parroquial de Santa María de la ciudad de Almansa, en la diócesis de</t>
  </si>
  <si>
    <t>Ximenez Bagues, Joseph</t>
  </si>
  <si>
    <t>Joseph Ximenez Bagues</t>
  </si>
  <si>
    <t>iente de granaderos al primer Subteniente D. Joseph Medel de Prada; á primer Subteniente al segundo D. Joseph Ximenez Bagues, y á segundo Subteniente al Cadete del de Toledo D. Rafael Gutiérrez Monge: en el de Borbon á Subteniente de granaderos al primer Subteniente I&gt;. Santiago Noguer; á primer Subteni</t>
  </si>
  <si>
    <t>Ximenez de Antillon, Manuel Jacinto</t>
  </si>
  <si>
    <t>Manuel Jacinto Ximenez de Antillon</t>
  </si>
  <si>
    <t>halla vacante en la catedral de Santo "Domingo de la Calzada, obispado de Calahorra, por muerte de D. Manuel Jacinto Ximenez de Antillon, á D. Olegario Ximenez Estefanía, con retención del Beneficio que obtiene: parados Beneficios Préstamos de las villas de Villaoscusa de Haro y de Az-ñon, en la diócesis de Cuenca,</t>
  </si>
  <si>
    <t>Ximenez de Bagues, Joseph</t>
  </si>
  <si>
    <t>Joseph Ximenez de Bagues</t>
  </si>
  <si>
    <t>Raciones de la parroquial de Azanuy, en la misma diócesis, 4 D. Antonio Carrera, D. Joseph Alfós, y D. Joseph Ximenez de Bagues: para un Beneficio de la catedral de Lérida á D. Joseph Pont; y para el Beneficio de la parroquial de Chinchilla, en la diócesis de Cartagena, vacante por muerte de D. Juan Perez</t>
  </si>
  <si>
    <t>Ximenez de Texida, Joseph</t>
  </si>
  <si>
    <t>Joseph Ximenez de Texida</t>
  </si>
  <si>
    <t>Reales Guardias Españolas se ha servido promover S. M. á Alféreces de cazadores á los de fusileros D. Joseph Ximenez de Texida, D. Domingo Manso de Zúñiga y D. Ramón María de Chaves. En el de Reales Guardias Walonas á primer Ayudante miyor al segundo Ayudante D. Juan Fernando de Blende: en ei de infanterí</t>
  </si>
  <si>
    <t>Ximenez de Vareia, Miguel</t>
  </si>
  <si>
    <t>Miguel Ximenez de Vareia</t>
  </si>
  <si>
    <t>ril, en el arzobispado de Granada, vacante por fallecimiento de D. Rafael del Castillo y Cenzano, i D. Miguel Ximenez de Vareia, Canónigo de la misma colegial : para- la Dignidad de Maestrescuela de la catees taCai de Villanueva y Santa M¿rla de Castro, eh* el arzobispado de Santiago: para el Arciprestazgo</t>
  </si>
  <si>
    <t>Ximenez Lobaton, Manuel</t>
  </si>
  <si>
    <t>Manuel Ximenez Lobaton</t>
  </si>
  <si>
    <t>y D.* Mariano Calatayud; al empleo de Ayudante á D. Nicolás Loayza; al de Teniente de granaderos á D. Manuel Ximenez Lobaton; á Tenientes de fusilerós á los Subtenientes D. Mariano González, D. Bernardo Flores, D. Feliciano Candía, D. Bernardino Fañola, D. Pedro Moralesy al paisano D. Juan Joseph de, OJ</t>
  </si>
  <si>
    <t>Ximenez Noguerol, Joseph</t>
  </si>
  <si>
    <t>Joseph Ximenez Noguerol</t>
  </si>
  <si>
    <t>ere hacer postura á todas ó á alguna de dichas fincas acuda al Dr. D. Fernando Ledesma , Dean, ó al Dr. Don Joseph Ximenez Noguerol, Penitenciario , ó al Dr. D. Antonio Minayo , Tesorero de dicha santa iglesia» La plaza de Médico de la anteiglesia de Santo Tomas de Ola va r neta, valle de Ceverio, en Vizcaya ,</t>
  </si>
  <si>
    <t>Ximenez, Andrés</t>
  </si>
  <si>
    <t>Andrés Ximenez</t>
  </si>
  <si>
    <t>ver S- M. á Capitán al Ayudante D. Francisco Rico; y en el de Santiago á primer Xe«iente al segundo D. Andrés Ximenez: habiendo nombrado también, Ca^‘pellan del primer batallón del de infantería de España al presbítero Doía Manuel Ximenéfc. S. M. ha promovido á Ingenieros en xéfes de sus exército</t>
  </si>
  <si>
    <t>Ap iricio, D. Joseph de la Barreda, D. Agustín García de Arce, D. Mirtin Mármol, D. Andrés Vázquez, D. Andrés Ximenez, Don Fernando Antonio del Mármol, D. Joseph María del Toro, D. Antonio Bravo y D. Joseph de Jesús Paderes: últimamente á Subtenientes de bandera á los plísanos D. Lázaro de Herrer</t>
  </si>
  <si>
    <t>Ximenez, Félix</t>
  </si>
  <si>
    <t>Félix Ximenez</t>
  </si>
  <si>
    <t>erode la misma iglesia: para otra Canongía de la catedral de Sigíienza, vacante por la promoción de D. Félix Ximenez á Ja Dignidad de Chantre de la dé Cuenca, á D. Ramón de Hevia y Lorieri: para otra Canongía de la catedral: de Albárr^cia, ívacante' por fallecimiento de D. Miguel Molina,i D. Mig</t>
  </si>
  <si>
    <t>Ximenez, Francisco</t>
  </si>
  <si>
    <t>Francisco Ximenez</t>
  </si>
  <si>
    <t>IO el de Santiago á primer Teniente al segundo D. Francisco Ximenez; á Alférez al Portaestandarte D. Domingo Saura , y á esta resulta al Cadete Don Joseph de la Llama; en el de Montesa á Sargento mayor al Capitán D. Joseph Dhz ; y en el de la cost</t>
  </si>
  <si>
    <t>nte de granaderos al de fusileros Don ’ Andrés Sartórip, y ;a Subtenientes de bandera á los Cadetes D. Francisco Ximenez y D. Pedro CHiari. Asimismo atendiendo S. M. á las causas que le ha representado D. Juan Antonio de la Riba, eleeto Oidor de la Audiencia de Buenos-Ayres, se ha dignado coñférirlé la</t>
  </si>
  <si>
    <t>Ximenez, Juan Romualdo</t>
  </si>
  <si>
    <t>Juan Romualdo Ximenez</t>
  </si>
  <si>
    <t>én ha venido S. M. en prorogar por tiempo de seis años en el Corregimiento de la ciudad de Zamora á D. Juan Romualdo Ximenez. En América. S. M. se ha servido nombrar para el Obispado de la catedral de Chiapa, vacante por fallecimiento de D. Fermín Joseph Fuero, á D. Ambrosio de Llano, Dignidad de Tesore</t>
  </si>
  <si>
    <t>Ximenez, Vicente</t>
  </si>
  <si>
    <t>Vicente Ximenez</t>
  </si>
  <si>
    <t>7 de Marzo, 6 y 7 de Abril, resultáron en la clase-de sobresalientes con ventajai D. Julián Piñera, D. Vicente Ximenez y D. Felipe Aner; en la clase de buenos D. Ramón Salazar, Doft Joachín Royo, D. Antonio' Capilla,\D. Isidoro Capilla, D. Vicente Royo, D. Ildefonso González, D. Francisco Rimont, D, J</t>
  </si>
  <si>
    <t>Ximeno, Joseph</t>
  </si>
  <si>
    <t>Joseph Ximeno</t>
  </si>
  <si>
    <t>segundo Teniente al primer Subteniente Don Hilario Ferrandez; á esta resulta al segundo Subteniente D. Joseph Ximeno, y á segundos Subtenientes al Sargento primero D. Bernabé Frex y al Cadete D. Francisco Castañera: en el de la princesa á segundo Subteniente al de esta clase del de Córdoba D. Jo</t>
  </si>
  <si>
    <t>Xioieitez, Antonio</t>
  </si>
  <si>
    <t>Antonio Xioieitez</t>
  </si>
  <si>
    <t>dada al publico por D. Autonio Perez y González: 4 céíebrestrios para guitarra, vio in y b:.xo por D. Antonio Xioieitez, músico de la Real colegiata de Alicante: 6 quai tetes de Pleyel para flauta , violin , viola y baxo: un gracioso tema cbn 6 variaciones de Haydn para forte-piano j y dos marchas</t>
  </si>
  <si>
    <t>Xirnenez, Juan</t>
  </si>
  <si>
    <t>Juan Xirnenez</t>
  </si>
  <si>
    <t>res para instrucción de la Martirologio en castellano ;_ noticia..^ de las • juventud militar , por D. Juan Xirnenez ' festividades de la santa Iglesia; las' vidas de ( Donoso , 5 tomos en 4.“, en que se trata de los Santos que se celebran en nuestras Dió­ la conducta de un joven en campaña , su</t>
  </si>
  <si>
    <t>Xuis Joseph de Artajona</t>
  </si>
  <si>
    <t>de Artieda: para la Chantría al Canónigo D. Nicolás Muñoz y Borjas: para ,la Canongía al Racionero D. Xuis Joseph de Artajona: para la Ración al Medio-Racionero-D.'Mariano Pe* rez Uriondo; y para esta resulta á D. Luis Joseph de Arjona. El Rey se ha servido conceder la Contaduría de Exército y Real Hacie</t>
  </si>
  <si>
    <t>y Aguado, Joseph Mateo</t>
  </si>
  <si>
    <t>Joseph Mateo y Aguado</t>
  </si>
  <si>
    <t>de Cárlos ni, del Consejo de S. M., y Teniente Corregidor de esta villa, y escribanía del número de D. Joseph Mateo y Aguado, por sí 6 procurador con poder bastante á deducir su derecho en el juicio de testamentaría: con apercibimiento de que pasado dicho término se substanciarán los autos en rebeldía ,</t>
  </si>
  <si>
    <t>y Belírana Esgovera, Pedro</t>
  </si>
  <si>
    <t>Pedro y Belírana Esgovera</t>
  </si>
  <si>
    <t>Lacomba........ D. Juan y Doña María Turnie. za id............ . 26. ij. D. Luis Barró............. D. Pedro y Doña Belírana Esgovera.......................... . Lila en id......... a$ 18. D. Gabriel de la Ca­ D. Pedro y Dofia Gabriela Du pela.......................... ran.......................................</t>
  </si>
  <si>
    <t>y Blaua Dorde, Juan</t>
  </si>
  <si>
    <t>Juan y Blaua Dorde</t>
  </si>
  <si>
    <t>........ Lila Jorden...... ao. 30. D. Luis Dupen de San­ S. Amantony en tander..................... D. Juan y Doña Blaua Dorde.. Francia......... ao. 30. D. Alexandro Denier... D. Antonio y Doña N............... Lluderedoma.... ao. 30. Juan Dangen........ . Francisco y Claudina Nicolás.... S. Licier en Fr</t>
  </si>
  <si>
    <t>y Carmona, Juan Antonio Salvador</t>
  </si>
  <si>
    <t>Juan Antonio Salvador y Carmona</t>
  </si>
  <si>
    <t>sia primada de Tóledo , grabada en tamafio de medio pliego de marca mayor per D.Juan Antonio Salvador y Carmona , grabador de Cámara de S; M. Se hallará en las librerías de Barco , carrera de S. Gerónimo , de Escribano , calle de las Carretas * y de ia viuda de Cerro , red de S. Luis 4 y en Toledo Jun</t>
  </si>
  <si>
    <t>y Catalina de Arnal, Juan</t>
  </si>
  <si>
    <t>Juan y Catalina de Arnal</t>
  </si>
  <si>
    <t>...... Luron..................................... Lesat en id...... ap. 9. D. J uan de Casrel...... D, Juan y Doña Catalina de Arnal............... ................. Lesat en id,...,.. ap. 9. D. Juan Sabinach....... D. Leopol y Doña Mariana Dumaníach.......... ................... Castres en Id.... ap. p. Jayme</t>
  </si>
  <si>
    <t>y Dcfía Eeginia Rubí, Juan</t>
  </si>
  <si>
    <t>Juan y Dcfía Eeginia Rubí</t>
  </si>
  <si>
    <t>............ Rafael y María Porcada..., S. Lorenzo de la Salanca enid.. 3$. g. 1). Jayme , Conde de D. Juan y Dcfía Eeginia Rubí* Ram,n .......................... hart............ ............ ...................... 34* ap* ^ayme SanGerman a.°. Manuel y Gracia N.............. . Py en el Rosedlon............</t>
  </si>
  <si>
    <t>y Dí Agustín López, Juan</t>
  </si>
  <si>
    <t>Juan y Dí Agustín López</t>
  </si>
  <si>
    <t>ento de infantería de la Rey na se ha servido el Rey promover á segundos Subtenientes £ los Cadetes D. Juan y Dí Agustín López, D. Joseph Juan Valdes, D. Joseph de Eliza, D. Ramón Aymerich y Don Ramón Santinelly, y á los Sargentos primeros D. Joseph Madera y D. Joseph Nin: en el d© Granada á segundo Tenie</t>
  </si>
  <si>
    <t>y Dofia Agustina de Ros, Juan</t>
  </si>
  <si>
    <t>Juan y Dofia Agustina de Ros</t>
  </si>
  <si>
    <t>..... D. Juan y Dofia María Bafiolls.. Id...................... ¿0. bu‘ 4 5» D. Agustín Sagarriga.. D. Juan y Dofia Agustina de Ros........................................... Id...................... 50. Ig. D. Antonio de Búas ja. D. Francisco y Dofia Josepha O 1 Mayro...................................... Ros</t>
  </si>
  <si>
    <t>y Dofia Ana Foncal, Estéban</t>
  </si>
  <si>
    <t>Estéban y Dofia Ana Foncal</t>
  </si>
  <si>
    <t>.... Rosas................ O • D. •* Rehene de la Fa- Mortini en Fran?a.............:.............. D. Estéban y Dofia Ana Foncal. cia................. 32* 34. D. Juan Patris............. D. Juan y Dofia Gertrudis de Veas......................................... Avifion............. Francisco Sabani, D. Marc</t>
  </si>
  <si>
    <t>y Dofia Ana, Juan</t>
  </si>
  <si>
    <t>Juan y Dofia Ana</t>
  </si>
  <si>
    <t>.... Juan y Margarita Sernie..,....... Id....,................... 29. 19, í&gt;. Joseph Bordas........ D. Juan y Dofia Ana lies......... Bír.za en'el Rosellon............. go. ig. Francisco Julia............ Joseph y Ana Benet.................... Perpifian.......... 71. n# Crispía Manseró.......... Cr</t>
  </si>
  <si>
    <t>y Dofia Carlota de Grau, Henrique</t>
  </si>
  <si>
    <t>Henrique y Dofia Carlota de Grau</t>
  </si>
  <si>
    <t>ana Mana de Maunos................................... Aux en id......... 31. D. Clemente de Ly..... D. Henrique y Dofia Carlota de Grau............ ........................... Limos en id...... 27. 17. D. Miguel Dupradel,... D. Luis y Doña María Limosin........................................... S; ntonge.........</t>
  </si>
  <si>
    <t>y Dofia Gabriela, Pedro</t>
  </si>
  <si>
    <t>Pedro y Dofia Gabriela</t>
  </si>
  <si>
    <t>Doña Belírana Esgovera.......................... . Lila en id......... a$ 18. D. Gabriel de la Ca­ D. Pedro y Dofia Gabriela Du pela.......................... ran....................................... . Ruerque en id.. 2(5. Juan Joseph Peraló.... Francisco y Juana Mana de Maunos...........................</t>
  </si>
  <si>
    <t>y Dofia Gertrudis de Veas, Juan</t>
  </si>
  <si>
    <t>Juan y Dofia Gertrudis de Veas</t>
  </si>
  <si>
    <t>........... D. Estéban y Dofia Ana Foncal. cia................. 32* 34. D. Juan Patris............. D. Juan y Dofia Gertrudis de Veas......................................... Avifion............. Francisco Sabani, D. Marcos Antonio y Doña JuaConde de Mauleon.» na Carmarin........................... Narias.......</t>
  </si>
  <si>
    <t>y Dofia Juana AguiBarón de Aguilac, Pedro</t>
  </si>
  <si>
    <t>Pedro y Dofia Juana AguiBarón de Aguilac</t>
  </si>
  <si>
    <t>ar......................................... . Perpifian.......... . 5o* *{&gt;! D. Baltasar Geno veja, D. Pedro y Dofia Juana AguiBarón de Aguilac... lar........ ............................. . Id.............. ....... go. ig; D. Abdon de Ros, Conde de Ros...»........... D. Juan y Dofia María Bafiolls.. Id...................</t>
  </si>
  <si>
    <t>y Dofia Juana de Donasas, Pedro</t>
  </si>
  <si>
    <t>Pedro y Dofia Juana de Donasas</t>
  </si>
  <si>
    <t>cisca de Ollert...................................... Movenir en id.. 23. 10. D. Bruno de Sarmejan. D. Pedro y Dofia Juana de Donasas.......................... ............. Tolosa........ ...... 21. ip. D. Francisco Coduatn.. D. Bernardo y Doña Luisa de Castelnodarryen Grave.....................................</t>
  </si>
  <si>
    <t>y Dofia Juana, Antonio</t>
  </si>
  <si>
    <t>Antonio y Dofia Juana</t>
  </si>
  <si>
    <t>......... Juan y Teresak Estebe............... Perpifian.......... 22. 10* D. Luis Cornellau....... D. Antonio y Dofia Juana........ S. Pedro de Irivise............... 31. 12. Valentín Saleta......... Valentín y Francisca Calantre... Prada en ei Kosellon............ 2p. 3a.</t>
  </si>
  <si>
    <t>y Dofia Juma de Berty, Juan</t>
  </si>
  <si>
    <t>Juan y Dofia Juma de Berty</t>
  </si>
  <si>
    <t>......... sellon............. 26. 17. D. Juan Conde de la Granada en Hite...,.................... . D. Juan y Dofia Juma de Berty. Francia......... 26. 28* D. Guillermo Bachvier. D. Luis y Doña María Basoba... Verie en id...... a8. 7. Sulie en ProvenD. Juan Lacomba........ D. Juan y Doña María Turnie. za id.</t>
  </si>
  <si>
    <t>y Dofia María Bafiolls, Juan</t>
  </si>
  <si>
    <t>Juan y Dofia María Bafiolls</t>
  </si>
  <si>
    <t>................... . Id.............. ....... go. ig; D. Abdon de Ros, Conde de Ros...»........... D. Juan y Dofia María Bafiolls.. Id...................... ¿0. bu‘ 4 5» D. Agustín Sagarriga.. D. Juan y Dofia Agustina de Ros........................................... Id...................... 50. Ig. D. Anton</t>
  </si>
  <si>
    <t>y Dofia María Fossa, Joseph</t>
  </si>
  <si>
    <t>Joseph y Dofia María Fossa</t>
  </si>
  <si>
    <t>ana Dalsat............... ..................... Illa en id......... 32. 3. D. LuisFayach........... D. Joseph y Dofia María Fossa. Tolosa en Francia................ 27. 17. D. Henrique de la Vol- D. Juan y Dofia Mariana Masvene i.°.................... carench..... ............................. Castres en id.</t>
  </si>
  <si>
    <t>y Dofia Mariana Dalsat, Antonio</t>
  </si>
  <si>
    <t>Antonio y Dofia Mariana Dalsat</t>
  </si>
  <si>
    <t>a de Ribas............. ......................... Tuy en id........ 34. ap. D. Juan Barissult Dura. D. Antonio y Dofia Mariana Dalsat............... ..................... Illa en id......... 32. 3. D. LuisFayach........... D. Joseph y Dofia María Fossa. Tolosa en Francia................ 27. 17. D. Henrique de la</t>
  </si>
  <si>
    <t>y Doñá Jacinta Puigjana, Joseph</t>
  </si>
  <si>
    <t>Joseph y Doñá Jacinta Puigjana</t>
  </si>
  <si>
    <t>lián y María Ves........ ....... . Seré en el Rosellon............. 8r. atf. D. Salvador Patrichs.. D. Joseph y Doñá Jacinta Puigjana.............. ............................ P&lt; rpifían .......... ¿o. ig. Francisco Daude........ Francisco yMariana Masoc....... Id....... ............. go ig, And res Masjota....</t>
  </si>
  <si>
    <t>y Francisca Bonfontona, Carlos</t>
  </si>
  <si>
    <t>Carlos y Francisca Bonfontona</t>
  </si>
  <si>
    <t>uan y Juana Gaubert.............. Cabors en Francia................. 40. ap. D. Juan de Barnaajan.. D. Cárlos y Doña Francisca Bonfontona.............................. Lila Jorden...... ao. 30. D. Luis Dupen de San­ S. Amantony en tander..................... D. Juan y Doña Blaua Dorde.. Francia......... ao. 30. D. A</t>
  </si>
  <si>
    <t>y Francisco Nevares de Santoyo, Sebastián</t>
  </si>
  <si>
    <t>Sebastián y Francisco Nevares de Santoyo</t>
  </si>
  <si>
    <t>a por el Sr. Juez que conoce en los autos formados por los acreedores de los bienes del concurso de D. Sebastian y Don Francisco Nevares de Santoyo , está mandado citar y emplazar á todas y qnalesquiera personas del estado y calidad que sean, así de esta corte como fuera de ella que pretendan ser interesados acreedores por ra</t>
  </si>
  <si>
    <t>y Isabel, Fernando</t>
  </si>
  <si>
    <t>Fernando y Isabel</t>
  </si>
  <si>
    <t>a semana, en conr seqüencia de Real privilegio que concedieron á la misma los Sres. Reyes Católicos D. Fernando y Doña Isabel en la ciudad de Toledo á 27 de Enero de 1480. Desde el dia i.° del próximo mes de Diciembre se recibirán en la Tesorería mayor y en las de exército las acciones del Real empréstito</t>
  </si>
  <si>
    <t>y Josepha Ebe- Prada, Pedro</t>
  </si>
  <si>
    <t>Pedro y Josepha Ebe- Prada</t>
  </si>
  <si>
    <t>yen Grave...................................... id................ 2(5. 28. D. Pedro Godefua....... D. Pedro y Doña Josepha Ebe- Prada en el Roniba............................. ........... sellon............. 26. 17. D. Juan Conde de la Granada en Hite...,.................... . D. Juan y Dofia Juma de Berty. Franci</t>
  </si>
  <si>
    <t>y JuaConde de Mauleon, Marcos Antonio</t>
  </si>
  <si>
    <t>Marcos Antonio y JuaConde de Mauleon</t>
  </si>
  <si>
    <t>a Gertrudis de Veas......................................... Avifion............. Francisco Sabani, D. Marcos Antonio y Doña JuaConde de Mauleon.» na Carmarin........................... Narias.............. Marcos Fabregas........ . Marcos y Ana Pillandon........... Monferer en el Rosellon....... 44* 2g; Juan Laball.......</t>
  </si>
  <si>
    <t>y Juana AguiMarques de Aguiiar, Pedro</t>
  </si>
  <si>
    <t>Pedro y Juana AguiMarques de Aguiiar</t>
  </si>
  <si>
    <t>abuser............ Isidro y Cecilia Chinchi........... Sureda en id.... 51* 3&gt; D. Melchor Genoyeja, D. Pedro y Doña Juana AguiMarques de Aguiiar.. jar......................................... . Perpifian.......... . 5o* *{&gt;! D. Baltasar Geno veja, D. Pedro y Dofia Juana AguiBarón de Aguilac... lar........ .................</t>
  </si>
  <si>
    <t>y Luisa de Castelnodarryen Grave, Bernardo</t>
  </si>
  <si>
    <t>Bernardo y Luisa de Castelnodarryen Grave</t>
  </si>
  <si>
    <t>onasas.......................... ............. Tolosa........ ...... 21. ip. D. Francisco Coduatn.. D. Bernardo y Doña Luisa de Castelnodarryen Grave...................................... id................ 2(5. 28. D. Pedro Godefua....... D. Pedro y Doña Josepha Ebe- Prada en el Roniba............................. ...........</t>
  </si>
  <si>
    <t>y Luisa Libabre, Juan Pedro</t>
  </si>
  <si>
    <t>Juan Pedro y Luisa Libabre</t>
  </si>
  <si>
    <t>. senach................................. . Id......... ............ 2(5. 28. D. Juan Jayme Batine. D. Juan Pedro y Doña Luisa Libabre.......... ........................ Id..................... 2(5. 28. D. Pedro Duran de la D. Pedro y Dofia María de CéCapela...................... sar............. ................</t>
  </si>
  <si>
    <t>y María Basoba, Luis</t>
  </si>
  <si>
    <t>Luis y María Basoba</t>
  </si>
  <si>
    <t>.................. . D. Juan y Dofia Juma de Berty. Francia......... 26. 28* D. Guillermo Bachvier. D. Luis y Doña María Basoba... Verie en id...... a8. 7. Sulie en ProvenD. Juan Lacomba........ D. Juan y Doña María Turnie. za id............ . 26. ij. D. Luis Barró............. D. Pedro y Doña Belírana Esg</t>
  </si>
  <si>
    <t>y María de Rollan, Juan</t>
  </si>
  <si>
    <t>Juan y María de Rollan</t>
  </si>
  <si>
    <t>a.......... Joseph y Teresa Te 11 es............. Techia en id..... xa. ap. D. Juan Dubiena........ D. Juan y Doña María de Rollan................ 14. ao. D. Cárlos Vizconde de D. Domingo y Doña Lorenza Se- SarlarchenFranSabinach.................. dillach.................................... cia...............</t>
  </si>
  <si>
    <t>y María José- Guiíiana, Pedro</t>
  </si>
  <si>
    <t>Pedro y María José- Guiíiana</t>
  </si>
  <si>
    <t>eno........... Agustín-y Mana Pirret............ Montalban........ 32. 24. D. Juan de Oriol........ D. Pedro y Doña María José- Guiíiana en el pha de Mas. ........................ . Rosellon...... 34. ap. D. Francisco de Oriol. D. Pedro y Doña Teresa de Ribas............. ......................... Tuy en id........ 3</t>
  </si>
  <si>
    <t>y María Limosin, Luis</t>
  </si>
  <si>
    <t>Luis y María Limosin</t>
  </si>
  <si>
    <t>ta de Grau............ ........................... Limos en id...... 27. 17. D. Miguel Dupradel,... D. Luis y Doña María Limosin........................................... S; ntonge.......... 28. 31» Jayme Vales............... Juan y Teresak Estebe............... Perpifian.......... 22. 10* D. Luis Cornella</t>
  </si>
  <si>
    <t>y María Negre, Juan</t>
  </si>
  <si>
    <t>Juan y María Negre</t>
  </si>
  <si>
    <t>abel Palernion....... ............ ......... .. Tuxi.... ........... 19. g. D. Pedro Laborde....... D. Juan y Doña María Negre.... Castel Sanasin en Francia... ip. g. Guillermo Nivedual.... B4tran yMargarita David....... Alet en id.......... 38. Francisco Briosa!....,..» Francisco y Ata Cápela............</t>
  </si>
  <si>
    <t>y María Teresa Estras, Ignacio</t>
  </si>
  <si>
    <t>Ignacio y María Teresa Estras</t>
  </si>
  <si>
    <t>asta...................... ........................... ............ 47. a8. D, Joseph Bordas..... . D. Ignacio y Doña María Teresa Estras................................. Perpifian........... 20. 30. D. Juan Francisco de Rio...................... D. Juan y Doña Mariana Prats. Layre............... 47. 17. Pablo Maina</t>
  </si>
  <si>
    <t>y María Turnie, Juan</t>
  </si>
  <si>
    <t>Juan y María Turnie</t>
  </si>
  <si>
    <t>ier. D. Luis y Doña María Basoba... Verie en id...... a8. 7. Sulie en ProvenD. Juan Lacomba........ D. Juan y Doña María Turnie. za id............ . 26. ij. D. Luis Barró............. D. Pedro y Doña Belírana Esgovera.......................... . Lila en id......... a$ 18. D. Gabriel de la Ca­ D. Pedro y Do</t>
  </si>
  <si>
    <t>y Mariana Busach, Juan</t>
  </si>
  <si>
    <t>Juan y Mariana Busach</t>
  </si>
  <si>
    <t>.. Gerónimo y Gertrudis Mas........ Monferrer en ti Rosellon....... ao. 18. D. Juan Gafart......... D. Juan y Doña Mariana Busach......................................... Perpifian.......... 19. 18, Juan Marabel......... Juan y Juana Gaubert.............. Cabors en Francia................. 40. ap. D. Juan de</t>
  </si>
  <si>
    <t>y Mariana Prats, Juan</t>
  </si>
  <si>
    <t>Juan y Mariana Prats</t>
  </si>
  <si>
    <t>....................... Perpifian........... 20. 30. D. Juan Francisco de Rio...................... D. Juan y Doña Mariana Prats. Layre............... 47. 17. Pablo Maina............... Joseph y Francisca Palau.......... Finestre en el Rosellon....... ap. ao. D. Juan de Casanaut... D. Adriano y Dofia María</t>
  </si>
  <si>
    <t>y Sebastián Pujol y Garcint, Joseph</t>
  </si>
  <si>
    <t>Joseph y Sebastián Pujol y Garcint</t>
  </si>
  <si>
    <t>o el Rey promover en el regimiento de infantería de la Reyna á primeros Subtenientes a los segundos D. Joseph y Don Sebastian Pujol y Garcint, D. Juan y D. Agustín López, O. Joseph Madera, D. Joseph Juan Valdcs, D. Joseph. de Eliza, D. Jos. ph Nin y Don RVmón AÍm-rÍch; V á segundos Subtenientes al Sargento primero del d</t>
  </si>
  <si>
    <t>y Teresa de Ribas, Pedro</t>
  </si>
  <si>
    <t>Pedro y Teresa de Ribas</t>
  </si>
  <si>
    <t>Guiíiana en el pha de Mas. ........................ . Rosellon...... 34. ap. D. Francisco de Oriol. D. Pedro y Doña Teresa de Ribas............. ......................... Tuy en id........ 34. ap. D. Juan Barissult Dura. D. Antonio y Dofia Mariana Dalsat............... ..................... Illa en id.........</t>
  </si>
  <si>
    <t>Yagues, Antonio</t>
  </si>
  <si>
    <t>Antonio Yagues</t>
  </si>
  <si>
    <t>knte D. Florencio Am ya: en el de dragones de Ahmnsa á Alrérrz ai .Sargento primero ' de granaderos D. Antonio Yagues, y en el de Lusitanía i Alférez, al Cadete D. Miguel Ravcl. ■ ' • ¡¡• En América. S. M, se ha servido nombrar para: la Dignidad de Tesore. ro de L mctroooütana de Guatemala, vacan</t>
  </si>
  <si>
    <t>Yañcz Ribadeneyra, Ignacio</t>
  </si>
  <si>
    <t>Ignacio Yañcz Ribadeneyra</t>
  </si>
  <si>
    <t>:para el de la villa de Albacete á Don Luis Antonio Mosquera : para el de la de Molina de Aragón á D. Ignacio Yañcz Ribadeneyra *. para la vara de Alcalde mayor mas moderna de ía ciudad de Cádiz á D. Francisco Xavier Lozano y Avellan : para la de la de Truxiilo á D. Manuel Perez de los Ríos: para la de la</t>
  </si>
  <si>
    <t>Yañez, Manuel Vicente</t>
  </si>
  <si>
    <t>Manuel Vicente Yañez</t>
  </si>
  <si>
    <t>p ra li Canongí i de merced de la catedral de Valladolid de Mechoacan, vacante por fallecimiento de D. Manuel Vicente Yañez, al Racionero de la propia iglesia D. Nicolás Joseph del Collado y Plata: para la Ración, que este dexa, al Medio-Racionero P. Eduardo Espinosa de los Monteros;, y para esta Media</t>
  </si>
  <si>
    <t>Yarza, Joseph</t>
  </si>
  <si>
    <t>Joseph Yarza</t>
  </si>
  <si>
    <t>rimer Teniente al segundo de granaderos D. Joseph Marin Ordoñez; á esta resulta al segundo Teniente D. Joseph Yarza; á segundo Teniente ai Subteniente de granaderos D. Francisco Ordoñez; á Subteniente de granaderos ai primer Subteniente D. Andrés Federic y Auge; á primer Subteniente al segundo</t>
  </si>
  <si>
    <t>Ycbra, Francisco</t>
  </si>
  <si>
    <t>Francisco Ycbra</t>
  </si>
  <si>
    <t>xámenes de los alumnos de 1# escuela de náutica; ique 'se halla á cargo del primer maestro director Don Francisco Ycbra, Alférez de Fragata graduado de la Real Armada, y deí tercer maestro D. Juan Antonio Acevedo, los que se han contimudo en los siguientes dias 3 y 4 por mañana y tarde: habiéndose</t>
  </si>
  <si>
    <t>Yeste, Francisco</t>
  </si>
  <si>
    <t>Francisco Yeste</t>
  </si>
  <si>
    <t>vacante al Teniente Coronel D. Henrique Rodríguez,Sargento mayor del de Xcrez; y para su resulta á D, Francisco Yeste, Capitán del regimiento de infantería de Granada. S. M. ha promovido á Ingeniero en segundo desús exércitos, plazas y fronteras á D. Juan Saliquet, Ingeniero ordinario: á este emp</t>
  </si>
  <si>
    <t>Yeste, Joseph</t>
  </si>
  <si>
    <t>Joseph Yeste</t>
  </si>
  <si>
    <t>á Capitán al Teniente de granaderos, graduado de Capitán, D. Juan Dávadie, y á Ayudante al Teniente D. Joseph Yeste, concediéndole al mismo tiempo grado Tn atención á los dilatados servicios de D. Joseph de Mas, Cónsul de 5. M. en Amsterdam, se ha servido el Rey concederle honores de Comisario</t>
  </si>
  <si>
    <t>Yüste, Manuel</t>
  </si>
  <si>
    <t>Manuel Yüste</t>
  </si>
  <si>
    <t>er; al empleo que este dexa al Teniente dé granaderos D. Isidro Bastida; al de Ayudante al Teniente D. Manuel Yüste; á Teniente de granaderos al de fusileros D. Joseph Antonio Remon; á las dos Tenencias que : estos dexan al Subtenieñtede granaderos D. Nicolás Remon y al de fusileros E&gt;. Baltasa</t>
  </si>
  <si>
    <t>YV, General</t>
  </si>
  <si>
    <t>General YV</t>
  </si>
  <si>
    <t>os sitiados; y ya se han enviado muchos víveres * municiones y artillería d¿ batir. La división del General YV.atnn es la que está ahora encargad - del sitio, para el qual se están disponiendo aquí-sacos y otros efectos. El mencionado General salió ayer de este puerto para ponerse al frent</t>
  </si>
  <si>
    <t>Zacaría Fleck, Capitán</t>
  </si>
  <si>
    <t>Capitán Zacaría Fleck</t>
  </si>
  <si>
    <t>enfrente del Tolmo , á 4 leguas de ,Gibraltar. La . fragata inglesa' Speedevell, de 200 toneladas, Capitán Zacaría Fleck, con dos cañones de . á 6, y 10 hombres de tripulación, cargada de carbón de piedra para Gi^ braltar, apresaba por,el místico el mlsnm dia 20 enfrente de Xítrif*.» ^'c*t bó de un</t>
  </si>
  <si>
    <t>Zaldua, Cayetano</t>
  </si>
  <si>
    <t>Cayetano Zaldua</t>
  </si>
  <si>
    <t>e ha dignado S. M. promover en el regimiento de caballería de Alcántara á Portaestandarte al Cadete D. Cayetano Zaldua; y en el de Calatrava á segundo Teniente al Alférez D. Valentín Quirós. El Rey se ha servido nombrar Sargento mayor del regimiento provincial de Santiago al de la misma clase del</t>
  </si>
  <si>
    <t>Zambrana, Jorge</t>
  </si>
  <si>
    <t>Jorge Zambrana</t>
  </si>
  <si>
    <t>regimiento de caballería del Príncipe se ha servido $. M. pronto* ver á segando Teniente al Alférez D. Jorge Zambrana; á esta resulta al Portaestandarte D. Joseph Cerón, y á Portaestandarte al Cadete D. Vicente López S'in Román: en el del Infante á Portaestandarte al Sargento D. Seb-sri -n de Tor</t>
  </si>
  <si>
    <t>Zamora, Melchor</t>
  </si>
  <si>
    <t>Melchor Zamora</t>
  </si>
  <si>
    <t>á D. Joseph Serra y Ramonet: para otra Ración de la parroquial de Adahuesca, diócesis de Lérida, á D. Melchor Zamora: para tres Raciones de la parroquial de Azanuy, en la misma diócesis, 4 D. Antonio Carrera, D. Joseph Alfós, y D. Joseph Ximenez de Bagues: para un Beneficio de la catedral de Lér</t>
  </si>
  <si>
    <t>Zañartu, Buenaventura</t>
  </si>
  <si>
    <t>Buenaventura Zañartu</t>
  </si>
  <si>
    <t>, graduado de Teniente Coronel, D. Felipe de Olazaval, y á Capitanes al agregado en la propia clase D. Buenaventura Zañartu del- Fiehro1, y' á los Tenientes de granaderos D. Pedro Abril y D. Ignacio Bustamante: á Capitanes de los esquadrones sueltos de Milicia# urbanas dé caballería de Guancabamba y Chalac</t>
  </si>
  <si>
    <t>Zapater, Francisco</t>
  </si>
  <si>
    <t>Francisco Zapater</t>
  </si>
  <si>
    <t>ura, ca-; betas y brazos, se premió con cantidades menores á D. Manuel Franco, D. Guillermo Olleta, D. Francisco Zapater, D. Felipe Gradan, D. Mateo Zapater, D. Narciso LaJana, D. Anselmo Rueda, D. Juan Antonio Lacosta, D. Xavier Echeverría, D. Marcos Antonio Ames, D. Jacinto Aznar y J&gt;. Pascual Gra</t>
  </si>
  <si>
    <t>Zapater, Mateo</t>
  </si>
  <si>
    <t>Mateo Zapater</t>
  </si>
  <si>
    <t>cantidades menores á D. Manuel Franco, D. Guillermo Olleta, D. Francisco Zapater, D. Felipe Gradan, D. Mateo Zapater, D. Narciso LaJana, D. Anselmo Rueda, D. Juan Antonio Lacosta, D. Xavier Echeverría, D. Marcos Antonio Ames, D. Jacinto Aznar y J&gt;. Pascual Grasa. Concluida la distribución, el Ex</t>
  </si>
  <si>
    <t>Zayas, Joseph</t>
  </si>
  <si>
    <t>Joseph Zayas</t>
  </si>
  <si>
    <t>apitán de granaderos al de fusileros D. Pedro del Busto; á Capitán al primer Teniente de granaderos D. Joseph Zayas; á primer Teniente de granaderos al de fusileros D. Constantino Mañero; á primer Teniente al segundo de granaderos D. Manuel Barranco; á esta resulta al segundo Teniente D. Fernan</t>
  </si>
  <si>
    <t>Zazurca, Antonio</t>
  </si>
  <si>
    <t>Antonio Zazurca</t>
  </si>
  <si>
    <t>Tejada y D. Joseph Serra,este graduado de Capitán; á segundo Teniente de granaderos al de fusileros D. Antonio Zazurca; á según-, dos Tenientes á los Subtenientes de granaderos D. Juan de Dios Ordoño y D. FranciscoWuliiez; á estas resultas á los primeros Subtenientes D. Medardo Ximenez de Bagues y</t>
  </si>
  <si>
    <t>Zegeri Bernardi Van-Espen</t>
  </si>
  <si>
    <t>e lo es dicho D. Tomas, quien se lo dará á precio mas cómodo con la instrucción del modo de usarlo. D. Zegeri Bernardi Van-Espen , celeberrimi jurísconsulti Lovaniensis , jus eeclesiasticum in epitomen redactum á D. P. Benedicto Oberhausen , J. V. D. Réversndissimi ac Celsissimi S. R. I. Principis ac Archie</t>
  </si>
  <si>
    <t>Zelaya, Joseph</t>
  </si>
  <si>
    <t>Joseph Zelaya</t>
  </si>
  <si>
    <t>. Joseph Al faro ; y á Subtenientes de granaderos y cazadores á los de fusileros Dt Blas de Pinar y D. Joseph Zelaya : en el de Toledo á Capitán de cazadores al de fusileros D. Joseph Espinosa de los Monteros; á Capitán de fusileros al Teniente de cazadores D. Claudio de</t>
  </si>
  <si>
    <t>Zerbeía, Manuel</t>
  </si>
  <si>
    <t>Manuel Zerbeía</t>
  </si>
  <si>
    <t>Ribas y D. Domingo Tierra, y á los primeros Subtenientes D. Mariano Galindo, D. Antonio Castañon , D. Manuel Zerbeía y D. Joseph Juan de Rico; á Subtenientes de granaderos a ios primeros Subtenientes D. Nicolás Caonedo, D. Miguel Buergo y D. Btrnardino del Pozo; á primeros Subtenientes á los segundo</t>
  </si>
  <si>
    <t>Zimmerman</t>
  </si>
  <si>
    <t>o del portugués P. I}. J. R. C. La rspa' tácion de Federico el Grande como Rey y filósofo, y la del Dr. Zimmerman como médico de los mas acreditados,han hecho apreciables estos, diálogos en Europa, habiéndose traducido en muchos-idiomas. Es interesante el candor y sinceridad con que refiere e</t>
  </si>
  <si>
    <t>ZimmermsnMédico'y</t>
  </si>
  <si>
    <t>as de ’ las D-éscalzas Reales: en pasta á 3 rs. . ’ Diálogos de Federico II, Rey de Prusia , con el Dr. ZimmermsnMédico'y - Consejero de S. M. Británica : traducido del portugués P. I}. J. R. C. La rspa' tácion de Federico el Grande como Rey y filósofo, y la del Dr. Zimmerman como médico de los mas a</t>
  </si>
  <si>
    <t>Zimrnerman</t>
  </si>
  <si>
    <t>a, habiéndose traducido en muchos-idiomas. Es interesante el candor y sinceridad con que refiere el Dr. Zimrnerman las conversaciones que tuvo con el gran Federico, y * quizá ninguna obra es mas á propósito que esta para dár á conocer, el carácter de -aquél Monarca. Véndese en pasta i 8 rs. en la</t>
  </si>
  <si>
    <t>Ziriza, Pedro</t>
  </si>
  <si>
    <t>Pedro Ziriza</t>
  </si>
  <si>
    <t>ica, escrita en francés por Mr. Cousin, "Dialéctica , et rertim quas vulgo Metaphysi- traducida por D. Pedro Ziriza , á 20 rs. en cas vocant libri sex: Dos tomos en 8.° : su , papel, y 30 en pasta. precio 28 rs. en papel, y 38 en pasta. Uranografía , ó Descripción del Cielo , por Janseniani err</t>
  </si>
  <si>
    <t>Zornóza, Joseph</t>
  </si>
  <si>
    <t>Joseph Zornóza</t>
  </si>
  <si>
    <t>z, presbítero , señaló dia para un cértámen público, en el qual fuéron examinados D. Joseph Jaldon, D. Joseph Zornóza, D¿ Nicolás, D. Juan y D. Andrés Duran, D. Joseph Gutiérrez, Don Domingo Gómez, D. Domingo Amieba , D. Juan Jaldon , D. Joseph Marín, D. Die,*o Garrido, D. Alonso Romero, D. Anton</t>
  </si>
  <si>
    <t>Zorrilla, Manuel</t>
  </si>
  <si>
    <t>Manuel Zorrilla</t>
  </si>
  <si>
    <t>undo Teniente al Alférez de cazadores D. Pedro Castejon, y á Alférez de granaderos al de fusileros» D. Manuel Zorrilla : en el de Reales Guardias Walonas á Alféreces á los Cadetes D. Bruno Joseph dei Pratsj D. Manuel Narciso de Terrazas, D. Aquíles de Bureau y D. Joachin de Ezpeieta: en el de infa</t>
  </si>
  <si>
    <t>Zorrilla, Pedro</t>
  </si>
  <si>
    <t>Pedro Zorrilla</t>
  </si>
  <si>
    <t>e granaderos al de fusileros D. Francisco Torres; á primeros Tenientes á los segundos de granaderos D. Pedro Zorrilla,.D. Vicente Cevailos y D. Eugenio Iglesias, y al de fusileros Don Francisco Fernandez ; á segundos Tenientes de granaderos á los de fusileeos D. Juan Antonio Abal , ¡D. Manuel Bar</t>
  </si>
  <si>
    <t>Zoylo de Medina Allende, Manuel</t>
  </si>
  <si>
    <t>Manuel Zoylo de Medina Allende</t>
  </si>
  <si>
    <t>de la catedral de Astorga, vacante por promoción de D. Luis de Quiñones al Deanato de la de León, á D. Manuel Zoylo de Medina Allende: para la Dignidad de Tesorero de la catedral de Guadix á D. Gabriel Lo-, pez y Lorca, Canónigo de ella: para una Canongia de la de Segovia, vacante por fallecimiento de D. Antonio</t>
  </si>
  <si>
    <t>Zúfiiga, Diego</t>
  </si>
  <si>
    <t>Diego Zúfiiga</t>
  </si>
  <si>
    <t>or otro nombre el Todo para todos en las adversidades de cada uno de los estados} su autor el Abate D. Diego Zúfiiga: a romos en 8.° Se hallará en la librería de Alonso, frente á S. Felipe el Real. España en la mano, en la que se trata de su sitio, figura, confines, longitud, latitud, disposició</t>
  </si>
  <si>
    <t>Zuloaga, Pedro</t>
  </si>
  <si>
    <t>Pedro Zuloaga</t>
  </si>
  <si>
    <t>Reales Guardias Españolas se ha servido promover el Rey á segundo Teniente al Alférez de granaderos D. Pedro Zuloaga. En el de infantería Suizo de Schwaller á Capitán primero de fusileros al de granaderos D. Fulgencio Moiío; á esta resulta al Capitán segundo D. Agustin Petitpierre; á Capitán seg</t>
  </si>
  <si>
    <t>Zuluaga, Henrique</t>
  </si>
  <si>
    <t>Henrique Zuluaga</t>
  </si>
  <si>
    <t>ndo Teniente D. Francisco de Paula Uztariz; á segundo Teniente de fusileros al Alférez de cazadores D. Henrique Zuluaga; á Ahférez de cazadores al de fusileros D. Rafael de Roxas, y á esta resulta al Cadete D. Genaro Martínez de Baños, El Consejo á consulta de la Comisión gubernativa, y con aprobac</t>
  </si>
  <si>
    <t>Zurbano, Félix</t>
  </si>
  <si>
    <t>Félix Zurbano</t>
  </si>
  <si>
    <t>a del Príncipe se ha servido S. M, promover á Sargento mayor al Capitán del de caballería de España D. Félix Zurbano: en el de Oalatrava á Alférez ai Portaestandarte D. Francisco Gayangos; y á esta resulta al Cadete D. Joseph Casado: en el de Húsares Españoles á Comandante de esqúadron al Sargen</t>
  </si>
  <si>
    <t>Zwackh</t>
  </si>
  <si>
    <t>dad. París 1$ de Diciembre. E n Oífembach se firmó el 19 de Octubre entre el General Augereau y Mr. D. Zwackh un convenio del tenor siguiente : ,, Considerando el pri^mer Cónsul de la República francesa que el Príncipe reynante de SolmsBraunfels fue el primer Príncipe del Imperio que , po</t>
  </si>
  <si>
    <t>Fuentes y criterio de elaboración</t>
  </si>
  <si>
    <t>Páginas impresas</t>
  </si>
  <si>
    <t>Registros</t>
  </si>
  <si>
    <t>Fascículo oficial (PDF)</t>
  </si>
  <si>
    <t>1–12</t>
  </si>
  <si>
    <t>13–24</t>
  </si>
  <si>
    <t>25–36</t>
  </si>
  <si>
    <t>37–48</t>
  </si>
  <si>
    <t>49–60</t>
  </si>
  <si>
    <t>5 (supl.)</t>
  </si>
  <si>
    <t>61–64</t>
  </si>
  <si>
    <t>65–76</t>
  </si>
  <si>
    <t>77–88</t>
  </si>
  <si>
    <t>89–100</t>
  </si>
  <si>
    <t>8 (supl.)</t>
  </si>
  <si>
    <t>101–103</t>
  </si>
  <si>
    <t>104–115</t>
  </si>
  <si>
    <t>9 (supl.)</t>
  </si>
  <si>
    <t>sin numerar (5 págs.)</t>
  </si>
  <si>
    <t>116–127</t>
  </si>
  <si>
    <t>128–139</t>
  </si>
  <si>
    <t>140–151</t>
  </si>
  <si>
    <t>12 (supl.)</t>
  </si>
  <si>
    <t>152–153</t>
  </si>
  <si>
    <t>154–165</t>
  </si>
  <si>
    <t>166–177</t>
  </si>
  <si>
    <t>14 (supl.)</t>
  </si>
  <si>
    <t>178–181</t>
  </si>
  <si>
    <t>182–193</t>
  </si>
  <si>
    <t>194–205</t>
  </si>
  <si>
    <t>206–217</t>
  </si>
  <si>
    <t>17 (supl.)</t>
  </si>
  <si>
    <t>218–219</t>
  </si>
  <si>
    <t>220–231</t>
  </si>
  <si>
    <t>18 (supl.)</t>
  </si>
  <si>
    <t>232–235</t>
  </si>
  <si>
    <t>236–247</t>
  </si>
  <si>
    <t>19 (supl.)</t>
  </si>
  <si>
    <t>248–255</t>
  </si>
  <si>
    <t>256–271</t>
  </si>
  <si>
    <t>272–283</t>
  </si>
  <si>
    <t>284–295</t>
  </si>
  <si>
    <t>22 (supl.)</t>
  </si>
  <si>
    <t>296–297</t>
  </si>
  <si>
    <t>298–309</t>
  </si>
  <si>
    <t>310–321</t>
  </si>
  <si>
    <t>322–333</t>
  </si>
  <si>
    <t>25 (supl.)</t>
  </si>
  <si>
    <t>334–336</t>
  </si>
  <si>
    <t>337–348</t>
  </si>
  <si>
    <t>349–356</t>
  </si>
  <si>
    <t>27 (supl.)</t>
  </si>
  <si>
    <t>357–360</t>
  </si>
  <si>
    <t>361–372</t>
  </si>
  <si>
    <t>373–384</t>
  </si>
  <si>
    <t>385–396</t>
  </si>
  <si>
    <t>397–404</t>
  </si>
  <si>
    <t>405–416</t>
  </si>
  <si>
    <t>417–428</t>
  </si>
  <si>
    <t>429–440</t>
  </si>
  <si>
    <t>34 (supl.)</t>
  </si>
  <si>
    <t>441–444</t>
  </si>
  <si>
    <t>445–456</t>
  </si>
  <si>
    <t>457–472</t>
  </si>
  <si>
    <t>473–484</t>
  </si>
  <si>
    <t>485–496</t>
  </si>
  <si>
    <t>497–508</t>
  </si>
  <si>
    <t>509–516</t>
  </si>
  <si>
    <t>40 (supl.)</t>
  </si>
  <si>
    <t>sin numerar (8 págs.)</t>
  </si>
  <si>
    <t>517–524</t>
  </si>
  <si>
    <t>42 (extraord.)</t>
  </si>
  <si>
    <t>24 de mayo de 1801</t>
  </si>
  <si>
    <t>525–528</t>
  </si>
  <si>
    <t>529–540</t>
  </si>
  <si>
    <t>541–552</t>
  </si>
  <si>
    <t>553–564</t>
  </si>
  <si>
    <t>565–570</t>
  </si>
  <si>
    <t>571–578</t>
  </si>
  <si>
    <t>579–586</t>
  </si>
  <si>
    <t>49 (extraord.)</t>
  </si>
  <si>
    <t>587–588</t>
  </si>
  <si>
    <t>589–600</t>
  </si>
  <si>
    <t>601–601</t>
  </si>
  <si>
    <t>602–609</t>
  </si>
  <si>
    <t>610–616</t>
  </si>
  <si>
    <t>617–624</t>
  </si>
  <si>
    <t>625–632</t>
  </si>
  <si>
    <t>55 (supl.)</t>
  </si>
  <si>
    <t>633–640</t>
  </si>
  <si>
    <t>641–648</t>
  </si>
  <si>
    <t>649–655</t>
  </si>
  <si>
    <t>656–667</t>
  </si>
  <si>
    <t>668–679</t>
  </si>
  <si>
    <t>680–691</t>
  </si>
  <si>
    <t>692–699</t>
  </si>
  <si>
    <t>62 (extraord.)</t>
  </si>
  <si>
    <t>2 de julio de 1801</t>
  </si>
  <si>
    <t>700–703</t>
  </si>
  <si>
    <t>704–715</t>
  </si>
  <si>
    <t>63 (supl.)</t>
  </si>
  <si>
    <t>716–719</t>
  </si>
  <si>
    <t>720–731</t>
  </si>
  <si>
    <t>732–735</t>
  </si>
  <si>
    <t>736–743</t>
  </si>
  <si>
    <t>66 (supl.)</t>
  </si>
  <si>
    <t>744–749</t>
  </si>
  <si>
    <t>750–753</t>
  </si>
  <si>
    <t>68 (extraord.)</t>
  </si>
  <si>
    <t>13 de julio de 1801</t>
  </si>
  <si>
    <t>754–755</t>
  </si>
  <si>
    <t>756–767</t>
  </si>
  <si>
    <t>768–779</t>
  </si>
  <si>
    <t>780–791</t>
  </si>
  <si>
    <t>71 (supl.)</t>
  </si>
  <si>
    <t>792–795</t>
  </si>
  <si>
    <t>796–807</t>
  </si>
  <si>
    <t>808–815</t>
  </si>
  <si>
    <t>73 (supl.)</t>
  </si>
  <si>
    <t>816–819</t>
  </si>
  <si>
    <t>820–831</t>
  </si>
  <si>
    <t>832–843</t>
  </si>
  <si>
    <t>75 (supl.)</t>
  </si>
  <si>
    <t>sin numerar (7 págs.)</t>
  </si>
  <si>
    <t>844–855</t>
  </si>
  <si>
    <t>856–867</t>
  </si>
  <si>
    <t>77 (supl.)</t>
  </si>
  <si>
    <t>868–871</t>
  </si>
  <si>
    <t>872–883</t>
  </si>
  <si>
    <t>884–891</t>
  </si>
  <si>
    <t>892–899</t>
  </si>
  <si>
    <t>80 (supl.)</t>
  </si>
  <si>
    <t>900–903</t>
  </si>
  <si>
    <t>904–911</t>
  </si>
  <si>
    <t>912–919</t>
  </si>
  <si>
    <t>82 (supl.)</t>
  </si>
  <si>
    <t>920–925</t>
  </si>
  <si>
    <t>926–937</t>
  </si>
  <si>
    <t>938–945</t>
  </si>
  <si>
    <t>85 (extraord.)</t>
  </si>
  <si>
    <t>5 de septiembre de 1801</t>
  </si>
  <si>
    <t>946–949</t>
  </si>
  <si>
    <t>950–957</t>
  </si>
  <si>
    <t>958–969</t>
  </si>
  <si>
    <t>88 (extraord.)</t>
  </si>
  <si>
    <t>14 de septiembre de 1801</t>
  </si>
  <si>
    <t>970–973</t>
  </si>
  <si>
    <t>974–985</t>
  </si>
  <si>
    <t>986–993</t>
  </si>
  <si>
    <t>90 (supl.)</t>
  </si>
  <si>
    <t>994–997</t>
  </si>
  <si>
    <t>998–1005</t>
  </si>
  <si>
    <t>1006–1013</t>
  </si>
  <si>
    <t>1014–1021</t>
  </si>
  <si>
    <t>93 (supl.)</t>
  </si>
  <si>
    <t>1022–1024</t>
  </si>
  <si>
    <t>1025–1036</t>
  </si>
  <si>
    <t>1037–1044</t>
  </si>
  <si>
    <t>1045–1056</t>
  </si>
  <si>
    <t>1057–1068</t>
  </si>
  <si>
    <t>1069–1080</t>
  </si>
  <si>
    <t>98 (supl.)</t>
  </si>
  <si>
    <t>1081–1083</t>
  </si>
  <si>
    <t>1084–1091</t>
  </si>
  <si>
    <t>1092–1103</t>
  </si>
  <si>
    <t>100 (supl.)</t>
  </si>
  <si>
    <t>1104–1107</t>
  </si>
  <si>
    <t>1108–1115</t>
  </si>
  <si>
    <t>1116–1123</t>
  </si>
  <si>
    <t>102 (supl.)</t>
  </si>
  <si>
    <t>1124–1127</t>
  </si>
  <si>
    <t>1128–1139</t>
  </si>
  <si>
    <t>1140–1147</t>
  </si>
  <si>
    <t>1148–1159</t>
  </si>
  <si>
    <t>1160–1167</t>
  </si>
  <si>
    <t>106 (supl.)</t>
  </si>
  <si>
    <t>1168–1171</t>
  </si>
  <si>
    <t>1172–1183</t>
  </si>
  <si>
    <t>1184–1195</t>
  </si>
  <si>
    <t>1196–1207</t>
  </si>
  <si>
    <t>1208–1208</t>
  </si>
  <si>
    <t>110 (supl.)</t>
  </si>
  <si>
    <t>1209–1211</t>
  </si>
  <si>
    <t>1212–1219</t>
  </si>
  <si>
    <t>1220–1227</t>
  </si>
  <si>
    <t>1228–1235</t>
  </si>
  <si>
    <t>113 (supl.)</t>
  </si>
  <si>
    <t>1236–1238</t>
  </si>
  <si>
    <t>1239–1250</t>
  </si>
  <si>
    <t>1251–1258</t>
  </si>
  <si>
    <t>115 (supl.)</t>
  </si>
  <si>
    <t>1259–1270</t>
  </si>
  <si>
    <t>116 (supl.)</t>
  </si>
  <si>
    <t>1271–1273</t>
  </si>
  <si>
    <t>1274–1285</t>
  </si>
  <si>
    <t>1286–1293</t>
  </si>
  <si>
    <t>118 (supl.)</t>
  </si>
  <si>
    <t>1294–1296</t>
  </si>
  <si>
    <t>1297–1304</t>
  </si>
  <si>
    <t>Alcance</t>
  </si>
  <si>
    <t>Índice de personas citadas en los 119 números y sus documentos asociados publicados durante 1801.</t>
  </si>
  <si>
    <t>Cobertura</t>
  </si>
  <si>
    <t>Desde el número 1, de 2 de enero, hasta el número 119, de 29 de diciembre de 1801. La Gazeta no publicó números los días 1 de enero ni 31 de diciembre.</t>
  </si>
  <si>
    <t>Documentos</t>
  </si>
  <si>
    <t>Se han procesado 152 PDF: 119 números —15 extraordinarios— y 33 suplementos.</t>
  </si>
  <si>
    <t>Paginación</t>
  </si>
  <si>
    <t>La numeración principal llega a la página 1304. Los suplementos de los números 9, 40, 75 y 115 tienen paginación separada o no decimal y se indican por página del PDF.</t>
  </si>
  <si>
    <t>Relaciones</t>
  </si>
  <si>
    <t>Las relaciones militares de los suplementos de los números 40 y 75 se procesaron también por columnas para recuperar los nombres de sus integrantes.</t>
  </si>
  <si>
    <t>Ordenación</t>
  </si>
  <si>
    <t>La primera columna reordena de forma estimada apellidos y nombre para facilitar la búsqueda; «Nombre leído» conserva el orden de lectura.</t>
  </si>
  <si>
    <t>OCR</t>
  </si>
  <si>
    <t>La tipografía histórica y el estado del facsímil pueden producir confusiones de letras, tildes, partículas y guiones de final de línea.</t>
  </si>
  <si>
    <t>Estado</t>
  </si>
  <si>
    <t>«Revisado» = lectura comprobada; «Cotejo puntual» = contexto estable; «Cotejar OCR» = verificar en el facsímil antes de citar.</t>
  </si>
  <si>
    <t>Facsímil</t>
  </si>
  <si>
    <t>Todos los enlaces conducen a los PDF oficiales de la Gazeta histórica conservados por el Boletín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</si>
</sst>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b/>
      <sz val="20"/>
      <color rgb="FFFFFFFF"/>
      <name val="Aptos"/>
      <family val="2"/>
    </font>
    <font>
      <sz val="11"/>
      <color rgb="FFFFFFFF"/>
      <name val="Aptos"/>
      <family val="2"/>
    </font>
    <font>
      <b/>
      <sz val="10"/>
      <color rgb="FF17365D"/>
      <name val="Aptos"/>
      <family val="2"/>
    </font>
    <font>
      <i/>
      <sz val="10"/>
      <color rgb="FF7F6000"/>
      <name val="Aptos"/>
      <family val="2"/>
    </font>
    <font>
      <b/>
      <sz val="10"/>
      <color rgb="FFFFFFFF"/>
      <name val="Aptos"/>
      <family val="2"/>
    </font>
    <font>
      <sz val="9"/>
      <name val="Aptos"/>
      <family val="2"/>
    </font>
    <font>
      <sz val="9"/>
      <color rgb="FF0563C1"/>
      <name val="Aptos"/>
      <family val="2"/>
    </font>
    <font>
      <sz val="10"/>
      <name val="Aptos"/>
      <family val="2"/>
    </font>
    <font>
      <sz val="10"/>
      <color rgb="FF0563C1"/>
      <name val="Aptos"/>
      <family val="2"/>
    </font>
  </fonts>
  <fills count="6">
    <fill>
      <patternFill patternType="none"/>
    </fill>
    <fill>
      <patternFill patternType="gray125"/>
    </fill>
    <fill>
      <patternFill patternType="solid">
        <fgColor rgb="FF17365D"/>
      </patternFill>
    </fill>
    <fill>
      <patternFill patternType="solid">
        <fgColor rgb="FF1F4E78"/>
      </patternFill>
    </fill>
    <fill>
      <patternFill patternType="solid">
        <fgColor rgb="FFD9EAF7"/>
      </patternFill>
    </fill>
    <fill>
      <patternFill patternType="solid">
        <fgColor rgb="FFFFF2CC"/>
      </patternFill>
    </fill>
  </fills>
  <borders count="11">
    <border>
      <left/>
      <right/>
      <top/>
      <bottom/>
      <diagonal/>
    </border>
    <border>
      <left style="thin">
        <color rgb="FFA6B7C8"/>
      </left>
      <right style="thin">
        <color rgb="FFA6B7C8"/>
      </right>
      <top style="thin">
        <color rgb="FFA6B7C8"/>
      </top>
      <bottom style="thin">
        <color rgb="FFA6B7C8"/>
      </bottom>
      <diagonal/>
    </border>
    <border>
      <left/>
      <right style="thin">
        <color rgb="FFD9E2F3"/>
      </right>
      <top/>
      <bottom style="thin">
        <color rgb="FFD9E2F3"/>
      </bottom>
      <diagonal/>
    </border>
    <border>
      <left style="thin">
        <color rgb="FFD9E2F3"/>
      </left>
      <right style="thin">
        <color rgb="FFD9E2F3"/>
      </right>
      <top/>
      <bottom style="thin">
        <color rgb="FFD9E2F3"/>
      </bottom>
      <diagonal/>
    </border>
    <border>
      <left style="thin">
        <color rgb="FFD9E2F3"/>
      </left>
      <right/>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style="thin">
        <color rgb="FFD9E2F3"/>
      </left>
      <right style="thin">
        <color rgb="FFD9E2F3"/>
      </right>
      <top style="thin">
        <color rgb="FFD9E2F3"/>
      </top>
      <bottom/>
      <diagonal/>
    </border>
    <border>
      <left style="thin">
        <color rgb="FFD9E2F3"/>
      </left>
      <right/>
      <top style="thin">
        <color rgb="FFD9E2F3"/>
      </top>
      <bottom/>
      <diagonal/>
    </border>
  </borders>
  <cellStyleXfs count="1">
    <xf numFmtId="0" fontId="0" fillId="0" borderId="0"/>
  </cellStyleXfs>
  <cellXfs count="35">
    <xf numFmtId="0" fontId="0" fillId="0" borderId="0" xfId="0"/>
    <xf numFmtId="0" fontId="5" fillId="2" borderId="1" xfId="0" applyFont="1" applyFill="1" applyBorder="1" applyAlignment="1">
      <alignment vertical="center" wrapText="1"/>
    </xf>
    <xf numFmtId="0" fontId="6" fillId="0" borderId="2" xfId="0" applyFont="1" applyBorder="1" applyAlignment="1">
      <alignment vertical="top" wrapText="1"/>
    </xf>
    <xf numFmtId="0" fontId="6" fillId="0" borderId="3"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6" fillId="0" borderId="9" xfId="0" applyFont="1" applyBorder="1" applyAlignment="1">
      <alignment vertical="top" wrapText="1"/>
    </xf>
    <xf numFmtId="0" fontId="6" fillId="0" borderId="3" xfId="0" applyFont="1" applyBorder="1" applyAlignment="1">
      <alignment horizontal="center" vertical="top" wrapText="1"/>
    </xf>
    <xf numFmtId="0" fontId="6" fillId="0" borderId="6" xfId="0" applyFont="1" applyBorder="1" applyAlignment="1">
      <alignment horizontal="center" vertical="top" wrapText="1"/>
    </xf>
    <xf numFmtId="0" fontId="6" fillId="0" borderId="9" xfId="0" applyFont="1" applyBorder="1" applyAlignment="1">
      <alignment horizontal="center" vertical="top"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6" fillId="0" borderId="4" xfId="0" applyFont="1" applyBorder="1" applyAlignment="1">
      <alignment horizontal="center" vertical="top" wrapText="1"/>
    </xf>
    <xf numFmtId="0" fontId="6" fillId="0" borderId="7" xfId="0" applyFont="1" applyBorder="1" applyAlignment="1">
      <alignment horizontal="center" vertical="top" wrapText="1"/>
    </xf>
    <xf numFmtId="0" fontId="6" fillId="0" borderId="10" xfId="0" applyFont="1" applyBorder="1" applyAlignment="1">
      <alignment horizontal="center" vertical="top" wrapText="1"/>
    </xf>
    <xf numFmtId="0" fontId="8" fillId="0" borderId="3"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3" fillId="4" borderId="6" xfId="0" applyFont="1" applyFill="1" applyBorder="1" applyAlignment="1">
      <alignment vertical="top"/>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xf>
    <xf numFmtId="0" fontId="4" fillId="5" borderId="0" xfId="0" applyFont="1" applyFill="1" applyAlignment="1">
      <alignment vertical="center" wrapText="1"/>
    </xf>
    <xf numFmtId="0" fontId="8" fillId="0" borderId="6" xfId="0" applyFont="1" applyBorder="1" applyAlignment="1">
      <alignment vertical="top" wrapText="1"/>
    </xf>
  </cellXfs>
  <cellStyles count="1">
    <cellStyle name="Normal" xfId="0" builtinId="0"/>
  </cellStyles>
  <dxfs count="2">
    <dxf>
      <font>
        <color rgb="FF375623"/>
      </font>
      <fill>
        <patternFill patternType="solid">
          <bgColor rgb="FFE2F0D9"/>
        </patternFill>
      </fill>
    </dxf>
    <dxf>
      <font>
        <color rgb="FF7F6000"/>
      </font>
      <fill>
        <patternFill patternType="solid">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01" displayName="IndiceOnomasticoAnual1801" ref="A6:K8120" totalsRowShown="0">
  <autoFilter ref="A6:K8120"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Nº Gazeta"/>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01" displayName="FuentesGacetaAnual1801" ref="A3:E155" totalsRowShown="0">
  <autoFilter ref="A3:E155" xr:uid="{00000000-0009-0000-0100-000002000000}"/>
  <tableColumns count="5">
    <tableColumn id="1" xr3:uid="{00000000-0010-0000-0100-000001000000}" name="Nº Gazeta"/>
    <tableColumn id="2" xr3:uid="{00000000-0010-0000-0100-000002000000}" name="Fecha"/>
    <tableColumn id="3" xr3:uid="{00000000-0010-0000-0100-000003000000}" name="Páginas impresas"/>
    <tableColumn id="4" xr3:uid="{00000000-0010-0000-0100-000004000000}" name="Registros"/>
    <tableColumn id="5" xr3:uid="{00000000-0010-0000-0100-000005000000}" name="Fascículo oficial (PDF)"/>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sheetPr>
  <dimension ref="A1:K8120"/>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14" customWidth="1"/>
    <col min="7" max="7" width="13" customWidth="1"/>
    <col min="8" max="8" width="38" customWidth="1"/>
    <col min="9" max="9" width="45" customWidth="1"/>
    <col min="10" max="10" width="18" customWidth="1"/>
    <col min="11" max="11" width="17" customWidth="1"/>
  </cols>
  <sheetData>
    <row r="1" spans="1:11" ht="31.95" customHeight="1">
      <c r="A1" s="30" t="s">
        <v>0</v>
      </c>
      <c r="B1" s="30"/>
      <c r="C1" s="30"/>
      <c r="D1" s="30"/>
      <c r="E1" s="30"/>
      <c r="F1" s="30"/>
      <c r="G1" s="30"/>
      <c r="H1" s="30"/>
      <c r="I1" s="30"/>
      <c r="J1" s="30"/>
      <c r="K1" s="30"/>
    </row>
    <row r="2" spans="1:11" ht="24" customHeight="1">
      <c r="A2" s="31" t="s">
        <v>1</v>
      </c>
      <c r="B2" s="31"/>
      <c r="C2" s="31"/>
      <c r="D2" s="31"/>
      <c r="E2" s="31"/>
      <c r="F2" s="31"/>
      <c r="G2" s="31"/>
      <c r="H2" s="31"/>
      <c r="I2" s="31"/>
      <c r="J2" s="31"/>
      <c r="K2" s="31"/>
    </row>
    <row r="3" spans="1:11">
      <c r="A3" s="32" t="s">
        <v>2</v>
      </c>
      <c r="B3" s="32"/>
      <c r="C3" s="32"/>
      <c r="D3" s="32" t="s">
        <v>3</v>
      </c>
      <c r="E3" s="32"/>
      <c r="F3" s="32"/>
      <c r="G3" s="32"/>
      <c r="H3" s="32"/>
      <c r="I3" s="32"/>
      <c r="J3" s="32"/>
      <c r="K3" s="32"/>
    </row>
    <row r="4" spans="1:11" ht="30" customHeight="1">
      <c r="A4" s="33" t="s">
        <v>4</v>
      </c>
      <c r="B4" s="33"/>
      <c r="C4" s="33"/>
      <c r="D4" s="33"/>
      <c r="E4" s="33"/>
      <c r="F4" s="33"/>
      <c r="G4" s="33"/>
      <c r="H4" s="33"/>
      <c r="I4" s="33"/>
      <c r="J4" s="33"/>
      <c r="K4" s="33"/>
    </row>
    <row r="6" spans="1:11" ht="34.049999999999997" customHeight="1">
      <c r="A6" s="1" t="s">
        <v>5</v>
      </c>
      <c r="B6" s="1" t="s">
        <v>6</v>
      </c>
      <c r="C6" s="1" t="s">
        <v>7</v>
      </c>
      <c r="D6" s="1" t="s">
        <v>8</v>
      </c>
      <c r="E6" s="1" t="s">
        <v>9</v>
      </c>
      <c r="F6" s="1" t="s">
        <v>10</v>
      </c>
      <c r="G6" s="1" t="s">
        <v>11</v>
      </c>
      <c r="H6" s="1" t="s">
        <v>12</v>
      </c>
      <c r="I6" s="1" t="s">
        <v>13</v>
      </c>
      <c r="J6" s="1" t="s">
        <v>14</v>
      </c>
      <c r="K6" s="1" t="s">
        <v>15</v>
      </c>
    </row>
    <row r="7" spans="1:11" ht="42" customHeight="1">
      <c r="A7" s="2" t="s">
        <v>16</v>
      </c>
      <c r="B7" s="3" t="s">
        <v>17</v>
      </c>
      <c r="C7" s="3" t="s">
        <v>18</v>
      </c>
      <c r="D7" s="3" t="s">
        <v>19</v>
      </c>
      <c r="E7" s="3" t="s">
        <v>20</v>
      </c>
      <c r="F7" s="8">
        <v>37</v>
      </c>
      <c r="G7" s="8">
        <v>484</v>
      </c>
      <c r="H7" s="3" t="s">
        <v>21</v>
      </c>
      <c r="I7" s="3" t="s">
        <v>22</v>
      </c>
      <c r="J7" s="11" t="str">
        <f>HYPERLINK("https://www.boe.es/gazeta/dias/1801/05/08/pdfs/GMD-1801-37.pdf#page=12","Abrir facsímil")</f>
        <v>Abrir facsímil</v>
      </c>
      <c r="K7" s="14" t="s">
        <v>23</v>
      </c>
    </row>
    <row r="8" spans="1:11" ht="42" customHeight="1">
      <c r="A8" s="4" t="s">
        <v>24</v>
      </c>
      <c r="B8" s="5" t="s">
        <v>25</v>
      </c>
      <c r="C8" s="5" t="s">
        <v>26</v>
      </c>
      <c r="D8" s="5" t="s">
        <v>27</v>
      </c>
      <c r="E8" s="5" t="s">
        <v>28</v>
      </c>
      <c r="F8" s="9">
        <v>77</v>
      </c>
      <c r="G8" s="9">
        <v>864</v>
      </c>
      <c r="H8" s="5" t="s">
        <v>21</v>
      </c>
      <c r="I8" s="5" t="s">
        <v>29</v>
      </c>
      <c r="J8" s="12" t="str">
        <f>HYPERLINK("https://www.boe.es/gazeta/dias/1801/08/11/pdfs/GMD-1801-77.pdf#page=9","Abrir facsímil")</f>
        <v>Abrir facsímil</v>
      </c>
      <c r="K8" s="15" t="s">
        <v>23</v>
      </c>
    </row>
    <row r="9" spans="1:11" ht="42" customHeight="1">
      <c r="A9" s="4" t="s">
        <v>30</v>
      </c>
      <c r="B9" s="5" t="s">
        <v>31</v>
      </c>
      <c r="C9" s="5" t="s">
        <v>32</v>
      </c>
      <c r="D9" s="5" t="s">
        <v>33</v>
      </c>
      <c r="E9" s="5" t="s">
        <v>34</v>
      </c>
      <c r="F9" s="9">
        <v>38</v>
      </c>
      <c r="G9" s="9">
        <v>493</v>
      </c>
      <c r="H9" s="5" t="s">
        <v>21</v>
      </c>
      <c r="I9" s="5" t="s">
        <v>35</v>
      </c>
      <c r="J9" s="12" t="str">
        <f>HYPERLINK("https://www.boe.es/gazeta/dias/1801/05/12/pdfs/GMD-1801-38.pdf#page=9","Abrir facsímil")</f>
        <v>Abrir facsímil</v>
      </c>
      <c r="K9" s="15" t="s">
        <v>23</v>
      </c>
    </row>
    <row r="10" spans="1:11" ht="42" customHeight="1">
      <c r="A10" s="4" t="s">
        <v>36</v>
      </c>
      <c r="B10" s="5" t="s">
        <v>37</v>
      </c>
      <c r="C10" s="5" t="s">
        <v>38</v>
      </c>
      <c r="D10" s="5" t="s">
        <v>39</v>
      </c>
      <c r="E10" s="5" t="s">
        <v>40</v>
      </c>
      <c r="F10" s="9">
        <v>63</v>
      </c>
      <c r="G10" s="9">
        <v>714</v>
      </c>
      <c r="H10" s="5" t="s">
        <v>21</v>
      </c>
      <c r="I10" s="5" t="s">
        <v>41</v>
      </c>
      <c r="J10" s="12" t="str">
        <f>HYPERLINK("https://www.boe.es/gazeta/dias/1801/07/03/pdfs/GMD-1801-63.pdf#page=11","Abrir facsímil")</f>
        <v>Abrir facsímil</v>
      </c>
      <c r="K10" s="15" t="s">
        <v>23</v>
      </c>
    </row>
    <row r="11" spans="1:11" ht="42" customHeight="1">
      <c r="A11" s="4" t="s">
        <v>42</v>
      </c>
      <c r="B11" s="5" t="s">
        <v>43</v>
      </c>
      <c r="C11" s="5" t="s">
        <v>38</v>
      </c>
      <c r="D11" s="5" t="s">
        <v>39</v>
      </c>
      <c r="E11" s="5" t="s">
        <v>44</v>
      </c>
      <c r="F11" s="9">
        <v>117</v>
      </c>
      <c r="G11" s="9">
        <v>1280</v>
      </c>
      <c r="H11" s="5" t="s">
        <v>21</v>
      </c>
      <c r="I11" s="5" t="s">
        <v>45</v>
      </c>
      <c r="J11" s="12" t="str">
        <f>HYPERLINK("https://www.boe.es/gazeta/dias/1801/12/22/pdfs/GMD-1801-117.pdf#page=7","Abrir facsímil")</f>
        <v>Abrir facsímil</v>
      </c>
      <c r="K11" s="15" t="s">
        <v>23</v>
      </c>
    </row>
    <row r="12" spans="1:11" ht="42" customHeight="1">
      <c r="A12" s="4" t="s">
        <v>46</v>
      </c>
      <c r="B12" s="5" t="s">
        <v>47</v>
      </c>
      <c r="C12" s="5" t="s">
        <v>32</v>
      </c>
      <c r="D12" s="5" t="s">
        <v>33</v>
      </c>
      <c r="E12" s="5" t="s">
        <v>48</v>
      </c>
      <c r="F12" s="9">
        <v>20</v>
      </c>
      <c r="G12" s="9">
        <v>265</v>
      </c>
      <c r="H12" s="5" t="s">
        <v>21</v>
      </c>
      <c r="I12" s="5" t="s">
        <v>49</v>
      </c>
      <c r="J12" s="12" t="str">
        <f>HYPERLINK("https://www.boe.es/gazeta/dias/1801/03/10/pdfs/GMD-1801-20.pdf#page=10","Abrir facsímil")</f>
        <v>Abrir facsímil</v>
      </c>
      <c r="K12" s="15" t="s">
        <v>23</v>
      </c>
    </row>
    <row r="13" spans="1:11" ht="42" customHeight="1">
      <c r="A13" s="4" t="s">
        <v>46</v>
      </c>
      <c r="B13" s="5" t="s">
        <v>47</v>
      </c>
      <c r="C13" s="5" t="s">
        <v>32</v>
      </c>
      <c r="D13" s="5" t="s">
        <v>33</v>
      </c>
      <c r="E13" s="5" t="s">
        <v>50</v>
      </c>
      <c r="F13" s="9">
        <v>29</v>
      </c>
      <c r="G13" s="9">
        <v>382</v>
      </c>
      <c r="H13" s="5" t="s">
        <v>21</v>
      </c>
      <c r="I13" s="5" t="s">
        <v>51</v>
      </c>
      <c r="J13" s="12" t="str">
        <f>HYPERLINK("https://www.boe.es/gazeta/dias/1801/04/10/pdfs/GMD-1801-29.pdf#page=10","Abrir facsímil")</f>
        <v>Abrir facsímil</v>
      </c>
      <c r="K13" s="15" t="s">
        <v>23</v>
      </c>
    </row>
    <row r="14" spans="1:11" ht="42" customHeight="1">
      <c r="A14" s="4" t="s">
        <v>52</v>
      </c>
      <c r="B14" s="5" t="s">
        <v>53</v>
      </c>
      <c r="C14" s="5" t="s">
        <v>38</v>
      </c>
      <c r="D14" s="5" t="s">
        <v>39</v>
      </c>
      <c r="E14" s="5" t="s">
        <v>48</v>
      </c>
      <c r="F14" s="9">
        <v>20</v>
      </c>
      <c r="G14" s="9">
        <v>265</v>
      </c>
      <c r="H14" s="5" t="s">
        <v>21</v>
      </c>
      <c r="I14" s="5" t="s">
        <v>54</v>
      </c>
      <c r="J14" s="12" t="str">
        <f>HYPERLINK("https://www.boe.es/gazeta/dias/1801/03/10/pdfs/GMD-1801-20.pdf#page=10","Abrir facsímil")</f>
        <v>Abrir facsímil</v>
      </c>
      <c r="K14" s="15" t="s">
        <v>23</v>
      </c>
    </row>
    <row r="15" spans="1:11" ht="42" customHeight="1">
      <c r="A15" s="4" t="s">
        <v>52</v>
      </c>
      <c r="B15" s="5" t="s">
        <v>53</v>
      </c>
      <c r="C15" s="5" t="s">
        <v>32</v>
      </c>
      <c r="D15" s="5" t="s">
        <v>33</v>
      </c>
      <c r="E15" s="5" t="s">
        <v>55</v>
      </c>
      <c r="F15" s="9">
        <v>104</v>
      </c>
      <c r="G15" s="9">
        <v>1145</v>
      </c>
      <c r="H15" s="5" t="s">
        <v>21</v>
      </c>
      <c r="I15" s="5" t="s">
        <v>56</v>
      </c>
      <c r="J15" s="12" t="str">
        <f>HYPERLINK("https://www.boe.es/gazeta/dias/1801/11/06/pdfs/GMD-1801-104.pdf#page=6","Abrir facsímil")</f>
        <v>Abrir facsímil</v>
      </c>
      <c r="K15" s="15" t="s">
        <v>23</v>
      </c>
    </row>
    <row r="16" spans="1:11" ht="42" customHeight="1">
      <c r="A16" s="4" t="s">
        <v>57</v>
      </c>
      <c r="B16" s="5" t="s">
        <v>58</v>
      </c>
      <c r="C16" s="5" t="s">
        <v>32</v>
      </c>
      <c r="D16" s="5" t="s">
        <v>33</v>
      </c>
      <c r="E16" s="5" t="s">
        <v>55</v>
      </c>
      <c r="F16" s="9">
        <v>104</v>
      </c>
      <c r="G16" s="9">
        <v>1146</v>
      </c>
      <c r="H16" s="5" t="s">
        <v>21</v>
      </c>
      <c r="I16" s="5" t="s">
        <v>59</v>
      </c>
      <c r="J16" s="12" t="str">
        <f>HYPERLINK("https://www.boe.es/gazeta/dias/1801/11/06/pdfs/GMD-1801-104.pdf#page=7","Abrir facsímil")</f>
        <v>Abrir facsímil</v>
      </c>
      <c r="K16" s="15" t="s">
        <v>23</v>
      </c>
    </row>
    <row r="17" spans="1:11" ht="42" customHeight="1">
      <c r="A17" s="4" t="s">
        <v>60</v>
      </c>
      <c r="B17" s="5" t="s">
        <v>61</v>
      </c>
      <c r="C17" s="5" t="s">
        <v>38</v>
      </c>
      <c r="D17" s="5" t="s">
        <v>39</v>
      </c>
      <c r="E17" s="5" t="s">
        <v>62</v>
      </c>
      <c r="F17" s="9">
        <v>6</v>
      </c>
      <c r="G17" s="9">
        <v>72</v>
      </c>
      <c r="H17" s="5" t="s">
        <v>21</v>
      </c>
      <c r="I17" s="5" t="s">
        <v>63</v>
      </c>
      <c r="J17" s="12" t="str">
        <f>HYPERLINK("https://www.boe.es/gazeta/dias/1801/01/20/pdfs/GMD-1801-6.pdf#page=8","Abrir facsímil")</f>
        <v>Abrir facsímil</v>
      </c>
      <c r="K17" s="15" t="s">
        <v>23</v>
      </c>
    </row>
    <row r="18" spans="1:11" ht="42" customHeight="1">
      <c r="A18" s="4" t="s">
        <v>64</v>
      </c>
      <c r="B18" s="5" t="s">
        <v>65</v>
      </c>
      <c r="C18" s="5" t="s">
        <v>32</v>
      </c>
      <c r="D18" s="5" t="s">
        <v>33</v>
      </c>
      <c r="E18" s="5" t="s">
        <v>66</v>
      </c>
      <c r="F18" s="9">
        <v>52</v>
      </c>
      <c r="G18" s="9">
        <v>608</v>
      </c>
      <c r="H18" s="5" t="s">
        <v>21</v>
      </c>
      <c r="I18" s="5" t="s">
        <v>67</v>
      </c>
      <c r="J18" s="12" t="str">
        <f>HYPERLINK("https://www.boe.es/gazeta/dias/1801/06/12/pdfs/GMD-1801-52.pdf#page=7","Abrir facsímil")</f>
        <v>Abrir facsímil</v>
      </c>
      <c r="K18" s="15" t="s">
        <v>23</v>
      </c>
    </row>
    <row r="19" spans="1:11" ht="42" customHeight="1">
      <c r="A19" s="4" t="s">
        <v>68</v>
      </c>
      <c r="B19" s="5" t="s">
        <v>68</v>
      </c>
      <c r="C19" s="5" t="s">
        <v>69</v>
      </c>
      <c r="D19" s="5" t="s">
        <v>19</v>
      </c>
      <c r="E19" s="5" t="s">
        <v>70</v>
      </c>
      <c r="F19" s="9">
        <v>2</v>
      </c>
      <c r="G19" s="9">
        <v>15</v>
      </c>
      <c r="H19" s="5" t="s">
        <v>21</v>
      </c>
      <c r="I19" s="5" t="s">
        <v>71</v>
      </c>
      <c r="J19" s="12" t="str">
        <f>HYPERLINK("https://www.boe.es/gazeta/dias/1801/01/06/pdfs/GMD-1801-2.pdf#page=3","Abrir facsímil")</f>
        <v>Abrir facsímil</v>
      </c>
      <c r="K19" s="15" t="s">
        <v>23</v>
      </c>
    </row>
    <row r="20" spans="1:11" ht="42" customHeight="1">
      <c r="A20" s="4" t="s">
        <v>68</v>
      </c>
      <c r="B20" s="5" t="s">
        <v>68</v>
      </c>
      <c r="C20" s="5" t="s">
        <v>38</v>
      </c>
      <c r="D20" s="5" t="s">
        <v>39</v>
      </c>
      <c r="E20" s="5" t="s">
        <v>72</v>
      </c>
      <c r="F20" s="9">
        <v>60</v>
      </c>
      <c r="G20" s="9">
        <v>683</v>
      </c>
      <c r="H20" s="5" t="s">
        <v>21</v>
      </c>
      <c r="I20" s="5" t="s">
        <v>73</v>
      </c>
      <c r="J20" s="12" t="str">
        <f>HYPERLINK("https://www.boe.es/gazeta/dias/1801/06/26/pdfs/GMD-1801-60.pdf#page=4","Abrir facsímil")</f>
        <v>Abrir facsímil</v>
      </c>
      <c r="K20" s="15" t="s">
        <v>23</v>
      </c>
    </row>
    <row r="21" spans="1:11" ht="42" customHeight="1">
      <c r="A21" s="4" t="s">
        <v>74</v>
      </c>
      <c r="B21" s="5" t="s">
        <v>74</v>
      </c>
      <c r="C21" s="5" t="s">
        <v>75</v>
      </c>
      <c r="D21" s="5" t="s">
        <v>76</v>
      </c>
      <c r="E21" s="5" t="s">
        <v>77</v>
      </c>
      <c r="F21" s="9">
        <v>93</v>
      </c>
      <c r="G21" s="9">
        <v>1017</v>
      </c>
      <c r="H21" s="5" t="s">
        <v>21</v>
      </c>
      <c r="I21" s="5" t="s">
        <v>78</v>
      </c>
      <c r="J21" s="12" t="str">
        <f>HYPERLINK("https://www.boe.es/gazeta/dias/1801/09/29/pdfs/GMD-1801-93.pdf#page=4","Abrir facsímil")</f>
        <v>Abrir facsímil</v>
      </c>
      <c r="K21" s="15" t="s">
        <v>23</v>
      </c>
    </row>
    <row r="22" spans="1:11" ht="42" customHeight="1">
      <c r="A22" s="4" t="s">
        <v>79</v>
      </c>
      <c r="B22" s="5" t="s">
        <v>79</v>
      </c>
      <c r="C22" s="5" t="s">
        <v>80</v>
      </c>
      <c r="D22" s="5" t="s">
        <v>81</v>
      </c>
      <c r="E22" s="5" t="s">
        <v>82</v>
      </c>
      <c r="F22" s="9">
        <v>75</v>
      </c>
      <c r="G22" s="9" t="s">
        <v>83</v>
      </c>
      <c r="H22" s="5" t="s">
        <v>21</v>
      </c>
      <c r="I22" s="5" t="s">
        <v>84</v>
      </c>
      <c r="J22" s="12" t="str">
        <f>HYPERLINK("https://www.boe.es/gazeta/dias/1801/08/04/pdfs/GMD-C-1801-75.pdf#page=2","Abrir facsímil")</f>
        <v>Abrir facsímil</v>
      </c>
      <c r="K22" s="15" t="s">
        <v>23</v>
      </c>
    </row>
    <row r="23" spans="1:11" ht="42" customHeight="1">
      <c r="A23" s="4" t="s">
        <v>85</v>
      </c>
      <c r="B23" s="5" t="s">
        <v>85</v>
      </c>
      <c r="C23" s="5" t="s">
        <v>80</v>
      </c>
      <c r="D23" s="5" t="s">
        <v>81</v>
      </c>
      <c r="E23" s="5" t="s">
        <v>82</v>
      </c>
      <c r="F23" s="9">
        <v>75</v>
      </c>
      <c r="G23" s="9" t="s">
        <v>86</v>
      </c>
      <c r="H23" s="5" t="s">
        <v>21</v>
      </c>
      <c r="I23" s="5" t="s">
        <v>87</v>
      </c>
      <c r="J23" s="12" t="str">
        <f>HYPERLINK("https://www.boe.es/gazeta/dias/1801/08/04/pdfs/GMD-C-1801-75.pdf#page=3","Abrir facsímil")</f>
        <v>Abrir facsímil</v>
      </c>
      <c r="K23" s="15" t="s">
        <v>23</v>
      </c>
    </row>
    <row r="24" spans="1:11" ht="42" customHeight="1">
      <c r="A24" s="4" t="s">
        <v>88</v>
      </c>
      <c r="B24" s="5" t="s">
        <v>89</v>
      </c>
      <c r="C24" s="5" t="s">
        <v>75</v>
      </c>
      <c r="D24" s="5" t="s">
        <v>76</v>
      </c>
      <c r="E24" s="5" t="s">
        <v>90</v>
      </c>
      <c r="F24" s="9">
        <v>1</v>
      </c>
      <c r="G24" s="9">
        <v>4</v>
      </c>
      <c r="H24" s="5" t="s">
        <v>21</v>
      </c>
      <c r="I24" s="5" t="s">
        <v>91</v>
      </c>
      <c r="J24" s="12" t="str">
        <f>HYPERLINK("https://www.boe.es/gazeta/dias/1801/01/02/pdfs/GMD-1801-1.pdf#page=4","Abrir facsímil")</f>
        <v>Abrir facsímil</v>
      </c>
      <c r="K24" s="15" t="s">
        <v>23</v>
      </c>
    </row>
    <row r="25" spans="1:11" ht="42" customHeight="1">
      <c r="A25" s="4" t="s">
        <v>92</v>
      </c>
      <c r="B25" s="5" t="s">
        <v>93</v>
      </c>
      <c r="C25" s="5" t="s">
        <v>75</v>
      </c>
      <c r="D25" s="5" t="s">
        <v>76</v>
      </c>
      <c r="E25" s="5" t="s">
        <v>94</v>
      </c>
      <c r="F25" s="9">
        <v>19</v>
      </c>
      <c r="G25" s="9">
        <v>236</v>
      </c>
      <c r="H25" s="5" t="s">
        <v>21</v>
      </c>
      <c r="I25" s="5" t="s">
        <v>95</v>
      </c>
      <c r="J25" s="12" t="str">
        <f>HYPERLINK("https://www.boe.es/gazeta/dias/1801/03/06/pdfs/GMD-1801-19.pdf#page=1","Abrir facsímil")</f>
        <v>Abrir facsímil</v>
      </c>
      <c r="K25" s="15" t="s">
        <v>23</v>
      </c>
    </row>
    <row r="26" spans="1:11" ht="42" customHeight="1">
      <c r="A26" s="4" t="s">
        <v>96</v>
      </c>
      <c r="B26" s="5" t="s">
        <v>96</v>
      </c>
      <c r="C26" s="5" t="s">
        <v>26</v>
      </c>
      <c r="D26" s="5" t="s">
        <v>27</v>
      </c>
      <c r="E26" s="5" t="s">
        <v>97</v>
      </c>
      <c r="F26" s="9">
        <v>31</v>
      </c>
      <c r="G26" s="9">
        <v>403</v>
      </c>
      <c r="H26" s="5" t="s">
        <v>21</v>
      </c>
      <c r="I26" s="5" t="s">
        <v>98</v>
      </c>
      <c r="J26" s="12" t="str">
        <f>HYPERLINK("https://www.boe.es/gazeta/dias/1801/04/17/pdfs/GMD-1801-31.pdf#page=7","Abrir facsímil")</f>
        <v>Abrir facsímil</v>
      </c>
      <c r="K26" s="15" t="s">
        <v>23</v>
      </c>
    </row>
    <row r="27" spans="1:11" ht="42" customHeight="1">
      <c r="A27" s="4" t="s">
        <v>96</v>
      </c>
      <c r="B27" s="5" t="s">
        <v>96</v>
      </c>
      <c r="C27" s="5" t="s">
        <v>75</v>
      </c>
      <c r="D27" s="5" t="s">
        <v>76</v>
      </c>
      <c r="E27" s="5" t="s">
        <v>99</v>
      </c>
      <c r="F27" s="9">
        <v>32</v>
      </c>
      <c r="G27" s="9">
        <v>408</v>
      </c>
      <c r="H27" s="5" t="s">
        <v>21</v>
      </c>
      <c r="I27" s="5" t="s">
        <v>100</v>
      </c>
      <c r="J27" s="12" t="str">
        <f>HYPERLINK("https://www.boe.es/gazeta/dias/1801/04/21/pdfs/GMD-1801-32.pdf#page=4","Abrir facsímil")</f>
        <v>Abrir facsímil</v>
      </c>
      <c r="K27" s="15" t="s">
        <v>23</v>
      </c>
    </row>
    <row r="28" spans="1:11" ht="42" customHeight="1">
      <c r="A28" s="4" t="s">
        <v>96</v>
      </c>
      <c r="B28" s="5" t="s">
        <v>96</v>
      </c>
      <c r="C28" s="5" t="s">
        <v>75</v>
      </c>
      <c r="D28" s="5" t="s">
        <v>76</v>
      </c>
      <c r="E28" s="5" t="s">
        <v>101</v>
      </c>
      <c r="F28" s="9">
        <v>41</v>
      </c>
      <c r="G28" s="9">
        <v>519</v>
      </c>
      <c r="H28" s="5" t="s">
        <v>21</v>
      </c>
      <c r="I28" s="5" t="s">
        <v>102</v>
      </c>
      <c r="J28" s="12" t="str">
        <f>HYPERLINK("https://www.boe.es/gazeta/dias/1801/05/22/pdfs/GMD-1801-41.pdf#page=3","Abrir facsímil")</f>
        <v>Abrir facsímil</v>
      </c>
      <c r="K28" s="15" t="s">
        <v>23</v>
      </c>
    </row>
    <row r="29" spans="1:11" ht="42" customHeight="1">
      <c r="A29" s="4" t="s">
        <v>103</v>
      </c>
      <c r="B29" s="5" t="s">
        <v>103</v>
      </c>
      <c r="C29" s="5" t="s">
        <v>75</v>
      </c>
      <c r="D29" s="5" t="s">
        <v>76</v>
      </c>
      <c r="E29" s="5" t="s">
        <v>101</v>
      </c>
      <c r="F29" s="9">
        <v>41</v>
      </c>
      <c r="G29" s="9">
        <v>520</v>
      </c>
      <c r="H29" s="5" t="s">
        <v>21</v>
      </c>
      <c r="I29" s="5" t="s">
        <v>104</v>
      </c>
      <c r="J29" s="12" t="str">
        <f>HYPERLINK("https://www.boe.es/gazeta/dias/1801/05/22/pdfs/GMD-1801-41.pdf#page=4","Abrir facsímil")</f>
        <v>Abrir facsímil</v>
      </c>
      <c r="K29" s="15" t="s">
        <v>23</v>
      </c>
    </row>
    <row r="30" spans="1:11" ht="42" customHeight="1">
      <c r="A30" s="4" t="s">
        <v>96</v>
      </c>
      <c r="B30" s="5" t="s">
        <v>96</v>
      </c>
      <c r="C30" s="5" t="s">
        <v>75</v>
      </c>
      <c r="D30" s="5" t="s">
        <v>76</v>
      </c>
      <c r="E30" s="5" t="s">
        <v>105</v>
      </c>
      <c r="F30" s="9">
        <v>44</v>
      </c>
      <c r="G30" s="9">
        <v>544</v>
      </c>
      <c r="H30" s="5" t="s">
        <v>21</v>
      </c>
      <c r="I30" s="5" t="s">
        <v>106</v>
      </c>
      <c r="J30" s="12" t="str">
        <f>HYPERLINK("https://www.boe.es/gazeta/dias/1801/05/29/pdfs/GMD-1801-44.pdf#page=4","Abrir facsímil")</f>
        <v>Abrir facsímil</v>
      </c>
      <c r="K30" s="15" t="s">
        <v>23</v>
      </c>
    </row>
    <row r="31" spans="1:11" ht="42" customHeight="1">
      <c r="A31" s="4" t="s">
        <v>96</v>
      </c>
      <c r="B31" s="5" t="s">
        <v>96</v>
      </c>
      <c r="C31" s="5" t="s">
        <v>75</v>
      </c>
      <c r="D31" s="5" t="s">
        <v>76</v>
      </c>
      <c r="E31" s="5" t="s">
        <v>105</v>
      </c>
      <c r="F31" s="9">
        <v>44</v>
      </c>
      <c r="G31" s="9">
        <v>545</v>
      </c>
      <c r="H31" s="5" t="s">
        <v>21</v>
      </c>
      <c r="I31" s="5" t="s">
        <v>107</v>
      </c>
      <c r="J31" s="12" t="str">
        <f>HYPERLINK("https://www.boe.es/gazeta/dias/1801/05/29/pdfs/GMD-1801-44.pdf#page=5","Abrir facsímil")</f>
        <v>Abrir facsímil</v>
      </c>
      <c r="K31" s="15" t="s">
        <v>23</v>
      </c>
    </row>
    <row r="32" spans="1:11" ht="42" customHeight="1">
      <c r="A32" s="4" t="s">
        <v>96</v>
      </c>
      <c r="B32" s="5" t="s">
        <v>96</v>
      </c>
      <c r="C32" s="5" t="s">
        <v>32</v>
      </c>
      <c r="D32" s="5" t="s">
        <v>33</v>
      </c>
      <c r="E32" s="5" t="s">
        <v>108</v>
      </c>
      <c r="F32" s="9">
        <v>61</v>
      </c>
      <c r="G32" s="9">
        <v>695</v>
      </c>
      <c r="H32" s="5" t="s">
        <v>21</v>
      </c>
      <c r="I32" s="5" t="s">
        <v>109</v>
      </c>
      <c r="J32" s="12" t="str">
        <f>HYPERLINK("https://www.boe.es/gazeta/dias/1801/06/30/pdfs/GMD-1801-61.pdf#page=4","Abrir facsímil")</f>
        <v>Abrir facsímil</v>
      </c>
      <c r="K32" s="15" t="s">
        <v>23</v>
      </c>
    </row>
    <row r="33" spans="1:11" ht="42" customHeight="1">
      <c r="A33" s="4" t="s">
        <v>110</v>
      </c>
      <c r="B33" s="5" t="s">
        <v>111</v>
      </c>
      <c r="C33" s="5" t="s">
        <v>75</v>
      </c>
      <c r="D33" s="5" t="s">
        <v>76</v>
      </c>
      <c r="E33" s="5" t="s">
        <v>112</v>
      </c>
      <c r="F33" s="9">
        <v>114</v>
      </c>
      <c r="G33" s="9">
        <v>1242</v>
      </c>
      <c r="H33" s="5" t="s">
        <v>21</v>
      </c>
      <c r="I33" s="5" t="s">
        <v>113</v>
      </c>
      <c r="J33" s="12" t="str">
        <f>HYPERLINK("https://www.boe.es/gazeta/dias/1801/12/11/pdfs/GMD-1801-114.pdf#page=4","Abrir facsímil")</f>
        <v>Abrir facsímil</v>
      </c>
      <c r="K33" s="15" t="s">
        <v>23</v>
      </c>
    </row>
    <row r="34" spans="1:11" ht="42" customHeight="1">
      <c r="A34" s="4" t="s">
        <v>114</v>
      </c>
      <c r="B34" s="5" t="s">
        <v>115</v>
      </c>
      <c r="C34" s="5" t="s">
        <v>75</v>
      </c>
      <c r="D34" s="5" t="s">
        <v>76</v>
      </c>
      <c r="E34" s="5" t="s">
        <v>105</v>
      </c>
      <c r="F34" s="9">
        <v>44</v>
      </c>
      <c r="G34" s="9">
        <v>544</v>
      </c>
      <c r="H34" s="5" t="s">
        <v>21</v>
      </c>
      <c r="I34" s="5" t="s">
        <v>116</v>
      </c>
      <c r="J34" s="12" t="str">
        <f>HYPERLINK("https://www.boe.es/gazeta/dias/1801/05/29/pdfs/GMD-1801-44.pdf#page=4","Abrir facsímil")</f>
        <v>Abrir facsímil</v>
      </c>
      <c r="K34" s="15" t="s">
        <v>23</v>
      </c>
    </row>
    <row r="35" spans="1:11" ht="42" customHeight="1">
      <c r="A35" s="4" t="s">
        <v>114</v>
      </c>
      <c r="B35" s="5" t="s">
        <v>115</v>
      </c>
      <c r="C35" s="5" t="s">
        <v>75</v>
      </c>
      <c r="D35" s="5" t="s">
        <v>76</v>
      </c>
      <c r="E35" s="5" t="s">
        <v>112</v>
      </c>
      <c r="F35" s="9">
        <v>114</v>
      </c>
      <c r="G35" s="9">
        <v>1242</v>
      </c>
      <c r="H35" s="5" t="s">
        <v>21</v>
      </c>
      <c r="I35" s="5" t="s">
        <v>117</v>
      </c>
      <c r="J35" s="12" t="str">
        <f>HYPERLINK("https://www.boe.es/gazeta/dias/1801/12/11/pdfs/GMD-1801-114.pdf#page=4","Abrir facsímil")</f>
        <v>Abrir facsímil</v>
      </c>
      <c r="K35" s="15" t="s">
        <v>23</v>
      </c>
    </row>
    <row r="36" spans="1:11" ht="42" customHeight="1">
      <c r="A36" s="4" t="s">
        <v>118</v>
      </c>
      <c r="B36" s="5" t="s">
        <v>119</v>
      </c>
      <c r="C36" s="5" t="s">
        <v>26</v>
      </c>
      <c r="D36" s="5" t="s">
        <v>27</v>
      </c>
      <c r="E36" s="5" t="s">
        <v>120</v>
      </c>
      <c r="F36" s="9">
        <v>7</v>
      </c>
      <c r="G36" s="9">
        <v>81</v>
      </c>
      <c r="H36" s="5" t="s">
        <v>21</v>
      </c>
      <c r="I36" s="5" t="s">
        <v>121</v>
      </c>
      <c r="J36" s="12" t="str">
        <f>HYPERLINK("https://www.boe.es/gazeta/dias/1801/01/23/pdfs/GMD-1801-7.pdf#page=5","Abrir facsímil")</f>
        <v>Abrir facsímil</v>
      </c>
      <c r="K36" s="15" t="s">
        <v>23</v>
      </c>
    </row>
    <row r="37" spans="1:11" ht="42" customHeight="1">
      <c r="A37" s="4" t="s">
        <v>118</v>
      </c>
      <c r="B37" s="5" t="s">
        <v>119</v>
      </c>
      <c r="C37" s="5" t="s">
        <v>75</v>
      </c>
      <c r="D37" s="5" t="s">
        <v>76</v>
      </c>
      <c r="E37" s="5" t="s">
        <v>122</v>
      </c>
      <c r="F37" s="9">
        <v>8</v>
      </c>
      <c r="G37" s="9">
        <v>90</v>
      </c>
      <c r="H37" s="5" t="s">
        <v>21</v>
      </c>
      <c r="I37" s="5" t="s">
        <v>123</v>
      </c>
      <c r="J37" s="12" t="str">
        <f>HYPERLINK("https://www.boe.es/gazeta/dias/1801/01/27/pdfs/GMD-1801-8.pdf#page=2","Abrir facsímil")</f>
        <v>Abrir facsímil</v>
      </c>
      <c r="K37" s="15" t="s">
        <v>23</v>
      </c>
    </row>
    <row r="38" spans="1:11" ht="42" customHeight="1">
      <c r="A38" s="4" t="s">
        <v>118</v>
      </c>
      <c r="B38" s="5" t="s">
        <v>119</v>
      </c>
      <c r="C38" s="5" t="s">
        <v>75</v>
      </c>
      <c r="D38" s="5" t="s">
        <v>76</v>
      </c>
      <c r="E38" s="5" t="s">
        <v>124</v>
      </c>
      <c r="F38" s="9">
        <v>12</v>
      </c>
      <c r="G38" s="9">
        <v>142</v>
      </c>
      <c r="H38" s="5" t="s">
        <v>21</v>
      </c>
      <c r="I38" s="5" t="s">
        <v>125</v>
      </c>
      <c r="J38" s="12" t="str">
        <f>HYPERLINK("https://www.boe.es/gazeta/dias/1801/02/10/pdfs/GMD-1801-12.pdf#page=3","Abrir facsímil")</f>
        <v>Abrir facsímil</v>
      </c>
      <c r="K38" s="15" t="s">
        <v>23</v>
      </c>
    </row>
    <row r="39" spans="1:11" ht="42" customHeight="1">
      <c r="A39" s="4" t="s">
        <v>118</v>
      </c>
      <c r="B39" s="5" t="s">
        <v>119</v>
      </c>
      <c r="C39" s="5" t="s">
        <v>38</v>
      </c>
      <c r="D39" s="5" t="s">
        <v>39</v>
      </c>
      <c r="E39" s="5" t="s">
        <v>126</v>
      </c>
      <c r="F39" s="9">
        <v>13</v>
      </c>
      <c r="G39" s="9">
        <v>156</v>
      </c>
      <c r="H39" s="5" t="s">
        <v>21</v>
      </c>
      <c r="I39" s="5" t="s">
        <v>127</v>
      </c>
      <c r="J39" s="12" t="str">
        <f>HYPERLINK("https://www.boe.es/gazeta/dias/1801/02/13/pdfs/GMD-1801-13.pdf#page=3","Abrir facsímil")</f>
        <v>Abrir facsímil</v>
      </c>
      <c r="K39" s="15" t="s">
        <v>23</v>
      </c>
    </row>
    <row r="40" spans="1:11" ht="42" customHeight="1">
      <c r="A40" s="4" t="s">
        <v>118</v>
      </c>
      <c r="B40" s="5" t="s">
        <v>119</v>
      </c>
      <c r="C40" s="5" t="s">
        <v>75</v>
      </c>
      <c r="D40" s="5" t="s">
        <v>76</v>
      </c>
      <c r="E40" s="5" t="s">
        <v>128</v>
      </c>
      <c r="F40" s="9">
        <v>17</v>
      </c>
      <c r="G40" s="9">
        <v>208</v>
      </c>
      <c r="H40" s="5" t="s">
        <v>21</v>
      </c>
      <c r="I40" s="5" t="s">
        <v>129</v>
      </c>
      <c r="J40" s="12" t="str">
        <f>HYPERLINK("https://www.boe.es/gazeta/dias/1801/02/27/pdfs/GMD-1801-17.pdf#page=3","Abrir facsímil")</f>
        <v>Abrir facsímil</v>
      </c>
      <c r="K40" s="15" t="s">
        <v>23</v>
      </c>
    </row>
    <row r="41" spans="1:11" ht="42" customHeight="1">
      <c r="A41" s="4" t="s">
        <v>118</v>
      </c>
      <c r="B41" s="5" t="s">
        <v>119</v>
      </c>
      <c r="C41" s="5" t="s">
        <v>75</v>
      </c>
      <c r="D41" s="5" t="s">
        <v>76</v>
      </c>
      <c r="E41" s="5" t="s">
        <v>48</v>
      </c>
      <c r="F41" s="9">
        <v>20</v>
      </c>
      <c r="G41" s="9">
        <v>259</v>
      </c>
      <c r="H41" s="5" t="s">
        <v>21</v>
      </c>
      <c r="I41" s="5" t="s">
        <v>130</v>
      </c>
      <c r="J41" s="12" t="str">
        <f>HYPERLINK("https://www.boe.es/gazeta/dias/1801/03/10/pdfs/GMD-1801-20.pdf#page=4","Abrir facsímil")</f>
        <v>Abrir facsímil</v>
      </c>
      <c r="K41" s="15" t="s">
        <v>23</v>
      </c>
    </row>
    <row r="42" spans="1:11" ht="42" customHeight="1">
      <c r="A42" s="4" t="s">
        <v>118</v>
      </c>
      <c r="B42" s="5" t="s">
        <v>119</v>
      </c>
      <c r="C42" s="5" t="s">
        <v>75</v>
      </c>
      <c r="D42" s="5" t="s">
        <v>76</v>
      </c>
      <c r="E42" s="5" t="s">
        <v>131</v>
      </c>
      <c r="F42" s="9">
        <v>22</v>
      </c>
      <c r="G42" s="9">
        <v>284</v>
      </c>
      <c r="H42" s="5" t="s">
        <v>21</v>
      </c>
      <c r="I42" s="5" t="s">
        <v>132</v>
      </c>
      <c r="J42" s="12" t="str">
        <f>HYPERLINK("https://www.boe.es/gazeta/dias/1801/03/17/pdfs/GMD-1801-22.pdf#page=1","Abrir facsímil")</f>
        <v>Abrir facsímil</v>
      </c>
      <c r="K42" s="15" t="s">
        <v>23</v>
      </c>
    </row>
    <row r="43" spans="1:11" ht="42" customHeight="1">
      <c r="A43" s="4" t="s">
        <v>133</v>
      </c>
      <c r="B43" s="5" t="s">
        <v>134</v>
      </c>
      <c r="C43" s="5" t="s">
        <v>75</v>
      </c>
      <c r="D43" s="5" t="s">
        <v>76</v>
      </c>
      <c r="E43" s="5" t="s">
        <v>135</v>
      </c>
      <c r="F43" s="9">
        <v>24</v>
      </c>
      <c r="G43" s="9">
        <v>313</v>
      </c>
      <c r="H43" s="5" t="s">
        <v>21</v>
      </c>
      <c r="I43" s="5" t="s">
        <v>136</v>
      </c>
      <c r="J43" s="12" t="str">
        <f>HYPERLINK("https://www.boe.es/gazeta/dias/1801/03/24/pdfs/GMD-1801-24.pdf#page=4","Abrir facsímil")</f>
        <v>Abrir facsímil</v>
      </c>
      <c r="K43" s="15" t="s">
        <v>23</v>
      </c>
    </row>
    <row r="44" spans="1:11" ht="42" customHeight="1">
      <c r="A44" s="4" t="s">
        <v>118</v>
      </c>
      <c r="B44" s="5" t="s">
        <v>119</v>
      </c>
      <c r="C44" s="5" t="s">
        <v>75</v>
      </c>
      <c r="D44" s="5" t="s">
        <v>76</v>
      </c>
      <c r="E44" s="5" t="s">
        <v>137</v>
      </c>
      <c r="F44" s="9">
        <v>30</v>
      </c>
      <c r="G44" s="9">
        <v>385</v>
      </c>
      <c r="H44" s="5" t="s">
        <v>21</v>
      </c>
      <c r="I44" s="5" t="s">
        <v>138</v>
      </c>
      <c r="J44" s="12" t="str">
        <f>HYPERLINK("https://www.boe.es/gazeta/dias/1801/04/14/pdfs/GMD-1801-30.pdf#page=1","Abrir facsímil")</f>
        <v>Abrir facsímil</v>
      </c>
      <c r="K44" s="15" t="s">
        <v>23</v>
      </c>
    </row>
    <row r="45" spans="1:11" ht="42" customHeight="1">
      <c r="A45" s="4" t="s">
        <v>118</v>
      </c>
      <c r="B45" s="5" t="s">
        <v>119</v>
      </c>
      <c r="C45" s="5" t="s">
        <v>75</v>
      </c>
      <c r="D45" s="5" t="s">
        <v>76</v>
      </c>
      <c r="E45" s="5" t="s">
        <v>137</v>
      </c>
      <c r="F45" s="9">
        <v>30</v>
      </c>
      <c r="G45" s="9">
        <v>389</v>
      </c>
      <c r="H45" s="5" t="s">
        <v>21</v>
      </c>
      <c r="I45" s="5" t="s">
        <v>139</v>
      </c>
      <c r="J45" s="12" t="str">
        <f>HYPERLINK("https://www.boe.es/gazeta/dias/1801/04/14/pdfs/GMD-1801-30.pdf#page=5","Abrir facsímil")</f>
        <v>Abrir facsímil</v>
      </c>
      <c r="K45" s="15" t="s">
        <v>23</v>
      </c>
    </row>
    <row r="46" spans="1:11" ht="42" customHeight="1">
      <c r="A46" s="4" t="s">
        <v>118</v>
      </c>
      <c r="B46" s="5" t="s">
        <v>119</v>
      </c>
      <c r="C46" s="5" t="s">
        <v>75</v>
      </c>
      <c r="D46" s="5" t="s">
        <v>76</v>
      </c>
      <c r="E46" s="5" t="s">
        <v>97</v>
      </c>
      <c r="F46" s="9">
        <v>31</v>
      </c>
      <c r="G46" s="9">
        <v>397</v>
      </c>
      <c r="H46" s="5" t="s">
        <v>21</v>
      </c>
      <c r="I46" s="5" t="s">
        <v>140</v>
      </c>
      <c r="J46" s="12" t="str">
        <f>HYPERLINK("https://www.boe.es/gazeta/dias/1801/04/17/pdfs/GMD-1801-31.pdf#page=1","Abrir facsímil")</f>
        <v>Abrir facsímil</v>
      </c>
      <c r="K46" s="15" t="s">
        <v>23</v>
      </c>
    </row>
    <row r="47" spans="1:11" ht="42" customHeight="1">
      <c r="A47" s="4" t="s">
        <v>118</v>
      </c>
      <c r="B47" s="5" t="s">
        <v>119</v>
      </c>
      <c r="C47" s="5" t="s">
        <v>75</v>
      </c>
      <c r="D47" s="5" t="s">
        <v>76</v>
      </c>
      <c r="E47" s="5" t="s">
        <v>141</v>
      </c>
      <c r="F47" s="9">
        <v>33</v>
      </c>
      <c r="G47" s="9">
        <v>420</v>
      </c>
      <c r="H47" s="5" t="s">
        <v>21</v>
      </c>
      <c r="I47" s="5" t="s">
        <v>142</v>
      </c>
      <c r="J47" s="12" t="str">
        <f>HYPERLINK("https://www.boe.es/gazeta/dias/1801/04/24/pdfs/GMD-1801-33.pdf#page=4","Abrir facsímil")</f>
        <v>Abrir facsímil</v>
      </c>
      <c r="K47" s="15" t="s">
        <v>23</v>
      </c>
    </row>
    <row r="48" spans="1:11" ht="42" customHeight="1">
      <c r="A48" s="4" t="s">
        <v>118</v>
      </c>
      <c r="B48" s="5" t="s">
        <v>119</v>
      </c>
      <c r="C48" s="5" t="s">
        <v>26</v>
      </c>
      <c r="D48" s="5" t="s">
        <v>27</v>
      </c>
      <c r="E48" s="5" t="s">
        <v>143</v>
      </c>
      <c r="F48" s="9">
        <v>34</v>
      </c>
      <c r="G48" s="9">
        <v>431</v>
      </c>
      <c r="H48" s="5" t="s">
        <v>21</v>
      </c>
      <c r="I48" s="5" t="s">
        <v>144</v>
      </c>
      <c r="J48" s="12" t="str">
        <f>HYPERLINK("https://www.boe.es/gazeta/dias/1801/04/28/pdfs/GMD-1801-34.pdf#page=3","Abrir facsímil")</f>
        <v>Abrir facsímil</v>
      </c>
      <c r="K48" s="15" t="s">
        <v>23</v>
      </c>
    </row>
    <row r="49" spans="1:11" ht="42" customHeight="1">
      <c r="A49" s="4" t="s">
        <v>118</v>
      </c>
      <c r="B49" s="5" t="s">
        <v>119</v>
      </c>
      <c r="C49" s="5" t="s">
        <v>75</v>
      </c>
      <c r="D49" s="5" t="s">
        <v>76</v>
      </c>
      <c r="E49" s="5" t="s">
        <v>145</v>
      </c>
      <c r="F49" s="9">
        <v>36</v>
      </c>
      <c r="G49" s="9">
        <v>464</v>
      </c>
      <c r="H49" s="5" t="s">
        <v>21</v>
      </c>
      <c r="I49" s="5" t="s">
        <v>146</v>
      </c>
      <c r="J49" s="12" t="str">
        <f>HYPERLINK("https://www.boe.es/gazeta/dias/1801/05/05/pdfs/GMD-1801-36.pdf#page=8","Abrir facsímil")</f>
        <v>Abrir facsímil</v>
      </c>
      <c r="K49" s="15" t="s">
        <v>23</v>
      </c>
    </row>
    <row r="50" spans="1:11" ht="42" customHeight="1">
      <c r="A50" s="4" t="s">
        <v>118</v>
      </c>
      <c r="B50" s="5" t="s">
        <v>119</v>
      </c>
      <c r="C50" s="5" t="s">
        <v>75</v>
      </c>
      <c r="D50" s="5" t="s">
        <v>76</v>
      </c>
      <c r="E50" s="5" t="s">
        <v>34</v>
      </c>
      <c r="F50" s="9">
        <v>38</v>
      </c>
      <c r="G50" s="9">
        <v>485</v>
      </c>
      <c r="H50" s="5" t="s">
        <v>21</v>
      </c>
      <c r="I50" s="5" t="s">
        <v>147</v>
      </c>
      <c r="J50" s="12" t="str">
        <f>HYPERLINK("https://www.boe.es/gazeta/dias/1801/05/12/pdfs/GMD-1801-38.pdf#page=1","Abrir facsímil")</f>
        <v>Abrir facsímil</v>
      </c>
      <c r="K50" s="15" t="s">
        <v>23</v>
      </c>
    </row>
    <row r="51" spans="1:11" ht="42" customHeight="1">
      <c r="A51" s="4" t="s">
        <v>118</v>
      </c>
      <c r="B51" s="5" t="s">
        <v>119</v>
      </c>
      <c r="C51" s="5" t="s">
        <v>75</v>
      </c>
      <c r="D51" s="5" t="s">
        <v>76</v>
      </c>
      <c r="E51" s="5" t="s">
        <v>34</v>
      </c>
      <c r="F51" s="9">
        <v>38</v>
      </c>
      <c r="G51" s="9">
        <v>491</v>
      </c>
      <c r="H51" s="5" t="s">
        <v>21</v>
      </c>
      <c r="I51" s="5" t="s">
        <v>148</v>
      </c>
      <c r="J51" s="12" t="str">
        <f>HYPERLINK("https://www.boe.es/gazeta/dias/1801/05/12/pdfs/GMD-1801-38.pdf#page=7","Abrir facsímil")</f>
        <v>Abrir facsímil</v>
      </c>
      <c r="K51" s="15" t="s">
        <v>23</v>
      </c>
    </row>
    <row r="52" spans="1:11" ht="42" customHeight="1">
      <c r="A52" s="4" t="s">
        <v>118</v>
      </c>
      <c r="B52" s="5" t="s">
        <v>119</v>
      </c>
      <c r="C52" s="5" t="s">
        <v>75</v>
      </c>
      <c r="D52" s="5" t="s">
        <v>76</v>
      </c>
      <c r="E52" s="5" t="s">
        <v>101</v>
      </c>
      <c r="F52" s="9">
        <v>41</v>
      </c>
      <c r="G52" s="9">
        <v>522</v>
      </c>
      <c r="H52" s="5" t="s">
        <v>21</v>
      </c>
      <c r="I52" s="5" t="s">
        <v>149</v>
      </c>
      <c r="J52" s="12" t="str">
        <f>HYPERLINK("https://www.boe.es/gazeta/dias/1801/05/22/pdfs/GMD-1801-41.pdf#page=6","Abrir facsímil")</f>
        <v>Abrir facsímil</v>
      </c>
      <c r="K52" s="15" t="s">
        <v>23</v>
      </c>
    </row>
    <row r="53" spans="1:11" ht="42" customHeight="1">
      <c r="A53" s="4" t="s">
        <v>118</v>
      </c>
      <c r="B53" s="5" t="s">
        <v>119</v>
      </c>
      <c r="C53" s="5" t="s">
        <v>75</v>
      </c>
      <c r="D53" s="5" t="s">
        <v>76</v>
      </c>
      <c r="E53" s="5" t="s">
        <v>105</v>
      </c>
      <c r="F53" s="9">
        <v>44</v>
      </c>
      <c r="G53" s="9">
        <v>545</v>
      </c>
      <c r="H53" s="5" t="s">
        <v>21</v>
      </c>
      <c r="I53" s="5" t="s">
        <v>150</v>
      </c>
      <c r="J53" s="12" t="str">
        <f>HYPERLINK("https://www.boe.es/gazeta/dias/1801/05/29/pdfs/GMD-1801-44.pdf#page=5","Abrir facsímil")</f>
        <v>Abrir facsímil</v>
      </c>
      <c r="K53" s="15" t="s">
        <v>23</v>
      </c>
    </row>
    <row r="54" spans="1:11" ht="42" customHeight="1">
      <c r="A54" s="4" t="s">
        <v>118</v>
      </c>
      <c r="B54" s="5" t="s">
        <v>119</v>
      </c>
      <c r="C54" s="5" t="s">
        <v>75</v>
      </c>
      <c r="D54" s="5" t="s">
        <v>76</v>
      </c>
      <c r="E54" s="5" t="s">
        <v>151</v>
      </c>
      <c r="F54" s="9">
        <v>45</v>
      </c>
      <c r="G54" s="9">
        <v>557</v>
      </c>
      <c r="H54" s="5" t="s">
        <v>21</v>
      </c>
      <c r="I54" s="5" t="s">
        <v>152</v>
      </c>
      <c r="J54" s="12" t="str">
        <f>HYPERLINK("https://www.boe.es/gazeta/dias/1801/06/02/pdfs/GMD-1801-45.pdf#page=5","Abrir facsímil")</f>
        <v>Abrir facsímil</v>
      </c>
      <c r="K54" s="15" t="s">
        <v>23</v>
      </c>
    </row>
    <row r="55" spans="1:11" ht="42" customHeight="1">
      <c r="A55" s="4" t="s">
        <v>118</v>
      </c>
      <c r="B55" s="5" t="s">
        <v>119</v>
      </c>
      <c r="C55" s="5" t="s">
        <v>75</v>
      </c>
      <c r="D55" s="5" t="s">
        <v>76</v>
      </c>
      <c r="E55" s="5" t="s">
        <v>153</v>
      </c>
      <c r="F55" s="9">
        <v>48</v>
      </c>
      <c r="G55" s="9">
        <v>582</v>
      </c>
      <c r="H55" s="5" t="s">
        <v>21</v>
      </c>
      <c r="I55" s="5" t="s">
        <v>154</v>
      </c>
      <c r="J55" s="12" t="str">
        <f>HYPERLINK("https://www.boe.es/gazeta/dias/1801/06/05/pdfs/GMD-1801-48.pdf#page=4","Abrir facsímil")</f>
        <v>Abrir facsímil</v>
      </c>
      <c r="K55" s="15" t="s">
        <v>23</v>
      </c>
    </row>
    <row r="56" spans="1:11" ht="42" customHeight="1">
      <c r="A56" s="4" t="s">
        <v>118</v>
      </c>
      <c r="B56" s="5" t="s">
        <v>119</v>
      </c>
      <c r="C56" s="5" t="s">
        <v>69</v>
      </c>
      <c r="D56" s="5" t="s">
        <v>19</v>
      </c>
      <c r="E56" s="5" t="s">
        <v>155</v>
      </c>
      <c r="F56" s="9">
        <v>50</v>
      </c>
      <c r="G56" s="9">
        <v>592</v>
      </c>
      <c r="H56" s="5" t="s">
        <v>21</v>
      </c>
      <c r="I56" s="5" t="s">
        <v>156</v>
      </c>
      <c r="J56" s="12" t="str">
        <f>HYPERLINK("https://www.boe.es/gazeta/dias/1801/06/09/pdfs/GMD-1801-50.pdf#page=4","Abrir facsímil")</f>
        <v>Abrir facsímil</v>
      </c>
      <c r="K56" s="15" t="s">
        <v>23</v>
      </c>
    </row>
    <row r="57" spans="1:11" ht="42" customHeight="1">
      <c r="A57" s="4" t="s">
        <v>118</v>
      </c>
      <c r="B57" s="5" t="s">
        <v>119</v>
      </c>
      <c r="C57" s="5" t="s">
        <v>69</v>
      </c>
      <c r="D57" s="5" t="s">
        <v>19</v>
      </c>
      <c r="E57" s="5" t="s">
        <v>66</v>
      </c>
      <c r="F57" s="9">
        <v>52</v>
      </c>
      <c r="G57" s="9">
        <v>606</v>
      </c>
      <c r="H57" s="5" t="s">
        <v>21</v>
      </c>
      <c r="I57" s="5" t="s">
        <v>157</v>
      </c>
      <c r="J57" s="12" t="str">
        <f>HYPERLINK("https://www.boe.es/gazeta/dias/1801/06/12/pdfs/GMD-1801-52.pdf#page=5","Abrir facsímil")</f>
        <v>Abrir facsímil</v>
      </c>
      <c r="K57" s="15" t="s">
        <v>23</v>
      </c>
    </row>
    <row r="58" spans="1:11" ht="42" customHeight="1">
      <c r="A58" s="4" t="s">
        <v>118</v>
      </c>
      <c r="B58" s="5" t="s">
        <v>119</v>
      </c>
      <c r="C58" s="5" t="s">
        <v>38</v>
      </c>
      <c r="D58" s="5" t="s">
        <v>39</v>
      </c>
      <c r="E58" s="5" t="s">
        <v>158</v>
      </c>
      <c r="F58" s="9">
        <v>55</v>
      </c>
      <c r="G58" s="9">
        <v>628</v>
      </c>
      <c r="H58" s="5" t="s">
        <v>21</v>
      </c>
      <c r="I58" s="5" t="s">
        <v>159</v>
      </c>
      <c r="J58" s="12" t="str">
        <f>HYPERLINK("https://www.boe.es/gazeta/dias/1801/06/16/pdfs/GMD-1801-55.pdf#page=4","Abrir facsímil")</f>
        <v>Abrir facsímil</v>
      </c>
      <c r="K58" s="15" t="s">
        <v>23</v>
      </c>
    </row>
    <row r="59" spans="1:11" ht="42" customHeight="1">
      <c r="A59" s="4" t="s">
        <v>118</v>
      </c>
      <c r="B59" s="5" t="s">
        <v>119</v>
      </c>
      <c r="C59" s="5" t="s">
        <v>38</v>
      </c>
      <c r="D59" s="5" t="s">
        <v>39</v>
      </c>
      <c r="E59" s="5" t="s">
        <v>158</v>
      </c>
      <c r="F59" s="9">
        <v>55</v>
      </c>
      <c r="G59" s="9">
        <v>630</v>
      </c>
      <c r="H59" s="5" t="s">
        <v>21</v>
      </c>
      <c r="I59" s="5" t="s">
        <v>160</v>
      </c>
      <c r="J59" s="12" t="str">
        <f>HYPERLINK("https://www.boe.es/gazeta/dias/1801/06/16/pdfs/GMD-1801-55.pdf#page=6","Abrir facsímil")</f>
        <v>Abrir facsímil</v>
      </c>
      <c r="K59" s="15" t="s">
        <v>23</v>
      </c>
    </row>
    <row r="60" spans="1:11" ht="42" customHeight="1">
      <c r="A60" s="4" t="s">
        <v>118</v>
      </c>
      <c r="B60" s="5" t="s">
        <v>119</v>
      </c>
      <c r="C60" s="5" t="s">
        <v>38</v>
      </c>
      <c r="D60" s="5" t="s">
        <v>39</v>
      </c>
      <c r="E60" s="5" t="s">
        <v>161</v>
      </c>
      <c r="F60" s="9">
        <v>58</v>
      </c>
      <c r="G60" s="9">
        <v>663</v>
      </c>
      <c r="H60" s="5" t="s">
        <v>21</v>
      </c>
      <c r="I60" s="5" t="s">
        <v>162</v>
      </c>
      <c r="J60" s="12" t="str">
        <f>HYPERLINK("https://www.boe.es/gazeta/dias/1801/06/19/pdfs/GMD-1801-58.pdf#page=8","Abrir facsímil")</f>
        <v>Abrir facsímil</v>
      </c>
      <c r="K60" s="15" t="s">
        <v>23</v>
      </c>
    </row>
    <row r="61" spans="1:11" ht="42" customHeight="1">
      <c r="A61" s="4" t="s">
        <v>163</v>
      </c>
      <c r="B61" s="5" t="s">
        <v>164</v>
      </c>
      <c r="C61" s="5" t="s">
        <v>69</v>
      </c>
      <c r="D61" s="5" t="s">
        <v>19</v>
      </c>
      <c r="E61" s="5" t="s">
        <v>165</v>
      </c>
      <c r="F61" s="9">
        <v>59</v>
      </c>
      <c r="G61" s="9">
        <v>671</v>
      </c>
      <c r="H61" s="5" t="s">
        <v>21</v>
      </c>
      <c r="I61" s="5" t="s">
        <v>166</v>
      </c>
      <c r="J61" s="12" t="str">
        <f>HYPERLINK("https://www.boe.es/gazeta/dias/1801/06/23/pdfs/GMD-1801-59.pdf#page=4","Abrir facsímil")</f>
        <v>Abrir facsímil</v>
      </c>
      <c r="K61" s="15" t="s">
        <v>23</v>
      </c>
    </row>
    <row r="62" spans="1:11" ht="42" customHeight="1">
      <c r="A62" s="4" t="s">
        <v>118</v>
      </c>
      <c r="B62" s="5" t="s">
        <v>119</v>
      </c>
      <c r="C62" s="5" t="s">
        <v>75</v>
      </c>
      <c r="D62" s="5" t="s">
        <v>76</v>
      </c>
      <c r="E62" s="5" t="s">
        <v>165</v>
      </c>
      <c r="F62" s="9">
        <v>59</v>
      </c>
      <c r="G62" s="9">
        <v>674</v>
      </c>
      <c r="H62" s="5" t="s">
        <v>21</v>
      </c>
      <c r="I62" s="5" t="s">
        <v>167</v>
      </c>
      <c r="J62" s="12" t="str">
        <f>HYPERLINK("https://www.boe.es/gazeta/dias/1801/06/23/pdfs/GMD-1801-59.pdf#page=7","Abrir facsímil")</f>
        <v>Abrir facsímil</v>
      </c>
      <c r="K62" s="15" t="s">
        <v>23</v>
      </c>
    </row>
    <row r="63" spans="1:11" ht="42" customHeight="1">
      <c r="A63" s="4" t="s">
        <v>118</v>
      </c>
      <c r="B63" s="5" t="s">
        <v>119</v>
      </c>
      <c r="C63" s="5" t="s">
        <v>38</v>
      </c>
      <c r="D63" s="5" t="s">
        <v>39</v>
      </c>
      <c r="E63" s="5" t="s">
        <v>72</v>
      </c>
      <c r="F63" s="9">
        <v>60</v>
      </c>
      <c r="G63" s="9">
        <v>685</v>
      </c>
      <c r="H63" s="5" t="s">
        <v>21</v>
      </c>
      <c r="I63" s="5" t="s">
        <v>168</v>
      </c>
      <c r="J63" s="12" t="str">
        <f>HYPERLINK("https://www.boe.es/gazeta/dias/1801/06/26/pdfs/GMD-1801-60.pdf#page=6","Abrir facsímil")</f>
        <v>Abrir facsímil</v>
      </c>
      <c r="K63" s="15" t="s">
        <v>23</v>
      </c>
    </row>
    <row r="64" spans="1:11" ht="42" customHeight="1">
      <c r="A64" s="4" t="s">
        <v>118</v>
      </c>
      <c r="B64" s="5" t="s">
        <v>119</v>
      </c>
      <c r="C64" s="5" t="s">
        <v>75</v>
      </c>
      <c r="D64" s="5" t="s">
        <v>76</v>
      </c>
      <c r="E64" s="5" t="s">
        <v>169</v>
      </c>
      <c r="F64" s="9">
        <v>70</v>
      </c>
      <c r="G64" s="9">
        <v>772</v>
      </c>
      <c r="H64" s="5" t="s">
        <v>21</v>
      </c>
      <c r="I64" s="5" t="s">
        <v>170</v>
      </c>
      <c r="J64" s="12" t="str">
        <f>HYPERLINK("https://www.boe.es/gazeta/dias/1801/07/17/pdfs/GMD-1801-70.pdf#page=5","Abrir facsímil")</f>
        <v>Abrir facsímil</v>
      </c>
      <c r="K64" s="15" t="s">
        <v>23</v>
      </c>
    </row>
    <row r="65" spans="1:11" ht="42" customHeight="1">
      <c r="A65" s="4" t="s">
        <v>118</v>
      </c>
      <c r="B65" s="5" t="s">
        <v>119</v>
      </c>
      <c r="C65" s="5" t="s">
        <v>38</v>
      </c>
      <c r="D65" s="5" t="s">
        <v>39</v>
      </c>
      <c r="E65" s="5" t="s">
        <v>171</v>
      </c>
      <c r="F65" s="9">
        <v>76</v>
      </c>
      <c r="G65" s="9">
        <v>851</v>
      </c>
      <c r="H65" s="5" t="s">
        <v>21</v>
      </c>
      <c r="I65" s="5" t="s">
        <v>172</v>
      </c>
      <c r="J65" s="12" t="str">
        <f>HYPERLINK("https://www.boe.es/gazeta/dias/1801/08/07/pdfs/GMD-1801-76.pdf#page=8","Abrir facsímil")</f>
        <v>Abrir facsímil</v>
      </c>
      <c r="K65" s="15" t="s">
        <v>23</v>
      </c>
    </row>
    <row r="66" spans="1:11" ht="42" customHeight="1">
      <c r="A66" s="4" t="s">
        <v>118</v>
      </c>
      <c r="B66" s="5" t="s">
        <v>119</v>
      </c>
      <c r="C66" s="5" t="s">
        <v>18</v>
      </c>
      <c r="D66" s="5" t="s">
        <v>19</v>
      </c>
      <c r="E66" s="5" t="s">
        <v>173</v>
      </c>
      <c r="F66" s="9">
        <v>98</v>
      </c>
      <c r="G66" s="9">
        <v>1077</v>
      </c>
      <c r="H66" s="5" t="s">
        <v>21</v>
      </c>
      <c r="I66" s="5" t="s">
        <v>174</v>
      </c>
      <c r="J66" s="12" t="str">
        <f>HYPERLINK("https://www.boe.es/gazeta/dias/1801/10/16/pdfs/GMD-1801-98.pdf#page=9","Abrir facsímil")</f>
        <v>Abrir facsímil</v>
      </c>
      <c r="K66" s="15" t="s">
        <v>23</v>
      </c>
    </row>
    <row r="67" spans="1:11" ht="42" customHeight="1">
      <c r="A67" s="4" t="s">
        <v>175</v>
      </c>
      <c r="B67" s="5" t="s">
        <v>176</v>
      </c>
      <c r="C67" s="5" t="s">
        <v>32</v>
      </c>
      <c r="D67" s="5" t="s">
        <v>33</v>
      </c>
      <c r="E67" s="5" t="s">
        <v>105</v>
      </c>
      <c r="F67" s="9">
        <v>44</v>
      </c>
      <c r="G67" s="9">
        <v>544</v>
      </c>
      <c r="H67" s="5" t="s">
        <v>21</v>
      </c>
      <c r="I67" s="5" t="s">
        <v>177</v>
      </c>
      <c r="J67" s="12" t="str">
        <f>HYPERLINK("https://www.boe.es/gazeta/dias/1801/05/29/pdfs/GMD-1801-44.pdf#page=4","Abrir facsímil")</f>
        <v>Abrir facsímil</v>
      </c>
      <c r="K67" s="15" t="s">
        <v>23</v>
      </c>
    </row>
    <row r="68" spans="1:11" ht="42" customHeight="1">
      <c r="A68" s="4" t="s">
        <v>178</v>
      </c>
      <c r="B68" s="5" t="s">
        <v>178</v>
      </c>
      <c r="C68" s="5" t="s">
        <v>75</v>
      </c>
      <c r="D68" s="5" t="s">
        <v>76</v>
      </c>
      <c r="E68" s="5" t="s">
        <v>179</v>
      </c>
      <c r="F68" s="9">
        <v>11</v>
      </c>
      <c r="G68" s="9">
        <v>132</v>
      </c>
      <c r="H68" s="5" t="s">
        <v>21</v>
      </c>
      <c r="I68" s="5" t="s">
        <v>180</v>
      </c>
      <c r="J68" s="12" t="str">
        <f>HYPERLINK("https://www.boe.es/gazeta/dias/1801/02/06/pdfs/GMD-1801-11.pdf#page=5","Abrir facsímil")</f>
        <v>Abrir facsímil</v>
      </c>
      <c r="K68" s="15" t="s">
        <v>23</v>
      </c>
    </row>
    <row r="69" spans="1:11" ht="42" customHeight="1">
      <c r="A69" s="4" t="s">
        <v>181</v>
      </c>
      <c r="B69" s="5" t="s">
        <v>181</v>
      </c>
      <c r="C69" s="5" t="s">
        <v>75</v>
      </c>
      <c r="D69" s="5" t="s">
        <v>76</v>
      </c>
      <c r="E69" s="5" t="s">
        <v>182</v>
      </c>
      <c r="F69" s="9">
        <v>18</v>
      </c>
      <c r="G69" s="9">
        <v>220</v>
      </c>
      <c r="H69" s="5" t="s">
        <v>21</v>
      </c>
      <c r="I69" s="5" t="s">
        <v>183</v>
      </c>
      <c r="J69" s="12" t="str">
        <f>HYPERLINK("https://www.boe.es/gazeta/dias/1801/03/03/pdfs/GMD-1801-18.pdf#page=1","Abrir facsímil")</f>
        <v>Abrir facsímil</v>
      </c>
      <c r="K69" s="15" t="s">
        <v>23</v>
      </c>
    </row>
    <row r="70" spans="1:11" ht="42" customHeight="1">
      <c r="A70" s="4" t="s">
        <v>184</v>
      </c>
      <c r="B70" s="5" t="s">
        <v>185</v>
      </c>
      <c r="C70" s="5" t="s">
        <v>75</v>
      </c>
      <c r="D70" s="5" t="s">
        <v>76</v>
      </c>
      <c r="E70" s="5" t="s">
        <v>186</v>
      </c>
      <c r="F70" s="9">
        <v>21</v>
      </c>
      <c r="G70" s="9">
        <v>272</v>
      </c>
      <c r="H70" s="5" t="s">
        <v>21</v>
      </c>
      <c r="I70" s="5" t="s">
        <v>187</v>
      </c>
      <c r="J70" s="12" t="str">
        <f>HYPERLINK("https://www.boe.es/gazeta/dias/1801/03/13/pdfs/GMD-1801-21.pdf#page=1","Abrir facsímil")</f>
        <v>Abrir facsímil</v>
      </c>
      <c r="K70" s="15" t="s">
        <v>23</v>
      </c>
    </row>
    <row r="71" spans="1:11" ht="42" customHeight="1">
      <c r="A71" s="4" t="s">
        <v>188</v>
      </c>
      <c r="B71" s="5" t="s">
        <v>189</v>
      </c>
      <c r="C71" s="5" t="s">
        <v>75</v>
      </c>
      <c r="D71" s="5" t="s">
        <v>76</v>
      </c>
      <c r="E71" s="5" t="s">
        <v>190</v>
      </c>
      <c r="F71" s="9">
        <v>16</v>
      </c>
      <c r="G71" s="9">
        <v>195</v>
      </c>
      <c r="H71" s="5" t="s">
        <v>21</v>
      </c>
      <c r="I71" s="5" t="s">
        <v>191</v>
      </c>
      <c r="J71" s="12" t="str">
        <f>HYPERLINK("https://www.boe.es/gazeta/dias/1801/02/24/pdfs/GMD-1801-16.pdf#page=2","Abrir facsímil")</f>
        <v>Abrir facsímil</v>
      </c>
      <c r="K71" s="15" t="s">
        <v>23</v>
      </c>
    </row>
    <row r="72" spans="1:11" ht="42" customHeight="1">
      <c r="A72" s="4" t="s">
        <v>192</v>
      </c>
      <c r="B72" s="5" t="s">
        <v>193</v>
      </c>
      <c r="C72" s="5" t="s">
        <v>32</v>
      </c>
      <c r="D72" s="5" t="s">
        <v>33</v>
      </c>
      <c r="E72" s="5" t="s">
        <v>194</v>
      </c>
      <c r="F72" s="9">
        <v>92</v>
      </c>
      <c r="G72" s="9">
        <v>1011</v>
      </c>
      <c r="H72" s="5" t="s">
        <v>21</v>
      </c>
      <c r="I72" s="5" t="s">
        <v>195</v>
      </c>
      <c r="J72" s="12" t="str">
        <f>HYPERLINK("https://www.boe.es/gazeta/dias/1801/09/25/pdfs/GMD-1801-92.pdf#page=6","Abrir facsímil")</f>
        <v>Abrir facsímil</v>
      </c>
      <c r="K72" s="15" t="s">
        <v>23</v>
      </c>
    </row>
    <row r="73" spans="1:11" ht="42" customHeight="1">
      <c r="A73" s="4" t="s">
        <v>196</v>
      </c>
      <c r="B73" s="5" t="s">
        <v>197</v>
      </c>
      <c r="C73" s="5" t="s">
        <v>32</v>
      </c>
      <c r="D73" s="5" t="s">
        <v>33</v>
      </c>
      <c r="E73" s="5" t="s">
        <v>120</v>
      </c>
      <c r="F73" s="9">
        <v>7</v>
      </c>
      <c r="G73" s="9">
        <v>84</v>
      </c>
      <c r="H73" s="5" t="s">
        <v>21</v>
      </c>
      <c r="I73" s="5" t="s">
        <v>198</v>
      </c>
      <c r="J73" s="12" t="str">
        <f>HYPERLINK("https://www.boe.es/gazeta/dias/1801/01/23/pdfs/GMD-1801-7.pdf#page=8","Abrir facsímil")</f>
        <v>Abrir facsímil</v>
      </c>
      <c r="K73" s="15" t="s">
        <v>23</v>
      </c>
    </row>
    <row r="74" spans="1:11" ht="42" customHeight="1">
      <c r="A74" s="4" t="s">
        <v>199</v>
      </c>
      <c r="B74" s="5" t="s">
        <v>200</v>
      </c>
      <c r="C74" s="5" t="s">
        <v>32</v>
      </c>
      <c r="D74" s="5" t="s">
        <v>33</v>
      </c>
      <c r="E74" s="5" t="s">
        <v>201</v>
      </c>
      <c r="F74" s="9">
        <v>79</v>
      </c>
      <c r="G74" s="9">
        <v>889</v>
      </c>
      <c r="H74" s="5" t="s">
        <v>21</v>
      </c>
      <c r="I74" s="5" t="s">
        <v>202</v>
      </c>
      <c r="J74" s="12" t="str">
        <f>HYPERLINK("https://www.boe.es/gazeta/dias/1801/08/18/pdfs/GMD-1801-79.pdf#page=6","Abrir facsímil")</f>
        <v>Abrir facsímil</v>
      </c>
      <c r="K74" s="15" t="s">
        <v>23</v>
      </c>
    </row>
    <row r="75" spans="1:11" ht="42" customHeight="1">
      <c r="A75" s="4" t="s">
        <v>203</v>
      </c>
      <c r="B75" s="5" t="s">
        <v>204</v>
      </c>
      <c r="C75" s="5" t="s">
        <v>32</v>
      </c>
      <c r="D75" s="5" t="s">
        <v>33</v>
      </c>
      <c r="E75" s="5" t="s">
        <v>124</v>
      </c>
      <c r="F75" s="9">
        <v>12</v>
      </c>
      <c r="G75" s="9">
        <v>149</v>
      </c>
      <c r="H75" s="5" t="s">
        <v>21</v>
      </c>
      <c r="I75" s="5" t="s">
        <v>205</v>
      </c>
      <c r="J75" s="12" t="str">
        <f>HYPERLINK("https://www.boe.es/gazeta/dias/1801/02/10/pdfs/GMD-1801-12.pdf#page=10","Abrir facsímil")</f>
        <v>Abrir facsímil</v>
      </c>
      <c r="K75" s="15" t="s">
        <v>23</v>
      </c>
    </row>
    <row r="76" spans="1:11" ht="42" customHeight="1">
      <c r="A76" s="4" t="s">
        <v>206</v>
      </c>
      <c r="B76" s="5" t="s">
        <v>207</v>
      </c>
      <c r="C76" s="5" t="s">
        <v>32</v>
      </c>
      <c r="D76" s="5" t="s">
        <v>33</v>
      </c>
      <c r="E76" s="5" t="s">
        <v>90</v>
      </c>
      <c r="F76" s="9">
        <v>1</v>
      </c>
      <c r="G76" s="9">
        <v>8</v>
      </c>
      <c r="H76" s="5" t="s">
        <v>21</v>
      </c>
      <c r="I76" s="5" t="s">
        <v>208</v>
      </c>
      <c r="J76" s="12" t="str">
        <f>HYPERLINK("https://www.boe.es/gazeta/dias/1801/01/02/pdfs/GMD-1801-1.pdf#page=8","Abrir facsímil")</f>
        <v>Abrir facsímil</v>
      </c>
      <c r="K76" s="15" t="s">
        <v>23</v>
      </c>
    </row>
    <row r="77" spans="1:11" ht="42" customHeight="1">
      <c r="A77" s="4" t="s">
        <v>209</v>
      </c>
      <c r="B77" s="5" t="s">
        <v>210</v>
      </c>
      <c r="C77" s="5" t="s">
        <v>32</v>
      </c>
      <c r="D77" s="5" t="s">
        <v>33</v>
      </c>
      <c r="E77" s="5" t="s">
        <v>211</v>
      </c>
      <c r="F77" s="9">
        <v>87</v>
      </c>
      <c r="G77" s="9">
        <v>966</v>
      </c>
      <c r="H77" s="5" t="s">
        <v>21</v>
      </c>
      <c r="I77" s="5" t="s">
        <v>212</v>
      </c>
      <c r="J77" s="12" t="str">
        <f>HYPERLINK("https://www.boe.es/gazeta/dias/1801/09/11/pdfs/GMD-1801-87.pdf#page=9","Abrir facsímil")</f>
        <v>Abrir facsímil</v>
      </c>
      <c r="K77" s="15" t="s">
        <v>23</v>
      </c>
    </row>
    <row r="78" spans="1:11" ht="42" customHeight="1">
      <c r="A78" s="4" t="s">
        <v>213</v>
      </c>
      <c r="B78" s="5" t="s">
        <v>214</v>
      </c>
      <c r="C78" s="5" t="s">
        <v>75</v>
      </c>
      <c r="D78" s="5" t="s">
        <v>76</v>
      </c>
      <c r="E78" s="5" t="s">
        <v>215</v>
      </c>
      <c r="F78" s="9">
        <v>71</v>
      </c>
      <c r="G78" s="9">
        <v>784</v>
      </c>
      <c r="H78" s="5" t="s">
        <v>21</v>
      </c>
      <c r="I78" s="5" t="s">
        <v>216</v>
      </c>
      <c r="J78" s="12" t="str">
        <f>HYPERLINK("https://www.boe.es/gazeta/dias/1801/07/21/pdfs/GMD-1801-71.pdf#page=5","Abrir facsímil")</f>
        <v>Abrir facsímil</v>
      </c>
      <c r="K78" s="15" t="s">
        <v>23</v>
      </c>
    </row>
    <row r="79" spans="1:11" ht="42" customHeight="1">
      <c r="A79" s="4" t="s">
        <v>217</v>
      </c>
      <c r="B79" s="5" t="s">
        <v>218</v>
      </c>
      <c r="C79" s="5" t="s">
        <v>69</v>
      </c>
      <c r="D79" s="5" t="s">
        <v>19</v>
      </c>
      <c r="E79" s="5" t="s">
        <v>219</v>
      </c>
      <c r="F79" s="9">
        <v>26</v>
      </c>
      <c r="G79" s="9">
        <v>342</v>
      </c>
      <c r="H79" s="5" t="s">
        <v>21</v>
      </c>
      <c r="I79" s="5" t="s">
        <v>220</v>
      </c>
      <c r="J79" s="12" t="str">
        <f>HYPERLINK("https://www.boe.es/gazeta/dias/1801/03/31/pdfs/GMD-1801-26.pdf#page=6","Abrir facsímil")</f>
        <v>Abrir facsímil</v>
      </c>
      <c r="K79" s="15" t="s">
        <v>23</v>
      </c>
    </row>
    <row r="80" spans="1:11" ht="42" customHeight="1">
      <c r="A80" s="4" t="s">
        <v>217</v>
      </c>
      <c r="B80" s="5" t="s">
        <v>218</v>
      </c>
      <c r="C80" s="5" t="s">
        <v>75</v>
      </c>
      <c r="D80" s="5" t="s">
        <v>76</v>
      </c>
      <c r="E80" s="5" t="s">
        <v>221</v>
      </c>
      <c r="F80" s="9">
        <v>28</v>
      </c>
      <c r="G80" s="9">
        <v>365</v>
      </c>
      <c r="H80" s="5" t="s">
        <v>21</v>
      </c>
      <c r="I80" s="5" t="s">
        <v>222</v>
      </c>
      <c r="J80" s="12" t="str">
        <f>HYPERLINK("https://www.boe.es/gazeta/dias/1801/04/07/pdfs/GMD-1801-28.pdf#page=5","Abrir facsímil")</f>
        <v>Abrir facsímil</v>
      </c>
      <c r="K80" s="15" t="s">
        <v>23</v>
      </c>
    </row>
    <row r="81" spans="1:11" ht="42" customHeight="1">
      <c r="A81" s="4" t="s">
        <v>217</v>
      </c>
      <c r="B81" s="5" t="s">
        <v>218</v>
      </c>
      <c r="C81" s="5" t="s">
        <v>18</v>
      </c>
      <c r="D81" s="5" t="s">
        <v>19</v>
      </c>
      <c r="E81" s="5" t="s">
        <v>223</v>
      </c>
      <c r="F81" s="9">
        <v>74</v>
      </c>
      <c r="G81" s="9">
        <v>825</v>
      </c>
      <c r="H81" s="5" t="s">
        <v>21</v>
      </c>
      <c r="I81" s="5" t="s">
        <v>224</v>
      </c>
      <c r="J81" s="12" t="str">
        <f>HYPERLINK("https://www.boe.es/gazeta/dias/1801/07/31/pdfs/GMD-1801-74.pdf#page=6","Abrir facsímil")</f>
        <v>Abrir facsímil</v>
      </c>
      <c r="K81" s="15" t="s">
        <v>23</v>
      </c>
    </row>
    <row r="82" spans="1:11" ht="42" customHeight="1">
      <c r="A82" s="4" t="s">
        <v>217</v>
      </c>
      <c r="B82" s="5" t="s">
        <v>218</v>
      </c>
      <c r="C82" s="5" t="s">
        <v>38</v>
      </c>
      <c r="D82" s="5" t="s">
        <v>39</v>
      </c>
      <c r="E82" s="5" t="s">
        <v>171</v>
      </c>
      <c r="F82" s="9">
        <v>76</v>
      </c>
      <c r="G82" s="9">
        <v>848</v>
      </c>
      <c r="H82" s="5" t="s">
        <v>21</v>
      </c>
      <c r="I82" s="5" t="s">
        <v>225</v>
      </c>
      <c r="J82" s="12" t="str">
        <f>HYPERLINK("https://www.boe.es/gazeta/dias/1801/08/07/pdfs/GMD-1801-76.pdf#page=5","Abrir facsímil")</f>
        <v>Abrir facsímil</v>
      </c>
      <c r="K82" s="15" t="s">
        <v>23</v>
      </c>
    </row>
    <row r="83" spans="1:11" ht="42" customHeight="1">
      <c r="A83" s="4" t="s">
        <v>226</v>
      </c>
      <c r="B83" s="5" t="s">
        <v>227</v>
      </c>
      <c r="C83" s="5" t="s">
        <v>38</v>
      </c>
      <c r="D83" s="5" t="s">
        <v>39</v>
      </c>
      <c r="E83" s="5" t="s">
        <v>223</v>
      </c>
      <c r="F83" s="9">
        <v>74</v>
      </c>
      <c r="G83" s="9">
        <v>830</v>
      </c>
      <c r="H83" s="5" t="s">
        <v>21</v>
      </c>
      <c r="I83" s="5" t="s">
        <v>228</v>
      </c>
      <c r="J83" s="12" t="str">
        <f>HYPERLINK("https://www.boe.es/gazeta/dias/1801/07/31/pdfs/GMD-1801-74.pdf#page=11","Abrir facsímil")</f>
        <v>Abrir facsímil</v>
      </c>
      <c r="K83" s="15" t="s">
        <v>23</v>
      </c>
    </row>
    <row r="84" spans="1:11" ht="42" customHeight="1">
      <c r="A84" s="4" t="s">
        <v>229</v>
      </c>
      <c r="B84" s="5" t="s">
        <v>230</v>
      </c>
      <c r="C84" s="5" t="s">
        <v>32</v>
      </c>
      <c r="D84" s="5" t="s">
        <v>33</v>
      </c>
      <c r="E84" s="5" t="s">
        <v>131</v>
      </c>
      <c r="F84" s="9">
        <v>22</v>
      </c>
      <c r="G84" s="9">
        <v>290</v>
      </c>
      <c r="H84" s="5" t="s">
        <v>21</v>
      </c>
      <c r="I84" s="5" t="s">
        <v>231</v>
      </c>
      <c r="J84" s="12" t="str">
        <f>HYPERLINK("https://www.boe.es/gazeta/dias/1801/03/17/pdfs/GMD-1801-22.pdf#page=7","Abrir facsímil")</f>
        <v>Abrir facsímil</v>
      </c>
      <c r="K84" s="15" t="s">
        <v>23</v>
      </c>
    </row>
    <row r="85" spans="1:11" ht="42" customHeight="1">
      <c r="A85" s="4" t="s">
        <v>232</v>
      </c>
      <c r="B85" s="5" t="s">
        <v>232</v>
      </c>
      <c r="C85" s="5" t="s">
        <v>75</v>
      </c>
      <c r="D85" s="5" t="s">
        <v>76</v>
      </c>
      <c r="E85" s="5" t="s">
        <v>126</v>
      </c>
      <c r="F85" s="9">
        <v>13</v>
      </c>
      <c r="G85" s="9">
        <v>154</v>
      </c>
      <c r="H85" s="5" t="s">
        <v>21</v>
      </c>
      <c r="I85" s="5" t="s">
        <v>233</v>
      </c>
      <c r="J85" s="12" t="str">
        <f>HYPERLINK("https://www.boe.es/gazeta/dias/1801/02/13/pdfs/GMD-1801-13.pdf#page=1","Abrir facsímil")</f>
        <v>Abrir facsímil</v>
      </c>
      <c r="K85" s="15" t="s">
        <v>23</v>
      </c>
    </row>
    <row r="86" spans="1:11" ht="42" customHeight="1">
      <c r="A86" s="4" t="s">
        <v>232</v>
      </c>
      <c r="B86" s="5" t="s">
        <v>232</v>
      </c>
      <c r="C86" s="5" t="s">
        <v>75</v>
      </c>
      <c r="D86" s="5" t="s">
        <v>76</v>
      </c>
      <c r="E86" s="5" t="s">
        <v>48</v>
      </c>
      <c r="F86" s="9">
        <v>20</v>
      </c>
      <c r="G86" s="9">
        <v>260</v>
      </c>
      <c r="H86" s="5" t="s">
        <v>21</v>
      </c>
      <c r="I86" s="5" t="s">
        <v>234</v>
      </c>
      <c r="J86" s="12" t="str">
        <f>HYPERLINK("https://www.boe.es/gazeta/dias/1801/03/10/pdfs/GMD-1801-20.pdf#page=5","Abrir facsímil")</f>
        <v>Abrir facsímil</v>
      </c>
      <c r="K86" s="15" t="s">
        <v>23</v>
      </c>
    </row>
    <row r="87" spans="1:11" ht="42" customHeight="1">
      <c r="A87" s="4" t="s">
        <v>232</v>
      </c>
      <c r="B87" s="5" t="s">
        <v>232</v>
      </c>
      <c r="C87" s="5" t="s">
        <v>38</v>
      </c>
      <c r="D87" s="5" t="s">
        <v>39</v>
      </c>
      <c r="E87" s="5" t="s">
        <v>155</v>
      </c>
      <c r="F87" s="9">
        <v>50</v>
      </c>
      <c r="G87" s="9">
        <v>591</v>
      </c>
      <c r="H87" s="5" t="s">
        <v>21</v>
      </c>
      <c r="I87" s="5" t="s">
        <v>235</v>
      </c>
      <c r="J87" s="12" t="str">
        <f>HYPERLINK("https://www.boe.es/gazeta/dias/1801/06/09/pdfs/GMD-1801-50.pdf#page=3","Abrir facsímil")</f>
        <v>Abrir facsímil</v>
      </c>
      <c r="K87" s="15" t="s">
        <v>23</v>
      </c>
    </row>
    <row r="88" spans="1:11" ht="42" customHeight="1">
      <c r="A88" s="4" t="s">
        <v>236</v>
      </c>
      <c r="B88" s="5" t="s">
        <v>237</v>
      </c>
      <c r="C88" s="5" t="s">
        <v>75</v>
      </c>
      <c r="D88" s="5" t="s">
        <v>76</v>
      </c>
      <c r="E88" s="5" t="s">
        <v>126</v>
      </c>
      <c r="F88" s="9">
        <v>13</v>
      </c>
      <c r="G88" s="9">
        <v>154</v>
      </c>
      <c r="H88" s="5" t="s">
        <v>21</v>
      </c>
      <c r="I88" s="5" t="s">
        <v>238</v>
      </c>
      <c r="J88" s="12" t="str">
        <f>HYPERLINK("https://www.boe.es/gazeta/dias/1801/02/13/pdfs/GMD-1801-13.pdf#page=1","Abrir facsímil")</f>
        <v>Abrir facsímil</v>
      </c>
      <c r="K88" s="15" t="s">
        <v>23</v>
      </c>
    </row>
    <row r="89" spans="1:11" ht="42" customHeight="1">
      <c r="A89" s="4" t="s">
        <v>239</v>
      </c>
      <c r="B89" s="5" t="s">
        <v>239</v>
      </c>
      <c r="C89" s="5" t="s">
        <v>32</v>
      </c>
      <c r="D89" s="5" t="s">
        <v>33</v>
      </c>
      <c r="E89" s="5" t="s">
        <v>219</v>
      </c>
      <c r="F89" s="9">
        <v>26</v>
      </c>
      <c r="G89" s="9">
        <v>339</v>
      </c>
      <c r="H89" s="5" t="s">
        <v>21</v>
      </c>
      <c r="I89" s="5" t="s">
        <v>240</v>
      </c>
      <c r="J89" s="12" t="str">
        <f>HYPERLINK("https://www.boe.es/gazeta/dias/1801/03/31/pdfs/GMD-1801-26.pdf#page=3","Abrir facsímil")</f>
        <v>Abrir facsímil</v>
      </c>
      <c r="K89" s="15" t="s">
        <v>23</v>
      </c>
    </row>
    <row r="90" spans="1:11" ht="42" customHeight="1">
      <c r="A90" s="4" t="s">
        <v>241</v>
      </c>
      <c r="B90" s="5" t="s">
        <v>241</v>
      </c>
      <c r="C90" s="5" t="s">
        <v>75</v>
      </c>
      <c r="D90" s="5" t="s">
        <v>76</v>
      </c>
      <c r="E90" s="5" t="s">
        <v>145</v>
      </c>
      <c r="F90" s="9">
        <v>36</v>
      </c>
      <c r="G90" s="9">
        <v>461</v>
      </c>
      <c r="H90" s="5" t="s">
        <v>21</v>
      </c>
      <c r="I90" s="5" t="s">
        <v>242</v>
      </c>
      <c r="J90" s="12" t="str">
        <f>HYPERLINK("https://www.boe.es/gazeta/dias/1801/05/05/pdfs/GMD-1801-36.pdf#page=5","Abrir facsímil")</f>
        <v>Abrir facsímil</v>
      </c>
      <c r="K90" s="15" t="s">
        <v>23</v>
      </c>
    </row>
    <row r="91" spans="1:11" ht="42" customHeight="1">
      <c r="A91" s="4" t="s">
        <v>243</v>
      </c>
      <c r="B91" s="5" t="s">
        <v>243</v>
      </c>
      <c r="C91" s="5" t="s">
        <v>38</v>
      </c>
      <c r="D91" s="5" t="s">
        <v>39</v>
      </c>
      <c r="E91" s="5" t="s">
        <v>131</v>
      </c>
      <c r="F91" s="9">
        <v>22</v>
      </c>
      <c r="G91" s="9">
        <v>287</v>
      </c>
      <c r="H91" s="5" t="s">
        <v>21</v>
      </c>
      <c r="I91" s="5" t="s">
        <v>244</v>
      </c>
      <c r="J91" s="12" t="str">
        <f>HYPERLINK("https://www.boe.es/gazeta/dias/1801/03/17/pdfs/GMD-1801-22.pdf#page=4","Abrir facsímil")</f>
        <v>Abrir facsímil</v>
      </c>
      <c r="K91" s="15" t="s">
        <v>23</v>
      </c>
    </row>
    <row r="92" spans="1:11" ht="42" customHeight="1">
      <c r="A92" s="4" t="s">
        <v>245</v>
      </c>
      <c r="B92" s="5" t="s">
        <v>245</v>
      </c>
      <c r="C92" s="5" t="s">
        <v>75</v>
      </c>
      <c r="D92" s="5" t="s">
        <v>76</v>
      </c>
      <c r="E92" s="5" t="s">
        <v>141</v>
      </c>
      <c r="F92" s="9">
        <v>33</v>
      </c>
      <c r="G92" s="9">
        <v>420</v>
      </c>
      <c r="H92" s="5" t="s">
        <v>21</v>
      </c>
      <c r="I92" s="5" t="s">
        <v>246</v>
      </c>
      <c r="J92" s="12" t="str">
        <f>HYPERLINK("https://www.boe.es/gazeta/dias/1801/04/24/pdfs/GMD-1801-33.pdf#page=4","Abrir facsímil")</f>
        <v>Abrir facsímil</v>
      </c>
      <c r="K92" s="15" t="s">
        <v>23</v>
      </c>
    </row>
    <row r="93" spans="1:11" ht="42" customHeight="1">
      <c r="A93" s="4" t="s">
        <v>245</v>
      </c>
      <c r="B93" s="5" t="s">
        <v>245</v>
      </c>
      <c r="C93" s="5" t="s">
        <v>38</v>
      </c>
      <c r="D93" s="5" t="s">
        <v>39</v>
      </c>
      <c r="E93" s="5" t="s">
        <v>143</v>
      </c>
      <c r="F93" s="9">
        <v>34</v>
      </c>
      <c r="G93" s="9">
        <v>433</v>
      </c>
      <c r="H93" s="5" t="s">
        <v>21</v>
      </c>
      <c r="I93" s="5" t="s">
        <v>247</v>
      </c>
      <c r="J93" s="12" t="str">
        <f>HYPERLINK("https://www.boe.es/gazeta/dias/1801/04/28/pdfs/GMD-1801-34.pdf#page=5","Abrir facsímil")</f>
        <v>Abrir facsímil</v>
      </c>
      <c r="K93" s="15" t="s">
        <v>23</v>
      </c>
    </row>
    <row r="94" spans="1:11" ht="42" customHeight="1">
      <c r="A94" s="4" t="s">
        <v>245</v>
      </c>
      <c r="B94" s="5" t="s">
        <v>245</v>
      </c>
      <c r="C94" s="5" t="s">
        <v>32</v>
      </c>
      <c r="D94" s="5" t="s">
        <v>33</v>
      </c>
      <c r="E94" s="5" t="s">
        <v>165</v>
      </c>
      <c r="F94" s="9">
        <v>59</v>
      </c>
      <c r="G94" s="9">
        <v>671</v>
      </c>
      <c r="H94" s="5" t="s">
        <v>21</v>
      </c>
      <c r="I94" s="5" t="s">
        <v>248</v>
      </c>
      <c r="J94" s="12" t="str">
        <f>HYPERLINK("https://www.boe.es/gazeta/dias/1801/06/23/pdfs/GMD-1801-59.pdf#page=4","Abrir facsímil")</f>
        <v>Abrir facsímil</v>
      </c>
      <c r="K94" s="15" t="s">
        <v>23</v>
      </c>
    </row>
    <row r="95" spans="1:11" ht="42" customHeight="1">
      <c r="A95" s="4" t="s">
        <v>245</v>
      </c>
      <c r="B95" s="5" t="s">
        <v>245</v>
      </c>
      <c r="C95" s="5" t="s">
        <v>32</v>
      </c>
      <c r="D95" s="5" t="s">
        <v>33</v>
      </c>
      <c r="E95" s="5" t="s">
        <v>72</v>
      </c>
      <c r="F95" s="9">
        <v>60</v>
      </c>
      <c r="G95" s="9">
        <v>684</v>
      </c>
      <c r="H95" s="5" t="s">
        <v>21</v>
      </c>
      <c r="I95" s="5" t="s">
        <v>249</v>
      </c>
      <c r="J95" s="12" t="str">
        <f>HYPERLINK("https://www.boe.es/gazeta/dias/1801/06/26/pdfs/GMD-1801-60.pdf#page=5","Abrir facsímil")</f>
        <v>Abrir facsímil</v>
      </c>
      <c r="K95" s="15" t="s">
        <v>23</v>
      </c>
    </row>
    <row r="96" spans="1:11" ht="42" customHeight="1">
      <c r="A96" s="4" t="s">
        <v>245</v>
      </c>
      <c r="B96" s="5" t="s">
        <v>245</v>
      </c>
      <c r="C96" s="5" t="s">
        <v>75</v>
      </c>
      <c r="D96" s="5" t="s">
        <v>76</v>
      </c>
      <c r="E96" s="5" t="s">
        <v>40</v>
      </c>
      <c r="F96" s="9">
        <v>63</v>
      </c>
      <c r="G96" s="9">
        <v>709</v>
      </c>
      <c r="H96" s="5" t="s">
        <v>21</v>
      </c>
      <c r="I96" s="5" t="s">
        <v>250</v>
      </c>
      <c r="J96" s="12" t="str">
        <f>HYPERLINK("https://www.boe.es/gazeta/dias/1801/07/03/pdfs/GMD-1801-63.pdf#page=6","Abrir facsímil")</f>
        <v>Abrir facsímil</v>
      </c>
      <c r="K96" s="15" t="s">
        <v>23</v>
      </c>
    </row>
    <row r="97" spans="1:11" ht="42" customHeight="1">
      <c r="A97" s="4" t="s">
        <v>245</v>
      </c>
      <c r="B97" s="5" t="s">
        <v>245</v>
      </c>
      <c r="C97" s="5" t="s">
        <v>32</v>
      </c>
      <c r="D97" s="5" t="s">
        <v>33</v>
      </c>
      <c r="E97" s="5" t="s">
        <v>251</v>
      </c>
      <c r="F97" s="9">
        <v>66</v>
      </c>
      <c r="G97" s="9">
        <v>738</v>
      </c>
      <c r="H97" s="5" t="s">
        <v>21</v>
      </c>
      <c r="I97" s="5" t="s">
        <v>252</v>
      </c>
      <c r="J97" s="12" t="str">
        <f>HYPERLINK("https://www.boe.es/gazeta/dias/1801/07/10/pdfs/GMD-1801-66.pdf#page=3","Abrir facsímil")</f>
        <v>Abrir facsímil</v>
      </c>
      <c r="K97" s="15" t="s">
        <v>23</v>
      </c>
    </row>
    <row r="98" spans="1:11" ht="42" customHeight="1">
      <c r="A98" s="4" t="s">
        <v>245</v>
      </c>
      <c r="B98" s="5" t="s">
        <v>245</v>
      </c>
      <c r="C98" s="5" t="s">
        <v>32</v>
      </c>
      <c r="D98" s="5" t="s">
        <v>33</v>
      </c>
      <c r="E98" s="5" t="s">
        <v>215</v>
      </c>
      <c r="F98" s="9">
        <v>71</v>
      </c>
      <c r="G98" s="9">
        <v>783</v>
      </c>
      <c r="H98" s="5" t="s">
        <v>21</v>
      </c>
      <c r="I98" s="5" t="s">
        <v>253</v>
      </c>
      <c r="J98" s="12" t="str">
        <f>HYPERLINK("https://www.boe.es/gazeta/dias/1801/07/21/pdfs/GMD-1801-71.pdf#page=4","Abrir facsímil")</f>
        <v>Abrir facsímil</v>
      </c>
      <c r="K98" s="15" t="s">
        <v>23</v>
      </c>
    </row>
    <row r="99" spans="1:11" ht="42" customHeight="1">
      <c r="A99" s="4" t="s">
        <v>245</v>
      </c>
      <c r="B99" s="5" t="s">
        <v>245</v>
      </c>
      <c r="C99" s="5" t="s">
        <v>75</v>
      </c>
      <c r="D99" s="5" t="s">
        <v>76</v>
      </c>
      <c r="E99" s="5" t="s">
        <v>254</v>
      </c>
      <c r="F99" s="9">
        <v>73</v>
      </c>
      <c r="G99" s="9">
        <v>810</v>
      </c>
      <c r="H99" s="5" t="s">
        <v>21</v>
      </c>
      <c r="I99" s="5" t="s">
        <v>255</v>
      </c>
      <c r="J99" s="12" t="str">
        <f>HYPERLINK("https://www.boe.es/gazeta/dias/1801/07/28/pdfs/GMD-1801-73.pdf#page=3","Abrir facsímil")</f>
        <v>Abrir facsímil</v>
      </c>
      <c r="K99" s="15" t="s">
        <v>23</v>
      </c>
    </row>
    <row r="100" spans="1:11" ht="42" customHeight="1">
      <c r="A100" s="4" t="s">
        <v>245</v>
      </c>
      <c r="B100" s="5" t="s">
        <v>245</v>
      </c>
      <c r="C100" s="5" t="s">
        <v>75</v>
      </c>
      <c r="D100" s="5" t="s">
        <v>76</v>
      </c>
      <c r="E100" s="5" t="s">
        <v>256</v>
      </c>
      <c r="F100" s="9">
        <v>78</v>
      </c>
      <c r="G100" s="9">
        <v>876</v>
      </c>
      <c r="H100" s="5" t="s">
        <v>21</v>
      </c>
      <c r="I100" s="5" t="s">
        <v>257</v>
      </c>
      <c r="J100" s="12" t="str">
        <f>HYPERLINK("https://www.boe.es/gazeta/dias/1801/08/14/pdfs/GMD-1801-78.pdf#page=5","Abrir facsímil")</f>
        <v>Abrir facsímil</v>
      </c>
      <c r="K100" s="15" t="s">
        <v>23</v>
      </c>
    </row>
    <row r="101" spans="1:11" ht="42" customHeight="1">
      <c r="A101" s="4" t="s">
        <v>245</v>
      </c>
      <c r="B101" s="5" t="s">
        <v>245</v>
      </c>
      <c r="C101" s="5" t="s">
        <v>32</v>
      </c>
      <c r="D101" s="5" t="s">
        <v>33</v>
      </c>
      <c r="E101" s="5" t="s">
        <v>258</v>
      </c>
      <c r="F101" s="9">
        <v>96</v>
      </c>
      <c r="G101" s="9">
        <v>1049</v>
      </c>
      <c r="H101" s="5" t="s">
        <v>21</v>
      </c>
      <c r="I101" s="5" t="s">
        <v>259</v>
      </c>
      <c r="J101" s="12" t="str">
        <f>HYPERLINK("https://www.boe.es/gazeta/dias/1801/10/09/pdfs/GMD-1801-96.pdf#page=5","Abrir facsímil")</f>
        <v>Abrir facsímil</v>
      </c>
      <c r="K101" s="15" t="s">
        <v>23</v>
      </c>
    </row>
    <row r="102" spans="1:11" ht="42" customHeight="1">
      <c r="A102" s="4" t="s">
        <v>245</v>
      </c>
      <c r="B102" s="5" t="s">
        <v>245</v>
      </c>
      <c r="C102" s="5" t="s">
        <v>75</v>
      </c>
      <c r="D102" s="5" t="s">
        <v>76</v>
      </c>
      <c r="E102" s="5" t="s">
        <v>173</v>
      </c>
      <c r="F102" s="9">
        <v>98</v>
      </c>
      <c r="G102" s="9">
        <v>1071</v>
      </c>
      <c r="H102" s="5" t="s">
        <v>21</v>
      </c>
      <c r="I102" s="5" t="s">
        <v>260</v>
      </c>
      <c r="J102" s="12" t="str">
        <f>HYPERLINK("https://www.boe.es/gazeta/dias/1801/10/16/pdfs/GMD-1801-98.pdf#page=3","Abrir facsímil")</f>
        <v>Abrir facsímil</v>
      </c>
      <c r="K102" s="15" t="s">
        <v>23</v>
      </c>
    </row>
    <row r="103" spans="1:11" ht="42" customHeight="1">
      <c r="A103" s="4" t="s">
        <v>245</v>
      </c>
      <c r="B103" s="5" t="s">
        <v>245</v>
      </c>
      <c r="C103" s="5" t="s">
        <v>38</v>
      </c>
      <c r="D103" s="5" t="s">
        <v>39</v>
      </c>
      <c r="E103" s="5" t="s">
        <v>55</v>
      </c>
      <c r="F103" s="9">
        <v>104</v>
      </c>
      <c r="G103" s="9">
        <v>1144</v>
      </c>
      <c r="H103" s="5" t="s">
        <v>21</v>
      </c>
      <c r="I103" s="5" t="s">
        <v>261</v>
      </c>
      <c r="J103" s="12" t="str">
        <f>HYPERLINK("https://www.boe.es/gazeta/dias/1801/11/06/pdfs/GMD-1801-104.pdf#page=5","Abrir facsímil")</f>
        <v>Abrir facsímil</v>
      </c>
      <c r="K103" s="15" t="s">
        <v>23</v>
      </c>
    </row>
    <row r="104" spans="1:11" ht="42" customHeight="1">
      <c r="A104" s="4" t="s">
        <v>245</v>
      </c>
      <c r="B104" s="5" t="s">
        <v>245</v>
      </c>
      <c r="C104" s="5" t="s">
        <v>75</v>
      </c>
      <c r="D104" s="5" t="s">
        <v>76</v>
      </c>
      <c r="E104" s="5" t="s">
        <v>262</v>
      </c>
      <c r="F104" s="9">
        <v>109</v>
      </c>
      <c r="G104" s="9">
        <v>1198</v>
      </c>
      <c r="H104" s="5" t="s">
        <v>21</v>
      </c>
      <c r="I104" s="5" t="s">
        <v>263</v>
      </c>
      <c r="J104" s="12" t="str">
        <f>HYPERLINK("https://www.boe.es/gazeta/dias/1801/11/24/pdfs/GMD-1801-109.pdf#page=3","Abrir facsímil")</f>
        <v>Abrir facsímil</v>
      </c>
      <c r="K104" s="15" t="s">
        <v>23</v>
      </c>
    </row>
    <row r="105" spans="1:11" ht="42" customHeight="1">
      <c r="A105" s="4" t="s">
        <v>245</v>
      </c>
      <c r="B105" s="5" t="s">
        <v>245</v>
      </c>
      <c r="C105" s="5" t="s">
        <v>38</v>
      </c>
      <c r="D105" s="5" t="s">
        <v>39</v>
      </c>
      <c r="E105" s="5" t="s">
        <v>264</v>
      </c>
      <c r="F105" s="9">
        <v>111</v>
      </c>
      <c r="G105" s="9">
        <v>1216</v>
      </c>
      <c r="H105" s="5" t="s">
        <v>21</v>
      </c>
      <c r="I105" s="5" t="s">
        <v>265</v>
      </c>
      <c r="J105" s="12" t="str">
        <f>HYPERLINK("https://www.boe.es/gazeta/dias/1801/12/01/pdfs/GMD-1801-111.pdf#page=5","Abrir facsímil")</f>
        <v>Abrir facsímil</v>
      </c>
      <c r="K105" s="15" t="s">
        <v>23</v>
      </c>
    </row>
    <row r="106" spans="1:11" ht="42" customHeight="1">
      <c r="A106" s="4" t="s">
        <v>245</v>
      </c>
      <c r="B106" s="5" t="s">
        <v>245</v>
      </c>
      <c r="C106" s="5" t="s">
        <v>32</v>
      </c>
      <c r="D106" s="5" t="s">
        <v>33</v>
      </c>
      <c r="E106" s="5" t="s">
        <v>266</v>
      </c>
      <c r="F106" s="9">
        <v>119</v>
      </c>
      <c r="G106" s="9">
        <v>1299</v>
      </c>
      <c r="H106" s="5" t="s">
        <v>21</v>
      </c>
      <c r="I106" s="5" t="s">
        <v>267</v>
      </c>
      <c r="J106" s="12" t="str">
        <f>HYPERLINK("https://www.boe.es/gazeta/dias/1801/12/29/pdfs/GMD-1801-119.pdf#page=3","Abrir facsímil")</f>
        <v>Abrir facsímil</v>
      </c>
      <c r="K106" s="15" t="s">
        <v>23</v>
      </c>
    </row>
    <row r="107" spans="1:11" ht="42" customHeight="1">
      <c r="A107" s="4" t="s">
        <v>268</v>
      </c>
      <c r="B107" s="5" t="s">
        <v>269</v>
      </c>
      <c r="C107" s="5" t="s">
        <v>75</v>
      </c>
      <c r="D107" s="5" t="s">
        <v>76</v>
      </c>
      <c r="E107" s="5" t="s">
        <v>128</v>
      </c>
      <c r="F107" s="9">
        <v>17</v>
      </c>
      <c r="G107" s="9">
        <v>207</v>
      </c>
      <c r="H107" s="5" t="s">
        <v>21</v>
      </c>
      <c r="I107" s="5" t="s">
        <v>270</v>
      </c>
      <c r="J107" s="12" t="str">
        <f>HYPERLINK("https://www.boe.es/gazeta/dias/1801/02/27/pdfs/GMD-1801-17.pdf#page=2","Abrir facsímil")</f>
        <v>Abrir facsímil</v>
      </c>
      <c r="K107" s="15" t="s">
        <v>23</v>
      </c>
    </row>
    <row r="108" spans="1:11" ht="42" customHeight="1">
      <c r="A108" s="4" t="s">
        <v>268</v>
      </c>
      <c r="B108" s="5" t="s">
        <v>269</v>
      </c>
      <c r="C108" s="5" t="s">
        <v>38</v>
      </c>
      <c r="D108" s="5" t="s">
        <v>39</v>
      </c>
      <c r="E108" s="5" t="s">
        <v>131</v>
      </c>
      <c r="F108" s="9">
        <v>22</v>
      </c>
      <c r="G108" s="9">
        <v>286</v>
      </c>
      <c r="H108" s="5" t="s">
        <v>21</v>
      </c>
      <c r="I108" s="5" t="s">
        <v>271</v>
      </c>
      <c r="J108" s="12" t="str">
        <f>HYPERLINK("https://www.boe.es/gazeta/dias/1801/03/17/pdfs/GMD-1801-22.pdf#page=3","Abrir facsímil")</f>
        <v>Abrir facsímil</v>
      </c>
      <c r="K108" s="15" t="s">
        <v>23</v>
      </c>
    </row>
    <row r="109" spans="1:11" ht="42" customHeight="1">
      <c r="A109" s="4" t="s">
        <v>272</v>
      </c>
      <c r="B109" s="5" t="s">
        <v>272</v>
      </c>
      <c r="C109" s="5" t="s">
        <v>32</v>
      </c>
      <c r="D109" s="5" t="s">
        <v>33</v>
      </c>
      <c r="E109" s="5" t="s">
        <v>201</v>
      </c>
      <c r="F109" s="9">
        <v>79</v>
      </c>
      <c r="G109" s="9">
        <v>884</v>
      </c>
      <c r="H109" s="5" t="s">
        <v>21</v>
      </c>
      <c r="I109" s="5" t="s">
        <v>273</v>
      </c>
      <c r="J109" s="12" t="str">
        <f>HYPERLINK("https://www.boe.es/gazeta/dias/1801/08/18/pdfs/GMD-1801-79.pdf#page=1","Abrir facsímil")</f>
        <v>Abrir facsímil</v>
      </c>
      <c r="K109" s="15" t="s">
        <v>23</v>
      </c>
    </row>
    <row r="110" spans="1:11" ht="42" customHeight="1">
      <c r="A110" s="4" t="s">
        <v>274</v>
      </c>
      <c r="B110" s="5" t="s">
        <v>274</v>
      </c>
      <c r="C110" s="5" t="s">
        <v>38</v>
      </c>
      <c r="D110" s="5" t="s">
        <v>39</v>
      </c>
      <c r="E110" s="5" t="s">
        <v>275</v>
      </c>
      <c r="F110" s="9">
        <v>9</v>
      </c>
      <c r="G110" s="9">
        <v>113</v>
      </c>
      <c r="H110" s="5" t="s">
        <v>21</v>
      </c>
      <c r="I110" s="5" t="s">
        <v>276</v>
      </c>
      <c r="J110" s="12" t="str">
        <f>HYPERLINK("https://www.boe.es/gazeta/dias/1801/01/30/pdfs/GMD-1801-9.pdf#page=10","Abrir facsímil")</f>
        <v>Abrir facsímil</v>
      </c>
      <c r="K110" s="15" t="s">
        <v>23</v>
      </c>
    </row>
    <row r="111" spans="1:11" ht="42" customHeight="1">
      <c r="A111" s="4" t="s">
        <v>277</v>
      </c>
      <c r="B111" s="5" t="s">
        <v>278</v>
      </c>
      <c r="C111" s="5" t="s">
        <v>75</v>
      </c>
      <c r="D111" s="5" t="s">
        <v>76</v>
      </c>
      <c r="E111" s="5" t="s">
        <v>137</v>
      </c>
      <c r="F111" s="9">
        <v>30</v>
      </c>
      <c r="G111" s="9">
        <v>386</v>
      </c>
      <c r="H111" s="5" t="s">
        <v>21</v>
      </c>
      <c r="I111" s="5" t="s">
        <v>279</v>
      </c>
      <c r="J111" s="12" t="str">
        <f>HYPERLINK("https://www.boe.es/gazeta/dias/1801/04/14/pdfs/GMD-1801-30.pdf#page=2","Abrir facsímil")</f>
        <v>Abrir facsímil</v>
      </c>
      <c r="K111" s="15" t="s">
        <v>23</v>
      </c>
    </row>
    <row r="112" spans="1:11" ht="42" customHeight="1">
      <c r="A112" s="4" t="s">
        <v>277</v>
      </c>
      <c r="B112" s="5" t="s">
        <v>278</v>
      </c>
      <c r="C112" s="5" t="s">
        <v>32</v>
      </c>
      <c r="D112" s="5" t="s">
        <v>33</v>
      </c>
      <c r="E112" s="5" t="s">
        <v>137</v>
      </c>
      <c r="F112" s="9">
        <v>30</v>
      </c>
      <c r="G112" s="9">
        <v>387</v>
      </c>
      <c r="H112" s="5" t="s">
        <v>21</v>
      </c>
      <c r="I112" s="5" t="s">
        <v>280</v>
      </c>
      <c r="J112" s="12" t="str">
        <f>HYPERLINK("https://www.boe.es/gazeta/dias/1801/04/14/pdfs/GMD-1801-30.pdf#page=3","Abrir facsímil")</f>
        <v>Abrir facsímil</v>
      </c>
      <c r="K112" s="15" t="s">
        <v>23</v>
      </c>
    </row>
    <row r="113" spans="1:11" ht="42" customHeight="1">
      <c r="A113" s="4" t="s">
        <v>277</v>
      </c>
      <c r="B113" s="5" t="s">
        <v>278</v>
      </c>
      <c r="C113" s="5" t="s">
        <v>38</v>
      </c>
      <c r="D113" s="5" t="s">
        <v>39</v>
      </c>
      <c r="E113" s="5" t="s">
        <v>143</v>
      </c>
      <c r="F113" s="9">
        <v>34</v>
      </c>
      <c r="G113" s="9">
        <v>432</v>
      </c>
      <c r="H113" s="5" t="s">
        <v>21</v>
      </c>
      <c r="I113" s="5" t="s">
        <v>281</v>
      </c>
      <c r="J113" s="12" t="str">
        <f>HYPERLINK("https://www.boe.es/gazeta/dias/1801/04/28/pdfs/GMD-1801-34.pdf#page=4","Abrir facsímil")</f>
        <v>Abrir facsímil</v>
      </c>
      <c r="K113" s="15" t="s">
        <v>23</v>
      </c>
    </row>
    <row r="114" spans="1:11" ht="42" customHeight="1">
      <c r="A114" s="4" t="s">
        <v>277</v>
      </c>
      <c r="B114" s="5" t="s">
        <v>278</v>
      </c>
      <c r="C114" s="5" t="s">
        <v>75</v>
      </c>
      <c r="D114" s="5" t="s">
        <v>76</v>
      </c>
      <c r="E114" s="5" t="s">
        <v>145</v>
      </c>
      <c r="F114" s="9">
        <v>36</v>
      </c>
      <c r="G114" s="9">
        <v>460</v>
      </c>
      <c r="H114" s="5" t="s">
        <v>21</v>
      </c>
      <c r="I114" s="5" t="s">
        <v>282</v>
      </c>
      <c r="J114" s="12" t="str">
        <f>HYPERLINK("https://www.boe.es/gazeta/dias/1801/05/05/pdfs/GMD-1801-36.pdf#page=4","Abrir facsímil")</f>
        <v>Abrir facsímil</v>
      </c>
      <c r="K114" s="15" t="s">
        <v>23</v>
      </c>
    </row>
    <row r="115" spans="1:11" ht="42" customHeight="1">
      <c r="A115" s="4" t="s">
        <v>277</v>
      </c>
      <c r="B115" s="5" t="s">
        <v>278</v>
      </c>
      <c r="C115" s="5" t="s">
        <v>32</v>
      </c>
      <c r="D115" s="5" t="s">
        <v>33</v>
      </c>
      <c r="E115" s="5" t="s">
        <v>34</v>
      </c>
      <c r="F115" s="9">
        <v>38</v>
      </c>
      <c r="G115" s="9">
        <v>489</v>
      </c>
      <c r="H115" s="5" t="s">
        <v>21</v>
      </c>
      <c r="I115" s="5" t="s">
        <v>283</v>
      </c>
      <c r="J115" s="12" t="str">
        <f>HYPERLINK("https://www.boe.es/gazeta/dias/1801/05/12/pdfs/GMD-1801-38.pdf#page=5","Abrir facsímil")</f>
        <v>Abrir facsímil</v>
      </c>
      <c r="K115" s="15" t="s">
        <v>23</v>
      </c>
    </row>
    <row r="116" spans="1:11" ht="42" customHeight="1">
      <c r="A116" s="4" t="s">
        <v>284</v>
      </c>
      <c r="B116" s="5" t="s">
        <v>285</v>
      </c>
      <c r="C116" s="5" t="s">
        <v>32</v>
      </c>
      <c r="D116" s="5" t="s">
        <v>33</v>
      </c>
      <c r="E116" s="5" t="s">
        <v>135</v>
      </c>
      <c r="F116" s="9">
        <v>24</v>
      </c>
      <c r="G116" s="9">
        <v>310</v>
      </c>
      <c r="H116" s="5" t="s">
        <v>21</v>
      </c>
      <c r="I116" s="5" t="s">
        <v>286</v>
      </c>
      <c r="J116" s="12" t="str">
        <f>HYPERLINK("https://www.boe.es/gazeta/dias/1801/03/24/pdfs/GMD-1801-24.pdf#page=1","Abrir facsímil")</f>
        <v>Abrir facsímil</v>
      </c>
      <c r="K116" s="15" t="s">
        <v>23</v>
      </c>
    </row>
    <row r="117" spans="1:11" ht="42" customHeight="1">
      <c r="A117" s="4" t="s">
        <v>287</v>
      </c>
      <c r="B117" s="5" t="s">
        <v>288</v>
      </c>
      <c r="C117" s="5" t="s">
        <v>75</v>
      </c>
      <c r="D117" s="5" t="s">
        <v>76</v>
      </c>
      <c r="E117" s="5" t="s">
        <v>289</v>
      </c>
      <c r="F117" s="9">
        <v>40</v>
      </c>
      <c r="G117" s="9">
        <v>512</v>
      </c>
      <c r="H117" s="5" t="s">
        <v>21</v>
      </c>
      <c r="I117" s="5" t="s">
        <v>290</v>
      </c>
      <c r="J117" s="12" t="str">
        <f>HYPERLINK("https://www.boe.es/gazeta/dias/1801/05/19/pdfs/GMD-1801-40.pdf#page=4","Abrir facsímil")</f>
        <v>Abrir facsímil</v>
      </c>
      <c r="K117" s="15" t="s">
        <v>23</v>
      </c>
    </row>
    <row r="118" spans="1:11" ht="42" customHeight="1">
      <c r="A118" s="4" t="s">
        <v>291</v>
      </c>
      <c r="B118" s="5" t="s">
        <v>291</v>
      </c>
      <c r="C118" s="5" t="s">
        <v>69</v>
      </c>
      <c r="D118" s="5" t="s">
        <v>19</v>
      </c>
      <c r="E118" s="5" t="s">
        <v>292</v>
      </c>
      <c r="F118" s="9">
        <v>25</v>
      </c>
      <c r="G118" s="9">
        <v>331</v>
      </c>
      <c r="H118" s="5" t="s">
        <v>21</v>
      </c>
      <c r="I118" s="5" t="s">
        <v>293</v>
      </c>
      <c r="J118" s="12" t="str">
        <f>HYPERLINK("https://www.boe.es/gazeta/dias/1801/03/27/pdfs/GMD-1801-25.pdf#page=10","Abrir facsímil")</f>
        <v>Abrir facsímil</v>
      </c>
      <c r="K118" s="15" t="s">
        <v>23</v>
      </c>
    </row>
    <row r="119" spans="1:11" ht="42" customHeight="1">
      <c r="A119" s="4" t="s">
        <v>294</v>
      </c>
      <c r="B119" s="5" t="s">
        <v>294</v>
      </c>
      <c r="C119" s="5" t="s">
        <v>32</v>
      </c>
      <c r="D119" s="5" t="s">
        <v>33</v>
      </c>
      <c r="E119" s="5" t="s">
        <v>112</v>
      </c>
      <c r="F119" s="9">
        <v>114</v>
      </c>
      <c r="G119" s="9">
        <v>1248</v>
      </c>
      <c r="H119" s="5" t="s">
        <v>21</v>
      </c>
      <c r="I119" s="5" t="s">
        <v>295</v>
      </c>
      <c r="J119" s="12" t="str">
        <f>HYPERLINK("https://www.boe.es/gazeta/dias/1801/12/11/pdfs/GMD-1801-114.pdf#page=10","Abrir facsímil")</f>
        <v>Abrir facsímil</v>
      </c>
      <c r="K119" s="15" t="s">
        <v>23</v>
      </c>
    </row>
    <row r="120" spans="1:11" ht="42" customHeight="1">
      <c r="A120" s="4" t="s">
        <v>296</v>
      </c>
      <c r="B120" s="5" t="s">
        <v>296</v>
      </c>
      <c r="C120" s="5" t="s">
        <v>32</v>
      </c>
      <c r="D120" s="5" t="s">
        <v>33</v>
      </c>
      <c r="E120" s="5" t="s">
        <v>223</v>
      </c>
      <c r="F120" s="9">
        <v>74</v>
      </c>
      <c r="G120" s="9">
        <v>827</v>
      </c>
      <c r="H120" s="5" t="s">
        <v>21</v>
      </c>
      <c r="I120" s="5" t="s">
        <v>297</v>
      </c>
      <c r="J120" s="12" t="str">
        <f>HYPERLINK("https://www.boe.es/gazeta/dias/1801/07/31/pdfs/GMD-1801-74.pdf#page=8","Abrir facsímil")</f>
        <v>Abrir facsímil</v>
      </c>
      <c r="K120" s="15" t="s">
        <v>23</v>
      </c>
    </row>
    <row r="121" spans="1:11" ht="42" customHeight="1">
      <c r="A121" s="4" t="s">
        <v>298</v>
      </c>
      <c r="B121" s="5" t="s">
        <v>298</v>
      </c>
      <c r="C121" s="5" t="s">
        <v>80</v>
      </c>
      <c r="D121" s="5" t="s">
        <v>81</v>
      </c>
      <c r="E121" s="5" t="s">
        <v>82</v>
      </c>
      <c r="F121" s="9">
        <v>75</v>
      </c>
      <c r="G121" s="9" t="s">
        <v>299</v>
      </c>
      <c r="H121" s="5" t="s">
        <v>21</v>
      </c>
      <c r="I121" s="5" t="s">
        <v>300</v>
      </c>
      <c r="J121" s="12" t="str">
        <f>HYPERLINK("https://www.boe.es/gazeta/dias/1801/08/04/pdfs/GMD-C-1801-75.pdf#page=5","Abrir facsímil")</f>
        <v>Abrir facsímil</v>
      </c>
      <c r="K121" s="15" t="s">
        <v>23</v>
      </c>
    </row>
    <row r="122" spans="1:11" ht="42" customHeight="1">
      <c r="A122" s="4" t="s">
        <v>301</v>
      </c>
      <c r="B122" s="5" t="s">
        <v>302</v>
      </c>
      <c r="C122" s="5" t="s">
        <v>32</v>
      </c>
      <c r="D122" s="5" t="s">
        <v>33</v>
      </c>
      <c r="E122" s="5" t="s">
        <v>120</v>
      </c>
      <c r="F122" s="9">
        <v>7</v>
      </c>
      <c r="G122" s="9">
        <v>85</v>
      </c>
      <c r="H122" s="5" t="s">
        <v>21</v>
      </c>
      <c r="I122" s="5" t="s">
        <v>303</v>
      </c>
      <c r="J122" s="12" t="str">
        <f>HYPERLINK("https://www.boe.es/gazeta/dias/1801/01/23/pdfs/GMD-1801-7.pdf#page=9","Abrir facsímil")</f>
        <v>Abrir facsímil</v>
      </c>
      <c r="K122" s="15" t="s">
        <v>23</v>
      </c>
    </row>
    <row r="123" spans="1:11" ht="42" customHeight="1">
      <c r="A123" s="4" t="s">
        <v>304</v>
      </c>
      <c r="B123" s="5" t="s">
        <v>304</v>
      </c>
      <c r="C123" s="5" t="s">
        <v>80</v>
      </c>
      <c r="D123" s="5" t="s">
        <v>81</v>
      </c>
      <c r="E123" s="5" t="s">
        <v>289</v>
      </c>
      <c r="F123" s="9">
        <v>40</v>
      </c>
      <c r="G123" s="9" t="s">
        <v>305</v>
      </c>
      <c r="H123" s="5" t="s">
        <v>21</v>
      </c>
      <c r="I123" s="5" t="s">
        <v>306</v>
      </c>
      <c r="J123" s="12" t="str">
        <f>HYPERLINK("https://www.boe.es/gazeta/dias/1801/05/19/pdfs/GMD-C-1801-40.pdf#page=4","Abrir facsímil")</f>
        <v>Abrir facsímil</v>
      </c>
      <c r="K123" s="15" t="s">
        <v>23</v>
      </c>
    </row>
    <row r="124" spans="1:11" ht="42" customHeight="1">
      <c r="A124" s="4" t="s">
        <v>307</v>
      </c>
      <c r="B124" s="5" t="s">
        <v>308</v>
      </c>
      <c r="C124" s="5" t="s">
        <v>75</v>
      </c>
      <c r="D124" s="5" t="s">
        <v>76</v>
      </c>
      <c r="E124" s="5" t="s">
        <v>309</v>
      </c>
      <c r="F124" s="9">
        <v>118</v>
      </c>
      <c r="G124" s="9">
        <v>1286</v>
      </c>
      <c r="H124" s="5" t="s">
        <v>21</v>
      </c>
      <c r="I124" s="5" t="s">
        <v>310</v>
      </c>
      <c r="J124" s="12" t="str">
        <f>HYPERLINK("https://www.boe.es/gazeta/dias/1801/12/25/pdfs/GMD-1801-118.pdf#page=1","Abrir facsímil")</f>
        <v>Abrir facsímil</v>
      </c>
      <c r="K124" s="15" t="s">
        <v>23</v>
      </c>
    </row>
    <row r="125" spans="1:11" ht="42" customHeight="1">
      <c r="A125" s="4" t="s">
        <v>311</v>
      </c>
      <c r="B125" s="5" t="s">
        <v>312</v>
      </c>
      <c r="C125" s="5" t="s">
        <v>32</v>
      </c>
      <c r="D125" s="5" t="s">
        <v>33</v>
      </c>
      <c r="E125" s="5" t="s">
        <v>313</v>
      </c>
      <c r="F125" s="9">
        <v>39</v>
      </c>
      <c r="G125" s="9">
        <v>505</v>
      </c>
      <c r="H125" s="5" t="s">
        <v>21</v>
      </c>
      <c r="I125" s="5" t="s">
        <v>314</v>
      </c>
      <c r="J125" s="12" t="str">
        <f>HYPERLINK("https://www.boe.es/gazeta/dias/1801/05/15/pdfs/GMD-1801-39.pdf#page=9","Abrir facsímil")</f>
        <v>Abrir facsímil</v>
      </c>
      <c r="K125" s="15" t="s">
        <v>23</v>
      </c>
    </row>
    <row r="126" spans="1:11" ht="42" customHeight="1">
      <c r="A126" s="4" t="s">
        <v>315</v>
      </c>
      <c r="B126" s="5" t="s">
        <v>316</v>
      </c>
      <c r="C126" s="5" t="s">
        <v>18</v>
      </c>
      <c r="D126" s="5" t="s">
        <v>19</v>
      </c>
      <c r="E126" s="5" t="s">
        <v>317</v>
      </c>
      <c r="F126" s="9">
        <v>102</v>
      </c>
      <c r="G126" s="9">
        <v>1122</v>
      </c>
      <c r="H126" s="5" t="s">
        <v>21</v>
      </c>
      <c r="I126" s="5" t="s">
        <v>318</v>
      </c>
      <c r="J126" s="12" t="str">
        <f>HYPERLINK("https://www.boe.es/gazeta/dias/1801/10/30/pdfs/GMD-1801-102.pdf#page=7","Abrir facsímil")</f>
        <v>Abrir facsímil</v>
      </c>
      <c r="K126" s="15" t="s">
        <v>23</v>
      </c>
    </row>
    <row r="127" spans="1:11" ht="42" customHeight="1">
      <c r="A127" s="4" t="s">
        <v>319</v>
      </c>
      <c r="B127" s="5" t="s">
        <v>320</v>
      </c>
      <c r="C127" s="5" t="s">
        <v>32</v>
      </c>
      <c r="D127" s="5" t="s">
        <v>33</v>
      </c>
      <c r="E127" s="5" t="s">
        <v>321</v>
      </c>
      <c r="F127" s="9">
        <v>3</v>
      </c>
      <c r="G127" s="9">
        <v>33</v>
      </c>
      <c r="H127" s="5" t="s">
        <v>21</v>
      </c>
      <c r="I127" s="5" t="s">
        <v>322</v>
      </c>
      <c r="J127" s="12" t="str">
        <f>HYPERLINK("https://www.boe.es/gazeta/dias/1801/01/09/pdfs/GMD-1801-3.pdf#page=9","Abrir facsímil")</f>
        <v>Abrir facsímil</v>
      </c>
      <c r="K127" s="15" t="s">
        <v>23</v>
      </c>
    </row>
    <row r="128" spans="1:11" ht="42" customHeight="1">
      <c r="A128" s="4" t="s">
        <v>323</v>
      </c>
      <c r="B128" s="5" t="s">
        <v>324</v>
      </c>
      <c r="C128" s="5" t="s">
        <v>69</v>
      </c>
      <c r="D128" s="5" t="s">
        <v>19</v>
      </c>
      <c r="E128" s="5" t="s">
        <v>112</v>
      </c>
      <c r="F128" s="9">
        <v>114</v>
      </c>
      <c r="G128" s="9">
        <v>1247</v>
      </c>
      <c r="H128" s="5" t="s">
        <v>21</v>
      </c>
      <c r="I128" s="5" t="s">
        <v>325</v>
      </c>
      <c r="J128" s="12" t="str">
        <f>HYPERLINK("https://www.boe.es/gazeta/dias/1801/12/11/pdfs/GMD-1801-114.pdf#page=9","Abrir facsímil")</f>
        <v>Abrir facsímil</v>
      </c>
      <c r="K128" s="15" t="s">
        <v>23</v>
      </c>
    </row>
    <row r="129" spans="1:11" ht="42" customHeight="1">
      <c r="A129" s="4" t="s">
        <v>326</v>
      </c>
      <c r="B129" s="5" t="s">
        <v>327</v>
      </c>
      <c r="C129" s="5" t="s">
        <v>18</v>
      </c>
      <c r="D129" s="5" t="s">
        <v>19</v>
      </c>
      <c r="E129" s="5" t="s">
        <v>328</v>
      </c>
      <c r="F129" s="9">
        <v>89</v>
      </c>
      <c r="G129" s="9">
        <v>983</v>
      </c>
      <c r="H129" s="5" t="s">
        <v>21</v>
      </c>
      <c r="I129" s="5" t="s">
        <v>329</v>
      </c>
      <c r="J129" s="12" t="str">
        <f>HYPERLINK("https://www.boe.es/gazeta/dias/1801/09/15/pdfs/GMD-1801-89.pdf#page=10","Abrir facsímil")</f>
        <v>Abrir facsímil</v>
      </c>
      <c r="K129" s="15" t="s">
        <v>23</v>
      </c>
    </row>
    <row r="130" spans="1:11" ht="42" customHeight="1">
      <c r="A130" s="4" t="s">
        <v>330</v>
      </c>
      <c r="B130" s="5" t="s">
        <v>331</v>
      </c>
      <c r="C130" s="5" t="s">
        <v>69</v>
      </c>
      <c r="D130" s="5" t="s">
        <v>19</v>
      </c>
      <c r="E130" s="5" t="s">
        <v>317</v>
      </c>
      <c r="F130" s="9">
        <v>102</v>
      </c>
      <c r="G130" s="9">
        <v>1122</v>
      </c>
      <c r="H130" s="5" t="s">
        <v>21</v>
      </c>
      <c r="I130" s="5" t="s">
        <v>332</v>
      </c>
      <c r="J130" s="12" t="str">
        <f>HYPERLINK("https://www.boe.es/gazeta/dias/1801/10/30/pdfs/GMD-1801-102.pdf#page=7","Abrir facsímil")</f>
        <v>Abrir facsímil</v>
      </c>
      <c r="K130" s="15" t="s">
        <v>23</v>
      </c>
    </row>
    <row r="131" spans="1:11" ht="42" customHeight="1">
      <c r="A131" s="4" t="s">
        <v>333</v>
      </c>
      <c r="B131" s="5" t="s">
        <v>334</v>
      </c>
      <c r="C131" s="5" t="s">
        <v>69</v>
      </c>
      <c r="D131" s="5" t="s">
        <v>19</v>
      </c>
      <c r="E131" s="5" t="s">
        <v>317</v>
      </c>
      <c r="F131" s="9">
        <v>102</v>
      </c>
      <c r="G131" s="9">
        <v>1122</v>
      </c>
      <c r="H131" s="5" t="s">
        <v>21</v>
      </c>
      <c r="I131" s="5" t="s">
        <v>335</v>
      </c>
      <c r="J131" s="12" t="str">
        <f>HYPERLINK("https://www.boe.es/gazeta/dias/1801/10/30/pdfs/GMD-1801-102.pdf#page=7","Abrir facsímil")</f>
        <v>Abrir facsímil</v>
      </c>
      <c r="K131" s="15" t="s">
        <v>23</v>
      </c>
    </row>
    <row r="132" spans="1:11" ht="42" customHeight="1">
      <c r="A132" s="4" t="s">
        <v>336</v>
      </c>
      <c r="B132" s="5" t="s">
        <v>337</v>
      </c>
      <c r="C132" s="5" t="s">
        <v>75</v>
      </c>
      <c r="D132" s="5" t="s">
        <v>76</v>
      </c>
      <c r="E132" s="5" t="s">
        <v>338</v>
      </c>
      <c r="F132" s="9">
        <v>83</v>
      </c>
      <c r="G132" s="9">
        <v>933</v>
      </c>
      <c r="H132" s="5" t="s">
        <v>21</v>
      </c>
      <c r="I132" s="5" t="s">
        <v>339</v>
      </c>
      <c r="J132" s="12" t="str">
        <f>HYPERLINK("https://www.boe.es/gazeta/dias/1801/09/01/pdfs/GMD-1801-83.pdf#page=8","Abrir facsímil")</f>
        <v>Abrir facsímil</v>
      </c>
      <c r="K132" s="15" t="s">
        <v>23</v>
      </c>
    </row>
    <row r="133" spans="1:11" ht="42" customHeight="1">
      <c r="A133" s="4" t="s">
        <v>340</v>
      </c>
      <c r="B133" s="5" t="s">
        <v>341</v>
      </c>
      <c r="C133" s="5" t="s">
        <v>32</v>
      </c>
      <c r="D133" s="5" t="s">
        <v>33</v>
      </c>
      <c r="E133" s="5" t="s">
        <v>99</v>
      </c>
      <c r="F133" s="9">
        <v>32</v>
      </c>
      <c r="G133" s="9">
        <v>414</v>
      </c>
      <c r="H133" s="5" t="s">
        <v>21</v>
      </c>
      <c r="I133" s="5" t="s">
        <v>342</v>
      </c>
      <c r="J133" s="12" t="str">
        <f>HYPERLINK("https://www.boe.es/gazeta/dias/1801/04/21/pdfs/GMD-1801-32.pdf#page=10","Abrir facsímil")</f>
        <v>Abrir facsímil</v>
      </c>
      <c r="K133" s="15" t="s">
        <v>23</v>
      </c>
    </row>
    <row r="134" spans="1:11" ht="42" customHeight="1">
      <c r="A134" s="4" t="s">
        <v>340</v>
      </c>
      <c r="B134" s="5" t="s">
        <v>341</v>
      </c>
      <c r="C134" s="5" t="s">
        <v>32</v>
      </c>
      <c r="D134" s="5" t="s">
        <v>33</v>
      </c>
      <c r="E134" s="5" t="s">
        <v>151</v>
      </c>
      <c r="F134" s="9">
        <v>45</v>
      </c>
      <c r="G134" s="9">
        <v>561</v>
      </c>
      <c r="H134" s="5" t="s">
        <v>21</v>
      </c>
      <c r="I134" s="5" t="s">
        <v>343</v>
      </c>
      <c r="J134" s="12" t="str">
        <f>HYPERLINK("https://www.boe.es/gazeta/dias/1801/06/02/pdfs/GMD-1801-45.pdf#page=9","Abrir facsímil")</f>
        <v>Abrir facsímil</v>
      </c>
      <c r="K134" s="15" t="s">
        <v>23</v>
      </c>
    </row>
    <row r="135" spans="1:11" ht="42" customHeight="1">
      <c r="A135" s="4" t="s">
        <v>344</v>
      </c>
      <c r="B135" s="5" t="s">
        <v>345</v>
      </c>
      <c r="C135" s="5" t="s">
        <v>32</v>
      </c>
      <c r="D135" s="5" t="s">
        <v>33</v>
      </c>
      <c r="E135" s="5" t="s">
        <v>90</v>
      </c>
      <c r="F135" s="9">
        <v>1</v>
      </c>
      <c r="G135" s="9">
        <v>8</v>
      </c>
      <c r="H135" s="5" t="s">
        <v>21</v>
      </c>
      <c r="I135" s="5" t="s">
        <v>346</v>
      </c>
      <c r="J135" s="12" t="str">
        <f>HYPERLINK("https://www.boe.es/gazeta/dias/1801/01/02/pdfs/GMD-1801-1.pdf#page=8","Abrir facsímil")</f>
        <v>Abrir facsímil</v>
      </c>
      <c r="K135" s="15" t="s">
        <v>23</v>
      </c>
    </row>
    <row r="136" spans="1:11" ht="42" customHeight="1">
      <c r="A136" s="4" t="s">
        <v>347</v>
      </c>
      <c r="B136" s="5" t="s">
        <v>348</v>
      </c>
      <c r="C136" s="5" t="s">
        <v>32</v>
      </c>
      <c r="D136" s="5" t="s">
        <v>33</v>
      </c>
      <c r="E136" s="5" t="s">
        <v>349</v>
      </c>
      <c r="F136" s="9">
        <v>112</v>
      </c>
      <c r="G136" s="9">
        <v>1225</v>
      </c>
      <c r="H136" s="5" t="s">
        <v>21</v>
      </c>
      <c r="I136" s="5" t="s">
        <v>350</v>
      </c>
      <c r="J136" s="12" t="str">
        <f>HYPERLINK("https://www.boe.es/gazeta/dias/1801/12/04/pdfs/GMD-1801-112.pdf#page=6","Abrir facsímil")</f>
        <v>Abrir facsímil</v>
      </c>
      <c r="K136" s="15" t="s">
        <v>23</v>
      </c>
    </row>
    <row r="137" spans="1:11" ht="42" customHeight="1">
      <c r="A137" s="4" t="s">
        <v>351</v>
      </c>
      <c r="B137" s="5" t="s">
        <v>351</v>
      </c>
      <c r="C137" s="5" t="s">
        <v>32</v>
      </c>
      <c r="D137" s="5" t="s">
        <v>33</v>
      </c>
      <c r="E137" s="5" t="s">
        <v>352</v>
      </c>
      <c r="F137" s="9">
        <v>43</v>
      </c>
      <c r="G137" s="9">
        <v>538</v>
      </c>
      <c r="H137" s="5" t="s">
        <v>21</v>
      </c>
      <c r="I137" s="5" t="s">
        <v>353</v>
      </c>
      <c r="J137" s="12" t="str">
        <f>HYPERLINK("https://www.boe.es/gazeta/dias/1801/05/26/pdfs/GMD-1801-43.pdf#page=10","Abrir facsímil")</f>
        <v>Abrir facsímil</v>
      </c>
      <c r="K137" s="15" t="s">
        <v>23</v>
      </c>
    </row>
    <row r="138" spans="1:11" ht="42" customHeight="1">
      <c r="A138" s="4" t="s">
        <v>354</v>
      </c>
      <c r="B138" s="5" t="s">
        <v>355</v>
      </c>
      <c r="C138" s="5" t="s">
        <v>32</v>
      </c>
      <c r="D138" s="5" t="s">
        <v>33</v>
      </c>
      <c r="E138" s="5" t="s">
        <v>122</v>
      </c>
      <c r="F138" s="9">
        <v>8</v>
      </c>
      <c r="G138" s="9">
        <v>98</v>
      </c>
      <c r="H138" s="5" t="s">
        <v>21</v>
      </c>
      <c r="I138" s="5" t="s">
        <v>356</v>
      </c>
      <c r="J138" s="12" t="str">
        <f>HYPERLINK("https://www.boe.es/gazeta/dias/1801/01/27/pdfs/GMD-1801-8.pdf#page=10","Abrir facsímil")</f>
        <v>Abrir facsímil</v>
      </c>
      <c r="K138" s="15" t="s">
        <v>23</v>
      </c>
    </row>
    <row r="139" spans="1:11" ht="42" customHeight="1">
      <c r="A139" s="4" t="s">
        <v>357</v>
      </c>
      <c r="B139" s="5" t="s">
        <v>358</v>
      </c>
      <c r="C139" s="5" t="s">
        <v>32</v>
      </c>
      <c r="D139" s="5" t="s">
        <v>33</v>
      </c>
      <c r="E139" s="5" t="s">
        <v>359</v>
      </c>
      <c r="F139" s="9">
        <v>101</v>
      </c>
      <c r="G139" s="9">
        <v>1113</v>
      </c>
      <c r="H139" s="5" t="s">
        <v>21</v>
      </c>
      <c r="I139" s="5" t="s">
        <v>360</v>
      </c>
      <c r="J139" s="12" t="str">
        <f>HYPERLINK("https://www.boe.es/gazeta/dias/1801/10/27/pdfs/GMD-1801-101.pdf#page=6","Abrir facsímil")</f>
        <v>Abrir facsímil</v>
      </c>
      <c r="K139" s="15" t="s">
        <v>23</v>
      </c>
    </row>
    <row r="140" spans="1:11" ht="42" customHeight="1">
      <c r="A140" s="4" t="s">
        <v>361</v>
      </c>
      <c r="B140" s="5" t="s">
        <v>362</v>
      </c>
      <c r="C140" s="5" t="s">
        <v>75</v>
      </c>
      <c r="D140" s="5" t="s">
        <v>76</v>
      </c>
      <c r="E140" s="5" t="s">
        <v>70</v>
      </c>
      <c r="F140" s="9">
        <v>2</v>
      </c>
      <c r="G140" s="9">
        <v>18</v>
      </c>
      <c r="H140" s="5" t="s">
        <v>21</v>
      </c>
      <c r="I140" s="5" t="s">
        <v>363</v>
      </c>
      <c r="J140" s="12" t="str">
        <f>HYPERLINK("https://www.boe.es/gazeta/dias/1801/01/06/pdfs/GMD-1801-2.pdf#page=6","Abrir facsímil")</f>
        <v>Abrir facsímil</v>
      </c>
      <c r="K140" s="15" t="s">
        <v>23</v>
      </c>
    </row>
    <row r="141" spans="1:11" ht="42" customHeight="1">
      <c r="A141" s="4" t="s">
        <v>364</v>
      </c>
      <c r="B141" s="5" t="s">
        <v>365</v>
      </c>
      <c r="C141" s="5" t="s">
        <v>32</v>
      </c>
      <c r="D141" s="5" t="s">
        <v>33</v>
      </c>
      <c r="E141" s="5" t="s">
        <v>366</v>
      </c>
      <c r="F141" s="9">
        <v>86</v>
      </c>
      <c r="G141" s="9">
        <v>955</v>
      </c>
      <c r="H141" s="5" t="s">
        <v>21</v>
      </c>
      <c r="I141" s="5" t="s">
        <v>367</v>
      </c>
      <c r="J141" s="12" t="str">
        <f>HYPERLINK("https://www.boe.es/gazeta/dias/1801/09/08/pdfs/GMD-1801-86.pdf#page=6","Abrir facsímil")</f>
        <v>Abrir facsímil</v>
      </c>
      <c r="K141" s="15" t="s">
        <v>23</v>
      </c>
    </row>
    <row r="142" spans="1:11" ht="42" customHeight="1">
      <c r="A142" s="4" t="s">
        <v>368</v>
      </c>
      <c r="B142" s="5" t="s">
        <v>369</v>
      </c>
      <c r="C142" s="5" t="s">
        <v>32</v>
      </c>
      <c r="D142" s="5" t="s">
        <v>33</v>
      </c>
      <c r="E142" s="5" t="s">
        <v>328</v>
      </c>
      <c r="F142" s="9">
        <v>89</v>
      </c>
      <c r="G142" s="9">
        <v>981</v>
      </c>
      <c r="H142" s="5" t="s">
        <v>21</v>
      </c>
      <c r="I142" s="5" t="s">
        <v>370</v>
      </c>
      <c r="J142" s="12" t="str">
        <f>HYPERLINK("https://www.boe.es/gazeta/dias/1801/09/15/pdfs/GMD-1801-89.pdf#page=8","Abrir facsímil")</f>
        <v>Abrir facsímil</v>
      </c>
      <c r="K142" s="15" t="s">
        <v>23</v>
      </c>
    </row>
    <row r="143" spans="1:11" ht="42" customHeight="1">
      <c r="A143" s="4" t="s">
        <v>371</v>
      </c>
      <c r="B143" s="5" t="s">
        <v>372</v>
      </c>
      <c r="C143" s="5" t="s">
        <v>32</v>
      </c>
      <c r="D143" s="5" t="s">
        <v>33</v>
      </c>
      <c r="E143" s="5" t="s">
        <v>349</v>
      </c>
      <c r="F143" s="9">
        <v>112</v>
      </c>
      <c r="G143" s="9">
        <v>1226</v>
      </c>
      <c r="H143" s="5" t="s">
        <v>21</v>
      </c>
      <c r="I143" s="5" t="s">
        <v>373</v>
      </c>
      <c r="J143" s="12" t="str">
        <f>HYPERLINK("https://www.boe.es/gazeta/dias/1801/12/04/pdfs/GMD-1801-112.pdf#page=7","Abrir facsímil")</f>
        <v>Abrir facsímil</v>
      </c>
      <c r="K143" s="15" t="s">
        <v>23</v>
      </c>
    </row>
    <row r="144" spans="1:11" ht="42" customHeight="1">
      <c r="A144" s="4" t="s">
        <v>374</v>
      </c>
      <c r="B144" s="5" t="s">
        <v>374</v>
      </c>
      <c r="C144" s="5" t="s">
        <v>80</v>
      </c>
      <c r="D144" s="5" t="s">
        <v>81</v>
      </c>
      <c r="E144" s="5" t="s">
        <v>289</v>
      </c>
      <c r="F144" s="9">
        <v>40</v>
      </c>
      <c r="G144" s="9" t="s">
        <v>83</v>
      </c>
      <c r="H144" s="5" t="s">
        <v>21</v>
      </c>
      <c r="I144" s="5" t="s">
        <v>375</v>
      </c>
      <c r="J144" s="12" t="str">
        <f>HYPERLINK("https://www.boe.es/gazeta/dias/1801/05/19/pdfs/GMD-C-1801-40.pdf#page=2","Abrir facsímil")</f>
        <v>Abrir facsímil</v>
      </c>
      <c r="K144" s="15" t="s">
        <v>23</v>
      </c>
    </row>
    <row r="145" spans="1:11" ht="42" customHeight="1">
      <c r="A145" s="4" t="s">
        <v>376</v>
      </c>
      <c r="B145" s="5" t="s">
        <v>377</v>
      </c>
      <c r="C145" s="5" t="s">
        <v>26</v>
      </c>
      <c r="D145" s="5" t="s">
        <v>27</v>
      </c>
      <c r="E145" s="5" t="s">
        <v>378</v>
      </c>
      <c r="F145" s="9">
        <v>23</v>
      </c>
      <c r="G145" s="9">
        <v>303</v>
      </c>
      <c r="H145" s="5" t="s">
        <v>21</v>
      </c>
      <c r="I145" s="5" t="s">
        <v>379</v>
      </c>
      <c r="J145" s="12" t="str">
        <f>HYPERLINK("https://www.boe.es/gazeta/dias/1801/03/20/pdfs/GMD-1801-23.pdf#page=6","Abrir facsímil")</f>
        <v>Abrir facsímil</v>
      </c>
      <c r="K145" s="15" t="s">
        <v>23</v>
      </c>
    </row>
    <row r="146" spans="1:11" ht="42" customHeight="1">
      <c r="A146" s="4" t="s">
        <v>380</v>
      </c>
      <c r="B146" s="5" t="s">
        <v>381</v>
      </c>
      <c r="C146" s="5" t="s">
        <v>32</v>
      </c>
      <c r="D146" s="5" t="s">
        <v>33</v>
      </c>
      <c r="E146" s="5" t="s">
        <v>62</v>
      </c>
      <c r="F146" s="9">
        <v>6</v>
      </c>
      <c r="G146" s="9">
        <v>72</v>
      </c>
      <c r="H146" s="5" t="s">
        <v>21</v>
      </c>
      <c r="I146" s="5" t="s">
        <v>382</v>
      </c>
      <c r="J146" s="12" t="str">
        <f>HYPERLINK("https://www.boe.es/gazeta/dias/1801/01/20/pdfs/GMD-1801-6.pdf#page=8","Abrir facsímil")</f>
        <v>Abrir facsímil</v>
      </c>
      <c r="K146" s="15" t="s">
        <v>23</v>
      </c>
    </row>
    <row r="147" spans="1:11" ht="42" customHeight="1">
      <c r="A147" s="4" t="s">
        <v>383</v>
      </c>
      <c r="B147" s="5" t="s">
        <v>384</v>
      </c>
      <c r="C147" s="5" t="s">
        <v>32</v>
      </c>
      <c r="D147" s="5" t="s">
        <v>33</v>
      </c>
      <c r="E147" s="5" t="s">
        <v>321</v>
      </c>
      <c r="F147" s="9">
        <v>3</v>
      </c>
      <c r="G147" s="9">
        <v>33</v>
      </c>
      <c r="H147" s="5" t="s">
        <v>21</v>
      </c>
      <c r="I147" s="5" t="s">
        <v>385</v>
      </c>
      <c r="J147" s="12" t="str">
        <f>HYPERLINK("https://www.boe.es/gazeta/dias/1801/01/09/pdfs/GMD-1801-3.pdf#page=9","Abrir facsímil")</f>
        <v>Abrir facsímil</v>
      </c>
      <c r="K147" s="15" t="s">
        <v>23</v>
      </c>
    </row>
    <row r="148" spans="1:11" ht="42" customHeight="1">
      <c r="A148" s="4" t="s">
        <v>386</v>
      </c>
      <c r="B148" s="5" t="s">
        <v>387</v>
      </c>
      <c r="C148" s="5" t="s">
        <v>38</v>
      </c>
      <c r="D148" s="5" t="s">
        <v>39</v>
      </c>
      <c r="E148" s="5" t="s">
        <v>173</v>
      </c>
      <c r="F148" s="9">
        <v>98</v>
      </c>
      <c r="G148" s="9">
        <v>1075</v>
      </c>
      <c r="H148" s="5" t="s">
        <v>21</v>
      </c>
      <c r="I148" s="5" t="s">
        <v>388</v>
      </c>
      <c r="J148" s="12" t="str">
        <f>HYPERLINK("https://www.boe.es/gazeta/dias/1801/10/16/pdfs/GMD-1801-98.pdf#page=7","Abrir facsímil")</f>
        <v>Abrir facsímil</v>
      </c>
      <c r="K148" s="15" t="s">
        <v>23</v>
      </c>
    </row>
    <row r="149" spans="1:11" ht="42" customHeight="1">
      <c r="A149" s="4" t="s">
        <v>389</v>
      </c>
      <c r="B149" s="5" t="s">
        <v>390</v>
      </c>
      <c r="C149" s="5" t="s">
        <v>32</v>
      </c>
      <c r="D149" s="5" t="s">
        <v>33</v>
      </c>
      <c r="E149" s="5" t="s">
        <v>120</v>
      </c>
      <c r="F149" s="9">
        <v>7</v>
      </c>
      <c r="G149" s="9">
        <v>80</v>
      </c>
      <c r="H149" s="5" t="s">
        <v>21</v>
      </c>
      <c r="I149" s="5" t="s">
        <v>391</v>
      </c>
      <c r="J149" s="12" t="str">
        <f>HYPERLINK("https://www.boe.es/gazeta/dias/1801/01/23/pdfs/GMD-1801-7.pdf#page=4","Abrir facsímil")</f>
        <v>Abrir facsímil</v>
      </c>
      <c r="K149" s="15" t="s">
        <v>23</v>
      </c>
    </row>
    <row r="150" spans="1:11" ht="42" customHeight="1">
      <c r="A150" s="4" t="s">
        <v>392</v>
      </c>
      <c r="B150" s="5" t="s">
        <v>393</v>
      </c>
      <c r="C150" s="5" t="s">
        <v>32</v>
      </c>
      <c r="D150" s="5" t="s">
        <v>33</v>
      </c>
      <c r="E150" s="5" t="s">
        <v>201</v>
      </c>
      <c r="F150" s="9">
        <v>79</v>
      </c>
      <c r="G150" s="9">
        <v>889</v>
      </c>
      <c r="H150" s="5" t="s">
        <v>21</v>
      </c>
      <c r="I150" s="5" t="s">
        <v>394</v>
      </c>
      <c r="J150" s="12" t="str">
        <f>HYPERLINK("https://www.boe.es/gazeta/dias/1801/08/18/pdfs/GMD-1801-79.pdf#page=6","Abrir facsímil")</f>
        <v>Abrir facsímil</v>
      </c>
      <c r="K150" s="15" t="s">
        <v>23</v>
      </c>
    </row>
    <row r="151" spans="1:11" ht="42" customHeight="1">
      <c r="A151" s="4" t="s">
        <v>395</v>
      </c>
      <c r="B151" s="5" t="s">
        <v>396</v>
      </c>
      <c r="C151" s="5" t="s">
        <v>32</v>
      </c>
      <c r="D151" s="5" t="s">
        <v>33</v>
      </c>
      <c r="E151" s="5" t="s">
        <v>366</v>
      </c>
      <c r="F151" s="9">
        <v>86</v>
      </c>
      <c r="G151" s="9">
        <v>955</v>
      </c>
      <c r="H151" s="5" t="s">
        <v>21</v>
      </c>
      <c r="I151" s="5" t="s">
        <v>397</v>
      </c>
      <c r="J151" s="12" t="str">
        <f>HYPERLINK("https://www.boe.es/gazeta/dias/1801/09/08/pdfs/GMD-1801-86.pdf#page=6","Abrir facsímil")</f>
        <v>Abrir facsímil</v>
      </c>
      <c r="K151" s="15" t="s">
        <v>23</v>
      </c>
    </row>
    <row r="152" spans="1:11" ht="42" customHeight="1">
      <c r="A152" s="4" t="s">
        <v>398</v>
      </c>
      <c r="B152" s="5" t="s">
        <v>399</v>
      </c>
      <c r="C152" s="5" t="s">
        <v>32</v>
      </c>
      <c r="D152" s="5" t="s">
        <v>33</v>
      </c>
      <c r="E152" s="5" t="s">
        <v>262</v>
      </c>
      <c r="F152" s="9">
        <v>109</v>
      </c>
      <c r="G152" s="9">
        <v>1204</v>
      </c>
      <c r="H152" s="5" t="s">
        <v>21</v>
      </c>
      <c r="I152" s="5" t="s">
        <v>400</v>
      </c>
      <c r="J152" s="12" t="str">
        <f>HYPERLINK("https://www.boe.es/gazeta/dias/1801/11/24/pdfs/GMD-1801-109.pdf#page=9","Abrir facsímil")</f>
        <v>Abrir facsímil</v>
      </c>
      <c r="K152" s="15" t="s">
        <v>23</v>
      </c>
    </row>
    <row r="153" spans="1:11" ht="42" customHeight="1">
      <c r="A153" s="4" t="s">
        <v>401</v>
      </c>
      <c r="B153" s="5" t="s">
        <v>402</v>
      </c>
      <c r="C153" s="5" t="s">
        <v>32</v>
      </c>
      <c r="D153" s="5" t="s">
        <v>33</v>
      </c>
      <c r="E153" s="5" t="s">
        <v>131</v>
      </c>
      <c r="F153" s="9">
        <v>22</v>
      </c>
      <c r="G153" s="9">
        <v>290</v>
      </c>
      <c r="H153" s="5" t="s">
        <v>21</v>
      </c>
      <c r="I153" s="5" t="s">
        <v>403</v>
      </c>
      <c r="J153" s="12" t="str">
        <f>HYPERLINK("https://www.boe.es/gazeta/dias/1801/03/17/pdfs/GMD-1801-22.pdf#page=7","Abrir facsímil")</f>
        <v>Abrir facsímil</v>
      </c>
      <c r="K153" s="15" t="s">
        <v>23</v>
      </c>
    </row>
    <row r="154" spans="1:11" ht="42" customHeight="1">
      <c r="A154" s="4" t="s">
        <v>404</v>
      </c>
      <c r="B154" s="5" t="s">
        <v>405</v>
      </c>
      <c r="C154" s="5" t="s">
        <v>32</v>
      </c>
      <c r="D154" s="5" t="s">
        <v>33</v>
      </c>
      <c r="E154" s="5" t="s">
        <v>352</v>
      </c>
      <c r="F154" s="9">
        <v>43</v>
      </c>
      <c r="G154" s="9">
        <v>538</v>
      </c>
      <c r="H154" s="5" t="s">
        <v>21</v>
      </c>
      <c r="I154" s="5" t="s">
        <v>406</v>
      </c>
      <c r="J154" s="12" t="str">
        <f>HYPERLINK("https://www.boe.es/gazeta/dias/1801/05/26/pdfs/GMD-1801-43.pdf#page=10","Abrir facsímil")</f>
        <v>Abrir facsímil</v>
      </c>
      <c r="K154" s="15" t="s">
        <v>23</v>
      </c>
    </row>
    <row r="155" spans="1:11" ht="42" customHeight="1">
      <c r="A155" s="4" t="s">
        <v>407</v>
      </c>
      <c r="B155" s="5" t="s">
        <v>407</v>
      </c>
      <c r="C155" s="5" t="s">
        <v>75</v>
      </c>
      <c r="D155" s="5" t="s">
        <v>76</v>
      </c>
      <c r="E155" s="5" t="s">
        <v>321</v>
      </c>
      <c r="F155" s="9">
        <v>3</v>
      </c>
      <c r="G155" s="9">
        <v>26</v>
      </c>
      <c r="H155" s="5" t="s">
        <v>21</v>
      </c>
      <c r="I155" s="5" t="s">
        <v>408</v>
      </c>
      <c r="J155" s="12" t="str">
        <f>HYPERLINK("https://www.boe.es/gazeta/dias/1801/01/09/pdfs/GMD-1801-3.pdf#page=2","Abrir facsímil")</f>
        <v>Abrir facsímil</v>
      </c>
      <c r="K155" s="15" t="s">
        <v>23</v>
      </c>
    </row>
    <row r="156" spans="1:11" ht="42" customHeight="1">
      <c r="A156" s="4" t="s">
        <v>409</v>
      </c>
      <c r="B156" s="5" t="s">
        <v>410</v>
      </c>
      <c r="C156" s="5" t="s">
        <v>32</v>
      </c>
      <c r="D156" s="5" t="s">
        <v>33</v>
      </c>
      <c r="E156" s="5" t="s">
        <v>321</v>
      </c>
      <c r="F156" s="9">
        <v>3</v>
      </c>
      <c r="G156" s="9">
        <v>33</v>
      </c>
      <c r="H156" s="5" t="s">
        <v>21</v>
      </c>
      <c r="I156" s="5" t="s">
        <v>411</v>
      </c>
      <c r="J156" s="12" t="str">
        <f>HYPERLINK("https://www.boe.es/gazeta/dias/1801/01/09/pdfs/GMD-1801-3.pdf#page=9","Abrir facsímil")</f>
        <v>Abrir facsímil</v>
      </c>
      <c r="K156" s="15" t="s">
        <v>23</v>
      </c>
    </row>
    <row r="157" spans="1:11" ht="42" customHeight="1">
      <c r="A157" s="4" t="s">
        <v>412</v>
      </c>
      <c r="B157" s="5" t="s">
        <v>413</v>
      </c>
      <c r="C157" s="5" t="s">
        <v>75</v>
      </c>
      <c r="D157" s="5" t="s">
        <v>76</v>
      </c>
      <c r="E157" s="5" t="s">
        <v>62</v>
      </c>
      <c r="F157" s="9">
        <v>6</v>
      </c>
      <c r="G157" s="9">
        <v>70</v>
      </c>
      <c r="H157" s="5" t="s">
        <v>21</v>
      </c>
      <c r="I157" s="5" t="s">
        <v>414</v>
      </c>
      <c r="J157" s="12" t="str">
        <f>HYPERLINK("https://www.boe.es/gazeta/dias/1801/01/20/pdfs/GMD-1801-6.pdf#page=6","Abrir facsímil")</f>
        <v>Abrir facsímil</v>
      </c>
      <c r="K157" s="15" t="s">
        <v>23</v>
      </c>
    </row>
    <row r="158" spans="1:11" ht="42" customHeight="1">
      <c r="A158" s="4" t="s">
        <v>415</v>
      </c>
      <c r="B158" s="5" t="s">
        <v>416</v>
      </c>
      <c r="C158" s="5" t="s">
        <v>69</v>
      </c>
      <c r="D158" s="5" t="s">
        <v>19</v>
      </c>
      <c r="E158" s="5" t="s">
        <v>417</v>
      </c>
      <c r="F158" s="9">
        <v>64</v>
      </c>
      <c r="G158" s="9">
        <v>729</v>
      </c>
      <c r="H158" s="5" t="s">
        <v>21</v>
      </c>
      <c r="I158" s="5" t="s">
        <v>418</v>
      </c>
      <c r="J158" s="12" t="str">
        <f>HYPERLINK("https://www.boe.es/gazeta/dias/1801/07/07/pdfs/GMD-1801-64.pdf#page=10","Abrir facsímil")</f>
        <v>Abrir facsímil</v>
      </c>
      <c r="K158" s="15" t="s">
        <v>23</v>
      </c>
    </row>
    <row r="159" spans="1:11" ht="42" customHeight="1">
      <c r="A159" s="4" t="s">
        <v>419</v>
      </c>
      <c r="B159" s="5" t="s">
        <v>420</v>
      </c>
      <c r="C159" s="5" t="s">
        <v>32</v>
      </c>
      <c r="D159" s="5" t="s">
        <v>33</v>
      </c>
      <c r="E159" s="5" t="s">
        <v>338</v>
      </c>
      <c r="F159" s="9">
        <v>83</v>
      </c>
      <c r="G159" s="9">
        <v>934</v>
      </c>
      <c r="H159" s="5" t="s">
        <v>21</v>
      </c>
      <c r="I159" s="5" t="s">
        <v>421</v>
      </c>
      <c r="J159" s="12" t="str">
        <f>HYPERLINK("https://www.boe.es/gazeta/dias/1801/09/01/pdfs/GMD-1801-83.pdf#page=9","Abrir facsímil")</f>
        <v>Abrir facsímil</v>
      </c>
      <c r="K159" s="15" t="s">
        <v>23</v>
      </c>
    </row>
    <row r="160" spans="1:11" ht="42" customHeight="1">
      <c r="A160" s="4" t="s">
        <v>422</v>
      </c>
      <c r="B160" s="5" t="s">
        <v>423</v>
      </c>
      <c r="C160" s="5" t="s">
        <v>26</v>
      </c>
      <c r="D160" s="5" t="s">
        <v>27</v>
      </c>
      <c r="E160" s="5" t="s">
        <v>48</v>
      </c>
      <c r="F160" s="9">
        <v>20</v>
      </c>
      <c r="G160" s="9">
        <v>265</v>
      </c>
      <c r="H160" s="5" t="s">
        <v>21</v>
      </c>
      <c r="I160" s="5" t="s">
        <v>424</v>
      </c>
      <c r="J160" s="12" t="str">
        <f>HYPERLINK("https://www.boe.es/gazeta/dias/1801/03/10/pdfs/GMD-1801-20.pdf#page=10","Abrir facsímil")</f>
        <v>Abrir facsímil</v>
      </c>
      <c r="K160" s="15" t="s">
        <v>23</v>
      </c>
    </row>
    <row r="161" spans="1:11" ht="42" customHeight="1">
      <c r="A161" s="4" t="s">
        <v>422</v>
      </c>
      <c r="B161" s="5" t="s">
        <v>423</v>
      </c>
      <c r="C161" s="5" t="s">
        <v>32</v>
      </c>
      <c r="D161" s="5" t="s">
        <v>33</v>
      </c>
      <c r="E161" s="5" t="s">
        <v>55</v>
      </c>
      <c r="F161" s="9">
        <v>104</v>
      </c>
      <c r="G161" s="9">
        <v>1145</v>
      </c>
      <c r="H161" s="5" t="s">
        <v>21</v>
      </c>
      <c r="I161" s="5" t="s">
        <v>425</v>
      </c>
      <c r="J161" s="12" t="str">
        <f>HYPERLINK("https://www.boe.es/gazeta/dias/1801/11/06/pdfs/GMD-1801-104.pdf#page=6","Abrir facsímil")</f>
        <v>Abrir facsímil</v>
      </c>
      <c r="K161" s="15" t="s">
        <v>23</v>
      </c>
    </row>
    <row r="162" spans="1:11" ht="42" customHeight="1">
      <c r="A162" s="4" t="s">
        <v>426</v>
      </c>
      <c r="B162" s="5" t="s">
        <v>427</v>
      </c>
      <c r="C162" s="5" t="s">
        <v>80</v>
      </c>
      <c r="D162" s="5" t="s">
        <v>81</v>
      </c>
      <c r="E162" s="5" t="s">
        <v>289</v>
      </c>
      <c r="F162" s="9">
        <v>40</v>
      </c>
      <c r="G162" s="9" t="s">
        <v>299</v>
      </c>
      <c r="H162" s="5" t="s">
        <v>21</v>
      </c>
      <c r="I162" s="5" t="s">
        <v>428</v>
      </c>
      <c r="J162" s="12" t="str">
        <f>HYPERLINK("https://www.boe.es/gazeta/dias/1801/05/19/pdfs/GMD-C-1801-40.pdf#page=5","Abrir facsímil")</f>
        <v>Abrir facsímil</v>
      </c>
      <c r="K162" s="15" t="s">
        <v>23</v>
      </c>
    </row>
    <row r="163" spans="1:11" ht="42" customHeight="1">
      <c r="A163" s="4" t="s">
        <v>429</v>
      </c>
      <c r="B163" s="5" t="s">
        <v>430</v>
      </c>
      <c r="C163" s="5" t="s">
        <v>32</v>
      </c>
      <c r="D163" s="5" t="s">
        <v>33</v>
      </c>
      <c r="E163" s="5" t="s">
        <v>313</v>
      </c>
      <c r="F163" s="9">
        <v>39</v>
      </c>
      <c r="G163" s="9">
        <v>505</v>
      </c>
      <c r="H163" s="5" t="s">
        <v>21</v>
      </c>
      <c r="I163" s="5" t="s">
        <v>431</v>
      </c>
      <c r="J163" s="12" t="str">
        <f>HYPERLINK("https://www.boe.es/gazeta/dias/1801/05/15/pdfs/GMD-1801-39.pdf#page=9","Abrir facsímil")</f>
        <v>Abrir facsímil</v>
      </c>
      <c r="K163" s="15" t="s">
        <v>23</v>
      </c>
    </row>
    <row r="164" spans="1:11" ht="42" customHeight="1">
      <c r="A164" s="4" t="s">
        <v>432</v>
      </c>
      <c r="B164" s="5" t="s">
        <v>433</v>
      </c>
      <c r="C164" s="5" t="s">
        <v>32</v>
      </c>
      <c r="D164" s="5" t="s">
        <v>33</v>
      </c>
      <c r="E164" s="5" t="s">
        <v>434</v>
      </c>
      <c r="F164" s="9" t="s">
        <v>435</v>
      </c>
      <c r="G164" s="9">
        <v>650</v>
      </c>
      <c r="H164" s="5" t="s">
        <v>21</v>
      </c>
      <c r="I164" s="5" t="s">
        <v>436</v>
      </c>
      <c r="J164" s="12" t="str">
        <f>HYPERLINK("https://www.boe.es/gazeta/dias/1801/06/18/pdfs/GMD-1801-57E.pdf#page=2","Abrir facsímil")</f>
        <v>Abrir facsímil</v>
      </c>
      <c r="K164" s="15" t="s">
        <v>23</v>
      </c>
    </row>
    <row r="165" spans="1:11" ht="42" customHeight="1">
      <c r="A165" s="4" t="s">
        <v>437</v>
      </c>
      <c r="B165" s="5" t="s">
        <v>438</v>
      </c>
      <c r="C165" s="5" t="s">
        <v>80</v>
      </c>
      <c r="D165" s="5" t="s">
        <v>81</v>
      </c>
      <c r="E165" s="5" t="s">
        <v>289</v>
      </c>
      <c r="F165" s="9">
        <v>40</v>
      </c>
      <c r="G165" s="9" t="s">
        <v>299</v>
      </c>
      <c r="H165" s="5" t="s">
        <v>21</v>
      </c>
      <c r="I165" s="5" t="s">
        <v>439</v>
      </c>
      <c r="J165" s="12" t="str">
        <f>HYPERLINK("https://www.boe.es/gazeta/dias/1801/05/19/pdfs/GMD-C-1801-40.pdf#page=5","Abrir facsímil")</f>
        <v>Abrir facsímil</v>
      </c>
      <c r="K165" s="15" t="s">
        <v>23</v>
      </c>
    </row>
    <row r="166" spans="1:11" ht="42" customHeight="1">
      <c r="A166" s="4" t="s">
        <v>440</v>
      </c>
      <c r="B166" s="5" t="s">
        <v>441</v>
      </c>
      <c r="C166" s="5" t="s">
        <v>32</v>
      </c>
      <c r="D166" s="5" t="s">
        <v>33</v>
      </c>
      <c r="E166" s="5" t="s">
        <v>256</v>
      </c>
      <c r="F166" s="9">
        <v>78</v>
      </c>
      <c r="G166" s="9">
        <v>881</v>
      </c>
      <c r="H166" s="5" t="s">
        <v>21</v>
      </c>
      <c r="I166" s="5" t="s">
        <v>442</v>
      </c>
      <c r="J166" s="12" t="str">
        <f>HYPERLINK("https://www.boe.es/gazeta/dias/1801/08/14/pdfs/GMD-1801-78.pdf#page=10","Abrir facsímil")</f>
        <v>Abrir facsímil</v>
      </c>
      <c r="K166" s="15" t="s">
        <v>23</v>
      </c>
    </row>
    <row r="167" spans="1:11" ht="42" customHeight="1">
      <c r="A167" s="4" t="s">
        <v>443</v>
      </c>
      <c r="B167" s="5" t="s">
        <v>444</v>
      </c>
      <c r="C167" s="5" t="s">
        <v>26</v>
      </c>
      <c r="D167" s="5" t="s">
        <v>27</v>
      </c>
      <c r="E167" s="5" t="s">
        <v>313</v>
      </c>
      <c r="F167" s="9">
        <v>39</v>
      </c>
      <c r="G167" s="9">
        <v>508</v>
      </c>
      <c r="H167" s="5" t="s">
        <v>21</v>
      </c>
      <c r="I167" s="5" t="s">
        <v>445</v>
      </c>
      <c r="J167" s="12" t="str">
        <f>HYPERLINK("https://www.boe.es/gazeta/dias/1801/05/15/pdfs/GMD-1801-39.pdf#page=12","Abrir facsímil")</f>
        <v>Abrir facsímil</v>
      </c>
      <c r="K167" s="15" t="s">
        <v>23</v>
      </c>
    </row>
    <row r="168" spans="1:11" ht="42" customHeight="1">
      <c r="A168" s="4" t="s">
        <v>446</v>
      </c>
      <c r="B168" s="5" t="s">
        <v>447</v>
      </c>
      <c r="C168" s="5" t="s">
        <v>69</v>
      </c>
      <c r="D168" s="5" t="s">
        <v>19</v>
      </c>
      <c r="E168" s="5" t="s">
        <v>448</v>
      </c>
      <c r="F168" s="9">
        <v>35</v>
      </c>
      <c r="G168" s="9">
        <v>454</v>
      </c>
      <c r="H168" s="5" t="s">
        <v>21</v>
      </c>
      <c r="I168" s="5" t="s">
        <v>449</v>
      </c>
      <c r="J168" s="12" t="str">
        <f>HYPERLINK("https://www.boe.es/gazeta/dias/1801/05/01/pdfs/GMD-1801-35.pdf#page=10","Abrir facsímil")</f>
        <v>Abrir facsímil</v>
      </c>
      <c r="K168" s="15" t="s">
        <v>23</v>
      </c>
    </row>
    <row r="169" spans="1:11" ht="42" customHeight="1">
      <c r="A169" s="4" t="s">
        <v>446</v>
      </c>
      <c r="B169" s="5" t="s">
        <v>447</v>
      </c>
      <c r="C169" s="5" t="s">
        <v>69</v>
      </c>
      <c r="D169" s="5" t="s">
        <v>19</v>
      </c>
      <c r="E169" s="5" t="s">
        <v>108</v>
      </c>
      <c r="F169" s="9">
        <v>61</v>
      </c>
      <c r="G169" s="9">
        <v>697</v>
      </c>
      <c r="H169" s="5" t="s">
        <v>21</v>
      </c>
      <c r="I169" s="5" t="s">
        <v>450</v>
      </c>
      <c r="J169" s="12" t="str">
        <f>HYPERLINK("https://www.boe.es/gazeta/dias/1801/06/30/pdfs/GMD-1801-61.pdf#page=6","Abrir facsímil")</f>
        <v>Abrir facsímil</v>
      </c>
      <c r="K169" s="15" t="s">
        <v>23</v>
      </c>
    </row>
    <row r="170" spans="1:11" ht="42" customHeight="1">
      <c r="A170" s="4" t="s">
        <v>451</v>
      </c>
      <c r="B170" s="5" t="s">
        <v>452</v>
      </c>
      <c r="C170" s="5" t="s">
        <v>32</v>
      </c>
      <c r="D170" s="5" t="s">
        <v>33</v>
      </c>
      <c r="E170" s="5" t="s">
        <v>453</v>
      </c>
      <c r="F170" s="9">
        <v>100</v>
      </c>
      <c r="G170" s="9">
        <v>1101</v>
      </c>
      <c r="H170" s="5" t="s">
        <v>21</v>
      </c>
      <c r="I170" s="5" t="s">
        <v>454</v>
      </c>
      <c r="J170" s="12" t="str">
        <f>HYPERLINK("https://www.boe.es/gazeta/dias/1801/10/23/pdfs/GMD-1801-100.pdf#page=10","Abrir facsímil")</f>
        <v>Abrir facsímil</v>
      </c>
      <c r="K170" s="15" t="s">
        <v>23</v>
      </c>
    </row>
    <row r="171" spans="1:11" ht="42" customHeight="1">
      <c r="A171" s="4" t="s">
        <v>455</v>
      </c>
      <c r="B171" s="5" t="s">
        <v>456</v>
      </c>
      <c r="C171" s="5" t="s">
        <v>32</v>
      </c>
      <c r="D171" s="5" t="s">
        <v>33</v>
      </c>
      <c r="E171" s="5" t="s">
        <v>90</v>
      </c>
      <c r="F171" s="9">
        <v>1</v>
      </c>
      <c r="G171" s="9">
        <v>8</v>
      </c>
      <c r="H171" s="5" t="s">
        <v>21</v>
      </c>
      <c r="I171" s="5" t="s">
        <v>457</v>
      </c>
      <c r="J171" s="12" t="str">
        <f>HYPERLINK("https://www.boe.es/gazeta/dias/1801/01/02/pdfs/GMD-1801-1.pdf#page=8","Abrir facsímil")</f>
        <v>Abrir facsímil</v>
      </c>
      <c r="K171" s="15" t="s">
        <v>23</v>
      </c>
    </row>
    <row r="172" spans="1:11" ht="42" customHeight="1">
      <c r="A172" s="4" t="s">
        <v>458</v>
      </c>
      <c r="B172" s="5" t="s">
        <v>459</v>
      </c>
      <c r="C172" s="5" t="s">
        <v>32</v>
      </c>
      <c r="D172" s="5" t="s">
        <v>33</v>
      </c>
      <c r="E172" s="5" t="s">
        <v>256</v>
      </c>
      <c r="F172" s="9">
        <v>78</v>
      </c>
      <c r="G172" s="9">
        <v>881</v>
      </c>
      <c r="H172" s="5" t="s">
        <v>21</v>
      </c>
      <c r="I172" s="5" t="s">
        <v>460</v>
      </c>
      <c r="J172" s="12" t="str">
        <f>HYPERLINK("https://www.boe.es/gazeta/dias/1801/08/14/pdfs/GMD-1801-78.pdf#page=10","Abrir facsímil")</f>
        <v>Abrir facsímil</v>
      </c>
      <c r="K172" s="15" t="s">
        <v>23</v>
      </c>
    </row>
    <row r="173" spans="1:11" ht="42" customHeight="1">
      <c r="A173" s="4" t="s">
        <v>461</v>
      </c>
      <c r="B173" s="5" t="s">
        <v>461</v>
      </c>
      <c r="C173" s="5" t="s">
        <v>18</v>
      </c>
      <c r="D173" s="5" t="s">
        <v>19</v>
      </c>
      <c r="E173" s="5" t="s">
        <v>462</v>
      </c>
      <c r="F173" s="9">
        <v>5</v>
      </c>
      <c r="G173" s="9">
        <v>57</v>
      </c>
      <c r="H173" s="5" t="s">
        <v>21</v>
      </c>
      <c r="I173" s="5" t="s">
        <v>463</v>
      </c>
      <c r="J173" s="12" t="str">
        <f>HYPERLINK("https://www.boe.es/gazeta/dias/1801/01/16/pdfs/GMD-1801-5.pdf#page=9","Abrir facsímil")</f>
        <v>Abrir facsímil</v>
      </c>
      <c r="K173" s="15" t="s">
        <v>23</v>
      </c>
    </row>
    <row r="174" spans="1:11" ht="42" customHeight="1">
      <c r="A174" s="4" t="s">
        <v>464</v>
      </c>
      <c r="B174" s="5" t="s">
        <v>464</v>
      </c>
      <c r="C174" s="5" t="s">
        <v>32</v>
      </c>
      <c r="D174" s="5" t="s">
        <v>33</v>
      </c>
      <c r="E174" s="5" t="s">
        <v>465</v>
      </c>
      <c r="F174" s="9">
        <v>4</v>
      </c>
      <c r="G174" s="9">
        <v>47</v>
      </c>
      <c r="H174" s="5" t="s">
        <v>21</v>
      </c>
      <c r="I174" s="5" t="s">
        <v>466</v>
      </c>
      <c r="J174" s="12" t="str">
        <f>HYPERLINK("https://www.boe.es/gazeta/dias/1801/01/13/pdfs/GMD-1801-4.pdf#page=11","Abrir facsímil")</f>
        <v>Abrir facsímil</v>
      </c>
      <c r="K174" s="15" t="s">
        <v>23</v>
      </c>
    </row>
    <row r="175" spans="1:11" ht="42" customHeight="1">
      <c r="A175" s="4" t="s">
        <v>467</v>
      </c>
      <c r="B175" s="5" t="s">
        <v>467</v>
      </c>
      <c r="C175" s="5" t="s">
        <v>26</v>
      </c>
      <c r="D175" s="5" t="s">
        <v>27</v>
      </c>
      <c r="E175" s="5" t="s">
        <v>275</v>
      </c>
      <c r="F175" s="9">
        <v>9</v>
      </c>
      <c r="G175" s="9">
        <v>114</v>
      </c>
      <c r="H175" s="5" t="s">
        <v>21</v>
      </c>
      <c r="I175" s="5" t="s">
        <v>468</v>
      </c>
      <c r="J175" s="12" t="str">
        <f>HYPERLINK("https://www.boe.es/gazeta/dias/1801/01/30/pdfs/GMD-1801-9.pdf#page=11","Abrir facsímil")</f>
        <v>Abrir facsímil</v>
      </c>
      <c r="K175" s="15" t="s">
        <v>23</v>
      </c>
    </row>
    <row r="176" spans="1:11" ht="42" customHeight="1">
      <c r="A176" s="4" t="s">
        <v>469</v>
      </c>
      <c r="B176" s="5" t="s">
        <v>469</v>
      </c>
      <c r="C176" s="5" t="s">
        <v>32</v>
      </c>
      <c r="D176" s="5" t="s">
        <v>33</v>
      </c>
      <c r="E176" s="5" t="s">
        <v>62</v>
      </c>
      <c r="F176" s="9">
        <v>6</v>
      </c>
      <c r="G176" s="9">
        <v>73</v>
      </c>
      <c r="H176" s="5" t="s">
        <v>21</v>
      </c>
      <c r="I176" s="5" t="s">
        <v>470</v>
      </c>
      <c r="J176" s="12" t="str">
        <f>HYPERLINK("https://www.boe.es/gazeta/dias/1801/01/20/pdfs/GMD-1801-6.pdf#page=9","Abrir facsímil")</f>
        <v>Abrir facsímil</v>
      </c>
      <c r="K176" s="15" t="s">
        <v>23</v>
      </c>
    </row>
    <row r="177" spans="1:11" ht="42" customHeight="1">
      <c r="A177" s="4" t="s">
        <v>471</v>
      </c>
      <c r="B177" s="5" t="s">
        <v>471</v>
      </c>
      <c r="C177" s="5" t="s">
        <v>38</v>
      </c>
      <c r="D177" s="5" t="s">
        <v>39</v>
      </c>
      <c r="E177" s="5" t="s">
        <v>131</v>
      </c>
      <c r="F177" s="9">
        <v>22</v>
      </c>
      <c r="G177" s="9">
        <v>294</v>
      </c>
      <c r="H177" s="5" t="s">
        <v>21</v>
      </c>
      <c r="I177" s="5" t="s">
        <v>472</v>
      </c>
      <c r="J177" s="12" t="str">
        <f>HYPERLINK("https://www.boe.es/gazeta/dias/1801/03/17/pdfs/GMD-1801-22.pdf#page=11","Abrir facsímil")</f>
        <v>Abrir facsímil</v>
      </c>
      <c r="K177" s="15" t="s">
        <v>23</v>
      </c>
    </row>
    <row r="178" spans="1:11" ht="42" customHeight="1">
      <c r="A178" s="4" t="s">
        <v>473</v>
      </c>
      <c r="B178" s="5" t="s">
        <v>473</v>
      </c>
      <c r="C178" s="5" t="s">
        <v>32</v>
      </c>
      <c r="D178" s="5" t="s">
        <v>33</v>
      </c>
      <c r="E178" s="5" t="s">
        <v>145</v>
      </c>
      <c r="F178" s="9">
        <v>36</v>
      </c>
      <c r="G178" s="9">
        <v>468</v>
      </c>
      <c r="H178" s="5" t="s">
        <v>21</v>
      </c>
      <c r="I178" s="5" t="s">
        <v>474</v>
      </c>
      <c r="J178" s="12" t="str">
        <f>HYPERLINK("https://www.boe.es/gazeta/dias/1801/05/05/pdfs/GMD-1801-36.pdf#page=12","Abrir facsímil")</f>
        <v>Abrir facsímil</v>
      </c>
      <c r="K178" s="15" t="s">
        <v>23</v>
      </c>
    </row>
    <row r="179" spans="1:11" ht="42" customHeight="1">
      <c r="A179" s="4" t="s">
        <v>475</v>
      </c>
      <c r="B179" s="5" t="s">
        <v>475</v>
      </c>
      <c r="C179" s="5" t="s">
        <v>75</v>
      </c>
      <c r="D179" s="5" t="s">
        <v>76</v>
      </c>
      <c r="E179" s="5" t="s">
        <v>70</v>
      </c>
      <c r="F179" s="9">
        <v>2</v>
      </c>
      <c r="G179" s="9">
        <v>20</v>
      </c>
      <c r="H179" s="5" t="s">
        <v>21</v>
      </c>
      <c r="I179" s="5" t="s">
        <v>476</v>
      </c>
      <c r="J179" s="12" t="str">
        <f>HYPERLINK("https://www.boe.es/gazeta/dias/1801/01/06/pdfs/GMD-1801-2.pdf#page=8","Abrir facsímil")</f>
        <v>Abrir facsímil</v>
      </c>
      <c r="K179" s="15" t="s">
        <v>23</v>
      </c>
    </row>
    <row r="180" spans="1:11" ht="42" customHeight="1">
      <c r="A180" s="4" t="s">
        <v>477</v>
      </c>
      <c r="B180" s="5" t="s">
        <v>477</v>
      </c>
      <c r="C180" s="5" t="s">
        <v>38</v>
      </c>
      <c r="D180" s="5" t="s">
        <v>39</v>
      </c>
      <c r="E180" s="5" t="s">
        <v>258</v>
      </c>
      <c r="F180" s="9">
        <v>96</v>
      </c>
      <c r="G180" s="9">
        <v>1055</v>
      </c>
      <c r="H180" s="5" t="s">
        <v>21</v>
      </c>
      <c r="I180" s="5" t="s">
        <v>478</v>
      </c>
      <c r="J180" s="12" t="str">
        <f>HYPERLINK("https://www.boe.es/gazeta/dias/1801/10/09/pdfs/GMD-1801-96.pdf#page=11","Abrir facsímil")</f>
        <v>Abrir facsímil</v>
      </c>
      <c r="K180" s="15" t="s">
        <v>23</v>
      </c>
    </row>
    <row r="181" spans="1:11" ht="42" customHeight="1">
      <c r="A181" s="4" t="s">
        <v>479</v>
      </c>
      <c r="B181" s="5" t="s">
        <v>479</v>
      </c>
      <c r="C181" s="5" t="s">
        <v>38</v>
      </c>
      <c r="D181" s="5" t="s">
        <v>39</v>
      </c>
      <c r="E181" s="5" t="s">
        <v>480</v>
      </c>
      <c r="F181" s="9">
        <v>10</v>
      </c>
      <c r="G181" s="9">
        <v>125</v>
      </c>
      <c r="H181" s="5" t="s">
        <v>21</v>
      </c>
      <c r="I181" s="5" t="s">
        <v>481</v>
      </c>
      <c r="J181" s="12" t="str">
        <f>HYPERLINK("https://www.boe.es/gazeta/dias/1801/02/03/pdfs/GMD-1801-10.pdf#page=10","Abrir facsímil")</f>
        <v>Abrir facsímil</v>
      </c>
      <c r="K181" s="15" t="s">
        <v>23</v>
      </c>
    </row>
    <row r="182" spans="1:11" ht="42" customHeight="1">
      <c r="A182" s="4" t="s">
        <v>482</v>
      </c>
      <c r="B182" s="5" t="s">
        <v>483</v>
      </c>
      <c r="C182" s="5" t="s">
        <v>69</v>
      </c>
      <c r="D182" s="5" t="s">
        <v>19</v>
      </c>
      <c r="E182" s="5" t="s">
        <v>112</v>
      </c>
      <c r="F182" s="9">
        <v>114</v>
      </c>
      <c r="G182" s="9">
        <v>1247</v>
      </c>
      <c r="H182" s="5" t="s">
        <v>21</v>
      </c>
      <c r="I182" s="5" t="s">
        <v>484</v>
      </c>
      <c r="J182" s="12" t="str">
        <f>HYPERLINK("https://www.boe.es/gazeta/dias/1801/12/11/pdfs/GMD-1801-114.pdf#page=9","Abrir facsímil")</f>
        <v>Abrir facsímil</v>
      </c>
      <c r="K182" s="15" t="s">
        <v>23</v>
      </c>
    </row>
    <row r="183" spans="1:11" ht="42" customHeight="1">
      <c r="A183" s="4" t="s">
        <v>485</v>
      </c>
      <c r="B183" s="5" t="s">
        <v>486</v>
      </c>
      <c r="C183" s="5" t="s">
        <v>32</v>
      </c>
      <c r="D183" s="5" t="s">
        <v>33</v>
      </c>
      <c r="E183" s="5" t="s">
        <v>223</v>
      </c>
      <c r="F183" s="9">
        <v>74</v>
      </c>
      <c r="G183" s="9">
        <v>827</v>
      </c>
      <c r="H183" s="5" t="s">
        <v>21</v>
      </c>
      <c r="I183" s="5" t="s">
        <v>487</v>
      </c>
      <c r="J183" s="12" t="str">
        <f>HYPERLINK("https://www.boe.es/gazeta/dias/1801/07/31/pdfs/GMD-1801-74.pdf#page=8","Abrir facsímil")</f>
        <v>Abrir facsímil</v>
      </c>
      <c r="K183" s="15" t="s">
        <v>23</v>
      </c>
    </row>
    <row r="184" spans="1:11" ht="42" customHeight="1">
      <c r="A184" s="4" t="s">
        <v>488</v>
      </c>
      <c r="B184" s="5" t="s">
        <v>489</v>
      </c>
      <c r="C184" s="5" t="s">
        <v>32</v>
      </c>
      <c r="D184" s="5" t="s">
        <v>33</v>
      </c>
      <c r="E184" s="5" t="s">
        <v>321</v>
      </c>
      <c r="F184" s="9">
        <v>3</v>
      </c>
      <c r="G184" s="9">
        <v>33</v>
      </c>
      <c r="H184" s="5" t="s">
        <v>21</v>
      </c>
      <c r="I184" s="5" t="s">
        <v>490</v>
      </c>
      <c r="J184" s="12" t="str">
        <f>HYPERLINK("https://www.boe.es/gazeta/dias/1801/01/09/pdfs/GMD-1801-3.pdf#page=9","Abrir facsímil")</f>
        <v>Abrir facsímil</v>
      </c>
      <c r="K184" s="15" t="s">
        <v>23</v>
      </c>
    </row>
    <row r="185" spans="1:11" ht="42" customHeight="1">
      <c r="A185" s="4" t="s">
        <v>491</v>
      </c>
      <c r="B185" s="5" t="s">
        <v>492</v>
      </c>
      <c r="C185" s="5" t="s">
        <v>75</v>
      </c>
      <c r="D185" s="5" t="s">
        <v>76</v>
      </c>
      <c r="E185" s="5" t="s">
        <v>70</v>
      </c>
      <c r="F185" s="9">
        <v>2</v>
      </c>
      <c r="G185" s="9">
        <v>18</v>
      </c>
      <c r="H185" s="5" t="s">
        <v>21</v>
      </c>
      <c r="I185" s="5" t="s">
        <v>493</v>
      </c>
      <c r="J185" s="12" t="str">
        <f>HYPERLINK("https://www.boe.es/gazeta/dias/1801/01/06/pdfs/GMD-1801-2.pdf#page=6","Abrir facsímil")</f>
        <v>Abrir facsímil</v>
      </c>
      <c r="K185" s="15" t="s">
        <v>23</v>
      </c>
    </row>
    <row r="186" spans="1:11" ht="42" customHeight="1">
      <c r="A186" s="4" t="s">
        <v>494</v>
      </c>
      <c r="B186" s="5" t="s">
        <v>495</v>
      </c>
      <c r="C186" s="5" t="s">
        <v>32</v>
      </c>
      <c r="D186" s="5" t="s">
        <v>33</v>
      </c>
      <c r="E186" s="5" t="s">
        <v>151</v>
      </c>
      <c r="F186" s="9">
        <v>45</v>
      </c>
      <c r="G186" s="9">
        <v>560</v>
      </c>
      <c r="H186" s="5" t="s">
        <v>21</v>
      </c>
      <c r="I186" s="5" t="s">
        <v>496</v>
      </c>
      <c r="J186" s="12" t="str">
        <f>HYPERLINK("https://www.boe.es/gazeta/dias/1801/06/02/pdfs/GMD-1801-45.pdf#page=8","Abrir facsímil")</f>
        <v>Abrir facsímil</v>
      </c>
      <c r="K186" s="15" t="s">
        <v>23</v>
      </c>
    </row>
    <row r="187" spans="1:11" ht="42" customHeight="1">
      <c r="A187" s="4" t="s">
        <v>497</v>
      </c>
      <c r="B187" s="5" t="s">
        <v>498</v>
      </c>
      <c r="C187" s="5" t="s">
        <v>38</v>
      </c>
      <c r="D187" s="5" t="s">
        <v>39</v>
      </c>
      <c r="E187" s="5" t="s">
        <v>173</v>
      </c>
      <c r="F187" s="9">
        <v>98</v>
      </c>
      <c r="G187" s="9">
        <v>1075</v>
      </c>
      <c r="H187" s="5" t="s">
        <v>21</v>
      </c>
      <c r="I187" s="5" t="s">
        <v>499</v>
      </c>
      <c r="J187" s="12" t="str">
        <f>HYPERLINK("https://www.boe.es/gazeta/dias/1801/10/16/pdfs/GMD-1801-98.pdf#page=7","Abrir facsímil")</f>
        <v>Abrir facsímil</v>
      </c>
      <c r="K187" s="15" t="s">
        <v>23</v>
      </c>
    </row>
    <row r="188" spans="1:11" ht="42" customHeight="1">
      <c r="A188" s="4" t="s">
        <v>500</v>
      </c>
      <c r="B188" s="5" t="s">
        <v>500</v>
      </c>
      <c r="C188" s="5" t="s">
        <v>26</v>
      </c>
      <c r="D188" s="5" t="s">
        <v>27</v>
      </c>
      <c r="E188" s="5" t="s">
        <v>501</v>
      </c>
      <c r="F188" s="9">
        <v>115</v>
      </c>
      <c r="G188" s="9" t="s">
        <v>502</v>
      </c>
      <c r="H188" s="5" t="s">
        <v>21</v>
      </c>
      <c r="I188" s="5" t="s">
        <v>503</v>
      </c>
      <c r="J188" s="12" t="str">
        <f>HYPERLINK("https://www.boe.es/gazeta/dias/1801/12/15/pdfs/GMD-C-1801-115.pdf#page=8","Abrir facsímil")</f>
        <v>Abrir facsímil</v>
      </c>
      <c r="K188" s="15" t="s">
        <v>23</v>
      </c>
    </row>
    <row r="189" spans="1:11" ht="42" customHeight="1">
      <c r="A189" s="4" t="s">
        <v>504</v>
      </c>
      <c r="B189" s="5" t="s">
        <v>504</v>
      </c>
      <c r="C189" s="5" t="s">
        <v>75</v>
      </c>
      <c r="D189" s="5" t="s">
        <v>76</v>
      </c>
      <c r="E189" s="5" t="s">
        <v>505</v>
      </c>
      <c r="F189" s="9">
        <v>94</v>
      </c>
      <c r="G189" s="9">
        <v>1025</v>
      </c>
      <c r="H189" s="5" t="s">
        <v>21</v>
      </c>
      <c r="I189" s="5" t="s">
        <v>506</v>
      </c>
      <c r="J189" s="12" t="str">
        <f>HYPERLINK("https://www.boe.es/gazeta/dias/1801/10/02/pdfs/GMD-1801-94.pdf#page=1","Abrir facsímil")</f>
        <v>Abrir facsímil</v>
      </c>
      <c r="K189" s="15" t="s">
        <v>23</v>
      </c>
    </row>
    <row r="190" spans="1:11" ht="42" customHeight="1">
      <c r="A190" s="4" t="s">
        <v>507</v>
      </c>
      <c r="B190" s="5" t="s">
        <v>508</v>
      </c>
      <c r="C190" s="5" t="s">
        <v>32</v>
      </c>
      <c r="D190" s="5" t="s">
        <v>33</v>
      </c>
      <c r="E190" s="5" t="s">
        <v>171</v>
      </c>
      <c r="F190" s="9">
        <v>76</v>
      </c>
      <c r="G190" s="9">
        <v>853</v>
      </c>
      <c r="H190" s="5" t="s">
        <v>21</v>
      </c>
      <c r="I190" s="5" t="s">
        <v>509</v>
      </c>
      <c r="J190" s="12" t="str">
        <f>HYPERLINK("https://www.boe.es/gazeta/dias/1801/08/07/pdfs/GMD-1801-76.pdf#page=10","Abrir facsímil")</f>
        <v>Abrir facsímil</v>
      </c>
      <c r="K190" s="15" t="s">
        <v>23</v>
      </c>
    </row>
    <row r="191" spans="1:11" ht="42" customHeight="1">
      <c r="A191" s="4" t="s">
        <v>510</v>
      </c>
      <c r="B191" s="5" t="s">
        <v>511</v>
      </c>
      <c r="C191" s="5" t="s">
        <v>75</v>
      </c>
      <c r="D191" s="5" t="s">
        <v>76</v>
      </c>
      <c r="E191" s="5" t="s">
        <v>169</v>
      </c>
      <c r="F191" s="9">
        <v>70</v>
      </c>
      <c r="G191" s="9">
        <v>775</v>
      </c>
      <c r="H191" s="5" t="s">
        <v>21</v>
      </c>
      <c r="I191" s="5" t="s">
        <v>512</v>
      </c>
      <c r="J191" s="12" t="str">
        <f>HYPERLINK("https://www.boe.es/gazeta/dias/1801/07/17/pdfs/GMD-1801-70.pdf#page=8","Abrir facsímil")</f>
        <v>Abrir facsímil</v>
      </c>
      <c r="K191" s="15" t="s">
        <v>23</v>
      </c>
    </row>
    <row r="192" spans="1:11" ht="42" customHeight="1">
      <c r="A192" s="4" t="s">
        <v>513</v>
      </c>
      <c r="B192" s="5" t="s">
        <v>514</v>
      </c>
      <c r="C192" s="5" t="s">
        <v>515</v>
      </c>
      <c r="D192" s="5" t="s">
        <v>516</v>
      </c>
      <c r="E192" s="5" t="s">
        <v>501</v>
      </c>
      <c r="F192" s="9">
        <v>115</v>
      </c>
      <c r="G192" s="9" t="s">
        <v>517</v>
      </c>
      <c r="H192" s="5" t="s">
        <v>21</v>
      </c>
      <c r="I192" s="5" t="s">
        <v>518</v>
      </c>
      <c r="J192" s="12" t="str">
        <f>HYPERLINK("https://www.boe.es/gazeta/dias/1801/12/15/pdfs/GMD-C-1801-115.pdf#page=7","Abrir facsímil")</f>
        <v>Abrir facsímil</v>
      </c>
      <c r="K192" s="15" t="s">
        <v>23</v>
      </c>
    </row>
    <row r="193" spans="1:11" ht="42" customHeight="1">
      <c r="A193" s="4" t="s">
        <v>519</v>
      </c>
      <c r="B193" s="5" t="s">
        <v>520</v>
      </c>
      <c r="C193" s="5" t="s">
        <v>32</v>
      </c>
      <c r="D193" s="5" t="s">
        <v>33</v>
      </c>
      <c r="E193" s="5" t="s">
        <v>338</v>
      </c>
      <c r="F193" s="9">
        <v>83</v>
      </c>
      <c r="G193" s="9">
        <v>933</v>
      </c>
      <c r="H193" s="5" t="s">
        <v>21</v>
      </c>
      <c r="I193" s="5" t="s">
        <v>521</v>
      </c>
      <c r="J193" s="12" t="str">
        <f>HYPERLINK("https://www.boe.es/gazeta/dias/1801/09/01/pdfs/GMD-1801-83.pdf#page=8","Abrir facsímil")</f>
        <v>Abrir facsímil</v>
      </c>
      <c r="K193" s="15" t="s">
        <v>23</v>
      </c>
    </row>
    <row r="194" spans="1:11" ht="42" customHeight="1">
      <c r="A194" s="4" t="s">
        <v>522</v>
      </c>
      <c r="B194" s="5" t="s">
        <v>523</v>
      </c>
      <c r="C194" s="5" t="s">
        <v>32</v>
      </c>
      <c r="D194" s="5" t="s">
        <v>33</v>
      </c>
      <c r="E194" s="5" t="s">
        <v>94</v>
      </c>
      <c r="F194" s="9">
        <v>19</v>
      </c>
      <c r="G194" s="9">
        <v>245</v>
      </c>
      <c r="H194" s="5" t="s">
        <v>21</v>
      </c>
      <c r="I194" s="5" t="s">
        <v>524</v>
      </c>
      <c r="J194" s="12" t="str">
        <f>HYPERLINK("https://www.boe.es/gazeta/dias/1801/03/06/pdfs/GMD-1801-19.pdf#page=10","Abrir facsímil")</f>
        <v>Abrir facsímil</v>
      </c>
      <c r="K194" s="15" t="s">
        <v>23</v>
      </c>
    </row>
    <row r="195" spans="1:11" ht="42" customHeight="1">
      <c r="A195" s="4" t="s">
        <v>525</v>
      </c>
      <c r="B195" s="5" t="s">
        <v>526</v>
      </c>
      <c r="C195" s="5" t="s">
        <v>75</v>
      </c>
      <c r="D195" s="5" t="s">
        <v>76</v>
      </c>
      <c r="E195" s="5" t="s">
        <v>145</v>
      </c>
      <c r="F195" s="9">
        <v>36</v>
      </c>
      <c r="G195" s="9">
        <v>467</v>
      </c>
      <c r="H195" s="5" t="s">
        <v>21</v>
      </c>
      <c r="I195" s="5" t="s">
        <v>527</v>
      </c>
      <c r="J195" s="12" t="str">
        <f>HYPERLINK("https://www.boe.es/gazeta/dias/1801/05/05/pdfs/GMD-1801-36.pdf#page=11","Abrir facsímil")</f>
        <v>Abrir facsímil</v>
      </c>
      <c r="K195" s="15" t="s">
        <v>23</v>
      </c>
    </row>
    <row r="196" spans="1:11" ht="42" customHeight="1">
      <c r="A196" s="4" t="s">
        <v>528</v>
      </c>
      <c r="B196" s="5" t="s">
        <v>529</v>
      </c>
      <c r="C196" s="5" t="s">
        <v>32</v>
      </c>
      <c r="D196" s="5" t="s">
        <v>33</v>
      </c>
      <c r="E196" s="5" t="s">
        <v>292</v>
      </c>
      <c r="F196" s="9">
        <v>25</v>
      </c>
      <c r="G196" s="9">
        <v>331</v>
      </c>
      <c r="H196" s="5" t="s">
        <v>21</v>
      </c>
      <c r="I196" s="5" t="s">
        <v>530</v>
      </c>
      <c r="J196" s="12" t="str">
        <f>HYPERLINK("https://www.boe.es/gazeta/dias/1801/03/27/pdfs/GMD-1801-25.pdf#page=10","Abrir facsímil")</f>
        <v>Abrir facsímil</v>
      </c>
      <c r="K196" s="15" t="s">
        <v>23</v>
      </c>
    </row>
    <row r="197" spans="1:11" ht="42" customHeight="1">
      <c r="A197" s="4" t="s">
        <v>531</v>
      </c>
      <c r="B197" s="5" t="s">
        <v>532</v>
      </c>
      <c r="C197" s="5" t="s">
        <v>38</v>
      </c>
      <c r="D197" s="5" t="s">
        <v>39</v>
      </c>
      <c r="E197" s="5" t="s">
        <v>155</v>
      </c>
      <c r="F197" s="9">
        <v>50</v>
      </c>
      <c r="G197" s="9">
        <v>598</v>
      </c>
      <c r="H197" s="5" t="s">
        <v>21</v>
      </c>
      <c r="I197" s="5" t="s">
        <v>533</v>
      </c>
      <c r="J197" s="12" t="str">
        <f>HYPERLINK("https://www.boe.es/gazeta/dias/1801/06/09/pdfs/GMD-1801-50.pdf#page=10","Abrir facsímil")</f>
        <v>Abrir facsímil</v>
      </c>
      <c r="K197" s="15" t="s">
        <v>23</v>
      </c>
    </row>
    <row r="198" spans="1:11" ht="42" customHeight="1">
      <c r="A198" s="4" t="s">
        <v>534</v>
      </c>
      <c r="B198" s="5" t="s">
        <v>535</v>
      </c>
      <c r="C198" s="5" t="s">
        <v>38</v>
      </c>
      <c r="D198" s="5" t="s">
        <v>39</v>
      </c>
      <c r="E198" s="5" t="s">
        <v>44</v>
      </c>
      <c r="F198" s="9">
        <v>117</v>
      </c>
      <c r="G198" s="9">
        <v>1280</v>
      </c>
      <c r="H198" s="5" t="s">
        <v>21</v>
      </c>
      <c r="I198" s="5" t="s">
        <v>536</v>
      </c>
      <c r="J198" s="12" t="str">
        <f>HYPERLINK("https://www.boe.es/gazeta/dias/1801/12/22/pdfs/GMD-1801-117.pdf#page=7","Abrir facsímil")</f>
        <v>Abrir facsímil</v>
      </c>
      <c r="K198" s="15" t="s">
        <v>23</v>
      </c>
    </row>
    <row r="199" spans="1:11" ht="42" customHeight="1">
      <c r="A199" s="4" t="s">
        <v>537</v>
      </c>
      <c r="B199" s="5" t="s">
        <v>538</v>
      </c>
      <c r="C199" s="5" t="s">
        <v>26</v>
      </c>
      <c r="D199" s="5" t="s">
        <v>27</v>
      </c>
      <c r="E199" s="5" t="s">
        <v>99</v>
      </c>
      <c r="F199" s="9">
        <v>32</v>
      </c>
      <c r="G199" s="9">
        <v>416</v>
      </c>
      <c r="H199" s="5" t="s">
        <v>21</v>
      </c>
      <c r="I199" s="5" t="s">
        <v>539</v>
      </c>
      <c r="J199" s="12" t="str">
        <f>HYPERLINK("https://www.boe.es/gazeta/dias/1801/04/21/pdfs/GMD-1801-32.pdf#page=12","Abrir facsímil")</f>
        <v>Abrir facsímil</v>
      </c>
      <c r="K199" s="15" t="s">
        <v>23</v>
      </c>
    </row>
    <row r="200" spans="1:11" ht="42" customHeight="1">
      <c r="A200" s="4" t="s">
        <v>540</v>
      </c>
      <c r="B200" s="5" t="s">
        <v>541</v>
      </c>
      <c r="C200" s="5" t="s">
        <v>69</v>
      </c>
      <c r="D200" s="5" t="s">
        <v>19</v>
      </c>
      <c r="E200" s="5" t="s">
        <v>328</v>
      </c>
      <c r="F200" s="9">
        <v>89</v>
      </c>
      <c r="G200" s="9">
        <v>981</v>
      </c>
      <c r="H200" s="5" t="s">
        <v>21</v>
      </c>
      <c r="I200" s="5" t="s">
        <v>542</v>
      </c>
      <c r="J200" s="12" t="str">
        <f>HYPERLINK("https://www.boe.es/gazeta/dias/1801/09/15/pdfs/GMD-1801-89.pdf#page=8","Abrir facsímil")</f>
        <v>Abrir facsímil</v>
      </c>
      <c r="K200" s="15" t="s">
        <v>23</v>
      </c>
    </row>
    <row r="201" spans="1:11" ht="42" customHeight="1">
      <c r="A201" s="4" t="s">
        <v>543</v>
      </c>
      <c r="B201" s="5" t="s">
        <v>544</v>
      </c>
      <c r="C201" s="5" t="s">
        <v>38</v>
      </c>
      <c r="D201" s="5" t="s">
        <v>39</v>
      </c>
      <c r="E201" s="5" t="s">
        <v>161</v>
      </c>
      <c r="F201" s="9">
        <v>58</v>
      </c>
      <c r="G201" s="9">
        <v>667</v>
      </c>
      <c r="H201" s="5" t="s">
        <v>21</v>
      </c>
      <c r="I201" s="5" t="s">
        <v>545</v>
      </c>
      <c r="J201" s="12" t="str">
        <f>HYPERLINK("https://www.boe.es/gazeta/dias/1801/06/19/pdfs/GMD-1801-58.pdf#page=12","Abrir facsímil")</f>
        <v>Abrir facsímil</v>
      </c>
      <c r="K201" s="15" t="s">
        <v>23</v>
      </c>
    </row>
    <row r="202" spans="1:11" ht="42" customHeight="1">
      <c r="A202" s="4" t="s">
        <v>546</v>
      </c>
      <c r="B202" s="5" t="s">
        <v>547</v>
      </c>
      <c r="C202" s="5" t="s">
        <v>38</v>
      </c>
      <c r="D202" s="5" t="s">
        <v>39</v>
      </c>
      <c r="E202" s="5" t="s">
        <v>262</v>
      </c>
      <c r="F202" s="9">
        <v>109</v>
      </c>
      <c r="G202" s="9">
        <v>1206</v>
      </c>
      <c r="H202" s="5" t="s">
        <v>21</v>
      </c>
      <c r="I202" s="5" t="s">
        <v>548</v>
      </c>
      <c r="J202" s="12" t="str">
        <f>HYPERLINK("https://www.boe.es/gazeta/dias/1801/11/24/pdfs/GMD-1801-109.pdf#page=11","Abrir facsímil")</f>
        <v>Abrir facsímil</v>
      </c>
      <c r="K202" s="15" t="s">
        <v>23</v>
      </c>
    </row>
    <row r="203" spans="1:11" ht="42" customHeight="1">
      <c r="A203" s="4" t="s">
        <v>549</v>
      </c>
      <c r="B203" s="5" t="s">
        <v>550</v>
      </c>
      <c r="C203" s="5" t="s">
        <v>32</v>
      </c>
      <c r="D203" s="5" t="s">
        <v>33</v>
      </c>
      <c r="E203" s="5" t="s">
        <v>131</v>
      </c>
      <c r="F203" s="9">
        <v>22</v>
      </c>
      <c r="G203" s="9">
        <v>294</v>
      </c>
      <c r="H203" s="5" t="s">
        <v>21</v>
      </c>
      <c r="I203" s="5" t="s">
        <v>551</v>
      </c>
      <c r="J203" s="12" t="str">
        <f>HYPERLINK("https://www.boe.es/gazeta/dias/1801/03/17/pdfs/GMD-1801-22.pdf#page=11","Abrir facsímil")</f>
        <v>Abrir facsímil</v>
      </c>
      <c r="K203" s="15" t="s">
        <v>23</v>
      </c>
    </row>
    <row r="204" spans="1:11" ht="42" customHeight="1">
      <c r="A204" s="4" t="s">
        <v>552</v>
      </c>
      <c r="B204" s="5" t="s">
        <v>553</v>
      </c>
      <c r="C204" s="5" t="s">
        <v>69</v>
      </c>
      <c r="D204" s="5" t="s">
        <v>19</v>
      </c>
      <c r="E204" s="5" t="s">
        <v>275</v>
      </c>
      <c r="F204" s="9">
        <v>9</v>
      </c>
      <c r="G204" s="9">
        <v>112</v>
      </c>
      <c r="H204" s="5" t="s">
        <v>21</v>
      </c>
      <c r="I204" s="5" t="s">
        <v>554</v>
      </c>
      <c r="J204" s="12" t="str">
        <f>HYPERLINK("https://www.boe.es/gazeta/dias/1801/01/30/pdfs/GMD-1801-9.pdf#page=9","Abrir facsímil")</f>
        <v>Abrir facsímil</v>
      </c>
      <c r="K204" s="15" t="s">
        <v>23</v>
      </c>
    </row>
    <row r="205" spans="1:11" ht="42" customHeight="1">
      <c r="A205" s="4" t="s">
        <v>555</v>
      </c>
      <c r="B205" s="5" t="s">
        <v>556</v>
      </c>
      <c r="C205" s="5" t="s">
        <v>32</v>
      </c>
      <c r="D205" s="5" t="s">
        <v>33</v>
      </c>
      <c r="E205" s="5" t="s">
        <v>321</v>
      </c>
      <c r="F205" s="9">
        <v>3</v>
      </c>
      <c r="G205" s="9">
        <v>33</v>
      </c>
      <c r="H205" s="5" t="s">
        <v>21</v>
      </c>
      <c r="I205" s="5" t="s">
        <v>557</v>
      </c>
      <c r="J205" s="12" t="str">
        <f>HYPERLINK("https://www.boe.es/gazeta/dias/1801/01/09/pdfs/GMD-1801-3.pdf#page=9","Abrir facsímil")</f>
        <v>Abrir facsímil</v>
      </c>
      <c r="K205" s="15" t="s">
        <v>23</v>
      </c>
    </row>
    <row r="206" spans="1:11" ht="42" customHeight="1">
      <c r="A206" s="4" t="s">
        <v>555</v>
      </c>
      <c r="B206" s="5" t="s">
        <v>556</v>
      </c>
      <c r="C206" s="5" t="s">
        <v>32</v>
      </c>
      <c r="D206" s="5" t="s">
        <v>33</v>
      </c>
      <c r="E206" s="5" t="s">
        <v>120</v>
      </c>
      <c r="F206" s="9">
        <v>7</v>
      </c>
      <c r="G206" s="9">
        <v>84</v>
      </c>
      <c r="H206" s="5" t="s">
        <v>21</v>
      </c>
      <c r="I206" s="5" t="s">
        <v>558</v>
      </c>
      <c r="J206" s="12" t="str">
        <f>HYPERLINK("https://www.boe.es/gazeta/dias/1801/01/23/pdfs/GMD-1801-7.pdf#page=8","Abrir facsímil")</f>
        <v>Abrir facsímil</v>
      </c>
      <c r="K206" s="15" t="s">
        <v>23</v>
      </c>
    </row>
    <row r="207" spans="1:11" ht="42" customHeight="1">
      <c r="A207" s="4" t="s">
        <v>559</v>
      </c>
      <c r="B207" s="5" t="s">
        <v>560</v>
      </c>
      <c r="C207" s="5" t="s">
        <v>32</v>
      </c>
      <c r="D207" s="5" t="s">
        <v>33</v>
      </c>
      <c r="E207" s="5" t="s">
        <v>120</v>
      </c>
      <c r="F207" s="9">
        <v>7</v>
      </c>
      <c r="G207" s="9">
        <v>84</v>
      </c>
      <c r="H207" s="5" t="s">
        <v>21</v>
      </c>
      <c r="I207" s="5" t="s">
        <v>561</v>
      </c>
      <c r="J207" s="12" t="str">
        <f>HYPERLINK("https://www.boe.es/gazeta/dias/1801/01/23/pdfs/GMD-1801-7.pdf#page=8","Abrir facsímil")</f>
        <v>Abrir facsímil</v>
      </c>
      <c r="K207" s="15" t="s">
        <v>23</v>
      </c>
    </row>
    <row r="208" spans="1:11" ht="42" customHeight="1">
      <c r="A208" s="4" t="s">
        <v>562</v>
      </c>
      <c r="B208" s="5" t="s">
        <v>563</v>
      </c>
      <c r="C208" s="5" t="s">
        <v>32</v>
      </c>
      <c r="D208" s="5" t="s">
        <v>33</v>
      </c>
      <c r="E208" s="5" t="s">
        <v>120</v>
      </c>
      <c r="F208" s="9">
        <v>7</v>
      </c>
      <c r="G208" s="9">
        <v>84</v>
      </c>
      <c r="H208" s="5" t="s">
        <v>21</v>
      </c>
      <c r="I208" s="5" t="s">
        <v>564</v>
      </c>
      <c r="J208" s="12" t="str">
        <f>HYPERLINK("https://www.boe.es/gazeta/dias/1801/01/23/pdfs/GMD-1801-7.pdf#page=8","Abrir facsímil")</f>
        <v>Abrir facsímil</v>
      </c>
      <c r="K208" s="15" t="s">
        <v>23</v>
      </c>
    </row>
    <row r="209" spans="1:11" ht="42" customHeight="1">
      <c r="A209" s="4" t="s">
        <v>565</v>
      </c>
      <c r="B209" s="5" t="s">
        <v>566</v>
      </c>
      <c r="C209" s="5" t="s">
        <v>32</v>
      </c>
      <c r="D209" s="5" t="s">
        <v>33</v>
      </c>
      <c r="E209" s="5" t="s">
        <v>321</v>
      </c>
      <c r="F209" s="9">
        <v>3</v>
      </c>
      <c r="G209" s="9">
        <v>33</v>
      </c>
      <c r="H209" s="5" t="s">
        <v>21</v>
      </c>
      <c r="I209" s="5" t="s">
        <v>567</v>
      </c>
      <c r="J209" s="12" t="str">
        <f>HYPERLINK("https://www.boe.es/gazeta/dias/1801/01/09/pdfs/GMD-1801-3.pdf#page=9","Abrir facsímil")</f>
        <v>Abrir facsímil</v>
      </c>
      <c r="K209" s="15" t="s">
        <v>23</v>
      </c>
    </row>
    <row r="210" spans="1:11" ht="42" customHeight="1">
      <c r="A210" s="4" t="s">
        <v>565</v>
      </c>
      <c r="B210" s="5" t="s">
        <v>566</v>
      </c>
      <c r="C210" s="5" t="s">
        <v>26</v>
      </c>
      <c r="D210" s="5" t="s">
        <v>27</v>
      </c>
      <c r="E210" s="5" t="s">
        <v>72</v>
      </c>
      <c r="F210" s="9">
        <v>60</v>
      </c>
      <c r="G210" s="9">
        <v>691</v>
      </c>
      <c r="H210" s="5" t="s">
        <v>21</v>
      </c>
      <c r="I210" s="5" t="s">
        <v>568</v>
      </c>
      <c r="J210" s="12" t="str">
        <f>HYPERLINK("https://www.boe.es/gazeta/dias/1801/06/26/pdfs/GMD-1801-60.pdf#page=12","Abrir facsímil")</f>
        <v>Abrir facsímil</v>
      </c>
      <c r="K210" s="15" t="s">
        <v>23</v>
      </c>
    </row>
    <row r="211" spans="1:11" ht="42" customHeight="1">
      <c r="A211" s="4" t="s">
        <v>565</v>
      </c>
      <c r="B211" s="5" t="s">
        <v>566</v>
      </c>
      <c r="C211" s="5" t="s">
        <v>32</v>
      </c>
      <c r="D211" s="5" t="s">
        <v>33</v>
      </c>
      <c r="E211" s="5" t="s">
        <v>266</v>
      </c>
      <c r="F211" s="9">
        <v>119</v>
      </c>
      <c r="G211" s="9">
        <v>1303</v>
      </c>
      <c r="H211" s="5" t="s">
        <v>21</v>
      </c>
      <c r="I211" s="5" t="s">
        <v>569</v>
      </c>
      <c r="J211" s="12" t="str">
        <f>HYPERLINK("https://www.boe.es/gazeta/dias/1801/12/29/pdfs/GMD-1801-119.pdf#page=7","Abrir facsímil")</f>
        <v>Abrir facsímil</v>
      </c>
      <c r="K211" s="15" t="s">
        <v>23</v>
      </c>
    </row>
    <row r="212" spans="1:11" ht="42" customHeight="1">
      <c r="A212" s="4" t="s">
        <v>570</v>
      </c>
      <c r="B212" s="5" t="s">
        <v>571</v>
      </c>
      <c r="C212" s="5" t="s">
        <v>80</v>
      </c>
      <c r="D212" s="5" t="s">
        <v>81</v>
      </c>
      <c r="E212" s="5" t="s">
        <v>289</v>
      </c>
      <c r="F212" s="9">
        <v>40</v>
      </c>
      <c r="G212" s="9" t="s">
        <v>517</v>
      </c>
      <c r="H212" s="5" t="s">
        <v>21</v>
      </c>
      <c r="I212" s="5" t="s">
        <v>572</v>
      </c>
      <c r="J212" s="12" t="str">
        <f>HYPERLINK("https://www.boe.es/gazeta/dias/1801/05/19/pdfs/GMD-C-1801-40.pdf#page=7","Abrir facsímil")</f>
        <v>Abrir facsímil</v>
      </c>
      <c r="K212" s="15" t="s">
        <v>23</v>
      </c>
    </row>
    <row r="213" spans="1:11" ht="42" customHeight="1">
      <c r="A213" s="4" t="s">
        <v>573</v>
      </c>
      <c r="B213" s="5" t="s">
        <v>574</v>
      </c>
      <c r="C213" s="5" t="s">
        <v>32</v>
      </c>
      <c r="D213" s="5" t="s">
        <v>33</v>
      </c>
      <c r="E213" s="5" t="s">
        <v>90</v>
      </c>
      <c r="F213" s="9">
        <v>1</v>
      </c>
      <c r="G213" s="9">
        <v>10</v>
      </c>
      <c r="H213" s="5" t="s">
        <v>21</v>
      </c>
      <c r="I213" s="5" t="s">
        <v>575</v>
      </c>
      <c r="J213" s="12" t="str">
        <f>HYPERLINK("https://www.boe.es/gazeta/dias/1801/01/02/pdfs/GMD-1801-1.pdf#page=10","Abrir facsímil")</f>
        <v>Abrir facsímil</v>
      </c>
      <c r="K213" s="15" t="s">
        <v>23</v>
      </c>
    </row>
    <row r="214" spans="1:11" ht="42" customHeight="1">
      <c r="A214" s="4" t="s">
        <v>576</v>
      </c>
      <c r="B214" s="5" t="s">
        <v>576</v>
      </c>
      <c r="C214" s="5" t="s">
        <v>38</v>
      </c>
      <c r="D214" s="5" t="s">
        <v>39</v>
      </c>
      <c r="E214" s="5" t="s">
        <v>352</v>
      </c>
      <c r="F214" s="9">
        <v>43</v>
      </c>
      <c r="G214" s="9">
        <v>538</v>
      </c>
      <c r="H214" s="5" t="s">
        <v>21</v>
      </c>
      <c r="I214" s="5" t="s">
        <v>577</v>
      </c>
      <c r="J214" s="12" t="str">
        <f>HYPERLINK("https://www.boe.es/gazeta/dias/1801/05/26/pdfs/GMD-1801-43.pdf#page=10","Abrir facsímil")</f>
        <v>Abrir facsímil</v>
      </c>
      <c r="K214" s="15" t="s">
        <v>23</v>
      </c>
    </row>
    <row r="215" spans="1:11" ht="42" customHeight="1">
      <c r="A215" s="4" t="s">
        <v>578</v>
      </c>
      <c r="B215" s="5" t="s">
        <v>578</v>
      </c>
      <c r="C215" s="5" t="s">
        <v>26</v>
      </c>
      <c r="D215" s="5" t="s">
        <v>27</v>
      </c>
      <c r="E215" s="5" t="s">
        <v>501</v>
      </c>
      <c r="F215" s="9">
        <v>115</v>
      </c>
      <c r="G215" s="9" t="s">
        <v>502</v>
      </c>
      <c r="H215" s="5" t="s">
        <v>21</v>
      </c>
      <c r="I215" s="5" t="s">
        <v>579</v>
      </c>
      <c r="J215" s="12" t="str">
        <f>HYPERLINK("https://www.boe.es/gazeta/dias/1801/12/15/pdfs/GMD-C-1801-115.pdf#page=8","Abrir facsímil")</f>
        <v>Abrir facsímil</v>
      </c>
      <c r="K215" s="15" t="s">
        <v>23</v>
      </c>
    </row>
    <row r="216" spans="1:11" ht="42" customHeight="1">
      <c r="A216" s="4" t="s">
        <v>580</v>
      </c>
      <c r="B216" s="5" t="s">
        <v>580</v>
      </c>
      <c r="C216" s="5" t="s">
        <v>38</v>
      </c>
      <c r="D216" s="5" t="s">
        <v>39</v>
      </c>
      <c r="E216" s="5" t="s">
        <v>131</v>
      </c>
      <c r="F216" s="9">
        <v>22</v>
      </c>
      <c r="G216" s="9">
        <v>293</v>
      </c>
      <c r="H216" s="5" t="s">
        <v>21</v>
      </c>
      <c r="I216" s="5" t="s">
        <v>581</v>
      </c>
      <c r="J216" s="12" t="str">
        <f>HYPERLINK("https://www.boe.es/gazeta/dias/1801/03/17/pdfs/GMD-1801-22.pdf#page=10","Abrir facsímil")</f>
        <v>Abrir facsímil</v>
      </c>
      <c r="K216" s="15" t="s">
        <v>23</v>
      </c>
    </row>
    <row r="217" spans="1:11" ht="42" customHeight="1">
      <c r="A217" s="4" t="s">
        <v>582</v>
      </c>
      <c r="B217" s="5" t="s">
        <v>582</v>
      </c>
      <c r="C217" s="5" t="s">
        <v>515</v>
      </c>
      <c r="D217" s="5" t="s">
        <v>516</v>
      </c>
      <c r="E217" s="5" t="s">
        <v>501</v>
      </c>
      <c r="F217" s="9">
        <v>115</v>
      </c>
      <c r="G217" s="9" t="s">
        <v>502</v>
      </c>
      <c r="H217" s="5" t="s">
        <v>21</v>
      </c>
      <c r="I217" s="5" t="s">
        <v>583</v>
      </c>
      <c r="J217" s="12" t="str">
        <f>HYPERLINK("https://www.boe.es/gazeta/dias/1801/12/15/pdfs/GMD-C-1801-115.pdf#page=8","Abrir facsímil")</f>
        <v>Abrir facsímil</v>
      </c>
      <c r="K217" s="15" t="s">
        <v>23</v>
      </c>
    </row>
    <row r="218" spans="1:11" ht="42" customHeight="1">
      <c r="A218" s="4" t="s">
        <v>584</v>
      </c>
      <c r="B218" s="5" t="s">
        <v>585</v>
      </c>
      <c r="C218" s="5" t="s">
        <v>69</v>
      </c>
      <c r="D218" s="5" t="s">
        <v>19</v>
      </c>
      <c r="E218" s="5" t="s">
        <v>317</v>
      </c>
      <c r="F218" s="9">
        <v>102</v>
      </c>
      <c r="G218" s="9">
        <v>1120</v>
      </c>
      <c r="H218" s="5" t="s">
        <v>21</v>
      </c>
      <c r="I218" s="5" t="s">
        <v>586</v>
      </c>
      <c r="J218" s="12" t="str">
        <f>HYPERLINK("https://www.boe.es/gazeta/dias/1801/10/30/pdfs/GMD-1801-102.pdf#page=5","Abrir facsímil")</f>
        <v>Abrir facsímil</v>
      </c>
      <c r="K218" s="15" t="s">
        <v>23</v>
      </c>
    </row>
    <row r="219" spans="1:11" ht="42" customHeight="1">
      <c r="A219" s="4" t="s">
        <v>587</v>
      </c>
      <c r="B219" s="5" t="s">
        <v>588</v>
      </c>
      <c r="C219" s="5" t="s">
        <v>80</v>
      </c>
      <c r="D219" s="5" t="s">
        <v>81</v>
      </c>
      <c r="E219" s="5" t="s">
        <v>289</v>
      </c>
      <c r="F219" s="9">
        <v>40</v>
      </c>
      <c r="G219" s="9" t="s">
        <v>502</v>
      </c>
      <c r="H219" s="5" t="s">
        <v>21</v>
      </c>
      <c r="I219" s="5" t="s">
        <v>589</v>
      </c>
      <c r="J219" s="12" t="str">
        <f>HYPERLINK("https://www.boe.es/gazeta/dias/1801/05/19/pdfs/GMD-C-1801-40.pdf#page=8","Abrir facsímil")</f>
        <v>Abrir facsímil</v>
      </c>
      <c r="K219" s="15" t="s">
        <v>23</v>
      </c>
    </row>
    <row r="220" spans="1:11" ht="42" customHeight="1">
      <c r="A220" s="4" t="s">
        <v>590</v>
      </c>
      <c r="B220" s="5" t="s">
        <v>591</v>
      </c>
      <c r="C220" s="5" t="s">
        <v>38</v>
      </c>
      <c r="D220" s="5" t="s">
        <v>39</v>
      </c>
      <c r="E220" s="5" t="s">
        <v>309</v>
      </c>
      <c r="F220" s="9">
        <v>118</v>
      </c>
      <c r="G220" s="9">
        <v>1292</v>
      </c>
      <c r="H220" s="5" t="s">
        <v>21</v>
      </c>
      <c r="I220" s="5" t="s">
        <v>592</v>
      </c>
      <c r="J220" s="12" t="str">
        <f>HYPERLINK("https://www.boe.es/gazeta/dias/1801/12/25/pdfs/GMD-1801-118.pdf#page=7","Abrir facsímil")</f>
        <v>Abrir facsímil</v>
      </c>
      <c r="K220" s="15" t="s">
        <v>23</v>
      </c>
    </row>
    <row r="221" spans="1:11" ht="42" customHeight="1">
      <c r="A221" s="4" t="s">
        <v>593</v>
      </c>
      <c r="B221" s="5" t="s">
        <v>594</v>
      </c>
      <c r="C221" s="5" t="s">
        <v>32</v>
      </c>
      <c r="D221" s="5" t="s">
        <v>33</v>
      </c>
      <c r="E221" s="5" t="s">
        <v>99</v>
      </c>
      <c r="F221" s="9">
        <v>32</v>
      </c>
      <c r="G221" s="9">
        <v>414</v>
      </c>
      <c r="H221" s="5" t="s">
        <v>21</v>
      </c>
      <c r="I221" s="5" t="s">
        <v>595</v>
      </c>
      <c r="J221" s="12" t="str">
        <f>HYPERLINK("https://www.boe.es/gazeta/dias/1801/04/21/pdfs/GMD-1801-32.pdf#page=10","Abrir facsímil")</f>
        <v>Abrir facsímil</v>
      </c>
      <c r="K221" s="15" t="s">
        <v>23</v>
      </c>
    </row>
    <row r="222" spans="1:11" ht="42" customHeight="1">
      <c r="A222" s="4" t="s">
        <v>596</v>
      </c>
      <c r="B222" s="5" t="s">
        <v>596</v>
      </c>
      <c r="C222" s="5" t="s">
        <v>18</v>
      </c>
      <c r="D222" s="5" t="s">
        <v>19</v>
      </c>
      <c r="E222" s="5" t="s">
        <v>161</v>
      </c>
      <c r="F222" s="9">
        <v>58</v>
      </c>
      <c r="G222" s="9">
        <v>665</v>
      </c>
      <c r="H222" s="5" t="s">
        <v>21</v>
      </c>
      <c r="I222" s="5" t="s">
        <v>597</v>
      </c>
      <c r="J222" s="12" t="str">
        <f>HYPERLINK("https://www.boe.es/gazeta/dias/1801/06/19/pdfs/GMD-1801-58.pdf#page=10","Abrir facsímil")</f>
        <v>Abrir facsímil</v>
      </c>
      <c r="K222" s="15" t="s">
        <v>23</v>
      </c>
    </row>
    <row r="223" spans="1:11" ht="42" customHeight="1">
      <c r="A223" s="4" t="s">
        <v>598</v>
      </c>
      <c r="B223" s="5" t="s">
        <v>599</v>
      </c>
      <c r="C223" s="5" t="s">
        <v>38</v>
      </c>
      <c r="D223" s="5" t="s">
        <v>39</v>
      </c>
      <c r="E223" s="5" t="s">
        <v>328</v>
      </c>
      <c r="F223" s="9">
        <v>89</v>
      </c>
      <c r="G223" s="9">
        <v>981</v>
      </c>
      <c r="H223" s="5" t="s">
        <v>21</v>
      </c>
      <c r="I223" s="5" t="s">
        <v>600</v>
      </c>
      <c r="J223" s="12" t="str">
        <f>HYPERLINK("https://www.boe.es/gazeta/dias/1801/09/15/pdfs/GMD-1801-89.pdf#page=8","Abrir facsímil")</f>
        <v>Abrir facsímil</v>
      </c>
      <c r="K223" s="15" t="s">
        <v>23</v>
      </c>
    </row>
    <row r="224" spans="1:11" ht="42" customHeight="1">
      <c r="A224" s="4" t="s">
        <v>601</v>
      </c>
      <c r="B224" s="5" t="s">
        <v>602</v>
      </c>
      <c r="C224" s="5" t="s">
        <v>26</v>
      </c>
      <c r="D224" s="5" t="s">
        <v>27</v>
      </c>
      <c r="E224" s="5" t="s">
        <v>105</v>
      </c>
      <c r="F224" s="9">
        <v>44</v>
      </c>
      <c r="G224" s="9">
        <v>552</v>
      </c>
      <c r="H224" s="5" t="s">
        <v>21</v>
      </c>
      <c r="I224" s="5" t="s">
        <v>603</v>
      </c>
      <c r="J224" s="12" t="str">
        <f>HYPERLINK("https://www.boe.es/gazeta/dias/1801/05/29/pdfs/GMD-1801-44.pdf#page=12","Abrir facsímil")</f>
        <v>Abrir facsímil</v>
      </c>
      <c r="K224" s="15" t="s">
        <v>23</v>
      </c>
    </row>
    <row r="225" spans="1:11" ht="42" customHeight="1">
      <c r="A225" s="4" t="s">
        <v>604</v>
      </c>
      <c r="B225" s="5" t="s">
        <v>605</v>
      </c>
      <c r="C225" s="5" t="s">
        <v>18</v>
      </c>
      <c r="D225" s="5" t="s">
        <v>19</v>
      </c>
      <c r="E225" s="5" t="s">
        <v>366</v>
      </c>
      <c r="F225" s="9">
        <v>86</v>
      </c>
      <c r="G225" s="9">
        <v>956</v>
      </c>
      <c r="H225" s="5" t="s">
        <v>21</v>
      </c>
      <c r="I225" s="5" t="s">
        <v>606</v>
      </c>
      <c r="J225" s="12" t="str">
        <f>HYPERLINK("https://www.boe.es/gazeta/dias/1801/09/08/pdfs/GMD-1801-86.pdf#page=7","Abrir facsímil")</f>
        <v>Abrir facsímil</v>
      </c>
      <c r="K225" s="15" t="s">
        <v>23</v>
      </c>
    </row>
    <row r="226" spans="1:11" ht="42" customHeight="1">
      <c r="A226" s="4" t="s">
        <v>607</v>
      </c>
      <c r="B226" s="5" t="s">
        <v>608</v>
      </c>
      <c r="C226" s="5" t="s">
        <v>38</v>
      </c>
      <c r="D226" s="5" t="s">
        <v>39</v>
      </c>
      <c r="E226" s="5" t="s">
        <v>48</v>
      </c>
      <c r="F226" s="9">
        <v>20</v>
      </c>
      <c r="G226" s="9">
        <v>264</v>
      </c>
      <c r="H226" s="5" t="s">
        <v>21</v>
      </c>
      <c r="I226" s="5" t="s">
        <v>609</v>
      </c>
      <c r="J226" s="12" t="str">
        <f>HYPERLINK("https://www.boe.es/gazeta/dias/1801/03/10/pdfs/GMD-1801-20.pdf#page=9","Abrir facsímil")</f>
        <v>Abrir facsímil</v>
      </c>
      <c r="K226" s="15" t="s">
        <v>23</v>
      </c>
    </row>
    <row r="227" spans="1:11" ht="42" customHeight="1">
      <c r="A227" s="4" t="s">
        <v>610</v>
      </c>
      <c r="B227" s="5" t="s">
        <v>611</v>
      </c>
      <c r="C227" s="5" t="s">
        <v>38</v>
      </c>
      <c r="D227" s="5" t="s">
        <v>39</v>
      </c>
      <c r="E227" s="5" t="s">
        <v>215</v>
      </c>
      <c r="F227" s="9">
        <v>71</v>
      </c>
      <c r="G227" s="9">
        <v>788</v>
      </c>
      <c r="H227" s="5" t="s">
        <v>21</v>
      </c>
      <c r="I227" s="5" t="s">
        <v>612</v>
      </c>
      <c r="J227" s="12" t="str">
        <f>HYPERLINK("https://www.boe.es/gazeta/dias/1801/07/21/pdfs/GMD-1801-71.pdf#page=9","Abrir facsímil")</f>
        <v>Abrir facsímil</v>
      </c>
      <c r="K227" s="15" t="s">
        <v>23</v>
      </c>
    </row>
    <row r="228" spans="1:11" ht="42" customHeight="1">
      <c r="A228" s="4" t="s">
        <v>613</v>
      </c>
      <c r="B228" s="5" t="s">
        <v>614</v>
      </c>
      <c r="C228" s="5" t="s">
        <v>38</v>
      </c>
      <c r="D228" s="5" t="s">
        <v>39</v>
      </c>
      <c r="E228" s="5" t="s">
        <v>615</v>
      </c>
      <c r="F228" s="9">
        <v>72</v>
      </c>
      <c r="G228" s="9">
        <v>802</v>
      </c>
      <c r="H228" s="5" t="s">
        <v>21</v>
      </c>
      <c r="I228" s="5" t="s">
        <v>616</v>
      </c>
      <c r="J228" s="12" t="str">
        <f>HYPERLINK("https://www.boe.es/gazeta/dias/1801/07/24/pdfs/GMD-1801-72.pdf#page=7","Abrir facsímil")</f>
        <v>Abrir facsímil</v>
      </c>
      <c r="K228" s="15" t="s">
        <v>23</v>
      </c>
    </row>
    <row r="229" spans="1:11" ht="42" customHeight="1">
      <c r="A229" s="4" t="s">
        <v>617</v>
      </c>
      <c r="B229" s="5" t="s">
        <v>617</v>
      </c>
      <c r="C229" s="5" t="s">
        <v>32</v>
      </c>
      <c r="D229" s="5" t="s">
        <v>33</v>
      </c>
      <c r="E229" s="5" t="s">
        <v>66</v>
      </c>
      <c r="F229" s="9">
        <v>52</v>
      </c>
      <c r="G229" s="9">
        <v>608</v>
      </c>
      <c r="H229" s="5" t="s">
        <v>21</v>
      </c>
      <c r="I229" s="5" t="s">
        <v>618</v>
      </c>
      <c r="J229" s="12" t="str">
        <f>HYPERLINK("https://www.boe.es/gazeta/dias/1801/06/12/pdfs/GMD-1801-52.pdf#page=7","Abrir facsímil")</f>
        <v>Abrir facsímil</v>
      </c>
      <c r="K229" s="15" t="s">
        <v>23</v>
      </c>
    </row>
    <row r="230" spans="1:11" ht="42" customHeight="1">
      <c r="A230" s="4" t="s">
        <v>619</v>
      </c>
      <c r="B230" s="5" t="s">
        <v>620</v>
      </c>
      <c r="C230" s="5" t="s">
        <v>32</v>
      </c>
      <c r="D230" s="5" t="s">
        <v>33</v>
      </c>
      <c r="E230" s="5" t="s">
        <v>251</v>
      </c>
      <c r="F230" s="9">
        <v>66</v>
      </c>
      <c r="G230" s="9">
        <v>743</v>
      </c>
      <c r="H230" s="5" t="s">
        <v>21</v>
      </c>
      <c r="I230" s="5" t="s">
        <v>621</v>
      </c>
      <c r="J230" s="12" t="str">
        <f>HYPERLINK("https://www.boe.es/gazeta/dias/1801/07/10/pdfs/GMD-1801-66.pdf#page=8","Abrir facsímil")</f>
        <v>Abrir facsímil</v>
      </c>
      <c r="K230" s="15" t="s">
        <v>23</v>
      </c>
    </row>
    <row r="231" spans="1:11" ht="42" customHeight="1">
      <c r="A231" s="4" t="s">
        <v>622</v>
      </c>
      <c r="B231" s="5" t="s">
        <v>623</v>
      </c>
      <c r="C231" s="5" t="s">
        <v>69</v>
      </c>
      <c r="D231" s="5" t="s">
        <v>19</v>
      </c>
      <c r="E231" s="5" t="s">
        <v>505</v>
      </c>
      <c r="F231" s="9">
        <v>94</v>
      </c>
      <c r="G231" s="9">
        <v>1027</v>
      </c>
      <c r="H231" s="5" t="s">
        <v>21</v>
      </c>
      <c r="I231" s="5" t="s">
        <v>624</v>
      </c>
      <c r="J231" s="12" t="str">
        <f>HYPERLINK("https://www.boe.es/gazeta/dias/1801/10/02/pdfs/GMD-1801-94.pdf#page=3","Abrir facsímil")</f>
        <v>Abrir facsímil</v>
      </c>
      <c r="K231" s="15" t="s">
        <v>23</v>
      </c>
    </row>
    <row r="232" spans="1:11" ht="42" customHeight="1">
      <c r="A232" s="4" t="s">
        <v>625</v>
      </c>
      <c r="B232" s="5" t="s">
        <v>626</v>
      </c>
      <c r="C232" s="5" t="s">
        <v>38</v>
      </c>
      <c r="D232" s="5" t="s">
        <v>39</v>
      </c>
      <c r="E232" s="5" t="s">
        <v>501</v>
      </c>
      <c r="F232" s="9">
        <v>115</v>
      </c>
      <c r="G232" s="9">
        <v>1256</v>
      </c>
      <c r="H232" s="5" t="s">
        <v>21</v>
      </c>
      <c r="I232" s="5" t="s">
        <v>627</v>
      </c>
      <c r="J232" s="12" t="str">
        <f>HYPERLINK("https://www.boe.es/gazeta/dias/1801/12/15/pdfs/GMD-1801-115.pdf#page=6","Abrir facsímil")</f>
        <v>Abrir facsímil</v>
      </c>
      <c r="K232" s="15" t="s">
        <v>23</v>
      </c>
    </row>
    <row r="233" spans="1:11" ht="42" customHeight="1">
      <c r="A233" s="4" t="s">
        <v>628</v>
      </c>
      <c r="B233" s="5" t="s">
        <v>629</v>
      </c>
      <c r="C233" s="5" t="s">
        <v>80</v>
      </c>
      <c r="D233" s="5" t="s">
        <v>81</v>
      </c>
      <c r="E233" s="5" t="s">
        <v>289</v>
      </c>
      <c r="F233" s="9">
        <v>40</v>
      </c>
      <c r="G233" s="9" t="s">
        <v>86</v>
      </c>
      <c r="H233" s="5" t="s">
        <v>21</v>
      </c>
      <c r="I233" s="5" t="s">
        <v>630</v>
      </c>
      <c r="J233" s="12" t="str">
        <f>HYPERLINK("https://www.boe.es/gazeta/dias/1801/05/19/pdfs/GMD-C-1801-40.pdf#page=3","Abrir facsímil")</f>
        <v>Abrir facsímil</v>
      </c>
      <c r="K233" s="15" t="s">
        <v>23</v>
      </c>
    </row>
    <row r="234" spans="1:11" ht="42" customHeight="1">
      <c r="A234" s="4" t="s">
        <v>631</v>
      </c>
      <c r="B234" s="5" t="s">
        <v>631</v>
      </c>
      <c r="C234" s="5" t="s">
        <v>32</v>
      </c>
      <c r="D234" s="5" t="s">
        <v>33</v>
      </c>
      <c r="E234" s="5" t="s">
        <v>34</v>
      </c>
      <c r="F234" s="9">
        <v>38</v>
      </c>
      <c r="G234" s="9">
        <v>494</v>
      </c>
      <c r="H234" s="5" t="s">
        <v>21</v>
      </c>
      <c r="I234" s="5" t="s">
        <v>632</v>
      </c>
      <c r="J234" s="12" t="str">
        <f>HYPERLINK("https://www.boe.es/gazeta/dias/1801/05/12/pdfs/GMD-1801-38.pdf#page=10","Abrir facsímil")</f>
        <v>Abrir facsímil</v>
      </c>
      <c r="K234" s="15" t="s">
        <v>23</v>
      </c>
    </row>
    <row r="235" spans="1:11" ht="42" customHeight="1">
      <c r="A235" s="4" t="s">
        <v>633</v>
      </c>
      <c r="B235" s="5" t="s">
        <v>633</v>
      </c>
      <c r="C235" s="5" t="s">
        <v>18</v>
      </c>
      <c r="D235" s="5" t="s">
        <v>19</v>
      </c>
      <c r="E235" s="5" t="s">
        <v>266</v>
      </c>
      <c r="F235" s="9">
        <v>119</v>
      </c>
      <c r="G235" s="9">
        <v>1304</v>
      </c>
      <c r="H235" s="5" t="s">
        <v>21</v>
      </c>
      <c r="I235" s="5" t="s">
        <v>634</v>
      </c>
      <c r="J235" s="12" t="str">
        <f>HYPERLINK("https://www.boe.es/gazeta/dias/1801/12/29/pdfs/GMD-1801-119.pdf#page=8","Abrir facsímil")</f>
        <v>Abrir facsímil</v>
      </c>
      <c r="K235" s="15" t="s">
        <v>23</v>
      </c>
    </row>
    <row r="236" spans="1:11" ht="42" customHeight="1">
      <c r="A236" s="4" t="s">
        <v>635</v>
      </c>
      <c r="B236" s="5" t="s">
        <v>636</v>
      </c>
      <c r="C236" s="5" t="s">
        <v>32</v>
      </c>
      <c r="D236" s="5" t="s">
        <v>33</v>
      </c>
      <c r="E236" s="5" t="s">
        <v>615</v>
      </c>
      <c r="F236" s="9">
        <v>72</v>
      </c>
      <c r="G236" s="9">
        <v>804</v>
      </c>
      <c r="H236" s="5" t="s">
        <v>21</v>
      </c>
      <c r="I236" s="5" t="s">
        <v>637</v>
      </c>
      <c r="J236" s="12" t="str">
        <f>HYPERLINK("https://www.boe.es/gazeta/dias/1801/07/24/pdfs/GMD-1801-72.pdf#page=9","Abrir facsímil")</f>
        <v>Abrir facsímil</v>
      </c>
      <c r="K236" s="15" t="s">
        <v>23</v>
      </c>
    </row>
    <row r="237" spans="1:11" ht="42" customHeight="1">
      <c r="A237" s="4" t="s">
        <v>638</v>
      </c>
      <c r="B237" s="5" t="s">
        <v>639</v>
      </c>
      <c r="C237" s="5" t="s">
        <v>32</v>
      </c>
      <c r="D237" s="5" t="s">
        <v>33</v>
      </c>
      <c r="E237" s="5" t="s">
        <v>640</v>
      </c>
      <c r="F237" s="9">
        <v>81</v>
      </c>
      <c r="G237" s="9">
        <v>909</v>
      </c>
      <c r="H237" s="5" t="s">
        <v>21</v>
      </c>
      <c r="I237" s="5" t="s">
        <v>641</v>
      </c>
      <c r="J237" s="12" t="str">
        <f>HYPERLINK("https://www.boe.es/gazeta/dias/1801/08/25/pdfs/GMD-1801-81.pdf#page=6","Abrir facsímil")</f>
        <v>Abrir facsímil</v>
      </c>
      <c r="K237" s="15" t="s">
        <v>23</v>
      </c>
    </row>
    <row r="238" spans="1:11" ht="42" customHeight="1">
      <c r="A238" s="4" t="s">
        <v>642</v>
      </c>
      <c r="B238" s="5" t="s">
        <v>643</v>
      </c>
      <c r="C238" s="5" t="s">
        <v>69</v>
      </c>
      <c r="D238" s="5" t="s">
        <v>19</v>
      </c>
      <c r="E238" s="5" t="s">
        <v>112</v>
      </c>
      <c r="F238" s="9">
        <v>114</v>
      </c>
      <c r="G238" s="9">
        <v>1247</v>
      </c>
      <c r="H238" s="5" t="s">
        <v>21</v>
      </c>
      <c r="I238" s="5" t="s">
        <v>644</v>
      </c>
      <c r="J238" s="12" t="str">
        <f>HYPERLINK("https://www.boe.es/gazeta/dias/1801/12/11/pdfs/GMD-1801-114.pdf#page=9","Abrir facsímil")</f>
        <v>Abrir facsímil</v>
      </c>
      <c r="K238" s="15" t="s">
        <v>23</v>
      </c>
    </row>
    <row r="239" spans="1:11" ht="42" customHeight="1">
      <c r="A239" s="4" t="s">
        <v>645</v>
      </c>
      <c r="B239" s="5" t="s">
        <v>646</v>
      </c>
      <c r="C239" s="5" t="s">
        <v>32</v>
      </c>
      <c r="D239" s="5" t="s">
        <v>33</v>
      </c>
      <c r="E239" s="5" t="s">
        <v>321</v>
      </c>
      <c r="F239" s="9">
        <v>3</v>
      </c>
      <c r="G239" s="9">
        <v>33</v>
      </c>
      <c r="H239" s="5" t="s">
        <v>21</v>
      </c>
      <c r="I239" s="5" t="s">
        <v>647</v>
      </c>
      <c r="J239" s="12" t="str">
        <f>HYPERLINK("https://www.boe.es/gazeta/dias/1801/01/09/pdfs/GMD-1801-3.pdf#page=9","Abrir facsímil")</f>
        <v>Abrir facsímil</v>
      </c>
      <c r="K239" s="15" t="s">
        <v>23</v>
      </c>
    </row>
    <row r="240" spans="1:11" ht="42" customHeight="1">
      <c r="A240" s="4" t="s">
        <v>648</v>
      </c>
      <c r="B240" s="5" t="s">
        <v>649</v>
      </c>
      <c r="C240" s="5" t="s">
        <v>32</v>
      </c>
      <c r="D240" s="5" t="s">
        <v>33</v>
      </c>
      <c r="E240" s="5" t="s">
        <v>97</v>
      </c>
      <c r="F240" s="9">
        <v>31</v>
      </c>
      <c r="G240" s="9">
        <v>403</v>
      </c>
      <c r="H240" s="5" t="s">
        <v>21</v>
      </c>
      <c r="I240" s="5" t="s">
        <v>650</v>
      </c>
      <c r="J240" s="12" t="str">
        <f>HYPERLINK("https://www.boe.es/gazeta/dias/1801/04/17/pdfs/GMD-1801-31.pdf#page=7","Abrir facsímil")</f>
        <v>Abrir facsímil</v>
      </c>
      <c r="K240" s="15" t="s">
        <v>23</v>
      </c>
    </row>
    <row r="241" spans="1:11" ht="42" customHeight="1">
      <c r="A241" s="4" t="s">
        <v>651</v>
      </c>
      <c r="B241" s="5" t="s">
        <v>652</v>
      </c>
      <c r="C241" s="5" t="s">
        <v>32</v>
      </c>
      <c r="D241" s="5" t="s">
        <v>33</v>
      </c>
      <c r="E241" s="5" t="s">
        <v>55</v>
      </c>
      <c r="F241" s="9">
        <v>104</v>
      </c>
      <c r="G241" s="9">
        <v>1146</v>
      </c>
      <c r="H241" s="5" t="s">
        <v>21</v>
      </c>
      <c r="I241" s="5" t="s">
        <v>653</v>
      </c>
      <c r="J241" s="12" t="str">
        <f>HYPERLINK("https://www.boe.es/gazeta/dias/1801/11/06/pdfs/GMD-1801-104.pdf#page=7","Abrir facsímil")</f>
        <v>Abrir facsímil</v>
      </c>
      <c r="K241" s="15" t="s">
        <v>23</v>
      </c>
    </row>
    <row r="242" spans="1:11" ht="42" customHeight="1">
      <c r="A242" s="4" t="s">
        <v>654</v>
      </c>
      <c r="B242" s="5" t="s">
        <v>655</v>
      </c>
      <c r="C242" s="5" t="s">
        <v>32</v>
      </c>
      <c r="D242" s="5" t="s">
        <v>33</v>
      </c>
      <c r="E242" s="5" t="s">
        <v>48</v>
      </c>
      <c r="F242" s="9">
        <v>20</v>
      </c>
      <c r="G242" s="9">
        <v>265</v>
      </c>
      <c r="H242" s="5" t="s">
        <v>21</v>
      </c>
      <c r="I242" s="5" t="s">
        <v>656</v>
      </c>
      <c r="J242" s="12" t="str">
        <f>HYPERLINK("https://www.boe.es/gazeta/dias/1801/03/10/pdfs/GMD-1801-20.pdf#page=10","Abrir facsímil")</f>
        <v>Abrir facsímil</v>
      </c>
      <c r="K242" s="15" t="s">
        <v>23</v>
      </c>
    </row>
    <row r="243" spans="1:11" ht="42" customHeight="1">
      <c r="A243" s="4" t="s">
        <v>657</v>
      </c>
      <c r="B243" s="5" t="s">
        <v>657</v>
      </c>
      <c r="C243" s="5" t="s">
        <v>32</v>
      </c>
      <c r="D243" s="5" t="s">
        <v>33</v>
      </c>
      <c r="E243" s="5" t="s">
        <v>505</v>
      </c>
      <c r="F243" s="9">
        <v>94</v>
      </c>
      <c r="G243" s="9">
        <v>1033</v>
      </c>
      <c r="H243" s="5" t="s">
        <v>21</v>
      </c>
      <c r="I243" s="5" t="s">
        <v>658</v>
      </c>
      <c r="J243" s="12" t="str">
        <f>HYPERLINK("https://www.boe.es/gazeta/dias/1801/10/02/pdfs/GMD-1801-94.pdf#page=9","Abrir facsímil")</f>
        <v>Abrir facsímil</v>
      </c>
      <c r="K243" s="15" t="s">
        <v>23</v>
      </c>
    </row>
    <row r="244" spans="1:11" ht="42" customHeight="1">
      <c r="A244" s="4" t="s">
        <v>659</v>
      </c>
      <c r="B244" s="5" t="s">
        <v>660</v>
      </c>
      <c r="C244" s="5" t="s">
        <v>80</v>
      </c>
      <c r="D244" s="5" t="s">
        <v>81</v>
      </c>
      <c r="E244" s="5" t="s">
        <v>289</v>
      </c>
      <c r="F244" s="9">
        <v>40</v>
      </c>
      <c r="G244" s="9" t="s">
        <v>305</v>
      </c>
      <c r="H244" s="5" t="s">
        <v>21</v>
      </c>
      <c r="I244" s="5" t="s">
        <v>661</v>
      </c>
      <c r="J244" s="12" t="str">
        <f>HYPERLINK("https://www.boe.es/gazeta/dias/1801/05/19/pdfs/GMD-C-1801-40.pdf#page=4","Abrir facsímil")</f>
        <v>Abrir facsímil</v>
      </c>
      <c r="K244" s="15" t="s">
        <v>23</v>
      </c>
    </row>
    <row r="245" spans="1:11" ht="42" customHeight="1">
      <c r="A245" s="4" t="s">
        <v>662</v>
      </c>
      <c r="B245" s="5" t="s">
        <v>662</v>
      </c>
      <c r="C245" s="5" t="s">
        <v>32</v>
      </c>
      <c r="D245" s="5" t="s">
        <v>33</v>
      </c>
      <c r="E245" s="5" t="s">
        <v>77</v>
      </c>
      <c r="F245" s="9">
        <v>93</v>
      </c>
      <c r="G245" s="9">
        <v>1020</v>
      </c>
      <c r="H245" s="5" t="s">
        <v>21</v>
      </c>
      <c r="I245" s="5" t="s">
        <v>663</v>
      </c>
      <c r="J245" s="12" t="str">
        <f>HYPERLINK("https://www.boe.es/gazeta/dias/1801/09/29/pdfs/GMD-1801-93.pdf#page=7","Abrir facsímil")</f>
        <v>Abrir facsímil</v>
      </c>
      <c r="K245" s="15" t="s">
        <v>23</v>
      </c>
    </row>
    <row r="246" spans="1:11" ht="42" customHeight="1">
      <c r="A246" s="4" t="s">
        <v>664</v>
      </c>
      <c r="B246" s="5" t="s">
        <v>664</v>
      </c>
      <c r="C246" s="5" t="s">
        <v>32</v>
      </c>
      <c r="D246" s="5" t="s">
        <v>33</v>
      </c>
      <c r="E246" s="5" t="s">
        <v>256</v>
      </c>
      <c r="F246" s="9">
        <v>78</v>
      </c>
      <c r="G246" s="9">
        <v>881</v>
      </c>
      <c r="H246" s="5" t="s">
        <v>21</v>
      </c>
      <c r="I246" s="5" t="s">
        <v>665</v>
      </c>
      <c r="J246" s="12" t="str">
        <f>HYPERLINK("https://www.boe.es/gazeta/dias/1801/08/14/pdfs/GMD-1801-78.pdf#page=10","Abrir facsímil")</f>
        <v>Abrir facsímil</v>
      </c>
      <c r="K246" s="15" t="s">
        <v>23</v>
      </c>
    </row>
    <row r="247" spans="1:11" ht="42" customHeight="1">
      <c r="A247" s="4" t="s">
        <v>666</v>
      </c>
      <c r="B247" s="5" t="s">
        <v>667</v>
      </c>
      <c r="C247" s="5" t="s">
        <v>80</v>
      </c>
      <c r="D247" s="5" t="s">
        <v>81</v>
      </c>
      <c r="E247" s="5" t="s">
        <v>289</v>
      </c>
      <c r="F247" s="9">
        <v>40</v>
      </c>
      <c r="G247" s="9" t="s">
        <v>668</v>
      </c>
      <c r="H247" s="5" t="s">
        <v>21</v>
      </c>
      <c r="I247" s="5" t="s">
        <v>669</v>
      </c>
      <c r="J247" s="12" t="str">
        <f>HYPERLINK("https://www.boe.es/gazeta/dias/1801/05/19/pdfs/GMD-C-1801-40.pdf#page=1","Abrir facsímil")</f>
        <v>Abrir facsímil</v>
      </c>
      <c r="K247" s="15" t="s">
        <v>23</v>
      </c>
    </row>
    <row r="248" spans="1:11" ht="42" customHeight="1">
      <c r="A248" s="4" t="s">
        <v>670</v>
      </c>
      <c r="B248" s="5" t="s">
        <v>671</v>
      </c>
      <c r="C248" s="5" t="s">
        <v>18</v>
      </c>
      <c r="D248" s="5" t="s">
        <v>19</v>
      </c>
      <c r="E248" s="5" t="s">
        <v>615</v>
      </c>
      <c r="F248" s="9">
        <v>72</v>
      </c>
      <c r="G248" s="9">
        <v>804</v>
      </c>
      <c r="H248" s="5" t="s">
        <v>21</v>
      </c>
      <c r="I248" s="5" t="s">
        <v>672</v>
      </c>
      <c r="J248" s="12" t="str">
        <f>HYPERLINK("https://www.boe.es/gazeta/dias/1801/07/24/pdfs/GMD-1801-72.pdf#page=9","Abrir facsímil")</f>
        <v>Abrir facsímil</v>
      </c>
      <c r="K248" s="15" t="s">
        <v>23</v>
      </c>
    </row>
    <row r="249" spans="1:11" ht="42" customHeight="1">
      <c r="A249" s="4" t="s">
        <v>673</v>
      </c>
      <c r="B249" s="5" t="s">
        <v>673</v>
      </c>
      <c r="C249" s="5" t="s">
        <v>26</v>
      </c>
      <c r="D249" s="5" t="s">
        <v>27</v>
      </c>
      <c r="E249" s="5" t="s">
        <v>275</v>
      </c>
      <c r="F249" s="9">
        <v>9</v>
      </c>
      <c r="G249" s="9" t="s">
        <v>668</v>
      </c>
      <c r="H249" s="5" t="s">
        <v>21</v>
      </c>
      <c r="I249" s="5" t="s">
        <v>674</v>
      </c>
      <c r="J249" s="12" t="str">
        <f>HYPERLINK("https://www.boe.es/gazeta/dias/1801/01/30/pdfs/GMD-C-1801-9.pdf#page=1","Abrir facsímil")</f>
        <v>Abrir facsímil</v>
      </c>
      <c r="K249" s="15" t="s">
        <v>23</v>
      </c>
    </row>
    <row r="250" spans="1:11" ht="42" customHeight="1">
      <c r="A250" s="4" t="s">
        <v>673</v>
      </c>
      <c r="B250" s="5" t="s">
        <v>673</v>
      </c>
      <c r="C250" s="5" t="s">
        <v>515</v>
      </c>
      <c r="D250" s="5" t="s">
        <v>516</v>
      </c>
      <c r="E250" s="5" t="s">
        <v>275</v>
      </c>
      <c r="F250" s="9">
        <v>9</v>
      </c>
      <c r="G250" s="9" t="s">
        <v>83</v>
      </c>
      <c r="H250" s="5" t="s">
        <v>21</v>
      </c>
      <c r="I250" s="5" t="s">
        <v>675</v>
      </c>
      <c r="J250" s="12" t="str">
        <f>HYPERLINK("https://www.boe.es/gazeta/dias/1801/01/30/pdfs/GMD-C-1801-9.pdf#page=2","Abrir facsímil")</f>
        <v>Abrir facsímil</v>
      </c>
      <c r="K250" s="15" t="s">
        <v>23</v>
      </c>
    </row>
    <row r="251" spans="1:11" ht="42" customHeight="1">
      <c r="A251" s="4" t="s">
        <v>676</v>
      </c>
      <c r="B251" s="5" t="s">
        <v>676</v>
      </c>
      <c r="C251" s="5" t="s">
        <v>38</v>
      </c>
      <c r="D251" s="5" t="s">
        <v>39</v>
      </c>
      <c r="E251" s="5" t="s">
        <v>417</v>
      </c>
      <c r="F251" s="9">
        <v>64</v>
      </c>
      <c r="G251" s="9">
        <v>727</v>
      </c>
      <c r="H251" s="5" t="s">
        <v>21</v>
      </c>
      <c r="I251" s="5" t="s">
        <v>677</v>
      </c>
      <c r="J251" s="12" t="str">
        <f>HYPERLINK("https://www.boe.es/gazeta/dias/1801/07/07/pdfs/GMD-1801-64.pdf#page=8","Abrir facsímil")</f>
        <v>Abrir facsímil</v>
      </c>
      <c r="K251" s="15" t="s">
        <v>23</v>
      </c>
    </row>
    <row r="252" spans="1:11" ht="42" customHeight="1">
      <c r="A252" s="4" t="s">
        <v>678</v>
      </c>
      <c r="B252" s="5" t="s">
        <v>679</v>
      </c>
      <c r="C252" s="5" t="s">
        <v>32</v>
      </c>
      <c r="D252" s="5" t="s">
        <v>33</v>
      </c>
      <c r="E252" s="5" t="s">
        <v>112</v>
      </c>
      <c r="F252" s="9">
        <v>114</v>
      </c>
      <c r="G252" s="9">
        <v>1247</v>
      </c>
      <c r="H252" s="5" t="s">
        <v>21</v>
      </c>
      <c r="I252" s="5" t="s">
        <v>680</v>
      </c>
      <c r="J252" s="12" t="str">
        <f>HYPERLINK("https://www.boe.es/gazeta/dias/1801/12/11/pdfs/GMD-1801-114.pdf#page=9","Abrir facsímil")</f>
        <v>Abrir facsímil</v>
      </c>
      <c r="K252" s="15" t="s">
        <v>23</v>
      </c>
    </row>
    <row r="253" spans="1:11" ht="42" customHeight="1">
      <c r="A253" s="4" t="s">
        <v>681</v>
      </c>
      <c r="B253" s="5" t="s">
        <v>682</v>
      </c>
      <c r="C253" s="5" t="s">
        <v>32</v>
      </c>
      <c r="D253" s="5" t="s">
        <v>33</v>
      </c>
      <c r="E253" s="5" t="s">
        <v>417</v>
      </c>
      <c r="F253" s="9">
        <v>64</v>
      </c>
      <c r="G253" s="9">
        <v>729</v>
      </c>
      <c r="H253" s="5" t="s">
        <v>21</v>
      </c>
      <c r="I253" s="5" t="s">
        <v>683</v>
      </c>
      <c r="J253" s="12" t="str">
        <f>HYPERLINK("https://www.boe.es/gazeta/dias/1801/07/07/pdfs/GMD-1801-64.pdf#page=10","Abrir facsímil")</f>
        <v>Abrir facsímil</v>
      </c>
      <c r="K253" s="15" t="s">
        <v>23</v>
      </c>
    </row>
    <row r="254" spans="1:11" ht="42" customHeight="1">
      <c r="A254" s="4" t="s">
        <v>684</v>
      </c>
      <c r="B254" s="5" t="s">
        <v>684</v>
      </c>
      <c r="C254" s="5" t="s">
        <v>38</v>
      </c>
      <c r="D254" s="5" t="s">
        <v>39</v>
      </c>
      <c r="E254" s="5" t="s">
        <v>328</v>
      </c>
      <c r="F254" s="9">
        <v>89</v>
      </c>
      <c r="G254" s="9">
        <v>981</v>
      </c>
      <c r="H254" s="5" t="s">
        <v>21</v>
      </c>
      <c r="I254" s="5" t="s">
        <v>685</v>
      </c>
      <c r="J254" s="12" t="str">
        <f>HYPERLINK("https://www.boe.es/gazeta/dias/1801/09/15/pdfs/GMD-1801-89.pdf#page=8","Abrir facsímil")</f>
        <v>Abrir facsímil</v>
      </c>
      <c r="K254" s="15" t="s">
        <v>23</v>
      </c>
    </row>
    <row r="255" spans="1:11" ht="42" customHeight="1">
      <c r="A255" s="4" t="s">
        <v>686</v>
      </c>
      <c r="B255" s="5" t="s">
        <v>686</v>
      </c>
      <c r="C255" s="5" t="s">
        <v>38</v>
      </c>
      <c r="D255" s="5" t="s">
        <v>39</v>
      </c>
      <c r="E255" s="5" t="s">
        <v>313</v>
      </c>
      <c r="F255" s="9">
        <v>39</v>
      </c>
      <c r="G255" s="9">
        <v>508</v>
      </c>
      <c r="H255" s="5" t="s">
        <v>21</v>
      </c>
      <c r="I255" s="5" t="s">
        <v>687</v>
      </c>
      <c r="J255" s="12" t="str">
        <f>HYPERLINK("https://www.boe.es/gazeta/dias/1801/05/15/pdfs/GMD-1801-39.pdf#page=12","Abrir facsímil")</f>
        <v>Abrir facsímil</v>
      </c>
      <c r="K255" s="15" t="s">
        <v>23</v>
      </c>
    </row>
    <row r="256" spans="1:11" ht="42" customHeight="1">
      <c r="A256" s="4" t="s">
        <v>688</v>
      </c>
      <c r="B256" s="5" t="s">
        <v>689</v>
      </c>
      <c r="C256" s="5" t="s">
        <v>75</v>
      </c>
      <c r="D256" s="5" t="s">
        <v>76</v>
      </c>
      <c r="E256" s="5" t="s">
        <v>105</v>
      </c>
      <c r="F256" s="9">
        <v>44</v>
      </c>
      <c r="G256" s="9">
        <v>544</v>
      </c>
      <c r="H256" s="5" t="s">
        <v>21</v>
      </c>
      <c r="I256" s="5" t="s">
        <v>690</v>
      </c>
      <c r="J256" s="12" t="str">
        <f>HYPERLINK("https://www.boe.es/gazeta/dias/1801/05/29/pdfs/GMD-1801-44.pdf#page=4","Abrir facsímil")</f>
        <v>Abrir facsímil</v>
      </c>
      <c r="K256" s="15" t="s">
        <v>23</v>
      </c>
    </row>
    <row r="257" spans="1:11" ht="42" customHeight="1">
      <c r="A257" s="4" t="s">
        <v>691</v>
      </c>
      <c r="B257" s="5" t="s">
        <v>692</v>
      </c>
      <c r="C257" s="5" t="s">
        <v>69</v>
      </c>
      <c r="D257" s="5" t="s">
        <v>19</v>
      </c>
      <c r="E257" s="5" t="s">
        <v>292</v>
      </c>
      <c r="F257" s="9">
        <v>25</v>
      </c>
      <c r="G257" s="9">
        <v>331</v>
      </c>
      <c r="H257" s="5" t="s">
        <v>21</v>
      </c>
      <c r="I257" s="5" t="s">
        <v>693</v>
      </c>
      <c r="J257" s="12" t="str">
        <f>HYPERLINK("https://www.boe.es/gazeta/dias/1801/03/27/pdfs/GMD-1801-25.pdf#page=10","Abrir facsímil")</f>
        <v>Abrir facsímil</v>
      </c>
      <c r="K257" s="15" t="s">
        <v>23</v>
      </c>
    </row>
    <row r="258" spans="1:11" ht="42" customHeight="1">
      <c r="A258" s="4" t="s">
        <v>694</v>
      </c>
      <c r="B258" s="5" t="s">
        <v>695</v>
      </c>
      <c r="C258" s="5" t="s">
        <v>80</v>
      </c>
      <c r="D258" s="5" t="s">
        <v>81</v>
      </c>
      <c r="E258" s="5" t="s">
        <v>289</v>
      </c>
      <c r="F258" s="9">
        <v>40</v>
      </c>
      <c r="G258" s="9" t="s">
        <v>668</v>
      </c>
      <c r="H258" s="5" t="s">
        <v>21</v>
      </c>
      <c r="I258" s="5" t="s">
        <v>696</v>
      </c>
      <c r="J258" s="12" t="str">
        <f>HYPERLINK("https://www.boe.es/gazeta/dias/1801/05/19/pdfs/GMD-C-1801-40.pdf#page=1","Abrir facsímil")</f>
        <v>Abrir facsímil</v>
      </c>
      <c r="K258" s="15" t="s">
        <v>23</v>
      </c>
    </row>
    <row r="259" spans="1:11" ht="42" customHeight="1">
      <c r="A259" s="4" t="s">
        <v>697</v>
      </c>
      <c r="B259" s="5" t="s">
        <v>698</v>
      </c>
      <c r="C259" s="5" t="s">
        <v>18</v>
      </c>
      <c r="D259" s="5" t="s">
        <v>19</v>
      </c>
      <c r="E259" s="5" t="s">
        <v>366</v>
      </c>
      <c r="F259" s="9">
        <v>86</v>
      </c>
      <c r="G259" s="9">
        <v>956</v>
      </c>
      <c r="H259" s="5" t="s">
        <v>21</v>
      </c>
      <c r="I259" s="5" t="s">
        <v>699</v>
      </c>
      <c r="J259" s="12" t="str">
        <f>HYPERLINK("https://www.boe.es/gazeta/dias/1801/09/08/pdfs/GMD-1801-86.pdf#page=7","Abrir facsímil")</f>
        <v>Abrir facsímil</v>
      </c>
      <c r="K259" s="15" t="s">
        <v>23</v>
      </c>
    </row>
    <row r="260" spans="1:11" ht="42" customHeight="1">
      <c r="A260" s="4" t="s">
        <v>700</v>
      </c>
      <c r="B260" s="5" t="s">
        <v>701</v>
      </c>
      <c r="C260" s="5" t="s">
        <v>69</v>
      </c>
      <c r="D260" s="5" t="s">
        <v>19</v>
      </c>
      <c r="E260" s="5" t="s">
        <v>702</v>
      </c>
      <c r="F260" s="9">
        <v>69</v>
      </c>
      <c r="G260" s="9">
        <v>763</v>
      </c>
      <c r="H260" s="5" t="s">
        <v>21</v>
      </c>
      <c r="I260" s="5" t="s">
        <v>703</v>
      </c>
      <c r="J260" s="12" t="str">
        <f>HYPERLINK("https://www.boe.es/gazeta/dias/1801/07/14/pdfs/GMD-1801-69.pdf#page=8","Abrir facsímil")</f>
        <v>Abrir facsímil</v>
      </c>
      <c r="K260" s="15" t="s">
        <v>23</v>
      </c>
    </row>
    <row r="261" spans="1:11" ht="42" customHeight="1">
      <c r="A261" s="4" t="s">
        <v>704</v>
      </c>
      <c r="B261" s="5" t="s">
        <v>704</v>
      </c>
      <c r="C261" s="5" t="s">
        <v>26</v>
      </c>
      <c r="D261" s="5" t="s">
        <v>27</v>
      </c>
      <c r="E261" s="5" t="s">
        <v>378</v>
      </c>
      <c r="F261" s="9">
        <v>23</v>
      </c>
      <c r="G261" s="9">
        <v>307</v>
      </c>
      <c r="H261" s="5" t="s">
        <v>21</v>
      </c>
      <c r="I261" s="5" t="s">
        <v>705</v>
      </c>
      <c r="J261" s="12" t="str">
        <f>HYPERLINK("https://www.boe.es/gazeta/dias/1801/03/20/pdfs/GMD-1801-23.pdf#page=10","Abrir facsímil")</f>
        <v>Abrir facsímil</v>
      </c>
      <c r="K261" s="15" t="s">
        <v>23</v>
      </c>
    </row>
    <row r="262" spans="1:11" ht="42" customHeight="1">
      <c r="A262" s="4" t="s">
        <v>706</v>
      </c>
      <c r="B262" s="5" t="s">
        <v>706</v>
      </c>
      <c r="C262" s="5" t="s">
        <v>32</v>
      </c>
      <c r="D262" s="5" t="s">
        <v>33</v>
      </c>
      <c r="E262" s="5" t="s">
        <v>321</v>
      </c>
      <c r="F262" s="9">
        <v>3</v>
      </c>
      <c r="G262" s="9">
        <v>32</v>
      </c>
      <c r="H262" s="5" t="s">
        <v>21</v>
      </c>
      <c r="I262" s="5" t="s">
        <v>707</v>
      </c>
      <c r="J262" s="12" t="str">
        <f>HYPERLINK("https://www.boe.es/gazeta/dias/1801/01/09/pdfs/GMD-1801-3.pdf#page=8","Abrir facsímil")</f>
        <v>Abrir facsímil</v>
      </c>
      <c r="K262" s="15" t="s">
        <v>23</v>
      </c>
    </row>
    <row r="263" spans="1:11" ht="42" customHeight="1">
      <c r="A263" s="4" t="s">
        <v>708</v>
      </c>
      <c r="B263" s="5" t="s">
        <v>708</v>
      </c>
      <c r="C263" s="5" t="s">
        <v>32</v>
      </c>
      <c r="D263" s="5" t="s">
        <v>33</v>
      </c>
      <c r="E263" s="5" t="s">
        <v>34</v>
      </c>
      <c r="F263" s="9">
        <v>38</v>
      </c>
      <c r="G263" s="9">
        <v>494</v>
      </c>
      <c r="H263" s="5" t="s">
        <v>21</v>
      </c>
      <c r="I263" s="5" t="s">
        <v>709</v>
      </c>
      <c r="J263" s="12" t="str">
        <f>HYPERLINK("https://www.boe.es/gazeta/dias/1801/05/12/pdfs/GMD-1801-38.pdf#page=10","Abrir facsímil")</f>
        <v>Abrir facsímil</v>
      </c>
      <c r="K263" s="15" t="s">
        <v>23</v>
      </c>
    </row>
    <row r="264" spans="1:11" ht="42" customHeight="1">
      <c r="A264" s="4" t="s">
        <v>710</v>
      </c>
      <c r="B264" s="5" t="s">
        <v>711</v>
      </c>
      <c r="C264" s="5" t="s">
        <v>69</v>
      </c>
      <c r="D264" s="5" t="s">
        <v>19</v>
      </c>
      <c r="E264" s="5" t="s">
        <v>712</v>
      </c>
      <c r="F264" s="9">
        <v>105</v>
      </c>
      <c r="G264" s="9">
        <v>1157</v>
      </c>
      <c r="H264" s="5" t="s">
        <v>21</v>
      </c>
      <c r="I264" s="5" t="s">
        <v>713</v>
      </c>
      <c r="J264" s="12" t="str">
        <f>HYPERLINK("https://www.boe.es/gazeta/dias/1801/11/10/pdfs/GMD-1801-105.pdf#page=10","Abrir facsímil")</f>
        <v>Abrir facsímil</v>
      </c>
      <c r="K264" s="15" t="s">
        <v>23</v>
      </c>
    </row>
    <row r="265" spans="1:11" ht="42" customHeight="1">
      <c r="A265" s="4" t="s">
        <v>714</v>
      </c>
      <c r="B265" s="5" t="s">
        <v>714</v>
      </c>
      <c r="C265" s="5" t="s">
        <v>69</v>
      </c>
      <c r="D265" s="5" t="s">
        <v>19</v>
      </c>
      <c r="E265" s="5" t="s">
        <v>153</v>
      </c>
      <c r="F265" s="9">
        <v>48</v>
      </c>
      <c r="G265" s="9">
        <v>586</v>
      </c>
      <c r="H265" s="5" t="s">
        <v>21</v>
      </c>
      <c r="I265" s="5" t="s">
        <v>715</v>
      </c>
      <c r="J265" s="12" t="str">
        <f>HYPERLINK("https://www.boe.es/gazeta/dias/1801/06/05/pdfs/GMD-1801-48.pdf#page=8","Abrir facsímil")</f>
        <v>Abrir facsímil</v>
      </c>
      <c r="K265" s="15" t="s">
        <v>23</v>
      </c>
    </row>
    <row r="266" spans="1:11" ht="42" customHeight="1">
      <c r="A266" s="4" t="s">
        <v>716</v>
      </c>
      <c r="B266" s="5" t="s">
        <v>717</v>
      </c>
      <c r="C266" s="5" t="s">
        <v>38</v>
      </c>
      <c r="D266" s="5" t="s">
        <v>39</v>
      </c>
      <c r="E266" s="5" t="s">
        <v>101</v>
      </c>
      <c r="F266" s="9">
        <v>41</v>
      </c>
      <c r="G266" s="9">
        <v>523</v>
      </c>
      <c r="H266" s="5" t="s">
        <v>21</v>
      </c>
      <c r="I266" s="5" t="s">
        <v>718</v>
      </c>
      <c r="J266" s="12" t="str">
        <f>HYPERLINK("https://www.boe.es/gazeta/dias/1801/05/22/pdfs/GMD-1801-41.pdf#page=7","Abrir facsímil")</f>
        <v>Abrir facsímil</v>
      </c>
      <c r="K266" s="15" t="s">
        <v>23</v>
      </c>
    </row>
    <row r="267" spans="1:11" ht="42" customHeight="1">
      <c r="A267" s="4" t="s">
        <v>719</v>
      </c>
      <c r="B267" s="5" t="s">
        <v>720</v>
      </c>
      <c r="C267" s="5" t="s">
        <v>69</v>
      </c>
      <c r="D267" s="5" t="s">
        <v>19</v>
      </c>
      <c r="E267" s="5" t="s">
        <v>50</v>
      </c>
      <c r="F267" s="9">
        <v>29</v>
      </c>
      <c r="G267" s="9">
        <v>383</v>
      </c>
      <c r="H267" s="5" t="s">
        <v>21</v>
      </c>
      <c r="I267" s="5" t="s">
        <v>721</v>
      </c>
      <c r="J267" s="12" t="str">
        <f>HYPERLINK("https://www.boe.es/gazeta/dias/1801/04/10/pdfs/GMD-1801-29.pdf#page=11","Abrir facsímil")</f>
        <v>Abrir facsímil</v>
      </c>
      <c r="K267" s="15" t="s">
        <v>23</v>
      </c>
    </row>
    <row r="268" spans="1:11" ht="42" customHeight="1">
      <c r="A268" s="4" t="s">
        <v>722</v>
      </c>
      <c r="B268" s="5" t="s">
        <v>722</v>
      </c>
      <c r="C268" s="5" t="s">
        <v>32</v>
      </c>
      <c r="D268" s="5" t="s">
        <v>33</v>
      </c>
      <c r="E268" s="5" t="s">
        <v>723</v>
      </c>
      <c r="F268" s="9">
        <v>113</v>
      </c>
      <c r="G268" s="9">
        <v>1234</v>
      </c>
      <c r="H268" s="5" t="s">
        <v>21</v>
      </c>
      <c r="I268" s="5" t="s">
        <v>724</v>
      </c>
      <c r="J268" s="12" t="str">
        <f>HYPERLINK("https://www.boe.es/gazeta/dias/1801/12/08/pdfs/GMD-1801-113.pdf#page=7","Abrir facsímil")</f>
        <v>Abrir facsímil</v>
      </c>
      <c r="K268" s="15" t="s">
        <v>23</v>
      </c>
    </row>
    <row r="269" spans="1:11" ht="42" customHeight="1">
      <c r="A269" s="4" t="s">
        <v>725</v>
      </c>
      <c r="B269" s="5" t="s">
        <v>725</v>
      </c>
      <c r="C269" s="5" t="s">
        <v>38</v>
      </c>
      <c r="D269" s="5" t="s">
        <v>39</v>
      </c>
      <c r="E269" s="5" t="s">
        <v>615</v>
      </c>
      <c r="F269" s="9">
        <v>72</v>
      </c>
      <c r="G269" s="9">
        <v>803</v>
      </c>
      <c r="H269" s="5" t="s">
        <v>21</v>
      </c>
      <c r="I269" s="5" t="s">
        <v>726</v>
      </c>
      <c r="J269" s="12" t="str">
        <f>HYPERLINK("https://www.boe.es/gazeta/dias/1801/07/24/pdfs/GMD-1801-72.pdf#page=8","Abrir facsímil")</f>
        <v>Abrir facsímil</v>
      </c>
      <c r="K269" s="15" t="s">
        <v>23</v>
      </c>
    </row>
    <row r="270" spans="1:11" ht="42" customHeight="1">
      <c r="A270" s="4" t="s">
        <v>727</v>
      </c>
      <c r="B270" s="5" t="s">
        <v>727</v>
      </c>
      <c r="C270" s="5" t="s">
        <v>38</v>
      </c>
      <c r="D270" s="5" t="s">
        <v>39</v>
      </c>
      <c r="E270" s="5" t="s">
        <v>135</v>
      </c>
      <c r="F270" s="9">
        <v>24</v>
      </c>
      <c r="G270" s="9">
        <v>319</v>
      </c>
      <c r="H270" s="5" t="s">
        <v>21</v>
      </c>
      <c r="I270" s="5" t="s">
        <v>728</v>
      </c>
      <c r="J270" s="12" t="str">
        <f>HYPERLINK("https://www.boe.es/gazeta/dias/1801/03/24/pdfs/GMD-1801-24.pdf#page=10","Abrir facsímil")</f>
        <v>Abrir facsímil</v>
      </c>
      <c r="K270" s="15" t="s">
        <v>23</v>
      </c>
    </row>
    <row r="271" spans="1:11" ht="42" customHeight="1">
      <c r="A271" s="4" t="s">
        <v>729</v>
      </c>
      <c r="B271" s="5" t="s">
        <v>730</v>
      </c>
      <c r="C271" s="5" t="s">
        <v>75</v>
      </c>
      <c r="D271" s="5" t="s">
        <v>76</v>
      </c>
      <c r="E271" s="5" t="s">
        <v>120</v>
      </c>
      <c r="F271" s="9">
        <v>7</v>
      </c>
      <c r="G271" s="9">
        <v>78</v>
      </c>
      <c r="H271" s="5" t="s">
        <v>21</v>
      </c>
      <c r="I271" s="5" t="s">
        <v>731</v>
      </c>
      <c r="J271" s="12" t="str">
        <f>HYPERLINK("https://www.boe.es/gazeta/dias/1801/01/23/pdfs/GMD-1801-7.pdf#page=2","Abrir facsímil")</f>
        <v>Abrir facsímil</v>
      </c>
      <c r="K271" s="15" t="s">
        <v>23</v>
      </c>
    </row>
    <row r="272" spans="1:11" ht="42" customHeight="1">
      <c r="A272" s="4" t="s">
        <v>729</v>
      </c>
      <c r="B272" s="5" t="s">
        <v>730</v>
      </c>
      <c r="C272" s="5" t="s">
        <v>75</v>
      </c>
      <c r="D272" s="5" t="s">
        <v>76</v>
      </c>
      <c r="E272" s="5" t="s">
        <v>328</v>
      </c>
      <c r="F272" s="9">
        <v>89</v>
      </c>
      <c r="G272" s="9">
        <v>977</v>
      </c>
      <c r="H272" s="5" t="s">
        <v>21</v>
      </c>
      <c r="I272" s="5" t="s">
        <v>732</v>
      </c>
      <c r="J272" s="12" t="str">
        <f>HYPERLINK("https://www.boe.es/gazeta/dias/1801/09/15/pdfs/GMD-1801-89.pdf#page=4","Abrir facsímil")</f>
        <v>Abrir facsímil</v>
      </c>
      <c r="K272" s="15" t="s">
        <v>23</v>
      </c>
    </row>
    <row r="273" spans="1:11" ht="42" customHeight="1">
      <c r="A273" s="4" t="s">
        <v>729</v>
      </c>
      <c r="B273" s="5" t="s">
        <v>730</v>
      </c>
      <c r="C273" s="5" t="s">
        <v>69</v>
      </c>
      <c r="D273" s="5" t="s">
        <v>19</v>
      </c>
      <c r="E273" s="5" t="s">
        <v>505</v>
      </c>
      <c r="F273" s="9">
        <v>94</v>
      </c>
      <c r="G273" s="9">
        <v>1028</v>
      </c>
      <c r="H273" s="5" t="s">
        <v>21</v>
      </c>
      <c r="I273" s="5" t="s">
        <v>733</v>
      </c>
      <c r="J273" s="12" t="str">
        <f>HYPERLINK("https://www.boe.es/gazeta/dias/1801/10/02/pdfs/GMD-1801-94.pdf#page=4","Abrir facsímil")</f>
        <v>Abrir facsímil</v>
      </c>
      <c r="K273" s="15" t="s">
        <v>23</v>
      </c>
    </row>
    <row r="274" spans="1:11" ht="42" customHeight="1">
      <c r="A274" s="4" t="s">
        <v>729</v>
      </c>
      <c r="B274" s="5" t="s">
        <v>730</v>
      </c>
      <c r="C274" s="5" t="s">
        <v>32</v>
      </c>
      <c r="D274" s="5" t="s">
        <v>33</v>
      </c>
      <c r="E274" s="5" t="s">
        <v>258</v>
      </c>
      <c r="F274" s="9">
        <v>96</v>
      </c>
      <c r="G274" s="9">
        <v>1049</v>
      </c>
      <c r="H274" s="5" t="s">
        <v>21</v>
      </c>
      <c r="I274" s="5" t="s">
        <v>734</v>
      </c>
      <c r="J274" s="12" t="str">
        <f>HYPERLINK("https://www.boe.es/gazeta/dias/1801/10/09/pdfs/GMD-1801-96.pdf#page=5","Abrir facsímil")</f>
        <v>Abrir facsímil</v>
      </c>
      <c r="K274" s="15" t="s">
        <v>23</v>
      </c>
    </row>
    <row r="275" spans="1:11" ht="42" customHeight="1">
      <c r="A275" s="4" t="s">
        <v>729</v>
      </c>
      <c r="B275" s="5" t="s">
        <v>730</v>
      </c>
      <c r="C275" s="5" t="s">
        <v>75</v>
      </c>
      <c r="D275" s="5" t="s">
        <v>76</v>
      </c>
      <c r="E275" s="5" t="s">
        <v>735</v>
      </c>
      <c r="F275" s="9">
        <v>97</v>
      </c>
      <c r="G275" s="9">
        <v>1059</v>
      </c>
      <c r="H275" s="5" t="s">
        <v>21</v>
      </c>
      <c r="I275" s="5" t="s">
        <v>736</v>
      </c>
      <c r="J275" s="12" t="str">
        <f>HYPERLINK("https://www.boe.es/gazeta/dias/1801/10/13/pdfs/GMD-1801-97.pdf#page=3","Abrir facsímil")</f>
        <v>Abrir facsímil</v>
      </c>
      <c r="K275" s="15" t="s">
        <v>23</v>
      </c>
    </row>
    <row r="276" spans="1:11" ht="42" customHeight="1">
      <c r="A276" s="4" t="s">
        <v>729</v>
      </c>
      <c r="B276" s="5" t="s">
        <v>730</v>
      </c>
      <c r="C276" s="5" t="s">
        <v>75</v>
      </c>
      <c r="D276" s="5" t="s">
        <v>76</v>
      </c>
      <c r="E276" s="5" t="s">
        <v>317</v>
      </c>
      <c r="F276" s="9">
        <v>102</v>
      </c>
      <c r="G276" s="9">
        <v>1117</v>
      </c>
      <c r="H276" s="5" t="s">
        <v>21</v>
      </c>
      <c r="I276" s="5" t="s">
        <v>737</v>
      </c>
      <c r="J276" s="12" t="str">
        <f>HYPERLINK("https://www.boe.es/gazeta/dias/1801/10/30/pdfs/GMD-1801-102.pdf#page=2","Abrir facsímil")</f>
        <v>Abrir facsímil</v>
      </c>
      <c r="K276" s="15" t="s">
        <v>23</v>
      </c>
    </row>
    <row r="277" spans="1:11" ht="42" customHeight="1">
      <c r="A277" s="4" t="s">
        <v>729</v>
      </c>
      <c r="B277" s="5" t="s">
        <v>730</v>
      </c>
      <c r="C277" s="5" t="s">
        <v>32</v>
      </c>
      <c r="D277" s="5" t="s">
        <v>33</v>
      </c>
      <c r="E277" s="5" t="s">
        <v>317</v>
      </c>
      <c r="F277" s="9">
        <v>102</v>
      </c>
      <c r="G277" s="9">
        <v>1118</v>
      </c>
      <c r="H277" s="5" t="s">
        <v>21</v>
      </c>
      <c r="I277" s="5" t="s">
        <v>738</v>
      </c>
      <c r="J277" s="12" t="str">
        <f>HYPERLINK("https://www.boe.es/gazeta/dias/1801/10/30/pdfs/GMD-1801-102.pdf#page=3","Abrir facsímil")</f>
        <v>Abrir facsímil</v>
      </c>
      <c r="K277" s="15" t="s">
        <v>23</v>
      </c>
    </row>
    <row r="278" spans="1:11" ht="42" customHeight="1">
      <c r="A278" s="4" t="s">
        <v>729</v>
      </c>
      <c r="B278" s="5" t="s">
        <v>730</v>
      </c>
      <c r="C278" s="5" t="s">
        <v>75</v>
      </c>
      <c r="D278" s="5" t="s">
        <v>76</v>
      </c>
      <c r="E278" s="5" t="s">
        <v>55</v>
      </c>
      <c r="F278" s="9">
        <v>104</v>
      </c>
      <c r="G278" s="9">
        <v>1141</v>
      </c>
      <c r="H278" s="5" t="s">
        <v>21</v>
      </c>
      <c r="I278" s="5" t="s">
        <v>739</v>
      </c>
      <c r="J278" s="12" t="str">
        <f>HYPERLINK("https://www.boe.es/gazeta/dias/1801/11/06/pdfs/GMD-1801-104.pdf#page=2","Abrir facsímil")</f>
        <v>Abrir facsímil</v>
      </c>
      <c r="K278" s="15" t="s">
        <v>23</v>
      </c>
    </row>
    <row r="279" spans="1:11" ht="42" customHeight="1">
      <c r="A279" s="4" t="s">
        <v>729</v>
      </c>
      <c r="B279" s="5" t="s">
        <v>730</v>
      </c>
      <c r="C279" s="5" t="s">
        <v>75</v>
      </c>
      <c r="D279" s="5" t="s">
        <v>76</v>
      </c>
      <c r="E279" s="5" t="s">
        <v>349</v>
      </c>
      <c r="F279" s="9">
        <v>112</v>
      </c>
      <c r="G279" s="9">
        <v>1221</v>
      </c>
      <c r="H279" s="5" t="s">
        <v>21</v>
      </c>
      <c r="I279" s="5" t="s">
        <v>740</v>
      </c>
      <c r="J279" s="12" t="str">
        <f>HYPERLINK("https://www.boe.es/gazeta/dias/1801/12/04/pdfs/GMD-1801-112.pdf#page=2","Abrir facsímil")</f>
        <v>Abrir facsímil</v>
      </c>
      <c r="K279" s="15" t="s">
        <v>23</v>
      </c>
    </row>
    <row r="280" spans="1:11" ht="42" customHeight="1">
      <c r="A280" s="4" t="s">
        <v>729</v>
      </c>
      <c r="B280" s="5" t="s">
        <v>730</v>
      </c>
      <c r="C280" s="5" t="s">
        <v>75</v>
      </c>
      <c r="D280" s="5" t="s">
        <v>76</v>
      </c>
      <c r="E280" s="5" t="s">
        <v>349</v>
      </c>
      <c r="F280" s="9">
        <v>112</v>
      </c>
      <c r="G280" s="9">
        <v>1222</v>
      </c>
      <c r="H280" s="5" t="s">
        <v>21</v>
      </c>
      <c r="I280" s="5" t="s">
        <v>741</v>
      </c>
      <c r="J280" s="12" t="str">
        <f>HYPERLINK("https://www.boe.es/gazeta/dias/1801/12/04/pdfs/GMD-1801-112.pdf#page=3","Abrir facsímil")</f>
        <v>Abrir facsímil</v>
      </c>
      <c r="K280" s="15" t="s">
        <v>23</v>
      </c>
    </row>
    <row r="281" spans="1:11" ht="42" customHeight="1">
      <c r="A281" s="4" t="s">
        <v>729</v>
      </c>
      <c r="B281" s="5" t="s">
        <v>730</v>
      </c>
      <c r="C281" s="5" t="s">
        <v>38</v>
      </c>
      <c r="D281" s="5" t="s">
        <v>39</v>
      </c>
      <c r="E281" s="5" t="s">
        <v>723</v>
      </c>
      <c r="F281" s="9">
        <v>113</v>
      </c>
      <c r="G281" s="9">
        <v>1229</v>
      </c>
      <c r="H281" s="5" t="s">
        <v>21</v>
      </c>
      <c r="I281" s="5" t="s">
        <v>742</v>
      </c>
      <c r="J281" s="12" t="str">
        <f>HYPERLINK("https://www.boe.es/gazeta/dias/1801/12/08/pdfs/GMD-1801-113.pdf#page=2","Abrir facsímil")</f>
        <v>Abrir facsímil</v>
      </c>
      <c r="K281" s="15" t="s">
        <v>23</v>
      </c>
    </row>
    <row r="282" spans="1:11" ht="42" customHeight="1">
      <c r="A282" s="4" t="s">
        <v>743</v>
      </c>
      <c r="B282" s="5" t="s">
        <v>744</v>
      </c>
      <c r="C282" s="5" t="s">
        <v>32</v>
      </c>
      <c r="D282" s="5" t="s">
        <v>33</v>
      </c>
      <c r="E282" s="5" t="s">
        <v>262</v>
      </c>
      <c r="F282" s="9">
        <v>109</v>
      </c>
      <c r="G282" s="9">
        <v>1205</v>
      </c>
      <c r="H282" s="5" t="s">
        <v>21</v>
      </c>
      <c r="I282" s="5" t="s">
        <v>745</v>
      </c>
      <c r="J282" s="12" t="str">
        <f>HYPERLINK("https://www.boe.es/gazeta/dias/1801/11/24/pdfs/GMD-1801-109.pdf#page=10","Abrir facsímil")</f>
        <v>Abrir facsímil</v>
      </c>
      <c r="K282" s="15" t="s">
        <v>23</v>
      </c>
    </row>
    <row r="283" spans="1:11" ht="42" customHeight="1">
      <c r="A283" s="4" t="s">
        <v>746</v>
      </c>
      <c r="B283" s="5" t="s">
        <v>747</v>
      </c>
      <c r="C283" s="5" t="s">
        <v>32</v>
      </c>
      <c r="D283" s="5" t="s">
        <v>33</v>
      </c>
      <c r="E283" s="5" t="s">
        <v>251</v>
      </c>
      <c r="F283" s="9">
        <v>66</v>
      </c>
      <c r="G283" s="9">
        <v>742</v>
      </c>
      <c r="H283" s="5" t="s">
        <v>21</v>
      </c>
      <c r="I283" s="5" t="s">
        <v>748</v>
      </c>
      <c r="J283" s="12" t="str">
        <f>HYPERLINK("https://www.boe.es/gazeta/dias/1801/07/10/pdfs/GMD-1801-66.pdf#page=7","Abrir facsímil")</f>
        <v>Abrir facsímil</v>
      </c>
      <c r="K283" s="15" t="s">
        <v>23</v>
      </c>
    </row>
    <row r="284" spans="1:11" ht="42" customHeight="1">
      <c r="A284" s="4" t="s">
        <v>749</v>
      </c>
      <c r="B284" s="5" t="s">
        <v>750</v>
      </c>
      <c r="C284" s="5" t="s">
        <v>515</v>
      </c>
      <c r="D284" s="5" t="s">
        <v>516</v>
      </c>
      <c r="E284" s="5" t="s">
        <v>751</v>
      </c>
      <c r="F284" s="9">
        <v>106</v>
      </c>
      <c r="G284" s="9">
        <v>1169</v>
      </c>
      <c r="H284" s="5" t="s">
        <v>21</v>
      </c>
      <c r="I284" s="5" t="s">
        <v>752</v>
      </c>
      <c r="J284" s="12" t="str">
        <f>HYPERLINK("https://www.boe.es/gazeta/dias/1801/11/13/pdfs/GMD-C-1801-106.pdf#page=2","Abrir facsímil")</f>
        <v>Abrir facsímil</v>
      </c>
      <c r="K284" s="15" t="s">
        <v>23</v>
      </c>
    </row>
    <row r="285" spans="1:11" ht="42" customHeight="1">
      <c r="A285" s="4" t="s">
        <v>753</v>
      </c>
      <c r="B285" s="5" t="s">
        <v>753</v>
      </c>
      <c r="C285" s="5" t="s">
        <v>32</v>
      </c>
      <c r="D285" s="5" t="s">
        <v>33</v>
      </c>
      <c r="E285" s="5" t="s">
        <v>62</v>
      </c>
      <c r="F285" s="9">
        <v>6</v>
      </c>
      <c r="G285" s="9">
        <v>74</v>
      </c>
      <c r="H285" s="5" t="s">
        <v>21</v>
      </c>
      <c r="I285" s="5" t="s">
        <v>754</v>
      </c>
      <c r="J285" s="12" t="str">
        <f>HYPERLINK("https://www.boe.es/gazeta/dias/1801/01/20/pdfs/GMD-1801-6.pdf#page=10","Abrir facsímil")</f>
        <v>Abrir facsímil</v>
      </c>
      <c r="K285" s="15" t="s">
        <v>23</v>
      </c>
    </row>
    <row r="286" spans="1:11" ht="42" customHeight="1">
      <c r="A286" s="4" t="s">
        <v>755</v>
      </c>
      <c r="B286" s="5" t="s">
        <v>756</v>
      </c>
      <c r="C286" s="5" t="s">
        <v>515</v>
      </c>
      <c r="D286" s="5" t="s">
        <v>516</v>
      </c>
      <c r="E286" s="5" t="s">
        <v>501</v>
      </c>
      <c r="F286" s="9">
        <v>115</v>
      </c>
      <c r="G286" s="9" t="s">
        <v>83</v>
      </c>
      <c r="H286" s="5" t="s">
        <v>21</v>
      </c>
      <c r="I286" s="5" t="s">
        <v>757</v>
      </c>
      <c r="J286" s="12" t="str">
        <f>HYPERLINK("https://www.boe.es/gazeta/dias/1801/12/15/pdfs/GMD-C-1801-115.pdf#page=2","Abrir facsímil")</f>
        <v>Abrir facsímil</v>
      </c>
      <c r="K286" s="15" t="s">
        <v>23</v>
      </c>
    </row>
    <row r="287" spans="1:11" ht="42" customHeight="1">
      <c r="A287" s="4" t="s">
        <v>758</v>
      </c>
      <c r="B287" s="5" t="s">
        <v>758</v>
      </c>
      <c r="C287" s="5" t="s">
        <v>18</v>
      </c>
      <c r="D287" s="5" t="s">
        <v>19</v>
      </c>
      <c r="E287" s="5" t="s">
        <v>48</v>
      </c>
      <c r="F287" s="9">
        <v>20</v>
      </c>
      <c r="G287" s="9">
        <v>258</v>
      </c>
      <c r="H287" s="5" t="s">
        <v>21</v>
      </c>
      <c r="I287" s="5" t="s">
        <v>759</v>
      </c>
      <c r="J287" s="12" t="str">
        <f>HYPERLINK("https://www.boe.es/gazeta/dias/1801/03/10/pdfs/GMD-1801-20.pdf#page=3","Abrir facsímil")</f>
        <v>Abrir facsímil</v>
      </c>
      <c r="K287" s="15" t="s">
        <v>23</v>
      </c>
    </row>
    <row r="288" spans="1:11" ht="42" customHeight="1">
      <c r="A288" s="4" t="s">
        <v>760</v>
      </c>
      <c r="B288" s="5" t="s">
        <v>761</v>
      </c>
      <c r="C288" s="5" t="s">
        <v>26</v>
      </c>
      <c r="D288" s="5" t="s">
        <v>27</v>
      </c>
      <c r="E288" s="5" t="s">
        <v>251</v>
      </c>
      <c r="F288" s="9">
        <v>66</v>
      </c>
      <c r="G288" s="9">
        <v>743</v>
      </c>
      <c r="H288" s="5" t="s">
        <v>21</v>
      </c>
      <c r="I288" s="5" t="s">
        <v>762</v>
      </c>
      <c r="J288" s="12" t="str">
        <f>HYPERLINK("https://www.boe.es/gazeta/dias/1801/07/10/pdfs/GMD-1801-66.pdf#page=8","Abrir facsímil")</f>
        <v>Abrir facsímil</v>
      </c>
      <c r="K288" s="15" t="s">
        <v>23</v>
      </c>
    </row>
    <row r="289" spans="1:11" ht="42" customHeight="1">
      <c r="A289" s="4" t="s">
        <v>763</v>
      </c>
      <c r="B289" s="5" t="s">
        <v>763</v>
      </c>
      <c r="C289" s="5" t="s">
        <v>26</v>
      </c>
      <c r="D289" s="5" t="s">
        <v>27</v>
      </c>
      <c r="E289" s="5" t="s">
        <v>764</v>
      </c>
      <c r="F289" s="9">
        <v>80</v>
      </c>
      <c r="G289" s="9">
        <v>899</v>
      </c>
      <c r="H289" s="5" t="s">
        <v>21</v>
      </c>
      <c r="I289" s="5" t="s">
        <v>765</v>
      </c>
      <c r="J289" s="12" t="str">
        <f>HYPERLINK("https://www.boe.es/gazeta/dias/1801/08/21/pdfs/GMD-1801-80.pdf#page=8","Abrir facsímil")</f>
        <v>Abrir facsímil</v>
      </c>
      <c r="K289" s="15" t="s">
        <v>23</v>
      </c>
    </row>
    <row r="290" spans="1:11" ht="42" customHeight="1">
      <c r="A290" s="4" t="s">
        <v>766</v>
      </c>
      <c r="B290" s="5" t="s">
        <v>766</v>
      </c>
      <c r="C290" s="5" t="s">
        <v>32</v>
      </c>
      <c r="D290" s="5" t="s">
        <v>33</v>
      </c>
      <c r="E290" s="5" t="s">
        <v>155</v>
      </c>
      <c r="F290" s="9">
        <v>50</v>
      </c>
      <c r="G290" s="9">
        <v>597</v>
      </c>
      <c r="H290" s="5" t="s">
        <v>21</v>
      </c>
      <c r="I290" s="5" t="s">
        <v>767</v>
      </c>
      <c r="J290" s="12" t="str">
        <f>HYPERLINK("https://www.boe.es/gazeta/dias/1801/06/09/pdfs/GMD-1801-50.pdf#page=9","Abrir facsímil")</f>
        <v>Abrir facsímil</v>
      </c>
      <c r="K290" s="15" t="s">
        <v>23</v>
      </c>
    </row>
    <row r="291" spans="1:11" ht="42" customHeight="1">
      <c r="A291" s="4" t="s">
        <v>768</v>
      </c>
      <c r="B291" s="5" t="s">
        <v>768</v>
      </c>
      <c r="C291" s="5" t="s">
        <v>32</v>
      </c>
      <c r="D291" s="5" t="s">
        <v>33</v>
      </c>
      <c r="E291" s="5" t="s">
        <v>122</v>
      </c>
      <c r="F291" s="9">
        <v>8</v>
      </c>
      <c r="G291" s="9">
        <v>97</v>
      </c>
      <c r="H291" s="5" t="s">
        <v>21</v>
      </c>
      <c r="I291" s="5" t="s">
        <v>769</v>
      </c>
      <c r="J291" s="12" t="str">
        <f>HYPERLINK("https://www.boe.es/gazeta/dias/1801/01/27/pdfs/GMD-1801-8.pdf#page=9","Abrir facsímil")</f>
        <v>Abrir facsímil</v>
      </c>
      <c r="K291" s="15" t="s">
        <v>23</v>
      </c>
    </row>
    <row r="292" spans="1:11" ht="42" customHeight="1">
      <c r="A292" s="4" t="s">
        <v>770</v>
      </c>
      <c r="B292" s="5" t="s">
        <v>771</v>
      </c>
      <c r="C292" s="5" t="s">
        <v>26</v>
      </c>
      <c r="D292" s="5" t="s">
        <v>27</v>
      </c>
      <c r="E292" s="5" t="s">
        <v>712</v>
      </c>
      <c r="F292" s="9">
        <v>105</v>
      </c>
      <c r="G292" s="9">
        <v>1159</v>
      </c>
      <c r="H292" s="5" t="s">
        <v>21</v>
      </c>
      <c r="I292" s="5" t="s">
        <v>772</v>
      </c>
      <c r="J292" s="12" t="str">
        <f>HYPERLINK("https://www.boe.es/gazeta/dias/1801/11/10/pdfs/GMD-1801-105.pdf#page=12","Abrir facsímil")</f>
        <v>Abrir facsímil</v>
      </c>
      <c r="K292" s="15" t="s">
        <v>23</v>
      </c>
    </row>
    <row r="293" spans="1:11" ht="42" customHeight="1">
      <c r="A293" s="4" t="s">
        <v>773</v>
      </c>
      <c r="B293" s="5" t="s">
        <v>774</v>
      </c>
      <c r="C293" s="5" t="s">
        <v>32</v>
      </c>
      <c r="D293" s="5" t="s">
        <v>33</v>
      </c>
      <c r="E293" s="5" t="s">
        <v>201</v>
      </c>
      <c r="F293" s="9">
        <v>79</v>
      </c>
      <c r="G293" s="9">
        <v>888</v>
      </c>
      <c r="H293" s="5" t="s">
        <v>21</v>
      </c>
      <c r="I293" s="5" t="s">
        <v>775</v>
      </c>
      <c r="J293" s="12" t="str">
        <f>HYPERLINK("https://www.boe.es/gazeta/dias/1801/08/18/pdfs/GMD-1801-79.pdf#page=5","Abrir facsímil")</f>
        <v>Abrir facsímil</v>
      </c>
      <c r="K293" s="15" t="s">
        <v>23</v>
      </c>
    </row>
    <row r="294" spans="1:11" ht="42" customHeight="1">
      <c r="A294" s="4" t="s">
        <v>776</v>
      </c>
      <c r="B294" s="5" t="s">
        <v>777</v>
      </c>
      <c r="C294" s="5" t="s">
        <v>32</v>
      </c>
      <c r="D294" s="5" t="s">
        <v>33</v>
      </c>
      <c r="E294" s="5" t="s">
        <v>313</v>
      </c>
      <c r="F294" s="9">
        <v>39</v>
      </c>
      <c r="G294" s="9">
        <v>505</v>
      </c>
      <c r="H294" s="5" t="s">
        <v>21</v>
      </c>
      <c r="I294" s="5" t="s">
        <v>778</v>
      </c>
      <c r="J294" s="12" t="str">
        <f>HYPERLINK("https://www.boe.es/gazeta/dias/1801/05/15/pdfs/GMD-1801-39.pdf#page=9","Abrir facsímil")</f>
        <v>Abrir facsímil</v>
      </c>
      <c r="K294" s="15" t="s">
        <v>23</v>
      </c>
    </row>
    <row r="295" spans="1:11" ht="42" customHeight="1">
      <c r="A295" s="4" t="s">
        <v>779</v>
      </c>
      <c r="B295" s="5" t="s">
        <v>780</v>
      </c>
      <c r="C295" s="5" t="s">
        <v>32</v>
      </c>
      <c r="D295" s="5" t="s">
        <v>33</v>
      </c>
      <c r="E295" s="5" t="s">
        <v>781</v>
      </c>
      <c r="F295" s="9">
        <v>14</v>
      </c>
      <c r="G295" s="9">
        <v>174</v>
      </c>
      <c r="H295" s="5" t="s">
        <v>21</v>
      </c>
      <c r="I295" s="5" t="s">
        <v>782</v>
      </c>
      <c r="J295" s="12" t="str">
        <f>HYPERLINK("https://www.boe.es/gazeta/dias/1801/02/17/pdfs/GMD-1801-14.pdf#page=9","Abrir facsímil")</f>
        <v>Abrir facsímil</v>
      </c>
      <c r="K295" s="15" t="s">
        <v>23</v>
      </c>
    </row>
    <row r="296" spans="1:11" ht="42" customHeight="1">
      <c r="A296" s="4" t="s">
        <v>783</v>
      </c>
      <c r="B296" s="5" t="s">
        <v>784</v>
      </c>
      <c r="C296" s="5" t="s">
        <v>75</v>
      </c>
      <c r="D296" s="5" t="s">
        <v>76</v>
      </c>
      <c r="E296" s="5" t="s">
        <v>66</v>
      </c>
      <c r="F296" s="9">
        <v>52</v>
      </c>
      <c r="G296" s="9">
        <v>604</v>
      </c>
      <c r="H296" s="5" t="s">
        <v>21</v>
      </c>
      <c r="I296" s="5" t="s">
        <v>785</v>
      </c>
      <c r="J296" s="12" t="str">
        <f>HYPERLINK("https://www.boe.es/gazeta/dias/1801/06/12/pdfs/GMD-1801-52.pdf#page=3","Abrir facsímil")</f>
        <v>Abrir facsímil</v>
      </c>
      <c r="K296" s="15" t="s">
        <v>23</v>
      </c>
    </row>
    <row r="297" spans="1:11" ht="42" customHeight="1">
      <c r="A297" s="4" t="s">
        <v>783</v>
      </c>
      <c r="B297" s="5" t="s">
        <v>784</v>
      </c>
      <c r="C297" s="5" t="s">
        <v>75</v>
      </c>
      <c r="D297" s="5" t="s">
        <v>76</v>
      </c>
      <c r="E297" s="5" t="s">
        <v>40</v>
      </c>
      <c r="F297" s="9">
        <v>63</v>
      </c>
      <c r="G297" s="9">
        <v>708</v>
      </c>
      <c r="H297" s="5" t="s">
        <v>21</v>
      </c>
      <c r="I297" s="5" t="s">
        <v>786</v>
      </c>
      <c r="J297" s="12" t="str">
        <f>HYPERLINK("https://www.boe.es/gazeta/dias/1801/07/03/pdfs/GMD-1801-63.pdf#page=5","Abrir facsímil")</f>
        <v>Abrir facsímil</v>
      </c>
      <c r="K297" s="15" t="s">
        <v>23</v>
      </c>
    </row>
    <row r="298" spans="1:11" ht="42" customHeight="1">
      <c r="A298" s="4" t="s">
        <v>787</v>
      </c>
      <c r="B298" s="5" t="s">
        <v>788</v>
      </c>
      <c r="C298" s="5" t="s">
        <v>32</v>
      </c>
      <c r="D298" s="5" t="s">
        <v>33</v>
      </c>
      <c r="E298" s="5" t="s">
        <v>44</v>
      </c>
      <c r="F298" s="9">
        <v>117</v>
      </c>
      <c r="G298" s="9">
        <v>1281</v>
      </c>
      <c r="H298" s="5" t="s">
        <v>21</v>
      </c>
      <c r="I298" s="5" t="s">
        <v>789</v>
      </c>
      <c r="J298" s="12" t="str">
        <f>HYPERLINK("https://www.boe.es/gazeta/dias/1801/12/22/pdfs/GMD-1801-117.pdf#page=8","Abrir facsímil")</f>
        <v>Abrir facsímil</v>
      </c>
      <c r="K298" s="15" t="s">
        <v>23</v>
      </c>
    </row>
    <row r="299" spans="1:11" ht="42" customHeight="1">
      <c r="A299" s="4" t="s">
        <v>790</v>
      </c>
      <c r="B299" s="5" t="s">
        <v>791</v>
      </c>
      <c r="C299" s="5" t="s">
        <v>38</v>
      </c>
      <c r="D299" s="5" t="s">
        <v>39</v>
      </c>
      <c r="E299" s="5" t="s">
        <v>131</v>
      </c>
      <c r="F299" s="9">
        <v>22</v>
      </c>
      <c r="G299" s="9">
        <v>286</v>
      </c>
      <c r="H299" s="5" t="s">
        <v>21</v>
      </c>
      <c r="I299" s="5" t="s">
        <v>792</v>
      </c>
      <c r="J299" s="12" t="str">
        <f>HYPERLINK("https://www.boe.es/gazeta/dias/1801/03/17/pdfs/GMD-1801-22.pdf#page=3","Abrir facsímil")</f>
        <v>Abrir facsímil</v>
      </c>
      <c r="K299" s="15" t="s">
        <v>23</v>
      </c>
    </row>
    <row r="300" spans="1:11" ht="42" customHeight="1">
      <c r="A300" s="4" t="s">
        <v>790</v>
      </c>
      <c r="B300" s="5" t="s">
        <v>791</v>
      </c>
      <c r="C300" s="5" t="s">
        <v>75</v>
      </c>
      <c r="D300" s="5" t="s">
        <v>76</v>
      </c>
      <c r="E300" s="5" t="s">
        <v>135</v>
      </c>
      <c r="F300" s="9">
        <v>24</v>
      </c>
      <c r="G300" s="9">
        <v>313</v>
      </c>
      <c r="H300" s="5" t="s">
        <v>21</v>
      </c>
      <c r="I300" s="5" t="s">
        <v>793</v>
      </c>
      <c r="J300" s="12" t="str">
        <f>HYPERLINK("https://www.boe.es/gazeta/dias/1801/03/24/pdfs/GMD-1801-24.pdf#page=4","Abrir facsímil")</f>
        <v>Abrir facsímil</v>
      </c>
      <c r="K300" s="15" t="s">
        <v>23</v>
      </c>
    </row>
    <row r="301" spans="1:11" ht="42" customHeight="1">
      <c r="A301" s="4" t="s">
        <v>794</v>
      </c>
      <c r="B301" s="5" t="s">
        <v>795</v>
      </c>
      <c r="C301" s="5" t="s">
        <v>32</v>
      </c>
      <c r="D301" s="5" t="s">
        <v>33</v>
      </c>
      <c r="E301" s="5" t="s">
        <v>179</v>
      </c>
      <c r="F301" s="9">
        <v>11</v>
      </c>
      <c r="G301" s="9">
        <v>137</v>
      </c>
      <c r="H301" s="5" t="s">
        <v>21</v>
      </c>
      <c r="I301" s="5" t="s">
        <v>796</v>
      </c>
      <c r="J301" s="12" t="str">
        <f>HYPERLINK("https://www.boe.es/gazeta/dias/1801/02/06/pdfs/GMD-1801-11.pdf#page=10","Abrir facsímil")</f>
        <v>Abrir facsímil</v>
      </c>
      <c r="K301" s="15" t="s">
        <v>23</v>
      </c>
    </row>
    <row r="302" spans="1:11" ht="42" customHeight="1">
      <c r="A302" s="4" t="s">
        <v>797</v>
      </c>
      <c r="B302" s="5" t="s">
        <v>798</v>
      </c>
      <c r="C302" s="5" t="s">
        <v>32</v>
      </c>
      <c r="D302" s="5" t="s">
        <v>33</v>
      </c>
      <c r="E302" s="5" t="s">
        <v>90</v>
      </c>
      <c r="F302" s="9">
        <v>1</v>
      </c>
      <c r="G302" s="9">
        <v>8</v>
      </c>
      <c r="H302" s="5" t="s">
        <v>21</v>
      </c>
      <c r="I302" s="5" t="s">
        <v>799</v>
      </c>
      <c r="J302" s="12" t="str">
        <f>HYPERLINK("https://www.boe.es/gazeta/dias/1801/01/02/pdfs/GMD-1801-1.pdf#page=8","Abrir facsímil")</f>
        <v>Abrir facsímil</v>
      </c>
      <c r="K302" s="15" t="s">
        <v>23</v>
      </c>
    </row>
    <row r="303" spans="1:11" ht="42" customHeight="1">
      <c r="A303" s="4" t="s">
        <v>800</v>
      </c>
      <c r="B303" s="5" t="s">
        <v>801</v>
      </c>
      <c r="C303" s="5" t="s">
        <v>75</v>
      </c>
      <c r="D303" s="5" t="s">
        <v>76</v>
      </c>
      <c r="E303" s="5" t="s">
        <v>70</v>
      </c>
      <c r="F303" s="9">
        <v>2</v>
      </c>
      <c r="G303" s="9">
        <v>20</v>
      </c>
      <c r="H303" s="5" t="s">
        <v>21</v>
      </c>
      <c r="I303" s="5" t="s">
        <v>802</v>
      </c>
      <c r="J303" s="12" t="str">
        <f>HYPERLINK("https://www.boe.es/gazeta/dias/1801/01/06/pdfs/GMD-1801-2.pdf#page=8","Abrir facsímil")</f>
        <v>Abrir facsímil</v>
      </c>
      <c r="K303" s="15" t="s">
        <v>23</v>
      </c>
    </row>
    <row r="304" spans="1:11" ht="42" customHeight="1">
      <c r="A304" s="4" t="s">
        <v>803</v>
      </c>
      <c r="B304" s="5" t="s">
        <v>804</v>
      </c>
      <c r="C304" s="5" t="s">
        <v>69</v>
      </c>
      <c r="D304" s="5" t="s">
        <v>19</v>
      </c>
      <c r="E304" s="5" t="s">
        <v>34</v>
      </c>
      <c r="F304" s="9">
        <v>38</v>
      </c>
      <c r="G304" s="9">
        <v>493</v>
      </c>
      <c r="H304" s="5" t="s">
        <v>21</v>
      </c>
      <c r="I304" s="5" t="s">
        <v>805</v>
      </c>
      <c r="J304" s="12" t="str">
        <f>HYPERLINK("https://www.boe.es/gazeta/dias/1801/05/12/pdfs/GMD-1801-38.pdf#page=9","Abrir facsímil")</f>
        <v>Abrir facsímil</v>
      </c>
      <c r="K304" s="15" t="s">
        <v>23</v>
      </c>
    </row>
    <row r="305" spans="1:11" ht="42" customHeight="1">
      <c r="A305" s="4" t="s">
        <v>806</v>
      </c>
      <c r="B305" s="5" t="s">
        <v>807</v>
      </c>
      <c r="C305" s="5" t="s">
        <v>75</v>
      </c>
      <c r="D305" s="5" t="s">
        <v>76</v>
      </c>
      <c r="E305" s="5" t="s">
        <v>781</v>
      </c>
      <c r="F305" s="9">
        <v>14</v>
      </c>
      <c r="G305" s="9">
        <v>166</v>
      </c>
      <c r="H305" s="5" t="s">
        <v>21</v>
      </c>
      <c r="I305" s="5" t="s">
        <v>808</v>
      </c>
      <c r="J305" s="12" t="str">
        <f>HYPERLINK("https://www.boe.es/gazeta/dias/1801/02/17/pdfs/GMD-1801-14.pdf#page=1","Abrir facsímil")</f>
        <v>Abrir facsímil</v>
      </c>
      <c r="K305" s="15" t="s">
        <v>23</v>
      </c>
    </row>
    <row r="306" spans="1:11" ht="42" customHeight="1">
      <c r="A306" s="4" t="s">
        <v>809</v>
      </c>
      <c r="B306" s="5" t="s">
        <v>810</v>
      </c>
      <c r="C306" s="5" t="s">
        <v>32</v>
      </c>
      <c r="D306" s="5" t="s">
        <v>33</v>
      </c>
      <c r="E306" s="5" t="s">
        <v>352</v>
      </c>
      <c r="F306" s="9">
        <v>43</v>
      </c>
      <c r="G306" s="9">
        <v>538</v>
      </c>
      <c r="H306" s="5" t="s">
        <v>21</v>
      </c>
      <c r="I306" s="5" t="s">
        <v>811</v>
      </c>
      <c r="J306" s="12" t="str">
        <f>HYPERLINK("https://www.boe.es/gazeta/dias/1801/05/26/pdfs/GMD-1801-43.pdf#page=10","Abrir facsímil")</f>
        <v>Abrir facsímil</v>
      </c>
      <c r="K306" s="15" t="s">
        <v>23</v>
      </c>
    </row>
    <row r="307" spans="1:11" ht="42" customHeight="1">
      <c r="A307" s="4" t="s">
        <v>812</v>
      </c>
      <c r="B307" s="5" t="s">
        <v>813</v>
      </c>
      <c r="C307" s="5" t="s">
        <v>32</v>
      </c>
      <c r="D307" s="5" t="s">
        <v>33</v>
      </c>
      <c r="E307" s="5" t="s">
        <v>313</v>
      </c>
      <c r="F307" s="9">
        <v>39</v>
      </c>
      <c r="G307" s="9">
        <v>506</v>
      </c>
      <c r="H307" s="5" t="s">
        <v>21</v>
      </c>
      <c r="I307" s="5" t="s">
        <v>814</v>
      </c>
      <c r="J307" s="12" t="str">
        <f>HYPERLINK("https://www.boe.es/gazeta/dias/1801/05/15/pdfs/GMD-1801-39.pdf#page=10","Abrir facsímil")</f>
        <v>Abrir facsímil</v>
      </c>
      <c r="K307" s="15" t="s">
        <v>23</v>
      </c>
    </row>
    <row r="308" spans="1:11" ht="42" customHeight="1">
      <c r="A308" s="4" t="s">
        <v>815</v>
      </c>
      <c r="B308" s="5" t="s">
        <v>816</v>
      </c>
      <c r="C308" s="5" t="s">
        <v>69</v>
      </c>
      <c r="D308" s="5" t="s">
        <v>19</v>
      </c>
      <c r="E308" s="5" t="s">
        <v>275</v>
      </c>
      <c r="F308" s="9">
        <v>9</v>
      </c>
      <c r="G308" s="9">
        <v>112</v>
      </c>
      <c r="H308" s="5" t="s">
        <v>21</v>
      </c>
      <c r="I308" s="5" t="s">
        <v>817</v>
      </c>
      <c r="J308" s="12" t="str">
        <f>HYPERLINK("https://www.boe.es/gazeta/dias/1801/01/30/pdfs/GMD-1801-9.pdf#page=9","Abrir facsímil")</f>
        <v>Abrir facsímil</v>
      </c>
      <c r="K308" s="15" t="s">
        <v>23</v>
      </c>
    </row>
    <row r="309" spans="1:11" ht="42" customHeight="1">
      <c r="A309" s="4" t="s">
        <v>818</v>
      </c>
      <c r="B309" s="5" t="s">
        <v>819</v>
      </c>
      <c r="C309" s="5" t="s">
        <v>38</v>
      </c>
      <c r="D309" s="5" t="s">
        <v>39</v>
      </c>
      <c r="E309" s="5" t="s">
        <v>781</v>
      </c>
      <c r="F309" s="9">
        <v>14</v>
      </c>
      <c r="G309" s="9">
        <v>173</v>
      </c>
      <c r="H309" s="5" t="s">
        <v>21</v>
      </c>
      <c r="I309" s="5" t="s">
        <v>820</v>
      </c>
      <c r="J309" s="12" t="str">
        <f>HYPERLINK("https://www.boe.es/gazeta/dias/1801/02/17/pdfs/GMD-1801-14.pdf#page=8","Abrir facsímil")</f>
        <v>Abrir facsímil</v>
      </c>
      <c r="K309" s="15" t="s">
        <v>23</v>
      </c>
    </row>
    <row r="310" spans="1:11" ht="42" customHeight="1">
      <c r="A310" s="4" t="s">
        <v>821</v>
      </c>
      <c r="B310" s="5" t="s">
        <v>821</v>
      </c>
      <c r="C310" s="5" t="s">
        <v>32</v>
      </c>
      <c r="D310" s="5" t="s">
        <v>33</v>
      </c>
      <c r="E310" s="5" t="s">
        <v>66</v>
      </c>
      <c r="F310" s="9">
        <v>52</v>
      </c>
      <c r="G310" s="9">
        <v>607</v>
      </c>
      <c r="H310" s="5" t="s">
        <v>21</v>
      </c>
      <c r="I310" s="5" t="s">
        <v>822</v>
      </c>
      <c r="J310" s="12" t="str">
        <f>HYPERLINK("https://www.boe.es/gazeta/dias/1801/06/12/pdfs/GMD-1801-52.pdf#page=6","Abrir facsímil")</f>
        <v>Abrir facsímil</v>
      </c>
      <c r="K310" s="15" t="s">
        <v>23</v>
      </c>
    </row>
    <row r="311" spans="1:11" ht="42" customHeight="1">
      <c r="A311" s="4" t="s">
        <v>823</v>
      </c>
      <c r="B311" s="5" t="s">
        <v>824</v>
      </c>
      <c r="C311" s="5" t="s">
        <v>32</v>
      </c>
      <c r="D311" s="5" t="s">
        <v>33</v>
      </c>
      <c r="E311" s="5" t="s">
        <v>366</v>
      </c>
      <c r="F311" s="9">
        <v>86</v>
      </c>
      <c r="G311" s="9">
        <v>955</v>
      </c>
      <c r="H311" s="5" t="s">
        <v>21</v>
      </c>
      <c r="I311" s="5" t="s">
        <v>825</v>
      </c>
      <c r="J311" s="12" t="str">
        <f>HYPERLINK("https://www.boe.es/gazeta/dias/1801/09/08/pdfs/GMD-1801-86.pdf#page=6","Abrir facsímil")</f>
        <v>Abrir facsímil</v>
      </c>
      <c r="K311" s="15" t="s">
        <v>23</v>
      </c>
    </row>
    <row r="312" spans="1:11" ht="42" customHeight="1">
      <c r="A312" s="4" t="s">
        <v>826</v>
      </c>
      <c r="B312" s="5" t="s">
        <v>827</v>
      </c>
      <c r="C312" s="5" t="s">
        <v>32</v>
      </c>
      <c r="D312" s="5" t="s">
        <v>33</v>
      </c>
      <c r="E312" s="5" t="s">
        <v>44</v>
      </c>
      <c r="F312" s="9">
        <v>117</v>
      </c>
      <c r="G312" s="9">
        <v>1281</v>
      </c>
      <c r="H312" s="5" t="s">
        <v>21</v>
      </c>
      <c r="I312" s="5" t="s">
        <v>828</v>
      </c>
      <c r="J312" s="12" t="str">
        <f>HYPERLINK("https://www.boe.es/gazeta/dias/1801/12/22/pdfs/GMD-1801-117.pdf#page=8","Abrir facsímil")</f>
        <v>Abrir facsímil</v>
      </c>
      <c r="K312" s="15" t="s">
        <v>23</v>
      </c>
    </row>
    <row r="313" spans="1:11" ht="42" customHeight="1">
      <c r="A313" s="4" t="s">
        <v>829</v>
      </c>
      <c r="B313" s="5" t="s">
        <v>830</v>
      </c>
      <c r="C313" s="5" t="s">
        <v>32</v>
      </c>
      <c r="D313" s="5" t="s">
        <v>33</v>
      </c>
      <c r="E313" s="5" t="s">
        <v>465</v>
      </c>
      <c r="F313" s="9">
        <v>4</v>
      </c>
      <c r="G313" s="9">
        <v>46</v>
      </c>
      <c r="H313" s="5" t="s">
        <v>21</v>
      </c>
      <c r="I313" s="5" t="s">
        <v>831</v>
      </c>
      <c r="J313" s="12" t="str">
        <f>HYPERLINK("https://www.boe.es/gazeta/dias/1801/01/13/pdfs/GMD-1801-4.pdf#page=10","Abrir facsímil")</f>
        <v>Abrir facsímil</v>
      </c>
      <c r="K313" s="15" t="s">
        <v>23</v>
      </c>
    </row>
    <row r="314" spans="1:11" ht="42" customHeight="1">
      <c r="A314" s="4" t="s">
        <v>832</v>
      </c>
      <c r="B314" s="5" t="s">
        <v>833</v>
      </c>
      <c r="C314" s="5" t="s">
        <v>18</v>
      </c>
      <c r="D314" s="5" t="s">
        <v>19</v>
      </c>
      <c r="E314" s="5" t="s">
        <v>258</v>
      </c>
      <c r="F314" s="9">
        <v>96</v>
      </c>
      <c r="G314" s="9">
        <v>1055</v>
      </c>
      <c r="H314" s="5" t="s">
        <v>21</v>
      </c>
      <c r="I314" s="5" t="s">
        <v>834</v>
      </c>
      <c r="J314" s="12" t="str">
        <f>HYPERLINK("https://www.boe.es/gazeta/dias/1801/10/09/pdfs/GMD-1801-96.pdf#page=11","Abrir facsímil")</f>
        <v>Abrir facsímil</v>
      </c>
      <c r="K314" s="15" t="s">
        <v>23</v>
      </c>
    </row>
    <row r="315" spans="1:11" ht="42" customHeight="1">
      <c r="A315" s="4" t="s">
        <v>835</v>
      </c>
      <c r="B315" s="5" t="s">
        <v>836</v>
      </c>
      <c r="C315" s="5" t="s">
        <v>69</v>
      </c>
      <c r="D315" s="5" t="s">
        <v>19</v>
      </c>
      <c r="E315" s="5" t="s">
        <v>275</v>
      </c>
      <c r="F315" s="9">
        <v>9</v>
      </c>
      <c r="G315" s="9">
        <v>112</v>
      </c>
      <c r="H315" s="5" t="s">
        <v>21</v>
      </c>
      <c r="I315" s="5" t="s">
        <v>837</v>
      </c>
      <c r="J315" s="12" t="str">
        <f>HYPERLINK("https://www.boe.es/gazeta/dias/1801/01/30/pdfs/GMD-1801-9.pdf#page=9","Abrir facsímil")</f>
        <v>Abrir facsímil</v>
      </c>
      <c r="K315" s="15" t="s">
        <v>23</v>
      </c>
    </row>
    <row r="316" spans="1:11" ht="42" customHeight="1">
      <c r="A316" s="4" t="s">
        <v>838</v>
      </c>
      <c r="B316" s="5" t="s">
        <v>839</v>
      </c>
      <c r="C316" s="5" t="s">
        <v>38</v>
      </c>
      <c r="D316" s="5" t="s">
        <v>39</v>
      </c>
      <c r="E316" s="5" t="s">
        <v>90</v>
      </c>
      <c r="F316" s="9">
        <v>1</v>
      </c>
      <c r="G316" s="9">
        <v>10</v>
      </c>
      <c r="H316" s="5" t="s">
        <v>21</v>
      </c>
      <c r="I316" s="5" t="s">
        <v>840</v>
      </c>
      <c r="J316" s="12" t="str">
        <f>HYPERLINK("https://www.boe.es/gazeta/dias/1801/01/02/pdfs/GMD-1801-1.pdf#page=10","Abrir facsímil")</f>
        <v>Abrir facsímil</v>
      </c>
      <c r="K316" s="15" t="s">
        <v>23</v>
      </c>
    </row>
    <row r="317" spans="1:11" ht="42" customHeight="1">
      <c r="A317" s="4" t="s">
        <v>841</v>
      </c>
      <c r="B317" s="5" t="s">
        <v>841</v>
      </c>
      <c r="C317" s="5" t="s">
        <v>75</v>
      </c>
      <c r="D317" s="5" t="s">
        <v>76</v>
      </c>
      <c r="E317" s="5" t="s">
        <v>141</v>
      </c>
      <c r="F317" s="9">
        <v>33</v>
      </c>
      <c r="G317" s="9">
        <v>419</v>
      </c>
      <c r="H317" s="5" t="s">
        <v>21</v>
      </c>
      <c r="I317" s="5" t="s">
        <v>842</v>
      </c>
      <c r="J317" s="12" t="str">
        <f>HYPERLINK("https://www.boe.es/gazeta/dias/1801/04/24/pdfs/GMD-1801-33.pdf#page=3","Abrir facsímil")</f>
        <v>Abrir facsímil</v>
      </c>
      <c r="K317" s="15" t="s">
        <v>23</v>
      </c>
    </row>
    <row r="318" spans="1:11" ht="42" customHeight="1">
      <c r="A318" s="4" t="s">
        <v>843</v>
      </c>
      <c r="B318" s="5" t="s">
        <v>844</v>
      </c>
      <c r="C318" s="5" t="s">
        <v>32</v>
      </c>
      <c r="D318" s="5" t="s">
        <v>33</v>
      </c>
      <c r="E318" s="5" t="s">
        <v>155</v>
      </c>
      <c r="F318" s="9">
        <v>50</v>
      </c>
      <c r="G318" s="9">
        <v>597</v>
      </c>
      <c r="H318" s="5" t="s">
        <v>21</v>
      </c>
      <c r="I318" s="5" t="s">
        <v>845</v>
      </c>
      <c r="J318" s="12" t="str">
        <f>HYPERLINK("https://www.boe.es/gazeta/dias/1801/06/09/pdfs/GMD-1801-50.pdf#page=9","Abrir facsímil")</f>
        <v>Abrir facsímil</v>
      </c>
      <c r="K318" s="15" t="s">
        <v>23</v>
      </c>
    </row>
    <row r="319" spans="1:11" ht="42" customHeight="1">
      <c r="A319" s="4" t="s">
        <v>846</v>
      </c>
      <c r="B319" s="5" t="s">
        <v>847</v>
      </c>
      <c r="C319" s="5" t="s">
        <v>32</v>
      </c>
      <c r="D319" s="5" t="s">
        <v>33</v>
      </c>
      <c r="E319" s="5" t="s">
        <v>62</v>
      </c>
      <c r="F319" s="9">
        <v>6</v>
      </c>
      <c r="G319" s="9">
        <v>73</v>
      </c>
      <c r="H319" s="5" t="s">
        <v>21</v>
      </c>
      <c r="I319" s="5" t="s">
        <v>848</v>
      </c>
      <c r="J319" s="12" t="str">
        <f>HYPERLINK("https://www.boe.es/gazeta/dias/1801/01/20/pdfs/GMD-1801-6.pdf#page=9","Abrir facsímil")</f>
        <v>Abrir facsímil</v>
      </c>
      <c r="K319" s="15" t="s">
        <v>23</v>
      </c>
    </row>
    <row r="320" spans="1:11" ht="42" customHeight="1">
      <c r="A320" s="4" t="s">
        <v>849</v>
      </c>
      <c r="B320" s="5" t="s">
        <v>850</v>
      </c>
      <c r="C320" s="5" t="s">
        <v>32</v>
      </c>
      <c r="D320" s="5" t="s">
        <v>33</v>
      </c>
      <c r="E320" s="5" t="s">
        <v>99</v>
      </c>
      <c r="F320" s="9">
        <v>32</v>
      </c>
      <c r="G320" s="9">
        <v>415</v>
      </c>
      <c r="H320" s="5" t="s">
        <v>21</v>
      </c>
      <c r="I320" s="5" t="s">
        <v>851</v>
      </c>
      <c r="J320" s="12" t="str">
        <f>HYPERLINK("https://www.boe.es/gazeta/dias/1801/04/21/pdfs/GMD-1801-32.pdf#page=11","Abrir facsímil")</f>
        <v>Abrir facsímil</v>
      </c>
      <c r="K320" s="15" t="s">
        <v>23</v>
      </c>
    </row>
    <row r="321" spans="1:11" ht="42" customHeight="1">
      <c r="A321" s="4" t="s">
        <v>852</v>
      </c>
      <c r="B321" s="5" t="s">
        <v>853</v>
      </c>
      <c r="C321" s="5" t="s">
        <v>38</v>
      </c>
      <c r="D321" s="5" t="s">
        <v>39</v>
      </c>
      <c r="E321" s="5" t="s">
        <v>221</v>
      </c>
      <c r="F321" s="9">
        <v>28</v>
      </c>
      <c r="G321" s="9">
        <v>369</v>
      </c>
      <c r="H321" s="5" t="s">
        <v>21</v>
      </c>
      <c r="I321" s="5" t="s">
        <v>854</v>
      </c>
      <c r="J321" s="12" t="str">
        <f>HYPERLINK("https://www.boe.es/gazeta/dias/1801/04/07/pdfs/GMD-1801-28.pdf#page=9","Abrir facsímil")</f>
        <v>Abrir facsímil</v>
      </c>
      <c r="K321" s="15" t="s">
        <v>23</v>
      </c>
    </row>
    <row r="322" spans="1:11" ht="42" customHeight="1">
      <c r="A322" s="4" t="s">
        <v>855</v>
      </c>
      <c r="B322" s="5" t="s">
        <v>856</v>
      </c>
      <c r="C322" s="5" t="s">
        <v>32</v>
      </c>
      <c r="D322" s="5" t="s">
        <v>33</v>
      </c>
      <c r="E322" s="5" t="s">
        <v>131</v>
      </c>
      <c r="F322" s="9">
        <v>22</v>
      </c>
      <c r="G322" s="9">
        <v>290</v>
      </c>
      <c r="H322" s="5" t="s">
        <v>21</v>
      </c>
      <c r="I322" s="5" t="s">
        <v>857</v>
      </c>
      <c r="J322" s="12" t="str">
        <f>HYPERLINK("https://www.boe.es/gazeta/dias/1801/03/17/pdfs/GMD-1801-22.pdf#page=7","Abrir facsímil")</f>
        <v>Abrir facsímil</v>
      </c>
      <c r="K322" s="15" t="s">
        <v>23</v>
      </c>
    </row>
    <row r="323" spans="1:11" ht="42" customHeight="1">
      <c r="A323" s="4" t="s">
        <v>858</v>
      </c>
      <c r="B323" s="5" t="s">
        <v>858</v>
      </c>
      <c r="C323" s="5" t="s">
        <v>26</v>
      </c>
      <c r="D323" s="5" t="s">
        <v>27</v>
      </c>
      <c r="E323" s="5" t="s">
        <v>254</v>
      </c>
      <c r="F323" s="9">
        <v>73</v>
      </c>
      <c r="G323" s="9">
        <v>810</v>
      </c>
      <c r="H323" s="5" t="s">
        <v>21</v>
      </c>
      <c r="I323" s="5" t="s">
        <v>859</v>
      </c>
      <c r="J323" s="12" t="str">
        <f>HYPERLINK("https://www.boe.es/gazeta/dias/1801/07/28/pdfs/GMD-1801-73.pdf#page=3","Abrir facsímil")</f>
        <v>Abrir facsímil</v>
      </c>
      <c r="K323" s="15" t="s">
        <v>23</v>
      </c>
    </row>
    <row r="324" spans="1:11" ht="42" customHeight="1">
      <c r="A324" s="4" t="s">
        <v>860</v>
      </c>
      <c r="B324" s="5" t="s">
        <v>861</v>
      </c>
      <c r="C324" s="5" t="s">
        <v>69</v>
      </c>
      <c r="D324" s="5" t="s">
        <v>19</v>
      </c>
      <c r="E324" s="5" t="s">
        <v>155</v>
      </c>
      <c r="F324" s="9">
        <v>50</v>
      </c>
      <c r="G324" s="9">
        <v>598</v>
      </c>
      <c r="H324" s="5" t="s">
        <v>21</v>
      </c>
      <c r="I324" s="5" t="s">
        <v>862</v>
      </c>
      <c r="J324" s="12" t="str">
        <f>HYPERLINK("https://www.boe.es/gazeta/dias/1801/06/09/pdfs/GMD-1801-50.pdf#page=10","Abrir facsímil")</f>
        <v>Abrir facsímil</v>
      </c>
      <c r="K324" s="15" t="s">
        <v>23</v>
      </c>
    </row>
    <row r="325" spans="1:11" ht="42" customHeight="1">
      <c r="A325" s="4" t="s">
        <v>863</v>
      </c>
      <c r="B325" s="5" t="s">
        <v>864</v>
      </c>
      <c r="C325" s="5" t="s">
        <v>32</v>
      </c>
      <c r="D325" s="5" t="s">
        <v>33</v>
      </c>
      <c r="E325" s="5" t="s">
        <v>781</v>
      </c>
      <c r="F325" s="9">
        <v>14</v>
      </c>
      <c r="G325" s="9">
        <v>173</v>
      </c>
      <c r="H325" s="5" t="s">
        <v>21</v>
      </c>
      <c r="I325" s="5" t="s">
        <v>865</v>
      </c>
      <c r="J325" s="12" t="str">
        <f>HYPERLINK("https://www.boe.es/gazeta/dias/1801/02/17/pdfs/GMD-1801-14.pdf#page=8","Abrir facsímil")</f>
        <v>Abrir facsímil</v>
      </c>
      <c r="K325" s="15" t="s">
        <v>23</v>
      </c>
    </row>
    <row r="326" spans="1:11" ht="42" customHeight="1">
      <c r="A326" s="4" t="s">
        <v>866</v>
      </c>
      <c r="B326" s="5" t="s">
        <v>867</v>
      </c>
      <c r="C326" s="5" t="s">
        <v>32</v>
      </c>
      <c r="D326" s="5" t="s">
        <v>33</v>
      </c>
      <c r="E326" s="5" t="s">
        <v>171</v>
      </c>
      <c r="F326" s="9">
        <v>76</v>
      </c>
      <c r="G326" s="9">
        <v>852</v>
      </c>
      <c r="H326" s="5" t="s">
        <v>21</v>
      </c>
      <c r="I326" s="5" t="s">
        <v>868</v>
      </c>
      <c r="J326" s="12" t="str">
        <f>HYPERLINK("https://www.boe.es/gazeta/dias/1801/08/07/pdfs/GMD-1801-76.pdf#page=9","Abrir facsímil")</f>
        <v>Abrir facsímil</v>
      </c>
      <c r="K326" s="15" t="s">
        <v>23</v>
      </c>
    </row>
    <row r="327" spans="1:11" ht="42" customHeight="1">
      <c r="A327" s="4" t="s">
        <v>869</v>
      </c>
      <c r="B327" s="5" t="s">
        <v>869</v>
      </c>
      <c r="C327" s="5" t="s">
        <v>32</v>
      </c>
      <c r="D327" s="5" t="s">
        <v>33</v>
      </c>
      <c r="E327" s="5" t="s">
        <v>165</v>
      </c>
      <c r="F327" s="9">
        <v>59</v>
      </c>
      <c r="G327" s="9">
        <v>672</v>
      </c>
      <c r="H327" s="5" t="s">
        <v>21</v>
      </c>
      <c r="I327" s="5" t="s">
        <v>870</v>
      </c>
      <c r="J327" s="12" t="str">
        <f>HYPERLINK("https://www.boe.es/gazeta/dias/1801/06/23/pdfs/GMD-1801-59.pdf#page=5","Abrir facsímil")</f>
        <v>Abrir facsímil</v>
      </c>
      <c r="K327" s="15" t="s">
        <v>23</v>
      </c>
    </row>
    <row r="328" spans="1:11" ht="42" customHeight="1">
      <c r="A328" s="4" t="s">
        <v>871</v>
      </c>
      <c r="B328" s="5" t="s">
        <v>871</v>
      </c>
      <c r="C328" s="5" t="s">
        <v>75</v>
      </c>
      <c r="D328" s="5" t="s">
        <v>76</v>
      </c>
      <c r="E328" s="5" t="s">
        <v>338</v>
      </c>
      <c r="F328" s="9">
        <v>83</v>
      </c>
      <c r="G328" s="9">
        <v>928</v>
      </c>
      <c r="H328" s="5" t="s">
        <v>21</v>
      </c>
      <c r="I328" s="5" t="s">
        <v>872</v>
      </c>
      <c r="J328" s="12" t="str">
        <f>HYPERLINK("https://www.boe.es/gazeta/dias/1801/09/01/pdfs/GMD-1801-83.pdf#page=3","Abrir facsímil")</f>
        <v>Abrir facsímil</v>
      </c>
      <c r="K328" s="15" t="s">
        <v>23</v>
      </c>
    </row>
    <row r="329" spans="1:11" ht="42" customHeight="1">
      <c r="A329" s="4" t="s">
        <v>873</v>
      </c>
      <c r="B329" s="5" t="s">
        <v>874</v>
      </c>
      <c r="C329" s="5" t="s">
        <v>75</v>
      </c>
      <c r="D329" s="5" t="s">
        <v>76</v>
      </c>
      <c r="E329" s="5" t="s">
        <v>124</v>
      </c>
      <c r="F329" s="9">
        <v>12</v>
      </c>
      <c r="G329" s="9">
        <v>144</v>
      </c>
      <c r="H329" s="5" t="s">
        <v>21</v>
      </c>
      <c r="I329" s="5" t="s">
        <v>875</v>
      </c>
      <c r="J329" s="12" t="str">
        <f>HYPERLINK("https://www.boe.es/gazeta/dias/1801/02/10/pdfs/GMD-1801-12.pdf#page=5","Abrir facsímil")</f>
        <v>Abrir facsímil</v>
      </c>
      <c r="K329" s="15" t="s">
        <v>23</v>
      </c>
    </row>
    <row r="330" spans="1:11" ht="42" customHeight="1">
      <c r="A330" s="4" t="s">
        <v>876</v>
      </c>
      <c r="B330" s="5" t="s">
        <v>877</v>
      </c>
      <c r="C330" s="5" t="s">
        <v>32</v>
      </c>
      <c r="D330" s="5" t="s">
        <v>33</v>
      </c>
      <c r="E330" s="5" t="s">
        <v>171</v>
      </c>
      <c r="F330" s="9">
        <v>76</v>
      </c>
      <c r="G330" s="9">
        <v>845</v>
      </c>
      <c r="H330" s="5" t="s">
        <v>21</v>
      </c>
      <c r="I330" s="5" t="s">
        <v>878</v>
      </c>
      <c r="J330" s="12" t="str">
        <f>HYPERLINK("https://www.boe.es/gazeta/dias/1801/08/07/pdfs/GMD-1801-76.pdf#page=2","Abrir facsímil")</f>
        <v>Abrir facsímil</v>
      </c>
      <c r="K330" s="15" t="s">
        <v>23</v>
      </c>
    </row>
    <row r="331" spans="1:11" ht="42" customHeight="1">
      <c r="A331" s="4" t="s">
        <v>879</v>
      </c>
      <c r="B331" s="5" t="s">
        <v>880</v>
      </c>
      <c r="C331" s="5" t="s">
        <v>26</v>
      </c>
      <c r="D331" s="5" t="s">
        <v>27</v>
      </c>
      <c r="E331" s="5" t="s">
        <v>99</v>
      </c>
      <c r="F331" s="9">
        <v>32</v>
      </c>
      <c r="G331" s="9">
        <v>416</v>
      </c>
      <c r="H331" s="5" t="s">
        <v>21</v>
      </c>
      <c r="I331" s="5" t="s">
        <v>881</v>
      </c>
      <c r="J331" s="12" t="str">
        <f>HYPERLINK("https://www.boe.es/gazeta/dias/1801/04/21/pdfs/GMD-1801-32.pdf#page=12","Abrir facsímil")</f>
        <v>Abrir facsímil</v>
      </c>
      <c r="K331" s="15" t="s">
        <v>23</v>
      </c>
    </row>
    <row r="332" spans="1:11" ht="42" customHeight="1">
      <c r="A332" s="4" t="s">
        <v>882</v>
      </c>
      <c r="B332" s="5" t="s">
        <v>882</v>
      </c>
      <c r="C332" s="5" t="s">
        <v>80</v>
      </c>
      <c r="D332" s="5" t="s">
        <v>81</v>
      </c>
      <c r="E332" s="5" t="s">
        <v>82</v>
      </c>
      <c r="F332" s="9">
        <v>75</v>
      </c>
      <c r="G332" s="9" t="s">
        <v>83</v>
      </c>
      <c r="H332" s="5" t="s">
        <v>21</v>
      </c>
      <c r="I332" s="5" t="s">
        <v>883</v>
      </c>
      <c r="J332" s="12" t="str">
        <f>HYPERLINK("https://www.boe.es/gazeta/dias/1801/08/04/pdfs/GMD-C-1801-75.pdf#page=2","Abrir facsímil")</f>
        <v>Abrir facsímil</v>
      </c>
      <c r="K332" s="15" t="s">
        <v>23</v>
      </c>
    </row>
    <row r="333" spans="1:11" ht="42" customHeight="1">
      <c r="A333" s="4" t="s">
        <v>884</v>
      </c>
      <c r="B333" s="5" t="s">
        <v>885</v>
      </c>
      <c r="C333" s="5" t="s">
        <v>32</v>
      </c>
      <c r="D333" s="5" t="s">
        <v>33</v>
      </c>
      <c r="E333" s="5" t="s">
        <v>90</v>
      </c>
      <c r="F333" s="9">
        <v>1</v>
      </c>
      <c r="G333" s="9">
        <v>12</v>
      </c>
      <c r="H333" s="5" t="s">
        <v>21</v>
      </c>
      <c r="I333" s="5" t="s">
        <v>886</v>
      </c>
      <c r="J333" s="12" t="str">
        <f>HYPERLINK("https://www.boe.es/gazeta/dias/1801/01/02/pdfs/GMD-1801-1.pdf#page=12","Abrir facsímil")</f>
        <v>Abrir facsímil</v>
      </c>
      <c r="K333" s="15" t="s">
        <v>23</v>
      </c>
    </row>
    <row r="334" spans="1:11" ht="42" customHeight="1">
      <c r="A334" s="4" t="s">
        <v>887</v>
      </c>
      <c r="B334" s="5" t="s">
        <v>887</v>
      </c>
      <c r="C334" s="5" t="s">
        <v>75</v>
      </c>
      <c r="D334" s="5" t="s">
        <v>76</v>
      </c>
      <c r="E334" s="5" t="s">
        <v>888</v>
      </c>
      <c r="F334" s="9">
        <v>103</v>
      </c>
      <c r="G334" s="9">
        <v>1135</v>
      </c>
      <c r="H334" s="5" t="s">
        <v>21</v>
      </c>
      <c r="I334" s="5" t="s">
        <v>889</v>
      </c>
      <c r="J334" s="12" t="str">
        <f>HYPERLINK("https://www.boe.es/gazeta/dias/1801/11/03/pdfs/GMD-1801-103.pdf#page=8","Abrir facsímil")</f>
        <v>Abrir facsímil</v>
      </c>
      <c r="K334" s="15" t="s">
        <v>23</v>
      </c>
    </row>
    <row r="335" spans="1:11" ht="42" customHeight="1">
      <c r="A335" s="4" t="s">
        <v>890</v>
      </c>
      <c r="B335" s="5" t="s">
        <v>890</v>
      </c>
      <c r="C335" s="5" t="s">
        <v>69</v>
      </c>
      <c r="D335" s="5" t="s">
        <v>19</v>
      </c>
      <c r="E335" s="5" t="s">
        <v>158</v>
      </c>
      <c r="F335" s="9">
        <v>55</v>
      </c>
      <c r="G335" s="9">
        <v>631</v>
      </c>
      <c r="H335" s="5" t="s">
        <v>21</v>
      </c>
      <c r="I335" s="5" t="s">
        <v>891</v>
      </c>
      <c r="J335" s="12" t="str">
        <f>HYPERLINK("https://www.boe.es/gazeta/dias/1801/06/16/pdfs/GMD-1801-55.pdf#page=7","Abrir facsímil")</f>
        <v>Abrir facsímil</v>
      </c>
      <c r="K335" s="15" t="s">
        <v>23</v>
      </c>
    </row>
    <row r="336" spans="1:11" ht="42" customHeight="1">
      <c r="A336" s="4" t="s">
        <v>892</v>
      </c>
      <c r="B336" s="5" t="s">
        <v>892</v>
      </c>
      <c r="C336" s="5" t="s">
        <v>38</v>
      </c>
      <c r="D336" s="5" t="s">
        <v>39</v>
      </c>
      <c r="E336" s="5" t="s">
        <v>40</v>
      </c>
      <c r="F336" s="9">
        <v>63</v>
      </c>
      <c r="G336" s="9">
        <v>713</v>
      </c>
      <c r="H336" s="5" t="s">
        <v>21</v>
      </c>
      <c r="I336" s="5" t="s">
        <v>893</v>
      </c>
      <c r="J336" s="12" t="str">
        <f>HYPERLINK("https://www.boe.es/gazeta/dias/1801/07/03/pdfs/GMD-1801-63.pdf#page=10","Abrir facsímil")</f>
        <v>Abrir facsímil</v>
      </c>
      <c r="K336" s="15" t="s">
        <v>23</v>
      </c>
    </row>
    <row r="337" spans="1:11" ht="42" customHeight="1">
      <c r="A337" s="4" t="s">
        <v>894</v>
      </c>
      <c r="B337" s="5" t="s">
        <v>895</v>
      </c>
      <c r="C337" s="5" t="s">
        <v>38</v>
      </c>
      <c r="D337" s="5" t="s">
        <v>39</v>
      </c>
      <c r="E337" s="5" t="s">
        <v>219</v>
      </c>
      <c r="F337" s="9">
        <v>26</v>
      </c>
      <c r="G337" s="9">
        <v>344</v>
      </c>
      <c r="H337" s="5" t="s">
        <v>21</v>
      </c>
      <c r="I337" s="5" t="s">
        <v>896</v>
      </c>
      <c r="J337" s="12" t="str">
        <f>HYPERLINK("https://www.boe.es/gazeta/dias/1801/03/31/pdfs/GMD-1801-26.pdf#page=8","Abrir facsímil")</f>
        <v>Abrir facsímil</v>
      </c>
      <c r="K337" s="15" t="s">
        <v>23</v>
      </c>
    </row>
    <row r="338" spans="1:11" ht="42" customHeight="1">
      <c r="A338" s="4" t="s">
        <v>897</v>
      </c>
      <c r="B338" s="5" t="s">
        <v>898</v>
      </c>
      <c r="C338" s="5" t="s">
        <v>75</v>
      </c>
      <c r="D338" s="5" t="s">
        <v>76</v>
      </c>
      <c r="E338" s="5" t="s">
        <v>179</v>
      </c>
      <c r="F338" s="9">
        <v>11</v>
      </c>
      <c r="G338" s="9">
        <v>134</v>
      </c>
      <c r="H338" s="5" t="s">
        <v>21</v>
      </c>
      <c r="I338" s="5" t="s">
        <v>899</v>
      </c>
      <c r="J338" s="12" t="str">
        <f>HYPERLINK("https://www.boe.es/gazeta/dias/1801/02/06/pdfs/GMD-1801-11.pdf#page=7","Abrir facsímil")</f>
        <v>Abrir facsímil</v>
      </c>
      <c r="K338" s="15" t="s">
        <v>23</v>
      </c>
    </row>
    <row r="339" spans="1:11" ht="42" customHeight="1">
      <c r="A339" s="4" t="s">
        <v>900</v>
      </c>
      <c r="B339" s="5" t="s">
        <v>901</v>
      </c>
      <c r="C339" s="5" t="s">
        <v>75</v>
      </c>
      <c r="D339" s="5" t="s">
        <v>76</v>
      </c>
      <c r="E339" s="5" t="s">
        <v>70</v>
      </c>
      <c r="F339" s="9">
        <v>2</v>
      </c>
      <c r="G339" s="9">
        <v>17</v>
      </c>
      <c r="H339" s="5" t="s">
        <v>21</v>
      </c>
      <c r="I339" s="5" t="s">
        <v>902</v>
      </c>
      <c r="J339" s="12" t="str">
        <f>HYPERLINK("https://www.boe.es/gazeta/dias/1801/01/06/pdfs/GMD-1801-2.pdf#page=5","Abrir facsímil")</f>
        <v>Abrir facsímil</v>
      </c>
      <c r="K339" s="15" t="s">
        <v>23</v>
      </c>
    </row>
    <row r="340" spans="1:11" ht="42" customHeight="1">
      <c r="A340" s="4" t="s">
        <v>903</v>
      </c>
      <c r="B340" s="5" t="s">
        <v>904</v>
      </c>
      <c r="C340" s="5" t="s">
        <v>26</v>
      </c>
      <c r="D340" s="5" t="s">
        <v>27</v>
      </c>
      <c r="E340" s="5" t="s">
        <v>70</v>
      </c>
      <c r="F340" s="9">
        <v>2</v>
      </c>
      <c r="G340" s="9">
        <v>17</v>
      </c>
      <c r="H340" s="5" t="s">
        <v>21</v>
      </c>
      <c r="I340" s="5" t="s">
        <v>905</v>
      </c>
      <c r="J340" s="12" t="str">
        <f>HYPERLINK("https://www.boe.es/gazeta/dias/1801/01/06/pdfs/GMD-1801-2.pdf#page=5","Abrir facsímil")</f>
        <v>Abrir facsímil</v>
      </c>
      <c r="K340" s="15" t="s">
        <v>23</v>
      </c>
    </row>
    <row r="341" spans="1:11" ht="42" customHeight="1">
      <c r="A341" s="4" t="s">
        <v>903</v>
      </c>
      <c r="B341" s="5" t="s">
        <v>904</v>
      </c>
      <c r="C341" s="5" t="s">
        <v>18</v>
      </c>
      <c r="D341" s="5" t="s">
        <v>19</v>
      </c>
      <c r="E341" s="5" t="s">
        <v>70</v>
      </c>
      <c r="F341" s="9">
        <v>2</v>
      </c>
      <c r="G341" s="9">
        <v>18</v>
      </c>
      <c r="H341" s="5" t="s">
        <v>21</v>
      </c>
      <c r="I341" s="5" t="s">
        <v>906</v>
      </c>
      <c r="J341" s="12" t="str">
        <f>HYPERLINK("https://www.boe.es/gazeta/dias/1801/01/06/pdfs/GMD-1801-2.pdf#page=6","Abrir facsímil")</f>
        <v>Abrir facsímil</v>
      </c>
      <c r="K341" s="15" t="s">
        <v>23</v>
      </c>
    </row>
    <row r="342" spans="1:11" ht="42" customHeight="1">
      <c r="A342" s="4" t="s">
        <v>903</v>
      </c>
      <c r="B342" s="5" t="s">
        <v>904</v>
      </c>
      <c r="C342" s="5" t="s">
        <v>75</v>
      </c>
      <c r="D342" s="5" t="s">
        <v>76</v>
      </c>
      <c r="E342" s="5" t="s">
        <v>321</v>
      </c>
      <c r="F342" s="9">
        <v>3</v>
      </c>
      <c r="G342" s="9">
        <v>29</v>
      </c>
      <c r="H342" s="5" t="s">
        <v>21</v>
      </c>
      <c r="I342" s="5" t="s">
        <v>907</v>
      </c>
      <c r="J342" s="12" t="str">
        <f>HYPERLINK("https://www.boe.es/gazeta/dias/1801/01/09/pdfs/GMD-1801-3.pdf#page=5","Abrir facsímil")</f>
        <v>Abrir facsímil</v>
      </c>
      <c r="K342" s="15" t="s">
        <v>23</v>
      </c>
    </row>
    <row r="343" spans="1:11" ht="42" customHeight="1">
      <c r="A343" s="4" t="s">
        <v>908</v>
      </c>
      <c r="B343" s="5" t="s">
        <v>909</v>
      </c>
      <c r="C343" s="5" t="s">
        <v>75</v>
      </c>
      <c r="D343" s="5" t="s">
        <v>76</v>
      </c>
      <c r="E343" s="5" t="s">
        <v>465</v>
      </c>
      <c r="F343" s="9">
        <v>4</v>
      </c>
      <c r="G343" s="9">
        <v>41</v>
      </c>
      <c r="H343" s="5" t="s">
        <v>21</v>
      </c>
      <c r="I343" s="5" t="s">
        <v>910</v>
      </c>
      <c r="J343" s="12" t="str">
        <f>HYPERLINK("https://www.boe.es/gazeta/dias/1801/01/13/pdfs/GMD-1801-4.pdf#page=5","Abrir facsímil")</f>
        <v>Abrir facsímil</v>
      </c>
      <c r="K343" s="15" t="s">
        <v>23</v>
      </c>
    </row>
    <row r="344" spans="1:11" ht="42" customHeight="1">
      <c r="A344" s="4" t="s">
        <v>903</v>
      </c>
      <c r="B344" s="5" t="s">
        <v>904</v>
      </c>
      <c r="C344" s="5" t="s">
        <v>18</v>
      </c>
      <c r="D344" s="5" t="s">
        <v>19</v>
      </c>
      <c r="E344" s="5" t="s">
        <v>62</v>
      </c>
      <c r="F344" s="9">
        <v>6</v>
      </c>
      <c r="G344" s="9">
        <v>70</v>
      </c>
      <c r="H344" s="5" t="s">
        <v>21</v>
      </c>
      <c r="I344" s="5" t="s">
        <v>911</v>
      </c>
      <c r="J344" s="12" t="str">
        <f>HYPERLINK("https://www.boe.es/gazeta/dias/1801/01/20/pdfs/GMD-1801-6.pdf#page=6","Abrir facsímil")</f>
        <v>Abrir facsímil</v>
      </c>
      <c r="K344" s="15" t="s">
        <v>23</v>
      </c>
    </row>
    <row r="345" spans="1:11" ht="42" customHeight="1">
      <c r="A345" s="4" t="s">
        <v>903</v>
      </c>
      <c r="B345" s="5" t="s">
        <v>904</v>
      </c>
      <c r="C345" s="5" t="s">
        <v>75</v>
      </c>
      <c r="D345" s="5" t="s">
        <v>76</v>
      </c>
      <c r="E345" s="5" t="s">
        <v>120</v>
      </c>
      <c r="F345" s="9">
        <v>7</v>
      </c>
      <c r="G345" s="9">
        <v>80</v>
      </c>
      <c r="H345" s="5" t="s">
        <v>21</v>
      </c>
      <c r="I345" s="5" t="s">
        <v>912</v>
      </c>
      <c r="J345" s="12" t="str">
        <f>HYPERLINK("https://www.boe.es/gazeta/dias/1801/01/23/pdfs/GMD-1801-7.pdf#page=4","Abrir facsímil")</f>
        <v>Abrir facsímil</v>
      </c>
      <c r="K345" s="15" t="s">
        <v>23</v>
      </c>
    </row>
    <row r="346" spans="1:11" ht="42" customHeight="1">
      <c r="A346" s="4" t="s">
        <v>903</v>
      </c>
      <c r="B346" s="5" t="s">
        <v>904</v>
      </c>
      <c r="C346" s="5" t="s">
        <v>18</v>
      </c>
      <c r="D346" s="5" t="s">
        <v>19</v>
      </c>
      <c r="E346" s="5" t="s">
        <v>141</v>
      </c>
      <c r="F346" s="9">
        <v>33</v>
      </c>
      <c r="G346" s="9">
        <v>421</v>
      </c>
      <c r="H346" s="5" t="s">
        <v>21</v>
      </c>
      <c r="I346" s="5" t="s">
        <v>913</v>
      </c>
      <c r="J346" s="12" t="str">
        <f>HYPERLINK("https://www.boe.es/gazeta/dias/1801/04/24/pdfs/GMD-1801-33.pdf#page=5","Abrir facsímil")</f>
        <v>Abrir facsímil</v>
      </c>
      <c r="K346" s="15" t="s">
        <v>23</v>
      </c>
    </row>
    <row r="347" spans="1:11" ht="42" customHeight="1">
      <c r="A347" s="4" t="s">
        <v>903</v>
      </c>
      <c r="B347" s="5" t="s">
        <v>904</v>
      </c>
      <c r="C347" s="5" t="s">
        <v>18</v>
      </c>
      <c r="D347" s="5" t="s">
        <v>19</v>
      </c>
      <c r="E347" s="5" t="s">
        <v>352</v>
      </c>
      <c r="F347" s="9">
        <v>43</v>
      </c>
      <c r="G347" s="9">
        <v>533</v>
      </c>
      <c r="H347" s="5" t="s">
        <v>21</v>
      </c>
      <c r="I347" s="5" t="s">
        <v>914</v>
      </c>
      <c r="J347" s="12" t="str">
        <f>HYPERLINK("https://www.boe.es/gazeta/dias/1801/05/26/pdfs/GMD-1801-43.pdf#page=5","Abrir facsímil")</f>
        <v>Abrir facsímil</v>
      </c>
      <c r="K347" s="15" t="s">
        <v>23</v>
      </c>
    </row>
    <row r="348" spans="1:11" ht="42" customHeight="1">
      <c r="A348" s="4" t="s">
        <v>903</v>
      </c>
      <c r="B348" s="5" t="s">
        <v>904</v>
      </c>
      <c r="C348" s="5" t="s">
        <v>75</v>
      </c>
      <c r="D348" s="5" t="s">
        <v>76</v>
      </c>
      <c r="E348" s="5" t="s">
        <v>105</v>
      </c>
      <c r="F348" s="9">
        <v>44</v>
      </c>
      <c r="G348" s="9">
        <v>546</v>
      </c>
      <c r="H348" s="5" t="s">
        <v>21</v>
      </c>
      <c r="I348" s="5" t="s">
        <v>915</v>
      </c>
      <c r="J348" s="12" t="str">
        <f>HYPERLINK("https://www.boe.es/gazeta/dias/1801/05/29/pdfs/GMD-1801-44.pdf#page=6","Abrir facsímil")</f>
        <v>Abrir facsímil</v>
      </c>
      <c r="K348" s="15" t="s">
        <v>23</v>
      </c>
    </row>
    <row r="349" spans="1:11" ht="42" customHeight="1">
      <c r="A349" s="4" t="s">
        <v>903</v>
      </c>
      <c r="B349" s="5" t="s">
        <v>904</v>
      </c>
      <c r="C349" s="5" t="s">
        <v>75</v>
      </c>
      <c r="D349" s="5" t="s">
        <v>76</v>
      </c>
      <c r="E349" s="5" t="s">
        <v>251</v>
      </c>
      <c r="F349" s="9">
        <v>66</v>
      </c>
      <c r="G349" s="9">
        <v>739</v>
      </c>
      <c r="H349" s="5" t="s">
        <v>21</v>
      </c>
      <c r="I349" s="5" t="s">
        <v>916</v>
      </c>
      <c r="J349" s="12" t="str">
        <f>HYPERLINK("https://www.boe.es/gazeta/dias/1801/07/10/pdfs/GMD-1801-66.pdf#page=4","Abrir facsímil")</f>
        <v>Abrir facsímil</v>
      </c>
      <c r="K349" s="15" t="s">
        <v>23</v>
      </c>
    </row>
    <row r="350" spans="1:11" ht="42" customHeight="1">
      <c r="A350" s="4" t="s">
        <v>903</v>
      </c>
      <c r="B350" s="5" t="s">
        <v>904</v>
      </c>
      <c r="C350" s="5" t="s">
        <v>32</v>
      </c>
      <c r="D350" s="5" t="s">
        <v>33</v>
      </c>
      <c r="E350" s="5" t="s">
        <v>338</v>
      </c>
      <c r="F350" s="9">
        <v>83</v>
      </c>
      <c r="G350" s="9">
        <v>930</v>
      </c>
      <c r="H350" s="5" t="s">
        <v>21</v>
      </c>
      <c r="I350" s="5" t="s">
        <v>917</v>
      </c>
      <c r="J350" s="12" t="str">
        <f>HYPERLINK("https://www.boe.es/gazeta/dias/1801/09/01/pdfs/GMD-1801-83.pdf#page=5","Abrir facsímil")</f>
        <v>Abrir facsímil</v>
      </c>
      <c r="K350" s="15" t="s">
        <v>23</v>
      </c>
    </row>
    <row r="351" spans="1:11" ht="42" customHeight="1">
      <c r="A351" s="4" t="s">
        <v>903</v>
      </c>
      <c r="B351" s="5" t="s">
        <v>904</v>
      </c>
      <c r="C351" s="5" t="s">
        <v>26</v>
      </c>
      <c r="D351" s="5" t="s">
        <v>27</v>
      </c>
      <c r="E351" s="5" t="s">
        <v>328</v>
      </c>
      <c r="F351" s="9">
        <v>89</v>
      </c>
      <c r="G351" s="9">
        <v>976</v>
      </c>
      <c r="H351" s="5" t="s">
        <v>21</v>
      </c>
      <c r="I351" s="5" t="s">
        <v>918</v>
      </c>
      <c r="J351" s="12" t="str">
        <f>HYPERLINK("https://www.boe.es/gazeta/dias/1801/09/15/pdfs/GMD-1801-89.pdf#page=3","Abrir facsímil")</f>
        <v>Abrir facsímil</v>
      </c>
      <c r="K351" s="15" t="s">
        <v>23</v>
      </c>
    </row>
    <row r="352" spans="1:11" ht="42" customHeight="1">
      <c r="A352" s="4" t="s">
        <v>903</v>
      </c>
      <c r="B352" s="5" t="s">
        <v>904</v>
      </c>
      <c r="C352" s="5" t="s">
        <v>38</v>
      </c>
      <c r="D352" s="5" t="s">
        <v>39</v>
      </c>
      <c r="E352" s="5" t="s">
        <v>919</v>
      </c>
      <c r="F352" s="9">
        <v>91</v>
      </c>
      <c r="G352" s="9">
        <v>1001</v>
      </c>
      <c r="H352" s="5" t="s">
        <v>21</v>
      </c>
      <c r="I352" s="5" t="s">
        <v>920</v>
      </c>
      <c r="J352" s="12" t="str">
        <f>HYPERLINK("https://www.boe.es/gazeta/dias/1801/09/22/pdfs/GMD-1801-91.pdf#page=4","Abrir facsímil")</f>
        <v>Abrir facsímil</v>
      </c>
      <c r="K352" s="15" t="s">
        <v>23</v>
      </c>
    </row>
    <row r="353" spans="1:11" ht="42" customHeight="1">
      <c r="A353" s="4" t="s">
        <v>903</v>
      </c>
      <c r="B353" s="5" t="s">
        <v>904</v>
      </c>
      <c r="C353" s="5" t="s">
        <v>75</v>
      </c>
      <c r="D353" s="5" t="s">
        <v>76</v>
      </c>
      <c r="E353" s="5" t="s">
        <v>173</v>
      </c>
      <c r="F353" s="9">
        <v>98</v>
      </c>
      <c r="G353" s="9">
        <v>1071</v>
      </c>
      <c r="H353" s="5" t="s">
        <v>21</v>
      </c>
      <c r="I353" s="5" t="s">
        <v>921</v>
      </c>
      <c r="J353" s="12" t="str">
        <f>HYPERLINK("https://www.boe.es/gazeta/dias/1801/10/16/pdfs/GMD-1801-98.pdf#page=3","Abrir facsímil")</f>
        <v>Abrir facsímil</v>
      </c>
      <c r="K353" s="15" t="s">
        <v>23</v>
      </c>
    </row>
    <row r="354" spans="1:11" ht="42" customHeight="1">
      <c r="A354" s="4" t="s">
        <v>922</v>
      </c>
      <c r="B354" s="5" t="s">
        <v>923</v>
      </c>
      <c r="C354" s="5" t="s">
        <v>26</v>
      </c>
      <c r="D354" s="5" t="s">
        <v>27</v>
      </c>
      <c r="E354" s="5" t="s">
        <v>924</v>
      </c>
      <c r="F354" s="9">
        <v>90</v>
      </c>
      <c r="G354" s="9">
        <v>990</v>
      </c>
      <c r="H354" s="5" t="s">
        <v>21</v>
      </c>
      <c r="I354" s="5" t="s">
        <v>925</v>
      </c>
      <c r="J354" s="12" t="str">
        <f>HYPERLINK("https://www.boe.es/gazeta/dias/1801/09/18/pdfs/GMD-1801-90.pdf#page=5","Abrir facsímil")</f>
        <v>Abrir facsímil</v>
      </c>
      <c r="K354" s="15" t="s">
        <v>23</v>
      </c>
    </row>
    <row r="355" spans="1:11" ht="42" customHeight="1">
      <c r="A355" s="4" t="s">
        <v>926</v>
      </c>
      <c r="B355" s="5" t="s">
        <v>927</v>
      </c>
      <c r="C355" s="5" t="s">
        <v>32</v>
      </c>
      <c r="D355" s="5" t="s">
        <v>33</v>
      </c>
      <c r="E355" s="5" t="s">
        <v>275</v>
      </c>
      <c r="F355" s="9">
        <v>9</v>
      </c>
      <c r="G355" s="9">
        <v>112</v>
      </c>
      <c r="H355" s="5" t="s">
        <v>21</v>
      </c>
      <c r="I355" s="5" t="s">
        <v>928</v>
      </c>
      <c r="J355" s="12" t="str">
        <f>HYPERLINK("https://www.boe.es/gazeta/dias/1801/01/30/pdfs/GMD-1801-9.pdf#page=9","Abrir facsímil")</f>
        <v>Abrir facsímil</v>
      </c>
      <c r="K355" s="15" t="s">
        <v>23</v>
      </c>
    </row>
    <row r="356" spans="1:11" ht="42" customHeight="1">
      <c r="A356" s="4" t="s">
        <v>929</v>
      </c>
      <c r="B356" s="5" t="s">
        <v>930</v>
      </c>
      <c r="C356" s="5" t="s">
        <v>75</v>
      </c>
      <c r="D356" s="5" t="s">
        <v>76</v>
      </c>
      <c r="E356" s="5" t="s">
        <v>137</v>
      </c>
      <c r="F356" s="9">
        <v>30</v>
      </c>
      <c r="G356" s="9">
        <v>389</v>
      </c>
      <c r="H356" s="5" t="s">
        <v>21</v>
      </c>
      <c r="I356" s="5" t="s">
        <v>931</v>
      </c>
      <c r="J356" s="12" t="str">
        <f>HYPERLINK("https://www.boe.es/gazeta/dias/1801/04/14/pdfs/GMD-1801-30.pdf#page=5","Abrir facsímil")</f>
        <v>Abrir facsímil</v>
      </c>
      <c r="K356" s="15" t="s">
        <v>23</v>
      </c>
    </row>
    <row r="357" spans="1:11" ht="42" customHeight="1">
      <c r="A357" s="4" t="s">
        <v>932</v>
      </c>
      <c r="B357" s="5" t="s">
        <v>932</v>
      </c>
      <c r="C357" s="5" t="s">
        <v>18</v>
      </c>
      <c r="D357" s="5" t="s">
        <v>19</v>
      </c>
      <c r="E357" s="5" t="s">
        <v>122</v>
      </c>
      <c r="F357" s="9">
        <v>8</v>
      </c>
      <c r="G357" s="9">
        <v>99</v>
      </c>
      <c r="H357" s="5" t="s">
        <v>21</v>
      </c>
      <c r="I357" s="5" t="s">
        <v>933</v>
      </c>
      <c r="J357" s="12" t="str">
        <f>HYPERLINK("https://www.boe.es/gazeta/dias/1801/01/27/pdfs/GMD-1801-8.pdf#page=11","Abrir facsímil")</f>
        <v>Abrir facsímil</v>
      </c>
      <c r="K357" s="15" t="s">
        <v>23</v>
      </c>
    </row>
    <row r="358" spans="1:11" ht="42" customHeight="1">
      <c r="A358" s="4" t="s">
        <v>934</v>
      </c>
      <c r="B358" s="5" t="s">
        <v>934</v>
      </c>
      <c r="C358" s="5" t="s">
        <v>38</v>
      </c>
      <c r="D358" s="5" t="s">
        <v>39</v>
      </c>
      <c r="E358" s="5" t="s">
        <v>935</v>
      </c>
      <c r="F358" s="9">
        <v>116</v>
      </c>
      <c r="G358" s="9">
        <v>1270</v>
      </c>
      <c r="H358" s="5" t="s">
        <v>21</v>
      </c>
      <c r="I358" s="5" t="s">
        <v>936</v>
      </c>
      <c r="J358" s="12" t="str">
        <f>HYPERLINK("https://www.boe.es/gazeta/dias/1801/12/18/pdfs/GMD-1801-116.pdf#page=12","Abrir facsímil")</f>
        <v>Abrir facsímil</v>
      </c>
      <c r="K358" s="15" t="s">
        <v>23</v>
      </c>
    </row>
    <row r="359" spans="1:11" ht="42" customHeight="1">
      <c r="A359" s="4" t="s">
        <v>937</v>
      </c>
      <c r="B359" s="5" t="s">
        <v>938</v>
      </c>
      <c r="C359" s="5" t="s">
        <v>75</v>
      </c>
      <c r="D359" s="5" t="s">
        <v>76</v>
      </c>
      <c r="E359" s="5" t="s">
        <v>105</v>
      </c>
      <c r="F359" s="9">
        <v>44</v>
      </c>
      <c r="G359" s="9">
        <v>548</v>
      </c>
      <c r="H359" s="5" t="s">
        <v>21</v>
      </c>
      <c r="I359" s="5" t="s">
        <v>939</v>
      </c>
      <c r="J359" s="12" t="str">
        <f>HYPERLINK("https://www.boe.es/gazeta/dias/1801/05/29/pdfs/GMD-1801-44.pdf#page=8","Abrir facsímil")</f>
        <v>Abrir facsímil</v>
      </c>
      <c r="K359" s="15" t="s">
        <v>23</v>
      </c>
    </row>
    <row r="360" spans="1:11" ht="42" customHeight="1">
      <c r="A360" s="4" t="s">
        <v>940</v>
      </c>
      <c r="B360" s="5" t="s">
        <v>941</v>
      </c>
      <c r="C360" s="5" t="s">
        <v>32</v>
      </c>
      <c r="D360" s="5" t="s">
        <v>33</v>
      </c>
      <c r="E360" s="5" t="s">
        <v>171</v>
      </c>
      <c r="F360" s="9">
        <v>76</v>
      </c>
      <c r="G360" s="9">
        <v>853</v>
      </c>
      <c r="H360" s="5" t="s">
        <v>21</v>
      </c>
      <c r="I360" s="5" t="s">
        <v>942</v>
      </c>
      <c r="J360" s="12" t="str">
        <f>HYPERLINK("https://www.boe.es/gazeta/dias/1801/08/07/pdfs/GMD-1801-76.pdf#page=10","Abrir facsímil")</f>
        <v>Abrir facsímil</v>
      </c>
      <c r="K360" s="15" t="s">
        <v>23</v>
      </c>
    </row>
    <row r="361" spans="1:11" ht="42" customHeight="1">
      <c r="A361" s="4" t="s">
        <v>943</v>
      </c>
      <c r="B361" s="5" t="s">
        <v>944</v>
      </c>
      <c r="C361" s="5" t="s">
        <v>32</v>
      </c>
      <c r="D361" s="5" t="s">
        <v>33</v>
      </c>
      <c r="E361" s="5" t="s">
        <v>275</v>
      </c>
      <c r="F361" s="9">
        <v>9</v>
      </c>
      <c r="G361" s="9">
        <v>113</v>
      </c>
      <c r="H361" s="5" t="s">
        <v>21</v>
      </c>
      <c r="I361" s="5" t="s">
        <v>945</v>
      </c>
      <c r="J361" s="12" t="str">
        <f>HYPERLINK("https://www.boe.es/gazeta/dias/1801/01/30/pdfs/GMD-1801-9.pdf#page=10","Abrir facsímil")</f>
        <v>Abrir facsímil</v>
      </c>
      <c r="K361" s="15" t="s">
        <v>23</v>
      </c>
    </row>
    <row r="362" spans="1:11" ht="42" customHeight="1">
      <c r="A362" s="4" t="s">
        <v>946</v>
      </c>
      <c r="B362" s="5" t="s">
        <v>947</v>
      </c>
      <c r="C362" s="5" t="s">
        <v>32</v>
      </c>
      <c r="D362" s="5" t="s">
        <v>33</v>
      </c>
      <c r="E362" s="5" t="s">
        <v>462</v>
      </c>
      <c r="F362" s="9">
        <v>5</v>
      </c>
      <c r="G362" s="9">
        <v>57</v>
      </c>
      <c r="H362" s="5" t="s">
        <v>21</v>
      </c>
      <c r="I362" s="5" t="s">
        <v>948</v>
      </c>
      <c r="J362" s="12" t="str">
        <f>HYPERLINK("https://www.boe.es/gazeta/dias/1801/01/16/pdfs/GMD-1801-5.pdf#page=9","Abrir facsímil")</f>
        <v>Abrir facsímil</v>
      </c>
      <c r="K362" s="15" t="s">
        <v>23</v>
      </c>
    </row>
    <row r="363" spans="1:11" ht="42" customHeight="1">
      <c r="A363" s="4" t="s">
        <v>949</v>
      </c>
      <c r="B363" s="5" t="s">
        <v>950</v>
      </c>
      <c r="C363" s="5" t="s">
        <v>32</v>
      </c>
      <c r="D363" s="5" t="s">
        <v>33</v>
      </c>
      <c r="E363" s="5" t="s">
        <v>781</v>
      </c>
      <c r="F363" s="9">
        <v>14</v>
      </c>
      <c r="G363" s="9">
        <v>173</v>
      </c>
      <c r="H363" s="5" t="s">
        <v>21</v>
      </c>
      <c r="I363" s="5" t="s">
        <v>951</v>
      </c>
      <c r="J363" s="12" t="str">
        <f>HYPERLINK("https://www.boe.es/gazeta/dias/1801/02/17/pdfs/GMD-1801-14.pdf#page=8","Abrir facsímil")</f>
        <v>Abrir facsímil</v>
      </c>
      <c r="K363" s="15" t="s">
        <v>23</v>
      </c>
    </row>
    <row r="364" spans="1:11" ht="42" customHeight="1">
      <c r="A364" s="4" t="s">
        <v>952</v>
      </c>
      <c r="B364" s="5" t="s">
        <v>953</v>
      </c>
      <c r="C364" s="5" t="s">
        <v>32</v>
      </c>
      <c r="D364" s="5" t="s">
        <v>33</v>
      </c>
      <c r="E364" s="5" t="s">
        <v>90</v>
      </c>
      <c r="F364" s="9">
        <v>1</v>
      </c>
      <c r="G364" s="9">
        <v>9</v>
      </c>
      <c r="H364" s="5" t="s">
        <v>21</v>
      </c>
      <c r="I364" s="5" t="s">
        <v>954</v>
      </c>
      <c r="J364" s="12" t="str">
        <f>HYPERLINK("https://www.boe.es/gazeta/dias/1801/01/02/pdfs/GMD-1801-1.pdf#page=9","Abrir facsímil")</f>
        <v>Abrir facsímil</v>
      </c>
      <c r="K364" s="15" t="s">
        <v>23</v>
      </c>
    </row>
    <row r="365" spans="1:11" ht="42" customHeight="1">
      <c r="A365" s="4" t="s">
        <v>955</v>
      </c>
      <c r="B365" s="5" t="s">
        <v>956</v>
      </c>
      <c r="C365" s="5" t="s">
        <v>32</v>
      </c>
      <c r="D365" s="5" t="s">
        <v>33</v>
      </c>
      <c r="E365" s="5" t="s">
        <v>66</v>
      </c>
      <c r="F365" s="9">
        <v>52</v>
      </c>
      <c r="G365" s="9">
        <v>607</v>
      </c>
      <c r="H365" s="5" t="s">
        <v>21</v>
      </c>
      <c r="I365" s="5" t="s">
        <v>957</v>
      </c>
      <c r="J365" s="12" t="str">
        <f>HYPERLINK("https://www.boe.es/gazeta/dias/1801/06/12/pdfs/GMD-1801-52.pdf#page=6","Abrir facsímil")</f>
        <v>Abrir facsímil</v>
      </c>
      <c r="K365" s="15" t="s">
        <v>23</v>
      </c>
    </row>
    <row r="366" spans="1:11" ht="42" customHeight="1">
      <c r="A366" s="4" t="s">
        <v>958</v>
      </c>
      <c r="B366" s="5" t="s">
        <v>959</v>
      </c>
      <c r="C366" s="5" t="s">
        <v>38</v>
      </c>
      <c r="D366" s="5" t="s">
        <v>39</v>
      </c>
      <c r="E366" s="5" t="s">
        <v>151</v>
      </c>
      <c r="F366" s="9">
        <v>45</v>
      </c>
      <c r="G366" s="9">
        <v>561</v>
      </c>
      <c r="H366" s="5" t="s">
        <v>21</v>
      </c>
      <c r="I366" s="5" t="s">
        <v>960</v>
      </c>
      <c r="J366" s="12" t="str">
        <f>HYPERLINK("https://www.boe.es/gazeta/dias/1801/06/02/pdfs/GMD-1801-45.pdf#page=9","Abrir facsímil")</f>
        <v>Abrir facsímil</v>
      </c>
      <c r="K366" s="15" t="s">
        <v>23</v>
      </c>
    </row>
    <row r="367" spans="1:11" ht="42" customHeight="1">
      <c r="A367" s="4" t="s">
        <v>961</v>
      </c>
      <c r="B367" s="5" t="s">
        <v>962</v>
      </c>
      <c r="C367" s="5" t="s">
        <v>38</v>
      </c>
      <c r="D367" s="5" t="s">
        <v>39</v>
      </c>
      <c r="E367" s="5" t="s">
        <v>48</v>
      </c>
      <c r="F367" s="9">
        <v>20</v>
      </c>
      <c r="G367" s="9">
        <v>264</v>
      </c>
      <c r="H367" s="5" t="s">
        <v>21</v>
      </c>
      <c r="I367" s="5" t="s">
        <v>963</v>
      </c>
      <c r="J367" s="12" t="str">
        <f>HYPERLINK("https://www.boe.es/gazeta/dias/1801/03/10/pdfs/GMD-1801-20.pdf#page=9","Abrir facsímil")</f>
        <v>Abrir facsímil</v>
      </c>
      <c r="K367" s="15" t="s">
        <v>23</v>
      </c>
    </row>
    <row r="368" spans="1:11" ht="42" customHeight="1">
      <c r="A368" s="4" t="s">
        <v>964</v>
      </c>
      <c r="B368" s="5" t="s">
        <v>965</v>
      </c>
      <c r="C368" s="5" t="s">
        <v>80</v>
      </c>
      <c r="D368" s="5" t="s">
        <v>81</v>
      </c>
      <c r="E368" s="5" t="s">
        <v>289</v>
      </c>
      <c r="F368" s="9">
        <v>40</v>
      </c>
      <c r="G368" s="9" t="s">
        <v>305</v>
      </c>
      <c r="H368" s="5" t="s">
        <v>21</v>
      </c>
      <c r="I368" s="5" t="s">
        <v>966</v>
      </c>
      <c r="J368" s="12" t="str">
        <f>HYPERLINK("https://www.boe.es/gazeta/dias/1801/05/19/pdfs/GMD-C-1801-40.pdf#page=4","Abrir facsímil")</f>
        <v>Abrir facsímil</v>
      </c>
      <c r="K368" s="15" t="s">
        <v>23</v>
      </c>
    </row>
    <row r="369" spans="1:11" ht="42" customHeight="1">
      <c r="A369" s="4" t="s">
        <v>967</v>
      </c>
      <c r="B369" s="5" t="s">
        <v>968</v>
      </c>
      <c r="C369" s="5" t="s">
        <v>32</v>
      </c>
      <c r="D369" s="5" t="s">
        <v>33</v>
      </c>
      <c r="E369" s="5" t="s">
        <v>211</v>
      </c>
      <c r="F369" s="9">
        <v>87</v>
      </c>
      <c r="G369" s="9">
        <v>967</v>
      </c>
      <c r="H369" s="5" t="s">
        <v>21</v>
      </c>
      <c r="I369" s="5" t="s">
        <v>969</v>
      </c>
      <c r="J369" s="12" t="str">
        <f>HYPERLINK("https://www.boe.es/gazeta/dias/1801/09/11/pdfs/GMD-1801-87.pdf#page=10","Abrir facsímil")</f>
        <v>Abrir facsímil</v>
      </c>
      <c r="K369" s="15" t="s">
        <v>23</v>
      </c>
    </row>
    <row r="370" spans="1:11" ht="42" customHeight="1">
      <c r="A370" s="4" t="s">
        <v>970</v>
      </c>
      <c r="B370" s="5" t="s">
        <v>971</v>
      </c>
      <c r="C370" s="5" t="s">
        <v>26</v>
      </c>
      <c r="D370" s="5" t="s">
        <v>27</v>
      </c>
      <c r="E370" s="5" t="s">
        <v>48</v>
      </c>
      <c r="F370" s="9">
        <v>20</v>
      </c>
      <c r="G370" s="9">
        <v>271</v>
      </c>
      <c r="H370" s="5" t="s">
        <v>21</v>
      </c>
      <c r="I370" s="5" t="s">
        <v>972</v>
      </c>
      <c r="J370" s="12" t="str">
        <f>HYPERLINK("https://www.boe.es/gazeta/dias/1801/03/10/pdfs/GMD-1801-20.pdf#page=16","Abrir facsímil")</f>
        <v>Abrir facsímil</v>
      </c>
      <c r="K370" s="15" t="s">
        <v>23</v>
      </c>
    </row>
    <row r="371" spans="1:11" ht="42" customHeight="1">
      <c r="A371" s="4" t="s">
        <v>973</v>
      </c>
      <c r="B371" s="5" t="s">
        <v>974</v>
      </c>
      <c r="C371" s="5" t="s">
        <v>32</v>
      </c>
      <c r="D371" s="5" t="s">
        <v>33</v>
      </c>
      <c r="E371" s="5" t="s">
        <v>262</v>
      </c>
      <c r="F371" s="9">
        <v>109</v>
      </c>
      <c r="G371" s="9">
        <v>1204</v>
      </c>
      <c r="H371" s="5" t="s">
        <v>21</v>
      </c>
      <c r="I371" s="5" t="s">
        <v>975</v>
      </c>
      <c r="J371" s="12" t="str">
        <f>HYPERLINK("https://www.boe.es/gazeta/dias/1801/11/24/pdfs/GMD-1801-109.pdf#page=9","Abrir facsímil")</f>
        <v>Abrir facsímil</v>
      </c>
      <c r="K371" s="15" t="s">
        <v>23</v>
      </c>
    </row>
    <row r="372" spans="1:11" ht="42" customHeight="1">
      <c r="A372" s="4" t="s">
        <v>976</v>
      </c>
      <c r="B372" s="5" t="s">
        <v>977</v>
      </c>
      <c r="C372" s="5" t="s">
        <v>18</v>
      </c>
      <c r="D372" s="5" t="s">
        <v>19</v>
      </c>
      <c r="E372" s="5" t="s">
        <v>615</v>
      </c>
      <c r="F372" s="9">
        <v>72</v>
      </c>
      <c r="G372" s="9">
        <v>805</v>
      </c>
      <c r="H372" s="5" t="s">
        <v>21</v>
      </c>
      <c r="I372" s="5" t="s">
        <v>978</v>
      </c>
      <c r="J372" s="12" t="str">
        <f>HYPERLINK("https://www.boe.es/gazeta/dias/1801/07/24/pdfs/GMD-1801-72.pdf#page=10","Abrir facsímil")</f>
        <v>Abrir facsímil</v>
      </c>
      <c r="K372" s="15" t="s">
        <v>23</v>
      </c>
    </row>
    <row r="373" spans="1:11" ht="42" customHeight="1">
      <c r="A373" s="4" t="s">
        <v>979</v>
      </c>
      <c r="B373" s="5" t="s">
        <v>980</v>
      </c>
      <c r="C373" s="5" t="s">
        <v>26</v>
      </c>
      <c r="D373" s="5" t="s">
        <v>27</v>
      </c>
      <c r="E373" s="5" t="s">
        <v>194</v>
      </c>
      <c r="F373" s="9">
        <v>92</v>
      </c>
      <c r="G373" s="9">
        <v>1012</v>
      </c>
      <c r="H373" s="5" t="s">
        <v>21</v>
      </c>
      <c r="I373" s="5" t="s">
        <v>981</v>
      </c>
      <c r="J373" s="12" t="str">
        <f>HYPERLINK("https://www.boe.es/gazeta/dias/1801/09/25/pdfs/GMD-1801-92.pdf#page=7","Abrir facsímil")</f>
        <v>Abrir facsímil</v>
      </c>
      <c r="K373" s="15" t="s">
        <v>23</v>
      </c>
    </row>
    <row r="374" spans="1:11" ht="42" customHeight="1">
      <c r="A374" s="4" t="s">
        <v>982</v>
      </c>
      <c r="B374" s="5" t="s">
        <v>983</v>
      </c>
      <c r="C374" s="5" t="s">
        <v>75</v>
      </c>
      <c r="D374" s="5" t="s">
        <v>76</v>
      </c>
      <c r="E374" s="5" t="s">
        <v>223</v>
      </c>
      <c r="F374" s="9">
        <v>74</v>
      </c>
      <c r="G374" s="9">
        <v>823</v>
      </c>
      <c r="H374" s="5" t="s">
        <v>21</v>
      </c>
      <c r="I374" s="5" t="s">
        <v>984</v>
      </c>
      <c r="J374" s="12" t="str">
        <f>HYPERLINK("https://www.boe.es/gazeta/dias/1801/07/31/pdfs/GMD-1801-74.pdf#page=4","Abrir facsímil")</f>
        <v>Abrir facsímil</v>
      </c>
      <c r="K374" s="15" t="s">
        <v>23</v>
      </c>
    </row>
    <row r="375" spans="1:11" ht="42" customHeight="1">
      <c r="A375" s="4" t="s">
        <v>985</v>
      </c>
      <c r="B375" s="5" t="s">
        <v>986</v>
      </c>
      <c r="C375" s="5" t="s">
        <v>38</v>
      </c>
      <c r="D375" s="5" t="s">
        <v>39</v>
      </c>
      <c r="E375" s="5" t="s">
        <v>171</v>
      </c>
      <c r="F375" s="9">
        <v>76</v>
      </c>
      <c r="G375" s="9">
        <v>844</v>
      </c>
      <c r="H375" s="5" t="s">
        <v>21</v>
      </c>
      <c r="I375" s="5" t="s">
        <v>987</v>
      </c>
      <c r="J375" s="12" t="str">
        <f>HYPERLINK("https://www.boe.es/gazeta/dias/1801/08/07/pdfs/GMD-1801-76.pdf#page=1","Abrir facsímil")</f>
        <v>Abrir facsímil</v>
      </c>
      <c r="K375" s="15" t="s">
        <v>23</v>
      </c>
    </row>
    <row r="376" spans="1:11" ht="42" customHeight="1">
      <c r="A376" s="4" t="s">
        <v>988</v>
      </c>
      <c r="B376" s="5" t="s">
        <v>989</v>
      </c>
      <c r="C376" s="5" t="s">
        <v>38</v>
      </c>
      <c r="D376" s="5" t="s">
        <v>39</v>
      </c>
      <c r="E376" s="5" t="s">
        <v>289</v>
      </c>
      <c r="F376" s="9">
        <v>40</v>
      </c>
      <c r="G376" s="9">
        <v>515</v>
      </c>
      <c r="H376" s="5" t="s">
        <v>21</v>
      </c>
      <c r="I376" s="5" t="s">
        <v>990</v>
      </c>
      <c r="J376" s="12" t="str">
        <f>HYPERLINK("https://www.boe.es/gazeta/dias/1801/05/19/pdfs/GMD-1801-40.pdf#page=7","Abrir facsímil")</f>
        <v>Abrir facsímil</v>
      </c>
      <c r="K376" s="15" t="s">
        <v>23</v>
      </c>
    </row>
    <row r="377" spans="1:11" ht="42" customHeight="1">
      <c r="A377" s="4" t="s">
        <v>991</v>
      </c>
      <c r="B377" s="5" t="s">
        <v>992</v>
      </c>
      <c r="C377" s="5" t="s">
        <v>32</v>
      </c>
      <c r="D377" s="5" t="s">
        <v>33</v>
      </c>
      <c r="E377" s="5" t="s">
        <v>328</v>
      </c>
      <c r="F377" s="9">
        <v>89</v>
      </c>
      <c r="G377" s="9">
        <v>982</v>
      </c>
      <c r="H377" s="5" t="s">
        <v>21</v>
      </c>
      <c r="I377" s="5" t="s">
        <v>993</v>
      </c>
      <c r="J377" s="12" t="str">
        <f>HYPERLINK("https://www.boe.es/gazeta/dias/1801/09/15/pdfs/GMD-1801-89.pdf#page=9","Abrir facsímil")</f>
        <v>Abrir facsímil</v>
      </c>
      <c r="K377" s="15" t="s">
        <v>23</v>
      </c>
    </row>
    <row r="378" spans="1:11" ht="42" customHeight="1">
      <c r="A378" s="4" t="s">
        <v>994</v>
      </c>
      <c r="B378" s="5" t="s">
        <v>995</v>
      </c>
      <c r="C378" s="5" t="s">
        <v>80</v>
      </c>
      <c r="D378" s="5" t="s">
        <v>81</v>
      </c>
      <c r="E378" s="5" t="s">
        <v>82</v>
      </c>
      <c r="F378" s="9">
        <v>75</v>
      </c>
      <c r="G378" s="9" t="s">
        <v>996</v>
      </c>
      <c r="H378" s="5" t="s">
        <v>21</v>
      </c>
      <c r="I378" s="5" t="s">
        <v>997</v>
      </c>
      <c r="J378" s="12" t="str">
        <f>HYPERLINK("https://www.boe.es/gazeta/dias/1801/08/04/pdfs/GMD-C-1801-75.pdf#page=6","Abrir facsímil")</f>
        <v>Abrir facsímil</v>
      </c>
      <c r="K378" s="15" t="s">
        <v>23</v>
      </c>
    </row>
    <row r="379" spans="1:11" ht="42" customHeight="1">
      <c r="A379" s="4" t="s">
        <v>998</v>
      </c>
      <c r="B379" s="5" t="s">
        <v>999</v>
      </c>
      <c r="C379" s="5" t="s">
        <v>515</v>
      </c>
      <c r="D379" s="5" t="s">
        <v>516</v>
      </c>
      <c r="E379" s="5" t="s">
        <v>501</v>
      </c>
      <c r="F379" s="9">
        <v>115</v>
      </c>
      <c r="G379" s="9" t="s">
        <v>299</v>
      </c>
      <c r="H379" s="5" t="s">
        <v>21</v>
      </c>
      <c r="I379" s="5" t="s">
        <v>1000</v>
      </c>
      <c r="J379" s="12" t="str">
        <f>HYPERLINK("https://www.boe.es/gazeta/dias/1801/12/15/pdfs/GMD-C-1801-115.pdf#page=5","Abrir facsímil")</f>
        <v>Abrir facsímil</v>
      </c>
      <c r="K379" s="15" t="s">
        <v>23</v>
      </c>
    </row>
    <row r="380" spans="1:11" ht="42" customHeight="1">
      <c r="A380" s="4" t="s">
        <v>1001</v>
      </c>
      <c r="B380" s="5" t="s">
        <v>1002</v>
      </c>
      <c r="C380" s="5" t="s">
        <v>75</v>
      </c>
      <c r="D380" s="5" t="s">
        <v>76</v>
      </c>
      <c r="E380" s="5" t="s">
        <v>935</v>
      </c>
      <c r="F380" s="9">
        <v>116</v>
      </c>
      <c r="G380" s="9">
        <v>1268</v>
      </c>
      <c r="H380" s="5" t="s">
        <v>21</v>
      </c>
      <c r="I380" s="5" t="s">
        <v>1003</v>
      </c>
      <c r="J380" s="12" t="str">
        <f>HYPERLINK("https://www.boe.es/gazeta/dias/1801/12/18/pdfs/GMD-1801-116.pdf#page=10","Abrir facsímil")</f>
        <v>Abrir facsímil</v>
      </c>
      <c r="K380" s="15" t="s">
        <v>23</v>
      </c>
    </row>
    <row r="381" spans="1:11" ht="42" customHeight="1">
      <c r="A381" s="4" t="s">
        <v>1004</v>
      </c>
      <c r="B381" s="5" t="s">
        <v>1005</v>
      </c>
      <c r="C381" s="5" t="s">
        <v>32</v>
      </c>
      <c r="D381" s="5" t="s">
        <v>33</v>
      </c>
      <c r="E381" s="5" t="s">
        <v>781</v>
      </c>
      <c r="F381" s="9">
        <v>14</v>
      </c>
      <c r="G381" s="9">
        <v>174</v>
      </c>
      <c r="H381" s="5" t="s">
        <v>21</v>
      </c>
      <c r="I381" s="5" t="s">
        <v>1006</v>
      </c>
      <c r="J381" s="12" t="str">
        <f>HYPERLINK("https://www.boe.es/gazeta/dias/1801/02/17/pdfs/GMD-1801-14.pdf#page=9","Abrir facsímil")</f>
        <v>Abrir facsímil</v>
      </c>
      <c r="K381" s="15" t="s">
        <v>23</v>
      </c>
    </row>
    <row r="382" spans="1:11" ht="42" customHeight="1">
      <c r="A382" s="4" t="s">
        <v>1007</v>
      </c>
      <c r="B382" s="5" t="s">
        <v>1008</v>
      </c>
      <c r="C382" s="5" t="s">
        <v>32</v>
      </c>
      <c r="D382" s="5" t="s">
        <v>33</v>
      </c>
      <c r="E382" s="5" t="s">
        <v>194</v>
      </c>
      <c r="F382" s="9">
        <v>92</v>
      </c>
      <c r="G382" s="9">
        <v>1011</v>
      </c>
      <c r="H382" s="5" t="s">
        <v>21</v>
      </c>
      <c r="I382" s="5" t="s">
        <v>1009</v>
      </c>
      <c r="J382" s="12" t="str">
        <f>HYPERLINK("https://www.boe.es/gazeta/dias/1801/09/25/pdfs/GMD-1801-92.pdf#page=6","Abrir facsímil")</f>
        <v>Abrir facsímil</v>
      </c>
      <c r="K382" s="15" t="s">
        <v>23</v>
      </c>
    </row>
    <row r="383" spans="1:11" ht="42" customHeight="1">
      <c r="A383" s="4" t="s">
        <v>1010</v>
      </c>
      <c r="B383" s="5" t="s">
        <v>1011</v>
      </c>
      <c r="C383" s="5" t="s">
        <v>18</v>
      </c>
      <c r="D383" s="5" t="s">
        <v>19</v>
      </c>
      <c r="E383" s="5" t="s">
        <v>48</v>
      </c>
      <c r="F383" s="9">
        <v>20</v>
      </c>
      <c r="G383" s="9">
        <v>267</v>
      </c>
      <c r="H383" s="5" t="s">
        <v>21</v>
      </c>
      <c r="I383" s="5" t="s">
        <v>1012</v>
      </c>
      <c r="J383" s="12" t="str">
        <f>HYPERLINK("https://www.boe.es/gazeta/dias/1801/03/10/pdfs/GMD-1801-20.pdf#page=12","Abrir facsímil")</f>
        <v>Abrir facsímil</v>
      </c>
      <c r="K383" s="15" t="s">
        <v>23</v>
      </c>
    </row>
    <row r="384" spans="1:11" ht="42" customHeight="1">
      <c r="A384" s="4" t="s">
        <v>1013</v>
      </c>
      <c r="B384" s="5" t="s">
        <v>1014</v>
      </c>
      <c r="C384" s="5" t="s">
        <v>32</v>
      </c>
      <c r="D384" s="5" t="s">
        <v>33</v>
      </c>
      <c r="E384" s="5" t="s">
        <v>1015</v>
      </c>
      <c r="F384" s="9">
        <v>15</v>
      </c>
      <c r="G384" s="9">
        <v>191</v>
      </c>
      <c r="H384" s="5" t="s">
        <v>21</v>
      </c>
      <c r="I384" s="5" t="s">
        <v>1016</v>
      </c>
      <c r="J384" s="12" t="str">
        <f>HYPERLINK("https://www.boe.es/gazeta/dias/1801/02/20/pdfs/GMD-1801-15.pdf#page=10","Abrir facsímil")</f>
        <v>Abrir facsímil</v>
      </c>
      <c r="K384" s="15" t="s">
        <v>23</v>
      </c>
    </row>
    <row r="385" spans="1:11" ht="42" customHeight="1">
      <c r="A385" s="4" t="s">
        <v>1017</v>
      </c>
      <c r="B385" s="5" t="s">
        <v>1018</v>
      </c>
      <c r="C385" s="5" t="s">
        <v>18</v>
      </c>
      <c r="D385" s="5" t="s">
        <v>19</v>
      </c>
      <c r="E385" s="5" t="s">
        <v>165</v>
      </c>
      <c r="F385" s="9">
        <v>59</v>
      </c>
      <c r="G385" s="9">
        <v>671</v>
      </c>
      <c r="H385" s="5" t="s">
        <v>21</v>
      </c>
      <c r="I385" s="5" t="s">
        <v>1019</v>
      </c>
      <c r="J385" s="12" t="str">
        <f>HYPERLINK("https://www.boe.es/gazeta/dias/1801/06/23/pdfs/GMD-1801-59.pdf#page=4","Abrir facsímil")</f>
        <v>Abrir facsímil</v>
      </c>
      <c r="K385" s="15" t="s">
        <v>23</v>
      </c>
    </row>
    <row r="386" spans="1:11" ht="42" customHeight="1">
      <c r="A386" s="4" t="s">
        <v>1017</v>
      </c>
      <c r="B386" s="5" t="s">
        <v>1018</v>
      </c>
      <c r="C386" s="5" t="s">
        <v>75</v>
      </c>
      <c r="D386" s="5" t="s">
        <v>76</v>
      </c>
      <c r="E386" s="5" t="s">
        <v>359</v>
      </c>
      <c r="F386" s="9">
        <v>101</v>
      </c>
      <c r="G386" s="9">
        <v>1110</v>
      </c>
      <c r="H386" s="5" t="s">
        <v>21</v>
      </c>
      <c r="I386" s="5" t="s">
        <v>1020</v>
      </c>
      <c r="J386" s="12" t="str">
        <f>HYPERLINK("https://www.boe.es/gazeta/dias/1801/10/27/pdfs/GMD-1801-101.pdf#page=3","Abrir facsímil")</f>
        <v>Abrir facsímil</v>
      </c>
      <c r="K386" s="15" t="s">
        <v>23</v>
      </c>
    </row>
    <row r="387" spans="1:11" ht="42" customHeight="1">
      <c r="A387" s="4" t="s">
        <v>1021</v>
      </c>
      <c r="B387" s="5" t="s">
        <v>1022</v>
      </c>
      <c r="C387" s="5" t="s">
        <v>80</v>
      </c>
      <c r="D387" s="5" t="s">
        <v>81</v>
      </c>
      <c r="E387" s="5" t="s">
        <v>82</v>
      </c>
      <c r="F387" s="9">
        <v>75</v>
      </c>
      <c r="G387" s="9" t="s">
        <v>83</v>
      </c>
      <c r="H387" s="5" t="s">
        <v>21</v>
      </c>
      <c r="I387" s="5" t="s">
        <v>1023</v>
      </c>
      <c r="J387" s="12" t="str">
        <f>HYPERLINK("https://www.boe.es/gazeta/dias/1801/08/04/pdfs/GMD-C-1801-75.pdf#page=2","Abrir facsímil")</f>
        <v>Abrir facsímil</v>
      </c>
      <c r="K387" s="15" t="s">
        <v>23</v>
      </c>
    </row>
    <row r="388" spans="1:11" ht="42" customHeight="1">
      <c r="A388" s="4" t="s">
        <v>1024</v>
      </c>
      <c r="B388" s="5" t="s">
        <v>1025</v>
      </c>
      <c r="C388" s="5" t="s">
        <v>26</v>
      </c>
      <c r="D388" s="5" t="s">
        <v>27</v>
      </c>
      <c r="E388" s="5" t="s">
        <v>275</v>
      </c>
      <c r="F388" s="9">
        <v>9</v>
      </c>
      <c r="G388" s="9" t="s">
        <v>305</v>
      </c>
      <c r="H388" s="5" t="s">
        <v>21</v>
      </c>
      <c r="I388" s="5" t="s">
        <v>1026</v>
      </c>
      <c r="J388" s="12" t="str">
        <f>HYPERLINK("https://www.boe.es/gazeta/dias/1801/01/30/pdfs/GMD-C-1801-9.pdf#page=4","Abrir facsímil")</f>
        <v>Abrir facsímil</v>
      </c>
      <c r="K388" s="15" t="s">
        <v>23</v>
      </c>
    </row>
    <row r="389" spans="1:11" ht="42" customHeight="1">
      <c r="A389" s="4" t="s">
        <v>1027</v>
      </c>
      <c r="B389" s="5" t="s">
        <v>1028</v>
      </c>
      <c r="C389" s="5" t="s">
        <v>32</v>
      </c>
      <c r="D389" s="5" t="s">
        <v>33</v>
      </c>
      <c r="E389" s="5" t="s">
        <v>131</v>
      </c>
      <c r="F389" s="9">
        <v>22</v>
      </c>
      <c r="G389" s="9">
        <v>289</v>
      </c>
      <c r="H389" s="5" t="s">
        <v>21</v>
      </c>
      <c r="I389" s="5" t="s">
        <v>1029</v>
      </c>
      <c r="J389" s="12" t="str">
        <f>HYPERLINK("https://www.boe.es/gazeta/dias/1801/03/17/pdfs/GMD-1801-22.pdf#page=6","Abrir facsímil")</f>
        <v>Abrir facsímil</v>
      </c>
      <c r="K389" s="15" t="s">
        <v>23</v>
      </c>
    </row>
    <row r="390" spans="1:11" ht="42" customHeight="1">
      <c r="A390" s="4" t="s">
        <v>1030</v>
      </c>
      <c r="B390" s="5" t="s">
        <v>1031</v>
      </c>
      <c r="C390" s="5" t="s">
        <v>75</v>
      </c>
      <c r="D390" s="5" t="s">
        <v>76</v>
      </c>
      <c r="E390" s="5" t="s">
        <v>122</v>
      </c>
      <c r="F390" s="9">
        <v>8</v>
      </c>
      <c r="G390" s="9">
        <v>90</v>
      </c>
      <c r="H390" s="5" t="s">
        <v>21</v>
      </c>
      <c r="I390" s="5" t="s">
        <v>1032</v>
      </c>
      <c r="J390" s="12" t="str">
        <f>HYPERLINK("https://www.boe.es/gazeta/dias/1801/01/27/pdfs/GMD-1801-8.pdf#page=2","Abrir facsímil")</f>
        <v>Abrir facsímil</v>
      </c>
      <c r="K390" s="15" t="s">
        <v>23</v>
      </c>
    </row>
    <row r="391" spans="1:11" ht="42" customHeight="1">
      <c r="A391" s="4" t="s">
        <v>1033</v>
      </c>
      <c r="B391" s="5" t="s">
        <v>1033</v>
      </c>
      <c r="C391" s="5" t="s">
        <v>32</v>
      </c>
      <c r="D391" s="5" t="s">
        <v>33</v>
      </c>
      <c r="E391" s="5" t="s">
        <v>723</v>
      </c>
      <c r="F391" s="9">
        <v>113</v>
      </c>
      <c r="G391" s="9">
        <v>1234</v>
      </c>
      <c r="H391" s="5" t="s">
        <v>21</v>
      </c>
      <c r="I391" s="5" t="s">
        <v>1034</v>
      </c>
      <c r="J391" s="12" t="str">
        <f>HYPERLINK("https://www.boe.es/gazeta/dias/1801/12/08/pdfs/GMD-1801-113.pdf#page=7","Abrir facsímil")</f>
        <v>Abrir facsímil</v>
      </c>
      <c r="K391" s="15" t="s">
        <v>23</v>
      </c>
    </row>
    <row r="392" spans="1:11" ht="42" customHeight="1">
      <c r="A392" s="4" t="s">
        <v>1035</v>
      </c>
      <c r="B392" s="5" t="s">
        <v>1036</v>
      </c>
      <c r="C392" s="5" t="s">
        <v>32</v>
      </c>
      <c r="D392" s="5" t="s">
        <v>33</v>
      </c>
      <c r="E392" s="5" t="s">
        <v>94</v>
      </c>
      <c r="F392" s="9">
        <v>19</v>
      </c>
      <c r="G392" s="9">
        <v>244</v>
      </c>
      <c r="H392" s="5" t="s">
        <v>21</v>
      </c>
      <c r="I392" s="5" t="s">
        <v>1037</v>
      </c>
      <c r="J392" s="12" t="str">
        <f>HYPERLINK("https://www.boe.es/gazeta/dias/1801/03/06/pdfs/GMD-1801-19.pdf#page=9","Abrir facsímil")</f>
        <v>Abrir facsímil</v>
      </c>
      <c r="K392" s="15" t="s">
        <v>23</v>
      </c>
    </row>
    <row r="393" spans="1:11" ht="42" customHeight="1">
      <c r="A393" s="4" t="s">
        <v>1038</v>
      </c>
      <c r="B393" s="5" t="s">
        <v>1039</v>
      </c>
      <c r="C393" s="5" t="s">
        <v>18</v>
      </c>
      <c r="D393" s="5" t="s">
        <v>19</v>
      </c>
      <c r="E393" s="5" t="s">
        <v>48</v>
      </c>
      <c r="F393" s="9">
        <v>20</v>
      </c>
      <c r="G393" s="9">
        <v>267</v>
      </c>
      <c r="H393" s="5" t="s">
        <v>21</v>
      </c>
      <c r="I393" s="5" t="s">
        <v>1040</v>
      </c>
      <c r="J393" s="12" t="str">
        <f>HYPERLINK("https://www.boe.es/gazeta/dias/1801/03/10/pdfs/GMD-1801-20.pdf#page=12","Abrir facsímil")</f>
        <v>Abrir facsímil</v>
      </c>
      <c r="K393" s="15" t="s">
        <v>23</v>
      </c>
    </row>
    <row r="394" spans="1:11" ht="42" customHeight="1">
      <c r="A394" s="4" t="s">
        <v>1041</v>
      </c>
      <c r="B394" s="5" t="s">
        <v>1042</v>
      </c>
      <c r="C394" s="5" t="s">
        <v>18</v>
      </c>
      <c r="D394" s="5" t="s">
        <v>19</v>
      </c>
      <c r="E394" s="5" t="s">
        <v>615</v>
      </c>
      <c r="F394" s="9">
        <v>72</v>
      </c>
      <c r="G394" s="9">
        <v>806</v>
      </c>
      <c r="H394" s="5" t="s">
        <v>21</v>
      </c>
      <c r="I394" s="5" t="s">
        <v>1043</v>
      </c>
      <c r="J394" s="12" t="str">
        <f>HYPERLINK("https://www.boe.es/gazeta/dias/1801/07/24/pdfs/GMD-1801-72.pdf#page=11","Abrir facsímil")</f>
        <v>Abrir facsímil</v>
      </c>
      <c r="K394" s="15" t="s">
        <v>23</v>
      </c>
    </row>
    <row r="395" spans="1:11" ht="42" customHeight="1">
      <c r="A395" s="4" t="s">
        <v>1044</v>
      </c>
      <c r="B395" s="5" t="s">
        <v>1044</v>
      </c>
      <c r="C395" s="5" t="s">
        <v>32</v>
      </c>
      <c r="D395" s="5" t="s">
        <v>33</v>
      </c>
      <c r="E395" s="5" t="s">
        <v>153</v>
      </c>
      <c r="F395" s="9">
        <v>48</v>
      </c>
      <c r="G395" s="9">
        <v>585</v>
      </c>
      <c r="H395" s="5" t="s">
        <v>21</v>
      </c>
      <c r="I395" s="5" t="s">
        <v>1045</v>
      </c>
      <c r="J395" s="12" t="str">
        <f>HYPERLINK("https://www.boe.es/gazeta/dias/1801/06/05/pdfs/GMD-1801-48.pdf#page=7","Abrir facsímil")</f>
        <v>Abrir facsímil</v>
      </c>
      <c r="K395" s="15" t="s">
        <v>23</v>
      </c>
    </row>
    <row r="396" spans="1:11" ht="42" customHeight="1">
      <c r="A396" s="4" t="s">
        <v>1046</v>
      </c>
      <c r="B396" s="5" t="s">
        <v>1047</v>
      </c>
      <c r="C396" s="5" t="s">
        <v>32</v>
      </c>
      <c r="D396" s="5" t="s">
        <v>33</v>
      </c>
      <c r="E396" s="5" t="s">
        <v>131</v>
      </c>
      <c r="F396" s="9">
        <v>22</v>
      </c>
      <c r="G396" s="9">
        <v>290</v>
      </c>
      <c r="H396" s="5" t="s">
        <v>21</v>
      </c>
      <c r="I396" s="5" t="s">
        <v>1048</v>
      </c>
      <c r="J396" s="12" t="str">
        <f>HYPERLINK("https://www.boe.es/gazeta/dias/1801/03/17/pdfs/GMD-1801-22.pdf#page=7","Abrir facsímil")</f>
        <v>Abrir facsímil</v>
      </c>
      <c r="K396" s="15" t="s">
        <v>23</v>
      </c>
    </row>
    <row r="397" spans="1:11" ht="42" customHeight="1">
      <c r="A397" s="4" t="s">
        <v>1049</v>
      </c>
      <c r="B397" s="5" t="s">
        <v>1049</v>
      </c>
      <c r="C397" s="5" t="s">
        <v>32</v>
      </c>
      <c r="D397" s="5" t="s">
        <v>33</v>
      </c>
      <c r="E397" s="5" t="s">
        <v>186</v>
      </c>
      <c r="F397" s="9">
        <v>21</v>
      </c>
      <c r="G397" s="9">
        <v>280</v>
      </c>
      <c r="H397" s="5" t="s">
        <v>21</v>
      </c>
      <c r="I397" s="5" t="s">
        <v>1050</v>
      </c>
      <c r="J397" s="12" t="str">
        <f>HYPERLINK("https://www.boe.es/gazeta/dias/1801/03/13/pdfs/GMD-1801-21.pdf#page=9","Abrir facsímil")</f>
        <v>Abrir facsímil</v>
      </c>
      <c r="K397" s="15" t="s">
        <v>23</v>
      </c>
    </row>
    <row r="398" spans="1:11" ht="42" customHeight="1">
      <c r="A398" s="4" t="s">
        <v>1051</v>
      </c>
      <c r="B398" s="5" t="s">
        <v>1051</v>
      </c>
      <c r="C398" s="5" t="s">
        <v>80</v>
      </c>
      <c r="D398" s="5" t="s">
        <v>81</v>
      </c>
      <c r="E398" s="5" t="s">
        <v>289</v>
      </c>
      <c r="F398" s="9">
        <v>40</v>
      </c>
      <c r="G398" s="9" t="s">
        <v>299</v>
      </c>
      <c r="H398" s="5" t="s">
        <v>21</v>
      </c>
      <c r="I398" s="5" t="s">
        <v>1052</v>
      </c>
      <c r="J398" s="12" t="str">
        <f>HYPERLINK("https://www.boe.es/gazeta/dias/1801/05/19/pdfs/GMD-C-1801-40.pdf#page=5","Abrir facsímil")</f>
        <v>Abrir facsímil</v>
      </c>
      <c r="K398" s="15" t="s">
        <v>23</v>
      </c>
    </row>
    <row r="399" spans="1:11" ht="42" customHeight="1">
      <c r="A399" s="4" t="s">
        <v>1053</v>
      </c>
      <c r="B399" s="5" t="s">
        <v>1053</v>
      </c>
      <c r="C399" s="5" t="s">
        <v>80</v>
      </c>
      <c r="D399" s="5" t="s">
        <v>81</v>
      </c>
      <c r="E399" s="5" t="s">
        <v>82</v>
      </c>
      <c r="F399" s="9">
        <v>75</v>
      </c>
      <c r="G399" s="9" t="s">
        <v>86</v>
      </c>
      <c r="H399" s="5" t="s">
        <v>21</v>
      </c>
      <c r="I399" s="5" t="s">
        <v>1054</v>
      </c>
      <c r="J399" s="12" t="str">
        <f>HYPERLINK("https://www.boe.es/gazeta/dias/1801/08/04/pdfs/GMD-C-1801-75.pdf#page=3","Abrir facsímil")</f>
        <v>Abrir facsímil</v>
      </c>
      <c r="K399" s="15" t="s">
        <v>23</v>
      </c>
    </row>
    <row r="400" spans="1:11" ht="42" customHeight="1">
      <c r="A400" s="4" t="s">
        <v>1055</v>
      </c>
      <c r="B400" s="5" t="s">
        <v>1055</v>
      </c>
      <c r="C400" s="5" t="s">
        <v>69</v>
      </c>
      <c r="D400" s="5" t="s">
        <v>19</v>
      </c>
      <c r="E400" s="5" t="s">
        <v>781</v>
      </c>
      <c r="F400" s="9">
        <v>14</v>
      </c>
      <c r="G400" s="9">
        <v>173</v>
      </c>
      <c r="H400" s="5" t="s">
        <v>21</v>
      </c>
      <c r="I400" s="5" t="s">
        <v>1056</v>
      </c>
      <c r="J400" s="12" t="str">
        <f>HYPERLINK("https://www.boe.es/gazeta/dias/1801/02/17/pdfs/GMD-1801-14.pdf#page=8","Abrir facsímil")</f>
        <v>Abrir facsímil</v>
      </c>
      <c r="K400" s="15" t="s">
        <v>23</v>
      </c>
    </row>
    <row r="401" spans="1:11" ht="42" customHeight="1">
      <c r="A401" s="4" t="s">
        <v>1055</v>
      </c>
      <c r="B401" s="5" t="s">
        <v>1055</v>
      </c>
      <c r="C401" s="5" t="s">
        <v>69</v>
      </c>
      <c r="D401" s="5" t="s">
        <v>19</v>
      </c>
      <c r="E401" s="5" t="s">
        <v>223</v>
      </c>
      <c r="F401" s="9">
        <v>74</v>
      </c>
      <c r="G401" s="9">
        <v>827</v>
      </c>
      <c r="H401" s="5" t="s">
        <v>21</v>
      </c>
      <c r="I401" s="5" t="s">
        <v>1057</v>
      </c>
      <c r="J401" s="12" t="str">
        <f>HYPERLINK("https://www.boe.es/gazeta/dias/1801/07/31/pdfs/GMD-1801-74.pdf#page=8","Abrir facsímil")</f>
        <v>Abrir facsímil</v>
      </c>
      <c r="K401" s="15" t="s">
        <v>23</v>
      </c>
    </row>
    <row r="402" spans="1:11" ht="42" customHeight="1">
      <c r="A402" s="4" t="s">
        <v>1055</v>
      </c>
      <c r="B402" s="5" t="s">
        <v>1055</v>
      </c>
      <c r="C402" s="5" t="s">
        <v>32</v>
      </c>
      <c r="D402" s="5" t="s">
        <v>33</v>
      </c>
      <c r="E402" s="5" t="s">
        <v>1058</v>
      </c>
      <c r="F402" s="9">
        <v>108</v>
      </c>
      <c r="G402" s="9">
        <v>1191</v>
      </c>
      <c r="H402" s="5" t="s">
        <v>21</v>
      </c>
      <c r="I402" s="5" t="s">
        <v>1059</v>
      </c>
      <c r="J402" s="12" t="str">
        <f>HYPERLINK("https://www.boe.es/gazeta/dias/1801/11/20/pdfs/GMD-1801-108.pdf#page=8","Abrir facsímil")</f>
        <v>Abrir facsímil</v>
      </c>
      <c r="K402" s="15" t="s">
        <v>23</v>
      </c>
    </row>
    <row r="403" spans="1:11" ht="42" customHeight="1">
      <c r="A403" s="4" t="s">
        <v>1060</v>
      </c>
      <c r="B403" s="5" t="s">
        <v>1060</v>
      </c>
      <c r="C403" s="5" t="s">
        <v>32</v>
      </c>
      <c r="D403" s="5" t="s">
        <v>33</v>
      </c>
      <c r="E403" s="5" t="s">
        <v>313</v>
      </c>
      <c r="F403" s="9">
        <v>39</v>
      </c>
      <c r="G403" s="9">
        <v>505</v>
      </c>
      <c r="H403" s="5" t="s">
        <v>21</v>
      </c>
      <c r="I403" s="5" t="s">
        <v>1061</v>
      </c>
      <c r="J403" s="12" t="str">
        <f>HYPERLINK("https://www.boe.es/gazeta/dias/1801/05/15/pdfs/GMD-1801-39.pdf#page=9","Abrir facsímil")</f>
        <v>Abrir facsímil</v>
      </c>
      <c r="K403" s="15" t="s">
        <v>23</v>
      </c>
    </row>
    <row r="404" spans="1:11" ht="42" customHeight="1">
      <c r="A404" s="4" t="s">
        <v>1062</v>
      </c>
      <c r="B404" s="5" t="s">
        <v>1062</v>
      </c>
      <c r="C404" s="5" t="s">
        <v>69</v>
      </c>
      <c r="D404" s="5" t="s">
        <v>19</v>
      </c>
      <c r="E404" s="5" t="s">
        <v>112</v>
      </c>
      <c r="F404" s="9">
        <v>114</v>
      </c>
      <c r="G404" s="9">
        <v>1247</v>
      </c>
      <c r="H404" s="5" t="s">
        <v>21</v>
      </c>
      <c r="I404" s="5" t="s">
        <v>1063</v>
      </c>
      <c r="J404" s="12" t="str">
        <f>HYPERLINK("https://www.boe.es/gazeta/dias/1801/12/11/pdfs/GMD-1801-114.pdf#page=9","Abrir facsímil")</f>
        <v>Abrir facsímil</v>
      </c>
      <c r="K404" s="15" t="s">
        <v>23</v>
      </c>
    </row>
    <row r="405" spans="1:11" ht="42" customHeight="1">
      <c r="A405" s="4" t="s">
        <v>1064</v>
      </c>
      <c r="B405" s="5" t="s">
        <v>1064</v>
      </c>
      <c r="C405" s="5" t="s">
        <v>32</v>
      </c>
      <c r="D405" s="5" t="s">
        <v>33</v>
      </c>
      <c r="E405" s="5" t="s">
        <v>90</v>
      </c>
      <c r="F405" s="9">
        <v>1</v>
      </c>
      <c r="G405" s="9">
        <v>9</v>
      </c>
      <c r="H405" s="5" t="s">
        <v>21</v>
      </c>
      <c r="I405" s="5" t="s">
        <v>1065</v>
      </c>
      <c r="J405" s="12" t="str">
        <f>HYPERLINK("https://www.boe.es/gazeta/dias/1801/01/02/pdfs/GMD-1801-1.pdf#page=9","Abrir facsímil")</f>
        <v>Abrir facsímil</v>
      </c>
      <c r="K405" s="15" t="s">
        <v>23</v>
      </c>
    </row>
    <row r="406" spans="1:11" ht="42" customHeight="1">
      <c r="A406" s="4" t="s">
        <v>1066</v>
      </c>
      <c r="B406" s="5" t="s">
        <v>1066</v>
      </c>
      <c r="C406" s="5" t="s">
        <v>75</v>
      </c>
      <c r="D406" s="5" t="s">
        <v>76</v>
      </c>
      <c r="E406" s="5" t="s">
        <v>94</v>
      </c>
      <c r="F406" s="9">
        <v>19</v>
      </c>
      <c r="G406" s="9">
        <v>239</v>
      </c>
      <c r="H406" s="5" t="s">
        <v>21</v>
      </c>
      <c r="I406" s="5" t="s">
        <v>1067</v>
      </c>
      <c r="J406" s="12" t="str">
        <f>HYPERLINK("https://www.boe.es/gazeta/dias/1801/03/06/pdfs/GMD-1801-19.pdf#page=4","Abrir facsímil")</f>
        <v>Abrir facsímil</v>
      </c>
      <c r="K406" s="15" t="s">
        <v>23</v>
      </c>
    </row>
    <row r="407" spans="1:11" ht="42" customHeight="1">
      <c r="A407" s="4" t="s">
        <v>1066</v>
      </c>
      <c r="B407" s="5" t="s">
        <v>1066</v>
      </c>
      <c r="C407" s="5" t="s">
        <v>38</v>
      </c>
      <c r="D407" s="5" t="s">
        <v>39</v>
      </c>
      <c r="E407" s="5" t="s">
        <v>309</v>
      </c>
      <c r="F407" s="9">
        <v>118</v>
      </c>
      <c r="G407" s="9">
        <v>1287</v>
      </c>
      <c r="H407" s="5" t="s">
        <v>21</v>
      </c>
      <c r="I407" s="5" t="s">
        <v>1068</v>
      </c>
      <c r="J407" s="12" t="str">
        <f>HYPERLINK("https://www.boe.es/gazeta/dias/1801/12/25/pdfs/GMD-1801-118.pdf#page=2","Abrir facsímil")</f>
        <v>Abrir facsímil</v>
      </c>
      <c r="K407" s="15" t="s">
        <v>23</v>
      </c>
    </row>
    <row r="408" spans="1:11" ht="42" customHeight="1">
      <c r="A408" s="4" t="s">
        <v>1066</v>
      </c>
      <c r="B408" s="5" t="s">
        <v>1066</v>
      </c>
      <c r="C408" s="5" t="s">
        <v>38</v>
      </c>
      <c r="D408" s="5" t="s">
        <v>39</v>
      </c>
      <c r="E408" s="5" t="s">
        <v>309</v>
      </c>
      <c r="F408" s="9">
        <v>118</v>
      </c>
      <c r="G408" s="9">
        <v>1288</v>
      </c>
      <c r="H408" s="5" t="s">
        <v>21</v>
      </c>
      <c r="I408" s="5" t="s">
        <v>1069</v>
      </c>
      <c r="J408" s="12" t="str">
        <f>HYPERLINK("https://www.boe.es/gazeta/dias/1801/12/25/pdfs/GMD-1801-118.pdf#page=3","Abrir facsímil")</f>
        <v>Abrir facsímil</v>
      </c>
      <c r="K408" s="15" t="s">
        <v>23</v>
      </c>
    </row>
    <row r="409" spans="1:11" ht="42" customHeight="1">
      <c r="A409" s="4" t="s">
        <v>1070</v>
      </c>
      <c r="B409" s="5" t="s">
        <v>1071</v>
      </c>
      <c r="C409" s="5" t="s">
        <v>75</v>
      </c>
      <c r="D409" s="5" t="s">
        <v>76</v>
      </c>
      <c r="E409" s="5" t="s">
        <v>462</v>
      </c>
      <c r="F409" s="9">
        <v>5</v>
      </c>
      <c r="G409" s="9">
        <v>55</v>
      </c>
      <c r="H409" s="5" t="s">
        <v>21</v>
      </c>
      <c r="I409" s="5" t="s">
        <v>1072</v>
      </c>
      <c r="J409" s="12" t="str">
        <f>HYPERLINK("https://www.boe.es/gazeta/dias/1801/01/16/pdfs/GMD-1801-5.pdf#page=7","Abrir facsímil")</f>
        <v>Abrir facsímil</v>
      </c>
      <c r="K409" s="15" t="s">
        <v>23</v>
      </c>
    </row>
    <row r="410" spans="1:11" ht="42" customHeight="1">
      <c r="A410" s="4" t="s">
        <v>1073</v>
      </c>
      <c r="B410" s="5" t="s">
        <v>1074</v>
      </c>
      <c r="C410" s="5" t="s">
        <v>18</v>
      </c>
      <c r="D410" s="5" t="s">
        <v>19</v>
      </c>
      <c r="E410" s="5" t="s">
        <v>179</v>
      </c>
      <c r="F410" s="9">
        <v>11</v>
      </c>
      <c r="G410" s="9">
        <v>135</v>
      </c>
      <c r="H410" s="5" t="s">
        <v>21</v>
      </c>
      <c r="I410" s="5" t="s">
        <v>1075</v>
      </c>
      <c r="J410" s="12" t="str">
        <f>HYPERLINK("https://www.boe.es/gazeta/dias/1801/02/06/pdfs/GMD-1801-11.pdf#page=8","Abrir facsímil")</f>
        <v>Abrir facsímil</v>
      </c>
      <c r="K410" s="15" t="s">
        <v>23</v>
      </c>
    </row>
    <row r="411" spans="1:11" ht="42" customHeight="1">
      <c r="A411" s="4" t="s">
        <v>1076</v>
      </c>
      <c r="B411" s="5" t="s">
        <v>1077</v>
      </c>
      <c r="C411" s="5" t="s">
        <v>38</v>
      </c>
      <c r="D411" s="5" t="s">
        <v>39</v>
      </c>
      <c r="E411" s="5" t="s">
        <v>352</v>
      </c>
      <c r="F411" s="9">
        <v>43</v>
      </c>
      <c r="G411" s="9">
        <v>535</v>
      </c>
      <c r="H411" s="5" t="s">
        <v>21</v>
      </c>
      <c r="I411" s="5" t="s">
        <v>1078</v>
      </c>
      <c r="J411" s="12" t="str">
        <f>HYPERLINK("https://www.boe.es/gazeta/dias/1801/05/26/pdfs/GMD-1801-43.pdf#page=7","Abrir facsímil")</f>
        <v>Abrir facsímil</v>
      </c>
      <c r="K411" s="15" t="s">
        <v>23</v>
      </c>
    </row>
    <row r="412" spans="1:11" ht="42" customHeight="1">
      <c r="A412" s="4" t="s">
        <v>1079</v>
      </c>
      <c r="B412" s="5" t="s">
        <v>1080</v>
      </c>
      <c r="C412" s="5" t="s">
        <v>32</v>
      </c>
      <c r="D412" s="5" t="s">
        <v>33</v>
      </c>
      <c r="E412" s="5" t="s">
        <v>62</v>
      </c>
      <c r="F412" s="9">
        <v>6</v>
      </c>
      <c r="G412" s="9">
        <v>73</v>
      </c>
      <c r="H412" s="5" t="s">
        <v>21</v>
      </c>
      <c r="I412" s="5" t="s">
        <v>1081</v>
      </c>
      <c r="J412" s="12" t="str">
        <f>HYPERLINK("https://www.boe.es/gazeta/dias/1801/01/20/pdfs/GMD-1801-6.pdf#page=9","Abrir facsímil")</f>
        <v>Abrir facsímil</v>
      </c>
      <c r="K412" s="15" t="s">
        <v>23</v>
      </c>
    </row>
    <row r="413" spans="1:11" ht="42" customHeight="1">
      <c r="A413" s="4" t="s">
        <v>1082</v>
      </c>
      <c r="B413" s="5" t="s">
        <v>1083</v>
      </c>
      <c r="C413" s="5" t="s">
        <v>18</v>
      </c>
      <c r="D413" s="5" t="s">
        <v>19</v>
      </c>
      <c r="E413" s="5" t="s">
        <v>221</v>
      </c>
      <c r="F413" s="9">
        <v>28</v>
      </c>
      <c r="G413" s="9">
        <v>371</v>
      </c>
      <c r="H413" s="5" t="s">
        <v>21</v>
      </c>
      <c r="I413" s="5" t="s">
        <v>1084</v>
      </c>
      <c r="J413" s="12" t="str">
        <f>HYPERLINK("https://www.boe.es/gazeta/dias/1801/04/07/pdfs/GMD-1801-28.pdf#page=11","Abrir facsímil")</f>
        <v>Abrir facsímil</v>
      </c>
      <c r="K413" s="15" t="s">
        <v>23</v>
      </c>
    </row>
    <row r="414" spans="1:11" ht="42" customHeight="1">
      <c r="A414" s="4" t="s">
        <v>1082</v>
      </c>
      <c r="B414" s="5" t="s">
        <v>1083</v>
      </c>
      <c r="C414" s="5" t="s">
        <v>69</v>
      </c>
      <c r="D414" s="5" t="s">
        <v>19</v>
      </c>
      <c r="E414" s="5" t="s">
        <v>1085</v>
      </c>
      <c r="F414" s="9">
        <v>99</v>
      </c>
      <c r="G414" s="9">
        <v>1090</v>
      </c>
      <c r="H414" s="5" t="s">
        <v>21</v>
      </c>
      <c r="I414" s="5" t="s">
        <v>1086</v>
      </c>
      <c r="J414" s="12" t="str">
        <f>HYPERLINK("https://www.boe.es/gazeta/dias/1801/10/20/pdfs/GMD-1801-99.pdf#page=7","Abrir facsímil")</f>
        <v>Abrir facsímil</v>
      </c>
      <c r="K414" s="15" t="s">
        <v>23</v>
      </c>
    </row>
    <row r="415" spans="1:11" ht="42" customHeight="1">
      <c r="A415" s="4" t="s">
        <v>1087</v>
      </c>
      <c r="B415" s="5" t="s">
        <v>1088</v>
      </c>
      <c r="C415" s="5" t="s">
        <v>75</v>
      </c>
      <c r="D415" s="5" t="s">
        <v>76</v>
      </c>
      <c r="E415" s="5" t="s">
        <v>70</v>
      </c>
      <c r="F415" s="9">
        <v>2</v>
      </c>
      <c r="G415" s="9">
        <v>19</v>
      </c>
      <c r="H415" s="5" t="s">
        <v>21</v>
      </c>
      <c r="I415" s="5" t="s">
        <v>1089</v>
      </c>
      <c r="J415" s="12" t="str">
        <f>HYPERLINK("https://www.boe.es/gazeta/dias/1801/01/06/pdfs/GMD-1801-2.pdf#page=7","Abrir facsímil")</f>
        <v>Abrir facsímil</v>
      </c>
      <c r="K415" s="15" t="s">
        <v>23</v>
      </c>
    </row>
    <row r="416" spans="1:11" ht="42" customHeight="1">
      <c r="A416" s="4" t="s">
        <v>1087</v>
      </c>
      <c r="B416" s="5" t="s">
        <v>1088</v>
      </c>
      <c r="C416" s="5" t="s">
        <v>75</v>
      </c>
      <c r="D416" s="5" t="s">
        <v>76</v>
      </c>
      <c r="E416" s="5" t="s">
        <v>62</v>
      </c>
      <c r="F416" s="9">
        <v>6</v>
      </c>
      <c r="G416" s="9">
        <v>70</v>
      </c>
      <c r="H416" s="5" t="s">
        <v>21</v>
      </c>
      <c r="I416" s="5" t="s">
        <v>1090</v>
      </c>
      <c r="J416" s="12" t="str">
        <f>HYPERLINK("https://www.boe.es/gazeta/dias/1801/01/20/pdfs/GMD-1801-6.pdf#page=6","Abrir facsímil")</f>
        <v>Abrir facsímil</v>
      </c>
      <c r="K416" s="15" t="s">
        <v>23</v>
      </c>
    </row>
    <row r="417" spans="1:11" ht="42" customHeight="1">
      <c r="A417" s="4" t="s">
        <v>1091</v>
      </c>
      <c r="B417" s="5" t="s">
        <v>1092</v>
      </c>
      <c r="C417" s="5" t="s">
        <v>80</v>
      </c>
      <c r="D417" s="5" t="s">
        <v>81</v>
      </c>
      <c r="E417" s="5" t="s">
        <v>82</v>
      </c>
      <c r="F417" s="9">
        <v>75</v>
      </c>
      <c r="G417" s="9" t="s">
        <v>668</v>
      </c>
      <c r="H417" s="5" t="s">
        <v>21</v>
      </c>
      <c r="I417" s="5" t="s">
        <v>1093</v>
      </c>
      <c r="J417" s="12" t="str">
        <f>HYPERLINK("https://www.boe.es/gazeta/dias/1801/08/04/pdfs/GMD-C-1801-75.pdf#page=1","Abrir facsímil")</f>
        <v>Abrir facsímil</v>
      </c>
      <c r="K417" s="15" t="s">
        <v>23</v>
      </c>
    </row>
    <row r="418" spans="1:11" ht="42" customHeight="1">
      <c r="A418" s="4" t="s">
        <v>1094</v>
      </c>
      <c r="B418" s="5" t="s">
        <v>1095</v>
      </c>
      <c r="C418" s="5" t="s">
        <v>32</v>
      </c>
      <c r="D418" s="5" t="s">
        <v>33</v>
      </c>
      <c r="E418" s="5" t="s">
        <v>640</v>
      </c>
      <c r="F418" s="9">
        <v>81</v>
      </c>
      <c r="G418" s="9">
        <v>909</v>
      </c>
      <c r="H418" s="5" t="s">
        <v>21</v>
      </c>
      <c r="I418" s="5" t="s">
        <v>1096</v>
      </c>
      <c r="J418" s="12" t="str">
        <f>HYPERLINK("https://www.boe.es/gazeta/dias/1801/08/25/pdfs/GMD-1801-81.pdf#page=6","Abrir facsímil")</f>
        <v>Abrir facsímil</v>
      </c>
      <c r="K418" s="15" t="s">
        <v>23</v>
      </c>
    </row>
    <row r="419" spans="1:11" ht="42" customHeight="1">
      <c r="A419" s="4" t="s">
        <v>1097</v>
      </c>
      <c r="B419" s="5" t="s">
        <v>1098</v>
      </c>
      <c r="C419" s="5" t="s">
        <v>75</v>
      </c>
      <c r="D419" s="5" t="s">
        <v>76</v>
      </c>
      <c r="E419" s="5" t="s">
        <v>480</v>
      </c>
      <c r="F419" s="9">
        <v>10</v>
      </c>
      <c r="G419" s="9">
        <v>120</v>
      </c>
      <c r="H419" s="5" t="s">
        <v>21</v>
      </c>
      <c r="I419" s="5" t="s">
        <v>1099</v>
      </c>
      <c r="J419" s="12" t="str">
        <f>HYPERLINK("https://www.boe.es/gazeta/dias/1801/02/03/pdfs/GMD-1801-10.pdf#page=5","Abrir facsímil")</f>
        <v>Abrir facsímil</v>
      </c>
      <c r="K419" s="15" t="s">
        <v>23</v>
      </c>
    </row>
    <row r="420" spans="1:11" ht="42" customHeight="1">
      <c r="A420" s="4" t="s">
        <v>1100</v>
      </c>
      <c r="B420" s="5" t="s">
        <v>1101</v>
      </c>
      <c r="C420" s="5" t="s">
        <v>32</v>
      </c>
      <c r="D420" s="5" t="s">
        <v>33</v>
      </c>
      <c r="E420" s="5" t="s">
        <v>90</v>
      </c>
      <c r="F420" s="9">
        <v>1</v>
      </c>
      <c r="G420" s="9">
        <v>9</v>
      </c>
      <c r="H420" s="5" t="s">
        <v>21</v>
      </c>
      <c r="I420" s="5" t="s">
        <v>1102</v>
      </c>
      <c r="J420" s="12" t="str">
        <f>HYPERLINK("https://www.boe.es/gazeta/dias/1801/01/02/pdfs/GMD-1801-1.pdf#page=9","Abrir facsímil")</f>
        <v>Abrir facsímil</v>
      </c>
      <c r="K420" s="15" t="s">
        <v>23</v>
      </c>
    </row>
    <row r="421" spans="1:11" ht="42" customHeight="1">
      <c r="A421" s="4" t="s">
        <v>1103</v>
      </c>
      <c r="B421" s="5" t="s">
        <v>1104</v>
      </c>
      <c r="C421" s="5" t="s">
        <v>80</v>
      </c>
      <c r="D421" s="5" t="s">
        <v>81</v>
      </c>
      <c r="E421" s="5" t="s">
        <v>289</v>
      </c>
      <c r="F421" s="9">
        <v>40</v>
      </c>
      <c r="G421" s="9" t="s">
        <v>996</v>
      </c>
      <c r="H421" s="5" t="s">
        <v>21</v>
      </c>
      <c r="I421" s="5" t="s">
        <v>1105</v>
      </c>
      <c r="J421" s="12" t="str">
        <f>HYPERLINK("https://www.boe.es/gazeta/dias/1801/05/19/pdfs/GMD-C-1801-40.pdf#page=6","Abrir facsímil")</f>
        <v>Abrir facsímil</v>
      </c>
      <c r="K421" s="15" t="s">
        <v>23</v>
      </c>
    </row>
    <row r="422" spans="1:11" ht="42" customHeight="1">
      <c r="A422" s="4" t="s">
        <v>1106</v>
      </c>
      <c r="B422" s="5" t="s">
        <v>1107</v>
      </c>
      <c r="C422" s="5" t="s">
        <v>32</v>
      </c>
      <c r="D422" s="5" t="s">
        <v>33</v>
      </c>
      <c r="E422" s="5" t="s">
        <v>924</v>
      </c>
      <c r="F422" s="9">
        <v>90</v>
      </c>
      <c r="G422" s="9">
        <v>991</v>
      </c>
      <c r="H422" s="5" t="s">
        <v>21</v>
      </c>
      <c r="I422" s="5" t="s">
        <v>1108</v>
      </c>
      <c r="J422" s="12" t="str">
        <f>HYPERLINK("https://www.boe.es/gazeta/dias/1801/09/18/pdfs/GMD-1801-90.pdf#page=6","Abrir facsímil")</f>
        <v>Abrir facsímil</v>
      </c>
      <c r="K422" s="15" t="s">
        <v>23</v>
      </c>
    </row>
    <row r="423" spans="1:11" ht="42" customHeight="1">
      <c r="A423" s="4" t="s">
        <v>1106</v>
      </c>
      <c r="B423" s="5" t="s">
        <v>1107</v>
      </c>
      <c r="C423" s="5" t="s">
        <v>38</v>
      </c>
      <c r="D423" s="5" t="s">
        <v>39</v>
      </c>
      <c r="E423" s="5" t="s">
        <v>1058</v>
      </c>
      <c r="F423" s="9">
        <v>108</v>
      </c>
      <c r="G423" s="9">
        <v>1189</v>
      </c>
      <c r="H423" s="5" t="s">
        <v>21</v>
      </c>
      <c r="I423" s="5" t="s">
        <v>1109</v>
      </c>
      <c r="J423" s="12" t="str">
        <f>HYPERLINK("https://www.boe.es/gazeta/dias/1801/11/20/pdfs/GMD-1801-108.pdf#page=6","Abrir facsímil")</f>
        <v>Abrir facsímil</v>
      </c>
      <c r="K423" s="15" t="s">
        <v>23</v>
      </c>
    </row>
    <row r="424" spans="1:11" ht="42" customHeight="1">
      <c r="A424" s="4" t="s">
        <v>1110</v>
      </c>
      <c r="B424" s="5" t="s">
        <v>1111</v>
      </c>
      <c r="C424" s="5" t="s">
        <v>69</v>
      </c>
      <c r="D424" s="5" t="s">
        <v>19</v>
      </c>
      <c r="E424" s="5" t="s">
        <v>70</v>
      </c>
      <c r="F424" s="9">
        <v>2</v>
      </c>
      <c r="G424" s="9">
        <v>19</v>
      </c>
      <c r="H424" s="5" t="s">
        <v>21</v>
      </c>
      <c r="I424" s="5" t="s">
        <v>1112</v>
      </c>
      <c r="J424" s="12" t="str">
        <f>HYPERLINK("https://www.boe.es/gazeta/dias/1801/01/06/pdfs/GMD-1801-2.pdf#page=7","Abrir facsímil")</f>
        <v>Abrir facsímil</v>
      </c>
      <c r="K424" s="15" t="s">
        <v>23</v>
      </c>
    </row>
    <row r="425" spans="1:11" ht="42" customHeight="1">
      <c r="A425" s="4" t="s">
        <v>1113</v>
      </c>
      <c r="B425" s="5" t="s">
        <v>1114</v>
      </c>
      <c r="C425" s="5" t="s">
        <v>80</v>
      </c>
      <c r="D425" s="5" t="s">
        <v>81</v>
      </c>
      <c r="E425" s="5" t="s">
        <v>82</v>
      </c>
      <c r="F425" s="9">
        <v>75</v>
      </c>
      <c r="G425" s="9" t="s">
        <v>305</v>
      </c>
      <c r="H425" s="5" t="s">
        <v>21</v>
      </c>
      <c r="I425" s="5" t="s">
        <v>1115</v>
      </c>
      <c r="J425" s="12" t="str">
        <f>HYPERLINK("https://www.boe.es/gazeta/dias/1801/08/04/pdfs/GMD-C-1801-75.pdf#page=4","Abrir facsímil")</f>
        <v>Abrir facsímil</v>
      </c>
      <c r="K425" s="15" t="s">
        <v>23</v>
      </c>
    </row>
    <row r="426" spans="1:11" ht="42" customHeight="1">
      <c r="A426" s="4" t="s">
        <v>1116</v>
      </c>
      <c r="B426" s="5" t="s">
        <v>1117</v>
      </c>
      <c r="C426" s="5" t="s">
        <v>32</v>
      </c>
      <c r="D426" s="5" t="s">
        <v>33</v>
      </c>
      <c r="E426" s="5" t="s">
        <v>292</v>
      </c>
      <c r="F426" s="9">
        <v>25</v>
      </c>
      <c r="G426" s="9">
        <v>330</v>
      </c>
      <c r="H426" s="5" t="s">
        <v>21</v>
      </c>
      <c r="I426" s="5" t="s">
        <v>1118</v>
      </c>
      <c r="J426" s="12" t="str">
        <f>HYPERLINK("https://www.boe.es/gazeta/dias/1801/03/27/pdfs/GMD-1801-25.pdf#page=9","Abrir facsímil")</f>
        <v>Abrir facsímil</v>
      </c>
      <c r="K426" s="15" t="s">
        <v>23</v>
      </c>
    </row>
    <row r="427" spans="1:11" ht="42" customHeight="1">
      <c r="A427" s="4" t="s">
        <v>1119</v>
      </c>
      <c r="B427" s="5" t="s">
        <v>1120</v>
      </c>
      <c r="C427" s="5" t="s">
        <v>38</v>
      </c>
      <c r="D427" s="5" t="s">
        <v>39</v>
      </c>
      <c r="E427" s="5" t="s">
        <v>417</v>
      </c>
      <c r="F427" s="9">
        <v>64</v>
      </c>
      <c r="G427" s="9">
        <v>725</v>
      </c>
      <c r="H427" s="5" t="s">
        <v>21</v>
      </c>
      <c r="I427" s="5" t="s">
        <v>1121</v>
      </c>
      <c r="J427" s="12" t="str">
        <f>HYPERLINK("https://www.boe.es/gazeta/dias/1801/07/07/pdfs/GMD-1801-64.pdf#page=6","Abrir facsímil")</f>
        <v>Abrir facsímil</v>
      </c>
      <c r="K427" s="15" t="s">
        <v>23</v>
      </c>
    </row>
    <row r="428" spans="1:11" ht="42" customHeight="1">
      <c r="A428" s="4" t="s">
        <v>1122</v>
      </c>
      <c r="B428" s="5" t="s">
        <v>1123</v>
      </c>
      <c r="C428" s="5" t="s">
        <v>32</v>
      </c>
      <c r="D428" s="5" t="s">
        <v>33</v>
      </c>
      <c r="E428" s="5" t="s">
        <v>124</v>
      </c>
      <c r="F428" s="9">
        <v>12</v>
      </c>
      <c r="G428" s="9">
        <v>145</v>
      </c>
      <c r="H428" s="5" t="s">
        <v>21</v>
      </c>
      <c r="I428" s="5" t="s">
        <v>1124</v>
      </c>
      <c r="J428" s="12" t="str">
        <f>HYPERLINK("https://www.boe.es/gazeta/dias/1801/02/10/pdfs/GMD-1801-12.pdf#page=6","Abrir facsímil")</f>
        <v>Abrir facsímil</v>
      </c>
      <c r="K428" s="15" t="s">
        <v>23</v>
      </c>
    </row>
    <row r="429" spans="1:11" ht="42" customHeight="1">
      <c r="A429" s="4" t="s">
        <v>1125</v>
      </c>
      <c r="B429" s="5" t="s">
        <v>1126</v>
      </c>
      <c r="C429" s="5" t="s">
        <v>75</v>
      </c>
      <c r="D429" s="5" t="s">
        <v>76</v>
      </c>
      <c r="E429" s="5" t="s">
        <v>128</v>
      </c>
      <c r="F429" s="9">
        <v>17</v>
      </c>
      <c r="G429" s="9">
        <v>209</v>
      </c>
      <c r="H429" s="5" t="s">
        <v>21</v>
      </c>
      <c r="I429" s="5" t="s">
        <v>1127</v>
      </c>
      <c r="J429" s="12" t="str">
        <f>HYPERLINK("https://www.boe.es/gazeta/dias/1801/02/27/pdfs/GMD-1801-17.pdf#page=4","Abrir facsímil")</f>
        <v>Abrir facsímil</v>
      </c>
      <c r="K429" s="15" t="s">
        <v>23</v>
      </c>
    </row>
    <row r="430" spans="1:11" ht="42" customHeight="1">
      <c r="A430" s="4" t="s">
        <v>1128</v>
      </c>
      <c r="B430" s="5" t="s">
        <v>1129</v>
      </c>
      <c r="C430" s="5" t="s">
        <v>75</v>
      </c>
      <c r="D430" s="5" t="s">
        <v>76</v>
      </c>
      <c r="E430" s="5" t="s">
        <v>378</v>
      </c>
      <c r="F430" s="9">
        <v>23</v>
      </c>
      <c r="G430" s="9">
        <v>299</v>
      </c>
      <c r="H430" s="5" t="s">
        <v>21</v>
      </c>
      <c r="I430" s="5" t="s">
        <v>1130</v>
      </c>
      <c r="J430" s="12" t="str">
        <f>HYPERLINK("https://www.boe.es/gazeta/dias/1801/03/20/pdfs/GMD-1801-23.pdf#page=2","Abrir facsímil")</f>
        <v>Abrir facsímil</v>
      </c>
      <c r="K430" s="15" t="s">
        <v>23</v>
      </c>
    </row>
    <row r="431" spans="1:11" ht="42" customHeight="1">
      <c r="A431" s="4" t="s">
        <v>1131</v>
      </c>
      <c r="B431" s="5" t="s">
        <v>1132</v>
      </c>
      <c r="C431" s="5" t="s">
        <v>32</v>
      </c>
      <c r="D431" s="5" t="s">
        <v>33</v>
      </c>
      <c r="E431" s="5" t="s">
        <v>1058</v>
      </c>
      <c r="F431" s="9">
        <v>108</v>
      </c>
      <c r="G431" s="9">
        <v>1191</v>
      </c>
      <c r="H431" s="5" t="s">
        <v>21</v>
      </c>
      <c r="I431" s="5" t="s">
        <v>1133</v>
      </c>
      <c r="J431" s="12" t="str">
        <f>HYPERLINK("https://www.boe.es/gazeta/dias/1801/11/20/pdfs/GMD-1801-108.pdf#page=8","Abrir facsímil")</f>
        <v>Abrir facsímil</v>
      </c>
      <c r="K431" s="15" t="s">
        <v>23</v>
      </c>
    </row>
    <row r="432" spans="1:11" ht="42" customHeight="1">
      <c r="A432" s="4" t="s">
        <v>1134</v>
      </c>
      <c r="B432" s="5" t="s">
        <v>1135</v>
      </c>
      <c r="C432" s="5" t="s">
        <v>69</v>
      </c>
      <c r="D432" s="5" t="s">
        <v>19</v>
      </c>
      <c r="E432" s="5" t="s">
        <v>262</v>
      </c>
      <c r="F432" s="9">
        <v>109</v>
      </c>
      <c r="G432" s="9">
        <v>1204</v>
      </c>
      <c r="H432" s="5" t="s">
        <v>21</v>
      </c>
      <c r="I432" s="5" t="s">
        <v>1136</v>
      </c>
      <c r="J432" s="12" t="str">
        <f>HYPERLINK("https://www.boe.es/gazeta/dias/1801/11/24/pdfs/GMD-1801-109.pdf#page=9","Abrir facsímil")</f>
        <v>Abrir facsímil</v>
      </c>
      <c r="K432" s="15" t="s">
        <v>23</v>
      </c>
    </row>
    <row r="433" spans="1:11" ht="42" customHeight="1">
      <c r="A433" s="4" t="s">
        <v>1137</v>
      </c>
      <c r="B433" s="5" t="s">
        <v>1138</v>
      </c>
      <c r="C433" s="5" t="s">
        <v>69</v>
      </c>
      <c r="D433" s="5" t="s">
        <v>19</v>
      </c>
      <c r="E433" s="5" t="s">
        <v>112</v>
      </c>
      <c r="F433" s="9">
        <v>114</v>
      </c>
      <c r="G433" s="9">
        <v>1248</v>
      </c>
      <c r="H433" s="5" t="s">
        <v>21</v>
      </c>
      <c r="I433" s="5" t="s">
        <v>1139</v>
      </c>
      <c r="J433" s="12" t="str">
        <f>HYPERLINK("https://www.boe.es/gazeta/dias/1801/12/11/pdfs/GMD-1801-114.pdf#page=10","Abrir facsímil")</f>
        <v>Abrir facsímil</v>
      </c>
      <c r="K433" s="15" t="s">
        <v>23</v>
      </c>
    </row>
    <row r="434" spans="1:11" ht="42" customHeight="1">
      <c r="A434" s="4" t="s">
        <v>1140</v>
      </c>
      <c r="B434" s="5" t="s">
        <v>1141</v>
      </c>
      <c r="C434" s="5" t="s">
        <v>32</v>
      </c>
      <c r="D434" s="5" t="s">
        <v>33</v>
      </c>
      <c r="E434" s="5" t="s">
        <v>48</v>
      </c>
      <c r="F434" s="9">
        <v>20</v>
      </c>
      <c r="G434" s="9">
        <v>265</v>
      </c>
      <c r="H434" s="5" t="s">
        <v>21</v>
      </c>
      <c r="I434" s="5" t="s">
        <v>1142</v>
      </c>
      <c r="J434" s="12" t="str">
        <f>HYPERLINK("https://www.boe.es/gazeta/dias/1801/03/10/pdfs/GMD-1801-20.pdf#page=10","Abrir facsímil")</f>
        <v>Abrir facsímil</v>
      </c>
      <c r="K434" s="15" t="s">
        <v>23</v>
      </c>
    </row>
    <row r="435" spans="1:11" ht="42" customHeight="1">
      <c r="A435" s="4" t="s">
        <v>1140</v>
      </c>
      <c r="B435" s="5" t="s">
        <v>1141</v>
      </c>
      <c r="C435" s="5" t="s">
        <v>32</v>
      </c>
      <c r="D435" s="5" t="s">
        <v>33</v>
      </c>
      <c r="E435" s="5" t="s">
        <v>151</v>
      </c>
      <c r="F435" s="9">
        <v>45</v>
      </c>
      <c r="G435" s="9">
        <v>561</v>
      </c>
      <c r="H435" s="5" t="s">
        <v>21</v>
      </c>
      <c r="I435" s="5" t="s">
        <v>1143</v>
      </c>
      <c r="J435" s="12" t="str">
        <f>HYPERLINK("https://www.boe.es/gazeta/dias/1801/06/02/pdfs/GMD-1801-45.pdf#page=9","Abrir facsímil")</f>
        <v>Abrir facsímil</v>
      </c>
      <c r="K435" s="15" t="s">
        <v>23</v>
      </c>
    </row>
    <row r="436" spans="1:11" ht="42" customHeight="1">
      <c r="A436" s="4" t="s">
        <v>1144</v>
      </c>
      <c r="B436" s="5" t="s">
        <v>1145</v>
      </c>
      <c r="C436" s="5" t="s">
        <v>38</v>
      </c>
      <c r="D436" s="5" t="s">
        <v>39</v>
      </c>
      <c r="E436" s="5" t="s">
        <v>90</v>
      </c>
      <c r="F436" s="9">
        <v>1</v>
      </c>
      <c r="G436" s="9">
        <v>9</v>
      </c>
      <c r="H436" s="5" t="s">
        <v>21</v>
      </c>
      <c r="I436" s="5" t="s">
        <v>1146</v>
      </c>
      <c r="J436" s="12" t="str">
        <f>HYPERLINK("https://www.boe.es/gazeta/dias/1801/01/02/pdfs/GMD-1801-1.pdf#page=9","Abrir facsímil")</f>
        <v>Abrir facsímil</v>
      </c>
      <c r="K436" s="15" t="s">
        <v>23</v>
      </c>
    </row>
    <row r="437" spans="1:11" ht="42" customHeight="1">
      <c r="A437" s="4" t="s">
        <v>1147</v>
      </c>
      <c r="B437" s="5" t="s">
        <v>1148</v>
      </c>
      <c r="C437" s="5" t="s">
        <v>32</v>
      </c>
      <c r="D437" s="5" t="s">
        <v>33</v>
      </c>
      <c r="E437" s="5" t="s">
        <v>131</v>
      </c>
      <c r="F437" s="9">
        <v>22</v>
      </c>
      <c r="G437" s="9">
        <v>290</v>
      </c>
      <c r="H437" s="5" t="s">
        <v>21</v>
      </c>
      <c r="I437" s="5" t="s">
        <v>1149</v>
      </c>
      <c r="J437" s="12" t="str">
        <f>HYPERLINK("https://www.boe.es/gazeta/dias/1801/03/17/pdfs/GMD-1801-22.pdf#page=7","Abrir facsímil")</f>
        <v>Abrir facsímil</v>
      </c>
      <c r="K437" s="15" t="s">
        <v>23</v>
      </c>
    </row>
    <row r="438" spans="1:11" ht="42" customHeight="1">
      <c r="A438" s="4" t="s">
        <v>1147</v>
      </c>
      <c r="B438" s="5" t="s">
        <v>1148</v>
      </c>
      <c r="C438" s="5" t="s">
        <v>32</v>
      </c>
      <c r="D438" s="5" t="s">
        <v>33</v>
      </c>
      <c r="E438" s="5" t="s">
        <v>171</v>
      </c>
      <c r="F438" s="9">
        <v>76</v>
      </c>
      <c r="G438" s="9">
        <v>853</v>
      </c>
      <c r="H438" s="5" t="s">
        <v>21</v>
      </c>
      <c r="I438" s="5" t="s">
        <v>1150</v>
      </c>
      <c r="J438" s="12" t="str">
        <f>HYPERLINK("https://www.boe.es/gazeta/dias/1801/08/07/pdfs/GMD-1801-76.pdf#page=10","Abrir facsímil")</f>
        <v>Abrir facsímil</v>
      </c>
      <c r="K438" s="15" t="s">
        <v>23</v>
      </c>
    </row>
    <row r="439" spans="1:11" ht="42" customHeight="1">
      <c r="A439" s="4" t="s">
        <v>1151</v>
      </c>
      <c r="B439" s="5" t="s">
        <v>1152</v>
      </c>
      <c r="C439" s="5" t="s">
        <v>32</v>
      </c>
      <c r="D439" s="5" t="s">
        <v>33</v>
      </c>
      <c r="E439" s="5" t="s">
        <v>145</v>
      </c>
      <c r="F439" s="9">
        <v>36</v>
      </c>
      <c r="G439" s="9">
        <v>468</v>
      </c>
      <c r="H439" s="5" t="s">
        <v>21</v>
      </c>
      <c r="I439" s="5" t="s">
        <v>1153</v>
      </c>
      <c r="J439" s="12" t="str">
        <f>HYPERLINK("https://www.boe.es/gazeta/dias/1801/05/05/pdfs/GMD-1801-36.pdf#page=12","Abrir facsímil")</f>
        <v>Abrir facsímil</v>
      </c>
      <c r="K439" s="15" t="s">
        <v>23</v>
      </c>
    </row>
    <row r="440" spans="1:11" ht="42" customHeight="1">
      <c r="A440" s="4" t="s">
        <v>1154</v>
      </c>
      <c r="B440" s="5" t="s">
        <v>1155</v>
      </c>
      <c r="C440" s="5" t="s">
        <v>32</v>
      </c>
      <c r="D440" s="5" t="s">
        <v>33</v>
      </c>
      <c r="E440" s="5" t="s">
        <v>292</v>
      </c>
      <c r="F440" s="9">
        <v>25</v>
      </c>
      <c r="G440" s="9">
        <v>332</v>
      </c>
      <c r="H440" s="5" t="s">
        <v>21</v>
      </c>
      <c r="I440" s="5" t="s">
        <v>1156</v>
      </c>
      <c r="J440" s="12" t="str">
        <f>HYPERLINK("https://www.boe.es/gazeta/dias/1801/03/27/pdfs/GMD-1801-25.pdf#page=11","Abrir facsímil")</f>
        <v>Abrir facsímil</v>
      </c>
      <c r="K440" s="15" t="s">
        <v>23</v>
      </c>
    </row>
    <row r="441" spans="1:11" ht="42" customHeight="1">
      <c r="A441" s="4" t="s">
        <v>1157</v>
      </c>
      <c r="B441" s="5" t="s">
        <v>1158</v>
      </c>
      <c r="C441" s="5" t="s">
        <v>80</v>
      </c>
      <c r="D441" s="5" t="s">
        <v>81</v>
      </c>
      <c r="E441" s="5" t="s">
        <v>82</v>
      </c>
      <c r="F441" s="9">
        <v>75</v>
      </c>
      <c r="G441" s="9" t="s">
        <v>305</v>
      </c>
      <c r="H441" s="5" t="s">
        <v>21</v>
      </c>
      <c r="I441" s="5" t="s">
        <v>1159</v>
      </c>
      <c r="J441" s="12" t="str">
        <f>HYPERLINK("https://www.boe.es/gazeta/dias/1801/08/04/pdfs/GMD-C-1801-75.pdf#page=4","Abrir facsímil")</f>
        <v>Abrir facsímil</v>
      </c>
      <c r="K441" s="15" t="s">
        <v>23</v>
      </c>
    </row>
    <row r="442" spans="1:11" ht="42" customHeight="1">
      <c r="A442" s="4" t="s">
        <v>1160</v>
      </c>
      <c r="B442" s="5" t="s">
        <v>1160</v>
      </c>
      <c r="C442" s="5" t="s">
        <v>32</v>
      </c>
      <c r="D442" s="5" t="s">
        <v>33</v>
      </c>
      <c r="E442" s="5" t="s">
        <v>179</v>
      </c>
      <c r="F442" s="9">
        <v>11</v>
      </c>
      <c r="G442" s="9">
        <v>137</v>
      </c>
      <c r="H442" s="5" t="s">
        <v>21</v>
      </c>
      <c r="I442" s="5" t="s">
        <v>1161</v>
      </c>
      <c r="J442" s="12" t="str">
        <f>HYPERLINK("https://www.boe.es/gazeta/dias/1801/02/06/pdfs/GMD-1801-11.pdf#page=10","Abrir facsímil")</f>
        <v>Abrir facsímil</v>
      </c>
      <c r="K442" s="15" t="s">
        <v>23</v>
      </c>
    </row>
    <row r="443" spans="1:11" ht="42" customHeight="1">
      <c r="A443" s="4" t="s">
        <v>1162</v>
      </c>
      <c r="B443" s="5" t="s">
        <v>1163</v>
      </c>
      <c r="C443" s="5" t="s">
        <v>32</v>
      </c>
      <c r="D443" s="5" t="s">
        <v>33</v>
      </c>
      <c r="E443" s="5" t="s">
        <v>275</v>
      </c>
      <c r="F443" s="9">
        <v>9</v>
      </c>
      <c r="G443" s="9">
        <v>113</v>
      </c>
      <c r="H443" s="5" t="s">
        <v>21</v>
      </c>
      <c r="I443" s="5" t="s">
        <v>1164</v>
      </c>
      <c r="J443" s="12" t="str">
        <f>HYPERLINK("https://www.boe.es/gazeta/dias/1801/01/30/pdfs/GMD-1801-9.pdf#page=10","Abrir facsímil")</f>
        <v>Abrir facsímil</v>
      </c>
      <c r="K443" s="15" t="s">
        <v>23</v>
      </c>
    </row>
    <row r="444" spans="1:11" ht="42" customHeight="1">
      <c r="A444" s="4" t="s">
        <v>1165</v>
      </c>
      <c r="B444" s="5" t="s">
        <v>1166</v>
      </c>
      <c r="C444" s="5" t="s">
        <v>80</v>
      </c>
      <c r="D444" s="5" t="s">
        <v>81</v>
      </c>
      <c r="E444" s="5" t="s">
        <v>82</v>
      </c>
      <c r="F444" s="9">
        <v>75</v>
      </c>
      <c r="G444" s="9" t="s">
        <v>517</v>
      </c>
      <c r="H444" s="5" t="s">
        <v>21</v>
      </c>
      <c r="I444" s="5" t="s">
        <v>1167</v>
      </c>
      <c r="J444" s="12" t="str">
        <f>HYPERLINK("https://www.boe.es/gazeta/dias/1801/08/04/pdfs/GMD-C-1801-75.pdf#page=7","Abrir facsímil")</f>
        <v>Abrir facsímil</v>
      </c>
      <c r="K444" s="15" t="s">
        <v>23</v>
      </c>
    </row>
    <row r="445" spans="1:11" ht="42" customHeight="1">
      <c r="A445" s="4" t="s">
        <v>1168</v>
      </c>
      <c r="B445" s="5" t="s">
        <v>1169</v>
      </c>
      <c r="C445" s="5" t="s">
        <v>69</v>
      </c>
      <c r="D445" s="5" t="s">
        <v>19</v>
      </c>
      <c r="E445" s="5" t="s">
        <v>501</v>
      </c>
      <c r="F445" s="9">
        <v>115</v>
      </c>
      <c r="G445" s="9">
        <v>1256</v>
      </c>
      <c r="H445" s="5" t="s">
        <v>21</v>
      </c>
      <c r="I445" s="5" t="s">
        <v>1170</v>
      </c>
      <c r="J445" s="12" t="str">
        <f>HYPERLINK("https://www.boe.es/gazeta/dias/1801/12/15/pdfs/GMD-1801-115.pdf#page=6","Abrir facsímil")</f>
        <v>Abrir facsímil</v>
      </c>
      <c r="K445" s="15" t="s">
        <v>23</v>
      </c>
    </row>
    <row r="446" spans="1:11" ht="42" customHeight="1">
      <c r="A446" s="4" t="s">
        <v>1171</v>
      </c>
      <c r="B446" s="5" t="s">
        <v>1172</v>
      </c>
      <c r="C446" s="5" t="s">
        <v>32</v>
      </c>
      <c r="D446" s="5" t="s">
        <v>33</v>
      </c>
      <c r="E446" s="5" t="s">
        <v>34</v>
      </c>
      <c r="F446" s="9">
        <v>38</v>
      </c>
      <c r="G446" s="9">
        <v>494</v>
      </c>
      <c r="H446" s="5" t="s">
        <v>21</v>
      </c>
      <c r="I446" s="5" t="s">
        <v>1173</v>
      </c>
      <c r="J446" s="12" t="str">
        <f>HYPERLINK("https://www.boe.es/gazeta/dias/1801/05/12/pdfs/GMD-1801-38.pdf#page=10","Abrir facsímil")</f>
        <v>Abrir facsímil</v>
      </c>
      <c r="K446" s="15" t="s">
        <v>23</v>
      </c>
    </row>
    <row r="447" spans="1:11" ht="42" customHeight="1">
      <c r="A447" s="4" t="s">
        <v>1174</v>
      </c>
      <c r="B447" s="5" t="s">
        <v>1175</v>
      </c>
      <c r="C447" s="5" t="s">
        <v>75</v>
      </c>
      <c r="D447" s="5" t="s">
        <v>76</v>
      </c>
      <c r="E447" s="5" t="s">
        <v>90</v>
      </c>
      <c r="F447" s="9">
        <v>1</v>
      </c>
      <c r="G447" s="9">
        <v>6</v>
      </c>
      <c r="H447" s="5" t="s">
        <v>21</v>
      </c>
      <c r="I447" s="5" t="s">
        <v>1176</v>
      </c>
      <c r="J447" s="12" t="str">
        <f>HYPERLINK("https://www.boe.es/gazeta/dias/1801/01/02/pdfs/GMD-1801-1.pdf#page=6","Abrir facsímil")</f>
        <v>Abrir facsímil</v>
      </c>
      <c r="K447" s="15" t="s">
        <v>23</v>
      </c>
    </row>
    <row r="448" spans="1:11" ht="42" customHeight="1">
      <c r="A448" s="4" t="s">
        <v>1177</v>
      </c>
      <c r="B448" s="5" t="s">
        <v>1178</v>
      </c>
      <c r="C448" s="5" t="s">
        <v>32</v>
      </c>
      <c r="D448" s="5" t="s">
        <v>33</v>
      </c>
      <c r="E448" s="5" t="s">
        <v>145</v>
      </c>
      <c r="F448" s="9">
        <v>36</v>
      </c>
      <c r="G448" s="9">
        <v>468</v>
      </c>
      <c r="H448" s="5" t="s">
        <v>21</v>
      </c>
      <c r="I448" s="5" t="s">
        <v>1179</v>
      </c>
      <c r="J448" s="12" t="str">
        <f>HYPERLINK("https://www.boe.es/gazeta/dias/1801/05/05/pdfs/GMD-1801-36.pdf#page=12","Abrir facsímil")</f>
        <v>Abrir facsímil</v>
      </c>
      <c r="K448" s="15" t="s">
        <v>23</v>
      </c>
    </row>
    <row r="449" spans="1:11" ht="42" customHeight="1">
      <c r="A449" s="4" t="s">
        <v>1180</v>
      </c>
      <c r="B449" s="5" t="s">
        <v>1181</v>
      </c>
      <c r="C449" s="5" t="s">
        <v>32</v>
      </c>
      <c r="D449" s="5" t="s">
        <v>33</v>
      </c>
      <c r="E449" s="5" t="s">
        <v>448</v>
      </c>
      <c r="F449" s="9">
        <v>35</v>
      </c>
      <c r="G449" s="9">
        <v>447</v>
      </c>
      <c r="H449" s="5" t="s">
        <v>21</v>
      </c>
      <c r="I449" s="5" t="s">
        <v>1182</v>
      </c>
      <c r="J449" s="12" t="str">
        <f>HYPERLINK("https://www.boe.es/gazeta/dias/1801/05/01/pdfs/GMD-1801-35.pdf#page=3","Abrir facsímil")</f>
        <v>Abrir facsímil</v>
      </c>
      <c r="K449" s="15" t="s">
        <v>23</v>
      </c>
    </row>
    <row r="450" spans="1:11" ht="42" customHeight="1">
      <c r="A450" s="4" t="s">
        <v>1183</v>
      </c>
      <c r="B450" s="5" t="s">
        <v>1183</v>
      </c>
      <c r="C450" s="5" t="s">
        <v>26</v>
      </c>
      <c r="D450" s="5" t="s">
        <v>27</v>
      </c>
      <c r="E450" s="5" t="s">
        <v>161</v>
      </c>
      <c r="F450" s="9">
        <v>58</v>
      </c>
      <c r="G450" s="9">
        <v>667</v>
      </c>
      <c r="H450" s="5" t="s">
        <v>21</v>
      </c>
      <c r="I450" s="5" t="s">
        <v>1184</v>
      </c>
      <c r="J450" s="12" t="str">
        <f>HYPERLINK("https://www.boe.es/gazeta/dias/1801/06/19/pdfs/GMD-1801-58.pdf#page=12","Abrir facsímil")</f>
        <v>Abrir facsímil</v>
      </c>
      <c r="K450" s="15" t="s">
        <v>23</v>
      </c>
    </row>
    <row r="451" spans="1:11" ht="42" customHeight="1">
      <c r="A451" s="4" t="s">
        <v>1185</v>
      </c>
      <c r="B451" s="5" t="s">
        <v>1186</v>
      </c>
      <c r="C451" s="5" t="s">
        <v>75</v>
      </c>
      <c r="D451" s="5" t="s">
        <v>76</v>
      </c>
      <c r="E451" s="5" t="s">
        <v>223</v>
      </c>
      <c r="F451" s="9">
        <v>74</v>
      </c>
      <c r="G451" s="9">
        <v>821</v>
      </c>
      <c r="H451" s="5" t="s">
        <v>21</v>
      </c>
      <c r="I451" s="5" t="s">
        <v>1187</v>
      </c>
      <c r="J451" s="12" t="str">
        <f>HYPERLINK("https://www.boe.es/gazeta/dias/1801/07/31/pdfs/GMD-1801-74.pdf#page=2","Abrir facsímil")</f>
        <v>Abrir facsímil</v>
      </c>
      <c r="K451" s="15" t="s">
        <v>23</v>
      </c>
    </row>
    <row r="452" spans="1:11" ht="42" customHeight="1">
      <c r="A452" s="4" t="s">
        <v>1188</v>
      </c>
      <c r="B452" s="5" t="s">
        <v>1189</v>
      </c>
      <c r="C452" s="5" t="s">
        <v>32</v>
      </c>
      <c r="D452" s="5" t="s">
        <v>33</v>
      </c>
      <c r="E452" s="5" t="s">
        <v>20</v>
      </c>
      <c r="F452" s="9">
        <v>37</v>
      </c>
      <c r="G452" s="9">
        <v>480</v>
      </c>
      <c r="H452" s="5" t="s">
        <v>21</v>
      </c>
      <c r="I452" s="5" t="s">
        <v>1190</v>
      </c>
      <c r="J452" s="12" t="str">
        <f>HYPERLINK("https://www.boe.es/gazeta/dias/1801/05/08/pdfs/GMD-1801-37.pdf#page=8","Abrir facsímil")</f>
        <v>Abrir facsímil</v>
      </c>
      <c r="K452" s="15" t="s">
        <v>23</v>
      </c>
    </row>
    <row r="453" spans="1:11" ht="42" customHeight="1">
      <c r="A453" s="4" t="s">
        <v>1188</v>
      </c>
      <c r="B453" s="5" t="s">
        <v>1189</v>
      </c>
      <c r="C453" s="5" t="s">
        <v>38</v>
      </c>
      <c r="D453" s="5" t="s">
        <v>39</v>
      </c>
      <c r="E453" s="5" t="s">
        <v>171</v>
      </c>
      <c r="F453" s="9">
        <v>76</v>
      </c>
      <c r="G453" s="9">
        <v>850</v>
      </c>
      <c r="H453" s="5" t="s">
        <v>21</v>
      </c>
      <c r="I453" s="5" t="s">
        <v>1191</v>
      </c>
      <c r="J453" s="12" t="str">
        <f>HYPERLINK("https://www.boe.es/gazeta/dias/1801/08/07/pdfs/GMD-1801-76.pdf#page=7","Abrir facsímil")</f>
        <v>Abrir facsímil</v>
      </c>
      <c r="K453" s="15" t="s">
        <v>23</v>
      </c>
    </row>
    <row r="454" spans="1:11" ht="42" customHeight="1">
      <c r="A454" s="4" t="s">
        <v>1188</v>
      </c>
      <c r="B454" s="5" t="s">
        <v>1189</v>
      </c>
      <c r="C454" s="5" t="s">
        <v>18</v>
      </c>
      <c r="D454" s="5" t="s">
        <v>19</v>
      </c>
      <c r="E454" s="5" t="s">
        <v>28</v>
      </c>
      <c r="F454" s="9">
        <v>77</v>
      </c>
      <c r="G454" s="9">
        <v>862</v>
      </c>
      <c r="H454" s="5" t="s">
        <v>21</v>
      </c>
      <c r="I454" s="5" t="s">
        <v>1192</v>
      </c>
      <c r="J454" s="12" t="str">
        <f>HYPERLINK("https://www.boe.es/gazeta/dias/1801/08/11/pdfs/GMD-1801-77.pdf#page=7","Abrir facsímil")</f>
        <v>Abrir facsímil</v>
      </c>
      <c r="K454" s="15" t="s">
        <v>23</v>
      </c>
    </row>
    <row r="455" spans="1:11" ht="42" customHeight="1">
      <c r="A455" s="4" t="s">
        <v>1188</v>
      </c>
      <c r="B455" s="5" t="s">
        <v>1189</v>
      </c>
      <c r="C455" s="5" t="s">
        <v>32</v>
      </c>
      <c r="D455" s="5" t="s">
        <v>33</v>
      </c>
      <c r="E455" s="5" t="s">
        <v>258</v>
      </c>
      <c r="F455" s="9">
        <v>96</v>
      </c>
      <c r="G455" s="9">
        <v>1052</v>
      </c>
      <c r="H455" s="5" t="s">
        <v>21</v>
      </c>
      <c r="I455" s="5" t="s">
        <v>1193</v>
      </c>
      <c r="J455" s="12" t="str">
        <f>HYPERLINK("https://www.boe.es/gazeta/dias/1801/10/09/pdfs/GMD-1801-96.pdf#page=8","Abrir facsímil")</f>
        <v>Abrir facsímil</v>
      </c>
      <c r="K455" s="15" t="s">
        <v>23</v>
      </c>
    </row>
    <row r="456" spans="1:11" ht="42" customHeight="1">
      <c r="A456" s="4" t="s">
        <v>1194</v>
      </c>
      <c r="B456" s="5" t="s">
        <v>1195</v>
      </c>
      <c r="C456" s="5" t="s">
        <v>38</v>
      </c>
      <c r="D456" s="5" t="s">
        <v>39</v>
      </c>
      <c r="E456" s="5" t="s">
        <v>480</v>
      </c>
      <c r="F456" s="9">
        <v>10</v>
      </c>
      <c r="G456" s="9">
        <v>127</v>
      </c>
      <c r="H456" s="5" t="s">
        <v>21</v>
      </c>
      <c r="I456" s="5" t="s">
        <v>1196</v>
      </c>
      <c r="J456" s="12" t="str">
        <f>HYPERLINK("https://www.boe.es/gazeta/dias/1801/02/03/pdfs/GMD-1801-10.pdf#page=12","Abrir facsímil")</f>
        <v>Abrir facsímil</v>
      </c>
      <c r="K456" s="15" t="s">
        <v>23</v>
      </c>
    </row>
    <row r="457" spans="1:11" ht="42" customHeight="1">
      <c r="A457" s="4" t="s">
        <v>1197</v>
      </c>
      <c r="B457" s="5" t="s">
        <v>1198</v>
      </c>
      <c r="C457" s="5" t="s">
        <v>38</v>
      </c>
      <c r="D457" s="5" t="s">
        <v>39</v>
      </c>
      <c r="E457" s="5" t="s">
        <v>82</v>
      </c>
      <c r="F457" s="9">
        <v>75</v>
      </c>
      <c r="G457" s="9">
        <v>834</v>
      </c>
      <c r="H457" s="5" t="s">
        <v>21</v>
      </c>
      <c r="I457" s="5" t="s">
        <v>1199</v>
      </c>
      <c r="J457" s="12" t="str">
        <f>HYPERLINK("https://www.boe.es/gazeta/dias/1801/08/04/pdfs/GMD-1801-75.pdf#page=3","Abrir facsímil")</f>
        <v>Abrir facsímil</v>
      </c>
      <c r="K457" s="15" t="s">
        <v>23</v>
      </c>
    </row>
    <row r="458" spans="1:11" ht="42" customHeight="1">
      <c r="A458" s="4" t="s">
        <v>1200</v>
      </c>
      <c r="B458" s="5" t="s">
        <v>1200</v>
      </c>
      <c r="C458" s="5" t="s">
        <v>75</v>
      </c>
      <c r="D458" s="5" t="s">
        <v>76</v>
      </c>
      <c r="E458" s="5" t="s">
        <v>90</v>
      </c>
      <c r="F458" s="9">
        <v>1</v>
      </c>
      <c r="G458" s="9">
        <v>1</v>
      </c>
      <c r="H458" s="5" t="s">
        <v>21</v>
      </c>
      <c r="I458" s="5" t="s">
        <v>1201</v>
      </c>
      <c r="J458" s="12" t="str">
        <f>HYPERLINK("https://www.boe.es/gazeta/dias/1801/01/02/pdfs/GMD-1801-1.pdf#page=1","Abrir facsímil")</f>
        <v>Abrir facsímil</v>
      </c>
      <c r="K458" s="15" t="s">
        <v>23</v>
      </c>
    </row>
    <row r="459" spans="1:11" ht="42" customHeight="1">
      <c r="A459" s="4" t="s">
        <v>1202</v>
      </c>
      <c r="B459" s="5" t="s">
        <v>1203</v>
      </c>
      <c r="C459" s="5" t="s">
        <v>26</v>
      </c>
      <c r="D459" s="5" t="s">
        <v>27</v>
      </c>
      <c r="E459" s="5" t="s">
        <v>501</v>
      </c>
      <c r="F459" s="9">
        <v>115</v>
      </c>
      <c r="G459" s="9" t="s">
        <v>502</v>
      </c>
      <c r="H459" s="5" t="s">
        <v>21</v>
      </c>
      <c r="I459" s="5" t="s">
        <v>1204</v>
      </c>
      <c r="J459" s="12" t="str">
        <f>HYPERLINK("https://www.boe.es/gazeta/dias/1801/12/15/pdfs/GMD-C-1801-115.pdf#page=8","Abrir facsímil")</f>
        <v>Abrir facsímil</v>
      </c>
      <c r="K459" s="15" t="s">
        <v>23</v>
      </c>
    </row>
    <row r="460" spans="1:11" ht="42" customHeight="1">
      <c r="A460" s="4" t="s">
        <v>1205</v>
      </c>
      <c r="B460" s="5" t="s">
        <v>1206</v>
      </c>
      <c r="C460" s="5" t="s">
        <v>32</v>
      </c>
      <c r="D460" s="5" t="s">
        <v>33</v>
      </c>
      <c r="E460" s="5" t="s">
        <v>44</v>
      </c>
      <c r="F460" s="9">
        <v>117</v>
      </c>
      <c r="G460" s="9">
        <v>1282</v>
      </c>
      <c r="H460" s="5" t="s">
        <v>21</v>
      </c>
      <c r="I460" s="5" t="s">
        <v>1207</v>
      </c>
      <c r="J460" s="12" t="str">
        <f>HYPERLINK("https://www.boe.es/gazeta/dias/1801/12/22/pdfs/GMD-1801-117.pdf#page=9","Abrir facsímil")</f>
        <v>Abrir facsímil</v>
      </c>
      <c r="K460" s="15" t="s">
        <v>23</v>
      </c>
    </row>
    <row r="461" spans="1:11" ht="42" customHeight="1">
      <c r="A461" s="4" t="s">
        <v>1208</v>
      </c>
      <c r="B461" s="5" t="s">
        <v>1209</v>
      </c>
      <c r="C461" s="5" t="s">
        <v>32</v>
      </c>
      <c r="D461" s="5" t="s">
        <v>33</v>
      </c>
      <c r="E461" s="5" t="s">
        <v>781</v>
      </c>
      <c r="F461" s="9">
        <v>14</v>
      </c>
      <c r="G461" s="9">
        <v>174</v>
      </c>
      <c r="H461" s="5" t="s">
        <v>21</v>
      </c>
      <c r="I461" s="5" t="s">
        <v>1210</v>
      </c>
      <c r="J461" s="12" t="str">
        <f>HYPERLINK("https://www.boe.es/gazeta/dias/1801/02/17/pdfs/GMD-1801-14.pdf#page=9","Abrir facsímil")</f>
        <v>Abrir facsímil</v>
      </c>
      <c r="K461" s="15" t="s">
        <v>23</v>
      </c>
    </row>
    <row r="462" spans="1:11" ht="42" customHeight="1">
      <c r="A462" s="4" t="s">
        <v>1211</v>
      </c>
      <c r="B462" s="5" t="s">
        <v>1212</v>
      </c>
      <c r="C462" s="5" t="s">
        <v>38</v>
      </c>
      <c r="D462" s="5" t="s">
        <v>39</v>
      </c>
      <c r="E462" s="5" t="s">
        <v>72</v>
      </c>
      <c r="F462" s="9">
        <v>60</v>
      </c>
      <c r="G462" s="9">
        <v>683</v>
      </c>
      <c r="H462" s="5" t="s">
        <v>21</v>
      </c>
      <c r="I462" s="5" t="s">
        <v>1213</v>
      </c>
      <c r="J462" s="12" t="str">
        <f>HYPERLINK("https://www.boe.es/gazeta/dias/1801/06/26/pdfs/GMD-1801-60.pdf#page=4","Abrir facsímil")</f>
        <v>Abrir facsímil</v>
      </c>
      <c r="K462" s="15" t="s">
        <v>23</v>
      </c>
    </row>
    <row r="463" spans="1:11" ht="42" customHeight="1">
      <c r="A463" s="4" t="s">
        <v>1214</v>
      </c>
      <c r="B463" s="5" t="s">
        <v>1215</v>
      </c>
      <c r="C463" s="5" t="s">
        <v>18</v>
      </c>
      <c r="D463" s="5" t="s">
        <v>19</v>
      </c>
      <c r="E463" s="5" t="s">
        <v>62</v>
      </c>
      <c r="F463" s="9">
        <v>6</v>
      </c>
      <c r="G463" s="9">
        <v>75</v>
      </c>
      <c r="H463" s="5" t="s">
        <v>21</v>
      </c>
      <c r="I463" s="5" t="s">
        <v>1216</v>
      </c>
      <c r="J463" s="12" t="str">
        <f>HYPERLINK("https://www.boe.es/gazeta/dias/1801/01/20/pdfs/GMD-1801-6.pdf#page=11","Abrir facsímil")</f>
        <v>Abrir facsímil</v>
      </c>
      <c r="K463" s="15" t="s">
        <v>23</v>
      </c>
    </row>
    <row r="464" spans="1:11" ht="42" customHeight="1">
      <c r="A464" s="4" t="s">
        <v>1214</v>
      </c>
      <c r="B464" s="5" t="s">
        <v>1215</v>
      </c>
      <c r="C464" s="5" t="s">
        <v>18</v>
      </c>
      <c r="D464" s="5" t="s">
        <v>19</v>
      </c>
      <c r="E464" s="5" t="s">
        <v>615</v>
      </c>
      <c r="F464" s="9">
        <v>72</v>
      </c>
      <c r="G464" s="9">
        <v>806</v>
      </c>
      <c r="H464" s="5" t="s">
        <v>21</v>
      </c>
      <c r="I464" s="5" t="s">
        <v>1217</v>
      </c>
      <c r="J464" s="12" t="str">
        <f>HYPERLINK("https://www.boe.es/gazeta/dias/1801/07/24/pdfs/GMD-1801-72.pdf#page=11","Abrir facsímil")</f>
        <v>Abrir facsímil</v>
      </c>
      <c r="K464" s="15" t="s">
        <v>23</v>
      </c>
    </row>
    <row r="465" spans="1:11" ht="42" customHeight="1">
      <c r="A465" s="4" t="s">
        <v>1218</v>
      </c>
      <c r="B465" s="5" t="s">
        <v>1219</v>
      </c>
      <c r="C465" s="5" t="s">
        <v>32</v>
      </c>
      <c r="D465" s="5" t="s">
        <v>33</v>
      </c>
      <c r="E465" s="5" t="s">
        <v>313</v>
      </c>
      <c r="F465" s="9">
        <v>39</v>
      </c>
      <c r="G465" s="9">
        <v>506</v>
      </c>
      <c r="H465" s="5" t="s">
        <v>21</v>
      </c>
      <c r="I465" s="5" t="s">
        <v>1220</v>
      </c>
      <c r="J465" s="12" t="str">
        <f>HYPERLINK("https://www.boe.es/gazeta/dias/1801/05/15/pdfs/GMD-1801-39.pdf#page=10","Abrir facsímil")</f>
        <v>Abrir facsímil</v>
      </c>
      <c r="K465" s="15" t="s">
        <v>23</v>
      </c>
    </row>
    <row r="466" spans="1:11" ht="42" customHeight="1">
      <c r="A466" s="4" t="s">
        <v>1218</v>
      </c>
      <c r="B466" s="5" t="s">
        <v>1219</v>
      </c>
      <c r="C466" s="5" t="s">
        <v>32</v>
      </c>
      <c r="D466" s="5" t="s">
        <v>33</v>
      </c>
      <c r="E466" s="5" t="s">
        <v>417</v>
      </c>
      <c r="F466" s="9">
        <v>64</v>
      </c>
      <c r="G466" s="9">
        <v>729</v>
      </c>
      <c r="H466" s="5" t="s">
        <v>21</v>
      </c>
      <c r="I466" s="5" t="s">
        <v>1221</v>
      </c>
      <c r="J466" s="12" t="str">
        <f>HYPERLINK("https://www.boe.es/gazeta/dias/1801/07/07/pdfs/GMD-1801-64.pdf#page=10","Abrir facsímil")</f>
        <v>Abrir facsímil</v>
      </c>
      <c r="K466" s="15" t="s">
        <v>23</v>
      </c>
    </row>
    <row r="467" spans="1:11" ht="42" customHeight="1">
      <c r="A467" s="4" t="s">
        <v>1222</v>
      </c>
      <c r="B467" s="5" t="s">
        <v>1223</v>
      </c>
      <c r="C467" s="5" t="s">
        <v>69</v>
      </c>
      <c r="D467" s="5" t="s">
        <v>19</v>
      </c>
      <c r="E467" s="5" t="s">
        <v>309</v>
      </c>
      <c r="F467" s="9">
        <v>118</v>
      </c>
      <c r="G467" s="9">
        <v>1292</v>
      </c>
      <c r="H467" s="5" t="s">
        <v>21</v>
      </c>
      <c r="I467" s="5" t="s">
        <v>1224</v>
      </c>
      <c r="J467" s="12" t="str">
        <f>HYPERLINK("https://www.boe.es/gazeta/dias/1801/12/25/pdfs/GMD-1801-118.pdf#page=7","Abrir facsímil")</f>
        <v>Abrir facsímil</v>
      </c>
      <c r="K467" s="15" t="s">
        <v>23</v>
      </c>
    </row>
    <row r="468" spans="1:11" ht="42" customHeight="1">
      <c r="A468" s="4" t="s">
        <v>1225</v>
      </c>
      <c r="B468" s="5" t="s">
        <v>1226</v>
      </c>
      <c r="C468" s="5" t="s">
        <v>38</v>
      </c>
      <c r="D468" s="5" t="s">
        <v>39</v>
      </c>
      <c r="E468" s="5" t="s">
        <v>453</v>
      </c>
      <c r="F468" s="9">
        <v>100</v>
      </c>
      <c r="G468" s="9">
        <v>1095</v>
      </c>
      <c r="H468" s="5" t="s">
        <v>21</v>
      </c>
      <c r="I468" s="5" t="s">
        <v>1227</v>
      </c>
      <c r="J468" s="12" t="str">
        <f>HYPERLINK("https://www.boe.es/gazeta/dias/1801/10/23/pdfs/GMD-1801-100.pdf#page=4","Abrir facsímil")</f>
        <v>Abrir facsímil</v>
      </c>
      <c r="K468" s="15" t="s">
        <v>23</v>
      </c>
    </row>
    <row r="469" spans="1:11" ht="42" customHeight="1">
      <c r="A469" s="4" t="s">
        <v>1228</v>
      </c>
      <c r="B469" s="5" t="s">
        <v>1229</v>
      </c>
      <c r="C469" s="5" t="s">
        <v>75</v>
      </c>
      <c r="D469" s="5" t="s">
        <v>76</v>
      </c>
      <c r="E469" s="5" t="s">
        <v>1015</v>
      </c>
      <c r="F469" s="9">
        <v>15</v>
      </c>
      <c r="G469" s="9">
        <v>186</v>
      </c>
      <c r="H469" s="5" t="s">
        <v>21</v>
      </c>
      <c r="I469" s="5" t="s">
        <v>1230</v>
      </c>
      <c r="J469" s="12" t="str">
        <f>HYPERLINK("https://www.boe.es/gazeta/dias/1801/02/20/pdfs/GMD-1801-15.pdf#page=5","Abrir facsímil")</f>
        <v>Abrir facsímil</v>
      </c>
      <c r="K469" s="15" t="s">
        <v>23</v>
      </c>
    </row>
    <row r="470" spans="1:11" ht="42" customHeight="1">
      <c r="A470" s="4" t="s">
        <v>1231</v>
      </c>
      <c r="B470" s="5" t="s">
        <v>1232</v>
      </c>
      <c r="C470" s="5" t="s">
        <v>69</v>
      </c>
      <c r="D470" s="5" t="s">
        <v>19</v>
      </c>
      <c r="E470" s="5" t="s">
        <v>258</v>
      </c>
      <c r="F470" s="9">
        <v>96</v>
      </c>
      <c r="G470" s="9">
        <v>1056</v>
      </c>
      <c r="H470" s="5" t="s">
        <v>21</v>
      </c>
      <c r="I470" s="5" t="s">
        <v>1233</v>
      </c>
      <c r="J470" s="12" t="str">
        <f>HYPERLINK("https://www.boe.es/gazeta/dias/1801/10/09/pdfs/GMD-1801-96.pdf#page=12","Abrir facsímil")</f>
        <v>Abrir facsímil</v>
      </c>
      <c r="K470" s="15" t="s">
        <v>23</v>
      </c>
    </row>
    <row r="471" spans="1:11" ht="42" customHeight="1">
      <c r="A471" s="4" t="s">
        <v>1234</v>
      </c>
      <c r="B471" s="5" t="s">
        <v>1235</v>
      </c>
      <c r="C471" s="5" t="s">
        <v>38</v>
      </c>
      <c r="D471" s="5" t="s">
        <v>39</v>
      </c>
      <c r="E471" s="5" t="s">
        <v>258</v>
      </c>
      <c r="F471" s="9">
        <v>96</v>
      </c>
      <c r="G471" s="9">
        <v>1056</v>
      </c>
      <c r="H471" s="5" t="s">
        <v>21</v>
      </c>
      <c r="I471" s="5" t="s">
        <v>1236</v>
      </c>
      <c r="J471" s="12" t="str">
        <f>HYPERLINK("https://www.boe.es/gazeta/dias/1801/10/09/pdfs/GMD-1801-96.pdf#page=12","Abrir facsímil")</f>
        <v>Abrir facsímil</v>
      </c>
      <c r="K471" s="15" t="s">
        <v>23</v>
      </c>
    </row>
    <row r="472" spans="1:11" ht="42" customHeight="1">
      <c r="A472" s="4" t="s">
        <v>1237</v>
      </c>
      <c r="B472" s="5" t="s">
        <v>1238</v>
      </c>
      <c r="C472" s="5" t="s">
        <v>38</v>
      </c>
      <c r="D472" s="5" t="s">
        <v>39</v>
      </c>
      <c r="E472" s="5" t="s">
        <v>919</v>
      </c>
      <c r="F472" s="9">
        <v>91</v>
      </c>
      <c r="G472" s="9">
        <v>1001</v>
      </c>
      <c r="H472" s="5" t="s">
        <v>21</v>
      </c>
      <c r="I472" s="5" t="s">
        <v>1239</v>
      </c>
      <c r="J472" s="12" t="str">
        <f>HYPERLINK("https://www.boe.es/gazeta/dias/1801/09/22/pdfs/GMD-1801-91.pdf#page=4","Abrir facsímil")</f>
        <v>Abrir facsímil</v>
      </c>
      <c r="K472" s="15" t="s">
        <v>23</v>
      </c>
    </row>
    <row r="473" spans="1:11" ht="42" customHeight="1">
      <c r="A473" s="4" t="s">
        <v>1240</v>
      </c>
      <c r="B473" s="5" t="s">
        <v>1241</v>
      </c>
      <c r="C473" s="5" t="s">
        <v>38</v>
      </c>
      <c r="D473" s="5" t="s">
        <v>39</v>
      </c>
      <c r="E473" s="5" t="s">
        <v>72</v>
      </c>
      <c r="F473" s="9">
        <v>60</v>
      </c>
      <c r="G473" s="9">
        <v>687</v>
      </c>
      <c r="H473" s="5" t="s">
        <v>21</v>
      </c>
      <c r="I473" s="5" t="s">
        <v>1242</v>
      </c>
      <c r="J473" s="12" t="str">
        <f>HYPERLINK("https://www.boe.es/gazeta/dias/1801/06/26/pdfs/GMD-1801-60.pdf#page=8","Abrir facsímil")</f>
        <v>Abrir facsímil</v>
      </c>
      <c r="K473" s="15" t="s">
        <v>23</v>
      </c>
    </row>
    <row r="474" spans="1:11" ht="42" customHeight="1">
      <c r="A474" s="4" t="s">
        <v>1243</v>
      </c>
      <c r="B474" s="5" t="s">
        <v>1244</v>
      </c>
      <c r="C474" s="5" t="s">
        <v>38</v>
      </c>
      <c r="D474" s="5" t="s">
        <v>39</v>
      </c>
      <c r="E474" s="5" t="s">
        <v>165</v>
      </c>
      <c r="F474" s="9">
        <v>59</v>
      </c>
      <c r="G474" s="9">
        <v>675</v>
      </c>
      <c r="H474" s="5" t="s">
        <v>21</v>
      </c>
      <c r="I474" s="5" t="s">
        <v>1245</v>
      </c>
      <c r="J474" s="12" t="str">
        <f>HYPERLINK("https://www.boe.es/gazeta/dias/1801/06/23/pdfs/GMD-1801-59.pdf#page=8","Abrir facsímil")</f>
        <v>Abrir facsímil</v>
      </c>
      <c r="K474" s="15" t="s">
        <v>23</v>
      </c>
    </row>
    <row r="475" spans="1:11" ht="42" customHeight="1">
      <c r="A475" s="4" t="s">
        <v>1243</v>
      </c>
      <c r="B475" s="5" t="s">
        <v>1244</v>
      </c>
      <c r="C475" s="5" t="s">
        <v>18</v>
      </c>
      <c r="D475" s="5" t="s">
        <v>19</v>
      </c>
      <c r="E475" s="5" t="s">
        <v>712</v>
      </c>
      <c r="F475" s="9">
        <v>105</v>
      </c>
      <c r="G475" s="9">
        <v>1148</v>
      </c>
      <c r="H475" s="5" t="s">
        <v>21</v>
      </c>
      <c r="I475" s="5" t="s">
        <v>1246</v>
      </c>
      <c r="J475" s="12" t="str">
        <f>HYPERLINK("https://www.boe.es/gazeta/dias/1801/11/10/pdfs/GMD-1801-105.pdf#page=1","Abrir facsímil")</f>
        <v>Abrir facsímil</v>
      </c>
      <c r="K475" s="15" t="s">
        <v>23</v>
      </c>
    </row>
    <row r="476" spans="1:11" ht="42" customHeight="1">
      <c r="A476" s="4" t="s">
        <v>1247</v>
      </c>
      <c r="B476" s="5" t="s">
        <v>1248</v>
      </c>
      <c r="C476" s="5" t="s">
        <v>75</v>
      </c>
      <c r="D476" s="5" t="s">
        <v>76</v>
      </c>
      <c r="E476" s="5" t="s">
        <v>120</v>
      </c>
      <c r="F476" s="9">
        <v>7</v>
      </c>
      <c r="G476" s="9">
        <v>82</v>
      </c>
      <c r="H476" s="5" t="s">
        <v>21</v>
      </c>
      <c r="I476" s="5" t="s">
        <v>1249</v>
      </c>
      <c r="J476" s="12" t="str">
        <f>HYPERLINK("https://www.boe.es/gazeta/dias/1801/01/23/pdfs/GMD-1801-7.pdf#page=6","Abrir facsímil")</f>
        <v>Abrir facsímil</v>
      </c>
      <c r="K476" s="15" t="s">
        <v>23</v>
      </c>
    </row>
    <row r="477" spans="1:11" ht="42" customHeight="1">
      <c r="A477" s="4" t="s">
        <v>1250</v>
      </c>
      <c r="B477" s="5" t="s">
        <v>1251</v>
      </c>
      <c r="C477" s="5" t="s">
        <v>75</v>
      </c>
      <c r="D477" s="5" t="s">
        <v>76</v>
      </c>
      <c r="E477" s="5" t="s">
        <v>128</v>
      </c>
      <c r="F477" s="9">
        <v>17</v>
      </c>
      <c r="G477" s="9">
        <v>210</v>
      </c>
      <c r="H477" s="5" t="s">
        <v>21</v>
      </c>
      <c r="I477" s="5" t="s">
        <v>1252</v>
      </c>
      <c r="J477" s="12" t="str">
        <f>HYPERLINK("https://www.boe.es/gazeta/dias/1801/02/27/pdfs/GMD-1801-17.pdf#page=5","Abrir facsímil")</f>
        <v>Abrir facsímil</v>
      </c>
      <c r="K477" s="15" t="s">
        <v>23</v>
      </c>
    </row>
    <row r="478" spans="1:11" ht="42" customHeight="1">
      <c r="A478" s="4" t="s">
        <v>1253</v>
      </c>
      <c r="B478" s="5" t="s">
        <v>1253</v>
      </c>
      <c r="C478" s="5" t="s">
        <v>75</v>
      </c>
      <c r="D478" s="5" t="s">
        <v>76</v>
      </c>
      <c r="E478" s="5" t="s">
        <v>190</v>
      </c>
      <c r="F478" s="9">
        <v>16</v>
      </c>
      <c r="G478" s="9">
        <v>197</v>
      </c>
      <c r="H478" s="5" t="s">
        <v>21</v>
      </c>
      <c r="I478" s="5" t="s">
        <v>1254</v>
      </c>
      <c r="J478" s="12" t="str">
        <f>HYPERLINK("https://www.boe.es/gazeta/dias/1801/02/24/pdfs/GMD-1801-16.pdf#page=4","Abrir facsímil")</f>
        <v>Abrir facsímil</v>
      </c>
      <c r="K478" s="15" t="s">
        <v>23</v>
      </c>
    </row>
    <row r="479" spans="1:11" ht="42" customHeight="1">
      <c r="A479" s="4" t="s">
        <v>1255</v>
      </c>
      <c r="B479" s="5" t="s">
        <v>1256</v>
      </c>
      <c r="C479" s="5" t="s">
        <v>75</v>
      </c>
      <c r="D479" s="5" t="s">
        <v>76</v>
      </c>
      <c r="E479" s="5" t="s">
        <v>321</v>
      </c>
      <c r="F479" s="9">
        <v>3</v>
      </c>
      <c r="G479" s="9">
        <v>26</v>
      </c>
      <c r="H479" s="5" t="s">
        <v>21</v>
      </c>
      <c r="I479" s="5" t="s">
        <v>1257</v>
      </c>
      <c r="J479" s="12" t="str">
        <f>HYPERLINK("https://www.boe.es/gazeta/dias/1801/01/09/pdfs/GMD-1801-3.pdf#page=2","Abrir facsímil")</f>
        <v>Abrir facsímil</v>
      </c>
      <c r="K479" s="15" t="s">
        <v>23</v>
      </c>
    </row>
    <row r="480" spans="1:11" ht="42" customHeight="1">
      <c r="A480" s="4" t="s">
        <v>1255</v>
      </c>
      <c r="B480" s="5" t="s">
        <v>1256</v>
      </c>
      <c r="C480" s="5" t="s">
        <v>32</v>
      </c>
      <c r="D480" s="5" t="s">
        <v>33</v>
      </c>
      <c r="E480" s="5" t="s">
        <v>352</v>
      </c>
      <c r="F480" s="9">
        <v>43</v>
      </c>
      <c r="G480" s="9">
        <v>531</v>
      </c>
      <c r="H480" s="5" t="s">
        <v>21</v>
      </c>
      <c r="I480" s="5" t="s">
        <v>1258</v>
      </c>
      <c r="J480" s="12" t="str">
        <f>HYPERLINK("https://www.boe.es/gazeta/dias/1801/05/26/pdfs/GMD-1801-43.pdf#page=3","Abrir facsímil")</f>
        <v>Abrir facsímil</v>
      </c>
      <c r="K480" s="15" t="s">
        <v>23</v>
      </c>
    </row>
    <row r="481" spans="1:11" ht="42" customHeight="1">
      <c r="A481" s="4" t="s">
        <v>1255</v>
      </c>
      <c r="B481" s="5" t="s">
        <v>1256</v>
      </c>
      <c r="C481" s="5" t="s">
        <v>38</v>
      </c>
      <c r="D481" s="5" t="s">
        <v>39</v>
      </c>
      <c r="E481" s="5" t="s">
        <v>723</v>
      </c>
      <c r="F481" s="9">
        <v>113</v>
      </c>
      <c r="G481" s="9">
        <v>1229</v>
      </c>
      <c r="H481" s="5" t="s">
        <v>21</v>
      </c>
      <c r="I481" s="5" t="s">
        <v>1259</v>
      </c>
      <c r="J481" s="12" t="str">
        <f>HYPERLINK("https://www.boe.es/gazeta/dias/1801/12/08/pdfs/GMD-1801-113.pdf#page=2","Abrir facsímil")</f>
        <v>Abrir facsímil</v>
      </c>
      <c r="K481" s="15" t="s">
        <v>23</v>
      </c>
    </row>
    <row r="482" spans="1:11" ht="42" customHeight="1">
      <c r="A482" s="4" t="s">
        <v>1255</v>
      </c>
      <c r="B482" s="5" t="s">
        <v>1256</v>
      </c>
      <c r="C482" s="5" t="s">
        <v>32</v>
      </c>
      <c r="D482" s="5" t="s">
        <v>33</v>
      </c>
      <c r="E482" s="5" t="s">
        <v>112</v>
      </c>
      <c r="F482" s="9">
        <v>114</v>
      </c>
      <c r="G482" s="9">
        <v>1240</v>
      </c>
      <c r="H482" s="5" t="s">
        <v>21</v>
      </c>
      <c r="I482" s="5" t="s">
        <v>1260</v>
      </c>
      <c r="J482" s="12" t="str">
        <f>HYPERLINK("https://www.boe.es/gazeta/dias/1801/12/11/pdfs/GMD-1801-114.pdf#page=2","Abrir facsímil")</f>
        <v>Abrir facsímil</v>
      </c>
      <c r="K482" s="15" t="s">
        <v>23</v>
      </c>
    </row>
    <row r="483" spans="1:11" ht="42" customHeight="1">
      <c r="A483" s="4" t="s">
        <v>1261</v>
      </c>
      <c r="B483" s="5" t="s">
        <v>1262</v>
      </c>
      <c r="C483" s="5" t="s">
        <v>38</v>
      </c>
      <c r="D483" s="5" t="s">
        <v>39</v>
      </c>
      <c r="E483" s="5" t="s">
        <v>82</v>
      </c>
      <c r="F483" s="9">
        <v>75</v>
      </c>
      <c r="G483" s="9">
        <v>839</v>
      </c>
      <c r="H483" s="5" t="s">
        <v>21</v>
      </c>
      <c r="I483" s="5" t="s">
        <v>1263</v>
      </c>
      <c r="J483" s="12" t="str">
        <f>HYPERLINK("https://www.boe.es/gazeta/dias/1801/08/04/pdfs/GMD-1801-75.pdf#page=8","Abrir facsímil")</f>
        <v>Abrir facsímil</v>
      </c>
      <c r="K483" s="15" t="s">
        <v>23</v>
      </c>
    </row>
    <row r="484" spans="1:11" ht="42" customHeight="1">
      <c r="A484" s="4" t="s">
        <v>1261</v>
      </c>
      <c r="B484" s="5" t="s">
        <v>1262</v>
      </c>
      <c r="C484" s="5" t="s">
        <v>75</v>
      </c>
      <c r="D484" s="5" t="s">
        <v>76</v>
      </c>
      <c r="E484" s="5" t="s">
        <v>201</v>
      </c>
      <c r="F484" s="9">
        <v>79</v>
      </c>
      <c r="G484" s="9">
        <v>887</v>
      </c>
      <c r="H484" s="5" t="s">
        <v>21</v>
      </c>
      <c r="I484" s="5" t="s">
        <v>1264</v>
      </c>
      <c r="J484" s="12" t="str">
        <f>HYPERLINK("https://www.boe.es/gazeta/dias/1801/08/18/pdfs/GMD-1801-79.pdf#page=4","Abrir facsímil")</f>
        <v>Abrir facsímil</v>
      </c>
      <c r="K484" s="15" t="s">
        <v>23</v>
      </c>
    </row>
    <row r="485" spans="1:11" ht="42" customHeight="1">
      <c r="A485" s="4" t="s">
        <v>1261</v>
      </c>
      <c r="B485" s="5" t="s">
        <v>1262</v>
      </c>
      <c r="C485" s="5" t="s">
        <v>75</v>
      </c>
      <c r="D485" s="5" t="s">
        <v>76</v>
      </c>
      <c r="E485" s="5" t="s">
        <v>924</v>
      </c>
      <c r="F485" s="9">
        <v>90</v>
      </c>
      <c r="G485" s="9">
        <v>988</v>
      </c>
      <c r="H485" s="5" t="s">
        <v>21</v>
      </c>
      <c r="I485" s="5" t="s">
        <v>1265</v>
      </c>
      <c r="J485" s="12" t="str">
        <f>HYPERLINK("https://www.boe.es/gazeta/dias/1801/09/18/pdfs/GMD-1801-90.pdf#page=3","Abrir facsímil")</f>
        <v>Abrir facsímil</v>
      </c>
      <c r="K485" s="15" t="s">
        <v>23</v>
      </c>
    </row>
    <row r="486" spans="1:11" ht="42" customHeight="1">
      <c r="A486" s="4" t="s">
        <v>1261</v>
      </c>
      <c r="B486" s="5" t="s">
        <v>1262</v>
      </c>
      <c r="C486" s="5" t="s">
        <v>32</v>
      </c>
      <c r="D486" s="5" t="s">
        <v>33</v>
      </c>
      <c r="E486" s="5" t="s">
        <v>924</v>
      </c>
      <c r="F486" s="9">
        <v>90</v>
      </c>
      <c r="G486" s="9">
        <v>989</v>
      </c>
      <c r="H486" s="5" t="s">
        <v>21</v>
      </c>
      <c r="I486" s="5" t="s">
        <v>1266</v>
      </c>
      <c r="J486" s="12" t="str">
        <f>HYPERLINK("https://www.boe.es/gazeta/dias/1801/09/18/pdfs/GMD-1801-90.pdf#page=4","Abrir facsímil")</f>
        <v>Abrir facsímil</v>
      </c>
      <c r="K486" s="15" t="s">
        <v>23</v>
      </c>
    </row>
    <row r="487" spans="1:11" ht="42" customHeight="1">
      <c r="A487" s="4" t="s">
        <v>1261</v>
      </c>
      <c r="B487" s="5" t="s">
        <v>1262</v>
      </c>
      <c r="C487" s="5" t="s">
        <v>26</v>
      </c>
      <c r="D487" s="5" t="s">
        <v>27</v>
      </c>
      <c r="E487" s="5" t="s">
        <v>919</v>
      </c>
      <c r="F487" s="9">
        <v>91</v>
      </c>
      <c r="G487" s="9">
        <v>1003</v>
      </c>
      <c r="H487" s="5" t="s">
        <v>21</v>
      </c>
      <c r="I487" s="5" t="s">
        <v>1267</v>
      </c>
      <c r="J487" s="12" t="str">
        <f>HYPERLINK("https://www.boe.es/gazeta/dias/1801/09/22/pdfs/GMD-1801-91.pdf#page=6","Abrir facsímil")</f>
        <v>Abrir facsímil</v>
      </c>
      <c r="K487" s="15" t="s">
        <v>23</v>
      </c>
    </row>
    <row r="488" spans="1:11" ht="42" customHeight="1">
      <c r="A488" s="4" t="s">
        <v>1261</v>
      </c>
      <c r="B488" s="5" t="s">
        <v>1262</v>
      </c>
      <c r="C488" s="5" t="s">
        <v>38</v>
      </c>
      <c r="D488" s="5" t="s">
        <v>39</v>
      </c>
      <c r="E488" s="5" t="s">
        <v>505</v>
      </c>
      <c r="F488" s="9">
        <v>94</v>
      </c>
      <c r="G488" s="9">
        <v>1029</v>
      </c>
      <c r="H488" s="5" t="s">
        <v>21</v>
      </c>
      <c r="I488" s="5" t="s">
        <v>1268</v>
      </c>
      <c r="J488" s="12" t="str">
        <f>HYPERLINK("https://www.boe.es/gazeta/dias/1801/10/02/pdfs/GMD-1801-94.pdf#page=5","Abrir facsímil")</f>
        <v>Abrir facsímil</v>
      </c>
      <c r="K488" s="15" t="s">
        <v>23</v>
      </c>
    </row>
    <row r="489" spans="1:11" ht="42" customHeight="1">
      <c r="A489" s="4" t="s">
        <v>1261</v>
      </c>
      <c r="B489" s="5" t="s">
        <v>1262</v>
      </c>
      <c r="C489" s="5" t="s">
        <v>38</v>
      </c>
      <c r="D489" s="5" t="s">
        <v>39</v>
      </c>
      <c r="E489" s="5" t="s">
        <v>173</v>
      </c>
      <c r="F489" s="9">
        <v>98</v>
      </c>
      <c r="G489" s="9">
        <v>1073</v>
      </c>
      <c r="H489" s="5" t="s">
        <v>21</v>
      </c>
      <c r="I489" s="5" t="s">
        <v>1269</v>
      </c>
      <c r="J489" s="12" t="str">
        <f>HYPERLINK("https://www.boe.es/gazeta/dias/1801/10/16/pdfs/GMD-1801-98.pdf#page=5","Abrir facsímil")</f>
        <v>Abrir facsímil</v>
      </c>
      <c r="K489" s="15" t="s">
        <v>23</v>
      </c>
    </row>
    <row r="490" spans="1:11" ht="42" customHeight="1">
      <c r="A490" s="4" t="s">
        <v>1261</v>
      </c>
      <c r="B490" s="5" t="s">
        <v>1262</v>
      </c>
      <c r="C490" s="5" t="s">
        <v>38</v>
      </c>
      <c r="D490" s="5" t="s">
        <v>39</v>
      </c>
      <c r="E490" s="5" t="s">
        <v>1085</v>
      </c>
      <c r="F490" s="9">
        <v>99</v>
      </c>
      <c r="G490" s="9">
        <v>1088</v>
      </c>
      <c r="H490" s="5" t="s">
        <v>21</v>
      </c>
      <c r="I490" s="5" t="s">
        <v>1270</v>
      </c>
      <c r="J490" s="12" t="str">
        <f>HYPERLINK("https://www.boe.es/gazeta/dias/1801/10/20/pdfs/GMD-1801-99.pdf#page=5","Abrir facsímil")</f>
        <v>Abrir facsímil</v>
      </c>
      <c r="K490" s="15" t="s">
        <v>23</v>
      </c>
    </row>
    <row r="491" spans="1:11" ht="42" customHeight="1">
      <c r="A491" s="4" t="s">
        <v>1261</v>
      </c>
      <c r="B491" s="5" t="s">
        <v>1262</v>
      </c>
      <c r="C491" s="5" t="s">
        <v>32</v>
      </c>
      <c r="D491" s="5" t="s">
        <v>33</v>
      </c>
      <c r="E491" s="5" t="s">
        <v>1085</v>
      </c>
      <c r="F491" s="9">
        <v>99</v>
      </c>
      <c r="G491" s="9">
        <v>1089</v>
      </c>
      <c r="H491" s="5" t="s">
        <v>21</v>
      </c>
      <c r="I491" s="5" t="s">
        <v>1271</v>
      </c>
      <c r="J491" s="12" t="str">
        <f>HYPERLINK("https://www.boe.es/gazeta/dias/1801/10/20/pdfs/GMD-1801-99.pdf#page=6","Abrir facsímil")</f>
        <v>Abrir facsímil</v>
      </c>
      <c r="K491" s="15" t="s">
        <v>23</v>
      </c>
    </row>
    <row r="492" spans="1:11" ht="42" customHeight="1">
      <c r="A492" s="4" t="s">
        <v>1261</v>
      </c>
      <c r="B492" s="5" t="s">
        <v>1262</v>
      </c>
      <c r="C492" s="5" t="s">
        <v>38</v>
      </c>
      <c r="D492" s="5" t="s">
        <v>39</v>
      </c>
      <c r="E492" s="5" t="s">
        <v>112</v>
      </c>
      <c r="F492" s="9">
        <v>114</v>
      </c>
      <c r="G492" s="9">
        <v>1244</v>
      </c>
      <c r="H492" s="5" t="s">
        <v>21</v>
      </c>
      <c r="I492" s="5" t="s">
        <v>1272</v>
      </c>
      <c r="J492" s="12" t="str">
        <f>HYPERLINK("https://www.boe.es/gazeta/dias/1801/12/11/pdfs/GMD-1801-114.pdf#page=6","Abrir facsímil")</f>
        <v>Abrir facsímil</v>
      </c>
      <c r="K492" s="15" t="s">
        <v>23</v>
      </c>
    </row>
    <row r="493" spans="1:11" ht="42" customHeight="1">
      <c r="A493" s="4" t="s">
        <v>1273</v>
      </c>
      <c r="B493" s="5" t="s">
        <v>1274</v>
      </c>
      <c r="C493" s="5" t="s">
        <v>32</v>
      </c>
      <c r="D493" s="5" t="s">
        <v>33</v>
      </c>
      <c r="E493" s="5" t="s">
        <v>924</v>
      </c>
      <c r="F493" s="9">
        <v>90</v>
      </c>
      <c r="G493" s="9">
        <v>989</v>
      </c>
      <c r="H493" s="5" t="s">
        <v>21</v>
      </c>
      <c r="I493" s="5" t="s">
        <v>1275</v>
      </c>
      <c r="J493" s="12" t="str">
        <f>HYPERLINK("https://www.boe.es/gazeta/dias/1801/09/18/pdfs/GMD-1801-90.pdf#page=4","Abrir facsímil")</f>
        <v>Abrir facsímil</v>
      </c>
      <c r="K493" s="15" t="s">
        <v>23</v>
      </c>
    </row>
    <row r="494" spans="1:11" ht="42" customHeight="1">
      <c r="A494" s="4" t="s">
        <v>1276</v>
      </c>
      <c r="B494" s="5" t="s">
        <v>1277</v>
      </c>
      <c r="C494" s="5" t="s">
        <v>75</v>
      </c>
      <c r="D494" s="5" t="s">
        <v>76</v>
      </c>
      <c r="E494" s="5" t="s">
        <v>924</v>
      </c>
      <c r="F494" s="9">
        <v>90</v>
      </c>
      <c r="G494" s="9">
        <v>989</v>
      </c>
      <c r="H494" s="5" t="s">
        <v>21</v>
      </c>
      <c r="I494" s="5" t="s">
        <v>1278</v>
      </c>
      <c r="J494" s="12" t="str">
        <f>HYPERLINK("https://www.boe.es/gazeta/dias/1801/09/18/pdfs/GMD-1801-90.pdf#page=4","Abrir facsímil")</f>
        <v>Abrir facsímil</v>
      </c>
      <c r="K494" s="15" t="s">
        <v>23</v>
      </c>
    </row>
    <row r="495" spans="1:11" ht="42" customHeight="1">
      <c r="A495" s="4" t="s">
        <v>1279</v>
      </c>
      <c r="B495" s="5" t="s">
        <v>1280</v>
      </c>
      <c r="C495" s="5" t="s">
        <v>80</v>
      </c>
      <c r="D495" s="5" t="s">
        <v>81</v>
      </c>
      <c r="E495" s="5" t="s">
        <v>289</v>
      </c>
      <c r="F495" s="9">
        <v>40</v>
      </c>
      <c r="G495" s="9" t="s">
        <v>996</v>
      </c>
      <c r="H495" s="5" t="s">
        <v>21</v>
      </c>
      <c r="I495" s="5" t="s">
        <v>1281</v>
      </c>
      <c r="J495" s="12" t="str">
        <f>HYPERLINK("https://www.boe.es/gazeta/dias/1801/05/19/pdfs/GMD-C-1801-40.pdf#page=6","Abrir facsímil")</f>
        <v>Abrir facsímil</v>
      </c>
      <c r="K495" s="15" t="s">
        <v>23</v>
      </c>
    </row>
    <row r="496" spans="1:11" ht="42" customHeight="1">
      <c r="A496" s="4" t="s">
        <v>1282</v>
      </c>
      <c r="B496" s="5" t="s">
        <v>1283</v>
      </c>
      <c r="C496" s="5" t="s">
        <v>75</v>
      </c>
      <c r="D496" s="5" t="s">
        <v>76</v>
      </c>
      <c r="E496" s="5" t="s">
        <v>186</v>
      </c>
      <c r="F496" s="9">
        <v>21</v>
      </c>
      <c r="G496" s="9">
        <v>272</v>
      </c>
      <c r="H496" s="5" t="s">
        <v>21</v>
      </c>
      <c r="I496" s="5" t="s">
        <v>1284</v>
      </c>
      <c r="J496" s="12" t="str">
        <f>HYPERLINK("https://www.boe.es/gazeta/dias/1801/03/13/pdfs/GMD-1801-21.pdf#page=1","Abrir facsímil")</f>
        <v>Abrir facsímil</v>
      </c>
      <c r="K496" s="15" t="s">
        <v>23</v>
      </c>
    </row>
    <row r="497" spans="1:11" ht="42" customHeight="1">
      <c r="A497" s="4" t="s">
        <v>1285</v>
      </c>
      <c r="B497" s="5" t="s">
        <v>1286</v>
      </c>
      <c r="C497" s="5" t="s">
        <v>75</v>
      </c>
      <c r="D497" s="5" t="s">
        <v>76</v>
      </c>
      <c r="E497" s="5" t="s">
        <v>135</v>
      </c>
      <c r="F497" s="9">
        <v>24</v>
      </c>
      <c r="G497" s="9">
        <v>312</v>
      </c>
      <c r="H497" s="5" t="s">
        <v>21</v>
      </c>
      <c r="I497" s="5" t="s">
        <v>1287</v>
      </c>
      <c r="J497" s="12" t="str">
        <f>HYPERLINK("https://www.boe.es/gazeta/dias/1801/03/24/pdfs/GMD-1801-24.pdf#page=3","Abrir facsímil")</f>
        <v>Abrir facsímil</v>
      </c>
      <c r="K497" s="15" t="s">
        <v>23</v>
      </c>
    </row>
    <row r="498" spans="1:11" ht="42" customHeight="1">
      <c r="A498" s="4" t="s">
        <v>1288</v>
      </c>
      <c r="B498" s="5" t="s">
        <v>1289</v>
      </c>
      <c r="C498" s="5" t="s">
        <v>69</v>
      </c>
      <c r="D498" s="5" t="s">
        <v>19</v>
      </c>
      <c r="E498" s="5" t="s">
        <v>317</v>
      </c>
      <c r="F498" s="9">
        <v>102</v>
      </c>
      <c r="G498" s="9">
        <v>1122</v>
      </c>
      <c r="H498" s="5" t="s">
        <v>21</v>
      </c>
      <c r="I498" s="5" t="s">
        <v>1290</v>
      </c>
      <c r="J498" s="12" t="str">
        <f>HYPERLINK("https://www.boe.es/gazeta/dias/1801/10/30/pdfs/GMD-1801-102.pdf#page=7","Abrir facsímil")</f>
        <v>Abrir facsímil</v>
      </c>
      <c r="K498" s="15" t="s">
        <v>23</v>
      </c>
    </row>
    <row r="499" spans="1:11" ht="42" customHeight="1">
      <c r="A499" s="4" t="s">
        <v>1291</v>
      </c>
      <c r="B499" s="5" t="s">
        <v>1292</v>
      </c>
      <c r="C499" s="5" t="s">
        <v>32</v>
      </c>
      <c r="D499" s="5" t="s">
        <v>33</v>
      </c>
      <c r="E499" s="5" t="s">
        <v>120</v>
      </c>
      <c r="F499" s="9">
        <v>7</v>
      </c>
      <c r="G499" s="9">
        <v>85</v>
      </c>
      <c r="H499" s="5" t="s">
        <v>21</v>
      </c>
      <c r="I499" s="5" t="s">
        <v>1293</v>
      </c>
      <c r="J499" s="12" t="str">
        <f>HYPERLINK("https://www.boe.es/gazeta/dias/1801/01/23/pdfs/GMD-1801-7.pdf#page=9","Abrir facsímil")</f>
        <v>Abrir facsímil</v>
      </c>
      <c r="K499" s="15" t="s">
        <v>23</v>
      </c>
    </row>
    <row r="500" spans="1:11" ht="42" customHeight="1">
      <c r="A500" s="4" t="s">
        <v>1294</v>
      </c>
      <c r="B500" s="5" t="s">
        <v>1294</v>
      </c>
      <c r="C500" s="5" t="s">
        <v>38</v>
      </c>
      <c r="D500" s="5" t="s">
        <v>39</v>
      </c>
      <c r="E500" s="5" t="s">
        <v>462</v>
      </c>
      <c r="F500" s="9">
        <v>5</v>
      </c>
      <c r="G500" s="9">
        <v>60</v>
      </c>
      <c r="H500" s="5" t="s">
        <v>21</v>
      </c>
      <c r="I500" s="5" t="s">
        <v>1295</v>
      </c>
      <c r="J500" s="12" t="str">
        <f>HYPERLINK("https://www.boe.es/gazeta/dias/1801/01/16/pdfs/GMD-1801-5.pdf#page=12","Abrir facsímil")</f>
        <v>Abrir facsímil</v>
      </c>
      <c r="K500" s="15" t="s">
        <v>1296</v>
      </c>
    </row>
    <row r="501" spans="1:11" ht="42" customHeight="1">
      <c r="A501" s="4" t="s">
        <v>1294</v>
      </c>
      <c r="B501" s="5" t="s">
        <v>1294</v>
      </c>
      <c r="C501" s="5" t="s">
        <v>38</v>
      </c>
      <c r="D501" s="5" t="s">
        <v>39</v>
      </c>
      <c r="E501" s="5" t="s">
        <v>292</v>
      </c>
      <c r="F501" s="9">
        <v>25</v>
      </c>
      <c r="G501" s="9">
        <v>333</v>
      </c>
      <c r="H501" s="5" t="s">
        <v>21</v>
      </c>
      <c r="I501" s="5" t="s">
        <v>1297</v>
      </c>
      <c r="J501" s="12" t="str">
        <f>HYPERLINK("https://www.boe.es/gazeta/dias/1801/03/27/pdfs/GMD-1801-25.pdf#page=12","Abrir facsímil")</f>
        <v>Abrir facsímil</v>
      </c>
      <c r="K501" s="15" t="s">
        <v>1296</v>
      </c>
    </row>
    <row r="502" spans="1:11" ht="42" customHeight="1">
      <c r="A502" s="4" t="s">
        <v>1294</v>
      </c>
      <c r="B502" s="5" t="s">
        <v>1294</v>
      </c>
      <c r="C502" s="5" t="s">
        <v>38</v>
      </c>
      <c r="D502" s="5" t="s">
        <v>39</v>
      </c>
      <c r="E502" s="5" t="s">
        <v>153</v>
      </c>
      <c r="F502" s="9">
        <v>48</v>
      </c>
      <c r="G502" s="9">
        <v>586</v>
      </c>
      <c r="H502" s="5" t="s">
        <v>21</v>
      </c>
      <c r="I502" s="5" t="s">
        <v>1298</v>
      </c>
      <c r="J502" s="12" t="str">
        <f>HYPERLINK("https://www.boe.es/gazeta/dias/1801/06/05/pdfs/GMD-1801-48.pdf#page=8","Abrir facsímil")</f>
        <v>Abrir facsímil</v>
      </c>
      <c r="K502" s="15" t="s">
        <v>1296</v>
      </c>
    </row>
    <row r="503" spans="1:11" ht="42" customHeight="1">
      <c r="A503" s="4" t="s">
        <v>1299</v>
      </c>
      <c r="B503" s="5" t="s">
        <v>1300</v>
      </c>
      <c r="C503" s="5" t="s">
        <v>38</v>
      </c>
      <c r="D503" s="5" t="s">
        <v>39</v>
      </c>
      <c r="E503" s="5" t="s">
        <v>480</v>
      </c>
      <c r="F503" s="9">
        <v>10</v>
      </c>
      <c r="G503" s="9">
        <v>124</v>
      </c>
      <c r="H503" s="5" t="s">
        <v>21</v>
      </c>
      <c r="I503" s="5" t="s">
        <v>1301</v>
      </c>
      <c r="J503" s="12" t="str">
        <f>HYPERLINK("https://www.boe.es/gazeta/dias/1801/02/03/pdfs/GMD-1801-10.pdf#page=9","Abrir facsímil")</f>
        <v>Abrir facsímil</v>
      </c>
      <c r="K503" s="15" t="s">
        <v>23</v>
      </c>
    </row>
    <row r="504" spans="1:11" ht="42" customHeight="1">
      <c r="A504" s="4" t="s">
        <v>1302</v>
      </c>
      <c r="B504" s="5" t="s">
        <v>1303</v>
      </c>
      <c r="C504" s="5" t="s">
        <v>69</v>
      </c>
      <c r="D504" s="5" t="s">
        <v>19</v>
      </c>
      <c r="E504" s="5" t="s">
        <v>158</v>
      </c>
      <c r="F504" s="9">
        <v>55</v>
      </c>
      <c r="G504" s="9">
        <v>632</v>
      </c>
      <c r="H504" s="5" t="s">
        <v>21</v>
      </c>
      <c r="I504" s="5" t="s">
        <v>1304</v>
      </c>
      <c r="J504" s="12" t="str">
        <f>HYPERLINK("https://www.boe.es/gazeta/dias/1801/06/16/pdfs/GMD-1801-55.pdf#page=8","Abrir facsímil")</f>
        <v>Abrir facsímil</v>
      </c>
      <c r="K504" s="15" t="s">
        <v>23</v>
      </c>
    </row>
    <row r="505" spans="1:11" ht="42" customHeight="1">
      <c r="A505" s="4" t="s">
        <v>1305</v>
      </c>
      <c r="B505" s="5" t="s">
        <v>1306</v>
      </c>
      <c r="C505" s="5" t="s">
        <v>32</v>
      </c>
      <c r="D505" s="5" t="s">
        <v>33</v>
      </c>
      <c r="E505" s="5" t="s">
        <v>194</v>
      </c>
      <c r="F505" s="9">
        <v>92</v>
      </c>
      <c r="G505" s="9">
        <v>1011</v>
      </c>
      <c r="H505" s="5" t="s">
        <v>21</v>
      </c>
      <c r="I505" s="5" t="s">
        <v>1307</v>
      </c>
      <c r="J505" s="12" t="str">
        <f>HYPERLINK("https://www.boe.es/gazeta/dias/1801/09/25/pdfs/GMD-1801-92.pdf#page=6","Abrir facsímil")</f>
        <v>Abrir facsímil</v>
      </c>
      <c r="K505" s="15" t="s">
        <v>23</v>
      </c>
    </row>
    <row r="506" spans="1:11" ht="42" customHeight="1">
      <c r="A506" s="4" t="s">
        <v>1308</v>
      </c>
      <c r="B506" s="5" t="s">
        <v>1309</v>
      </c>
      <c r="C506" s="5" t="s">
        <v>18</v>
      </c>
      <c r="D506" s="5" t="s">
        <v>19</v>
      </c>
      <c r="E506" s="5" t="s">
        <v>266</v>
      </c>
      <c r="F506" s="9">
        <v>119</v>
      </c>
      <c r="G506" s="9">
        <v>1304</v>
      </c>
      <c r="H506" s="5" t="s">
        <v>21</v>
      </c>
      <c r="I506" s="5" t="s">
        <v>1310</v>
      </c>
      <c r="J506" s="12" t="str">
        <f>HYPERLINK("https://www.boe.es/gazeta/dias/1801/12/29/pdfs/GMD-1801-119.pdf#page=8","Abrir facsímil")</f>
        <v>Abrir facsímil</v>
      </c>
      <c r="K506" s="15" t="s">
        <v>23</v>
      </c>
    </row>
    <row r="507" spans="1:11" ht="42" customHeight="1">
      <c r="A507" s="4" t="s">
        <v>1311</v>
      </c>
      <c r="B507" s="5" t="s">
        <v>1312</v>
      </c>
      <c r="C507" s="5" t="s">
        <v>32</v>
      </c>
      <c r="D507" s="5" t="s">
        <v>33</v>
      </c>
      <c r="E507" s="5" t="s">
        <v>48</v>
      </c>
      <c r="F507" s="9">
        <v>20</v>
      </c>
      <c r="G507" s="9">
        <v>266</v>
      </c>
      <c r="H507" s="5" t="s">
        <v>21</v>
      </c>
      <c r="I507" s="5" t="s">
        <v>1313</v>
      </c>
      <c r="J507" s="12" t="str">
        <f>HYPERLINK("https://www.boe.es/gazeta/dias/1801/03/10/pdfs/GMD-1801-20.pdf#page=11","Abrir facsímil")</f>
        <v>Abrir facsímil</v>
      </c>
      <c r="K507" s="15" t="s">
        <v>23</v>
      </c>
    </row>
    <row r="508" spans="1:11" ht="42" customHeight="1">
      <c r="A508" s="4" t="s">
        <v>1314</v>
      </c>
      <c r="B508" s="5" t="s">
        <v>1315</v>
      </c>
      <c r="C508" s="5" t="s">
        <v>38</v>
      </c>
      <c r="D508" s="5" t="s">
        <v>39</v>
      </c>
      <c r="E508" s="5" t="s">
        <v>378</v>
      </c>
      <c r="F508" s="9">
        <v>23</v>
      </c>
      <c r="G508" s="9">
        <v>305</v>
      </c>
      <c r="H508" s="5" t="s">
        <v>21</v>
      </c>
      <c r="I508" s="5" t="s">
        <v>1316</v>
      </c>
      <c r="J508" s="12" t="str">
        <f>HYPERLINK("https://www.boe.es/gazeta/dias/1801/03/20/pdfs/GMD-1801-23.pdf#page=8","Abrir facsímil")</f>
        <v>Abrir facsímil</v>
      </c>
      <c r="K508" s="15" t="s">
        <v>23</v>
      </c>
    </row>
    <row r="509" spans="1:11" ht="42" customHeight="1">
      <c r="A509" s="4" t="s">
        <v>1317</v>
      </c>
      <c r="B509" s="5" t="s">
        <v>1318</v>
      </c>
      <c r="C509" s="5" t="s">
        <v>32</v>
      </c>
      <c r="D509" s="5" t="s">
        <v>33</v>
      </c>
      <c r="E509" s="5" t="s">
        <v>105</v>
      </c>
      <c r="F509" s="9">
        <v>44</v>
      </c>
      <c r="G509" s="9">
        <v>549</v>
      </c>
      <c r="H509" s="5" t="s">
        <v>21</v>
      </c>
      <c r="I509" s="5" t="s">
        <v>1319</v>
      </c>
      <c r="J509" s="12" t="str">
        <f>HYPERLINK("https://www.boe.es/gazeta/dias/1801/05/29/pdfs/GMD-1801-44.pdf#page=9","Abrir facsímil")</f>
        <v>Abrir facsímil</v>
      </c>
      <c r="K509" s="15" t="s">
        <v>23</v>
      </c>
    </row>
    <row r="510" spans="1:11" ht="42" customHeight="1">
      <c r="A510" s="4" t="s">
        <v>1320</v>
      </c>
      <c r="B510" s="5" t="s">
        <v>1320</v>
      </c>
      <c r="C510" s="5" t="s">
        <v>26</v>
      </c>
      <c r="D510" s="5" t="s">
        <v>27</v>
      </c>
      <c r="E510" s="5" t="s">
        <v>501</v>
      </c>
      <c r="F510" s="9">
        <v>115</v>
      </c>
      <c r="G510" s="9" t="s">
        <v>502</v>
      </c>
      <c r="H510" s="5" t="s">
        <v>21</v>
      </c>
      <c r="I510" s="5" t="s">
        <v>1321</v>
      </c>
      <c r="J510" s="12" t="str">
        <f>HYPERLINK("https://www.boe.es/gazeta/dias/1801/12/15/pdfs/GMD-C-1801-115.pdf#page=8","Abrir facsímil")</f>
        <v>Abrir facsímil</v>
      </c>
      <c r="K510" s="15" t="s">
        <v>23</v>
      </c>
    </row>
    <row r="511" spans="1:11" ht="42" customHeight="1">
      <c r="A511" s="4" t="s">
        <v>1322</v>
      </c>
      <c r="B511" s="5" t="s">
        <v>1323</v>
      </c>
      <c r="C511" s="5" t="s">
        <v>38</v>
      </c>
      <c r="D511" s="5" t="s">
        <v>39</v>
      </c>
      <c r="E511" s="5" t="s">
        <v>124</v>
      </c>
      <c r="F511" s="9">
        <v>12</v>
      </c>
      <c r="G511" s="9">
        <v>148</v>
      </c>
      <c r="H511" s="5" t="s">
        <v>21</v>
      </c>
      <c r="I511" s="5" t="s">
        <v>1324</v>
      </c>
      <c r="J511" s="12" t="str">
        <f>HYPERLINK("https://www.boe.es/gazeta/dias/1801/02/10/pdfs/GMD-1801-12.pdf#page=9","Abrir facsímil")</f>
        <v>Abrir facsímil</v>
      </c>
      <c r="K511" s="15" t="s">
        <v>23</v>
      </c>
    </row>
    <row r="512" spans="1:11" ht="42" customHeight="1">
      <c r="A512" s="4" t="s">
        <v>1325</v>
      </c>
      <c r="B512" s="5" t="s">
        <v>1326</v>
      </c>
      <c r="C512" s="5" t="s">
        <v>32</v>
      </c>
      <c r="D512" s="5" t="s">
        <v>33</v>
      </c>
      <c r="E512" s="5" t="s">
        <v>131</v>
      </c>
      <c r="F512" s="9">
        <v>22</v>
      </c>
      <c r="G512" s="9">
        <v>290</v>
      </c>
      <c r="H512" s="5" t="s">
        <v>21</v>
      </c>
      <c r="I512" s="5" t="s">
        <v>1327</v>
      </c>
      <c r="J512" s="12" t="str">
        <f>HYPERLINK("https://www.boe.es/gazeta/dias/1801/03/17/pdfs/GMD-1801-22.pdf#page=7","Abrir facsímil")</f>
        <v>Abrir facsímil</v>
      </c>
      <c r="K512" s="15" t="s">
        <v>23</v>
      </c>
    </row>
    <row r="513" spans="1:11" ht="42" customHeight="1">
      <c r="A513" s="4" t="s">
        <v>1328</v>
      </c>
      <c r="B513" s="5" t="s">
        <v>1329</v>
      </c>
      <c r="C513" s="5" t="s">
        <v>26</v>
      </c>
      <c r="D513" s="5" t="s">
        <v>27</v>
      </c>
      <c r="E513" s="5" t="s">
        <v>124</v>
      </c>
      <c r="F513" s="9">
        <v>12</v>
      </c>
      <c r="G513" s="9">
        <v>147</v>
      </c>
      <c r="H513" s="5" t="s">
        <v>21</v>
      </c>
      <c r="I513" s="5" t="s">
        <v>1330</v>
      </c>
      <c r="J513" s="12" t="str">
        <f>HYPERLINK("https://www.boe.es/gazeta/dias/1801/02/10/pdfs/GMD-1801-12.pdf#page=8","Abrir facsímil")</f>
        <v>Abrir facsímil</v>
      </c>
      <c r="K513" s="15" t="s">
        <v>23</v>
      </c>
    </row>
    <row r="514" spans="1:11" ht="42" customHeight="1">
      <c r="A514" s="4" t="s">
        <v>1331</v>
      </c>
      <c r="B514" s="5" t="s">
        <v>1332</v>
      </c>
      <c r="C514" s="5" t="s">
        <v>38</v>
      </c>
      <c r="D514" s="5" t="s">
        <v>39</v>
      </c>
      <c r="E514" s="5" t="s">
        <v>615</v>
      </c>
      <c r="F514" s="9">
        <v>72</v>
      </c>
      <c r="G514" s="9">
        <v>803</v>
      </c>
      <c r="H514" s="5" t="s">
        <v>21</v>
      </c>
      <c r="I514" s="5" t="s">
        <v>1333</v>
      </c>
      <c r="J514" s="12" t="str">
        <f>HYPERLINK("https://www.boe.es/gazeta/dias/1801/07/24/pdfs/GMD-1801-72.pdf#page=8","Abrir facsímil")</f>
        <v>Abrir facsímil</v>
      </c>
      <c r="K514" s="15" t="s">
        <v>23</v>
      </c>
    </row>
    <row r="515" spans="1:11" ht="42" customHeight="1">
      <c r="A515" s="4" t="s">
        <v>1334</v>
      </c>
      <c r="B515" s="5" t="s">
        <v>1334</v>
      </c>
      <c r="C515" s="5" t="s">
        <v>32</v>
      </c>
      <c r="D515" s="5" t="s">
        <v>33</v>
      </c>
      <c r="E515" s="5" t="s">
        <v>505</v>
      </c>
      <c r="F515" s="9">
        <v>94</v>
      </c>
      <c r="G515" s="9">
        <v>1033</v>
      </c>
      <c r="H515" s="5" t="s">
        <v>21</v>
      </c>
      <c r="I515" s="5" t="s">
        <v>1335</v>
      </c>
      <c r="J515" s="12" t="str">
        <f>HYPERLINK("https://www.boe.es/gazeta/dias/1801/10/02/pdfs/GMD-1801-94.pdf#page=9","Abrir facsímil")</f>
        <v>Abrir facsímil</v>
      </c>
      <c r="K515" s="15" t="s">
        <v>23</v>
      </c>
    </row>
    <row r="516" spans="1:11" ht="42" customHeight="1">
      <c r="A516" s="4" t="s">
        <v>1336</v>
      </c>
      <c r="B516" s="5" t="s">
        <v>1336</v>
      </c>
      <c r="C516" s="5" t="s">
        <v>32</v>
      </c>
      <c r="D516" s="5" t="s">
        <v>33</v>
      </c>
      <c r="E516" s="5" t="s">
        <v>256</v>
      </c>
      <c r="F516" s="9">
        <v>78</v>
      </c>
      <c r="G516" s="9">
        <v>881</v>
      </c>
      <c r="H516" s="5" t="s">
        <v>21</v>
      </c>
      <c r="I516" s="5" t="s">
        <v>1337</v>
      </c>
      <c r="J516" s="12" t="str">
        <f>HYPERLINK("https://www.boe.es/gazeta/dias/1801/08/14/pdfs/GMD-1801-78.pdf#page=10","Abrir facsímil")</f>
        <v>Abrir facsímil</v>
      </c>
      <c r="K516" s="15" t="s">
        <v>23</v>
      </c>
    </row>
    <row r="517" spans="1:11" ht="42" customHeight="1">
      <c r="A517" s="4" t="s">
        <v>1338</v>
      </c>
      <c r="B517" s="5" t="s">
        <v>1338</v>
      </c>
      <c r="C517" s="5" t="s">
        <v>32</v>
      </c>
      <c r="D517" s="5" t="s">
        <v>33</v>
      </c>
      <c r="E517" s="5" t="s">
        <v>781</v>
      </c>
      <c r="F517" s="9">
        <v>14</v>
      </c>
      <c r="G517" s="9">
        <v>173</v>
      </c>
      <c r="H517" s="5" t="s">
        <v>21</v>
      </c>
      <c r="I517" s="5" t="s">
        <v>1339</v>
      </c>
      <c r="J517" s="12" t="str">
        <f>HYPERLINK("https://www.boe.es/gazeta/dias/1801/02/17/pdfs/GMD-1801-14.pdf#page=8","Abrir facsímil")</f>
        <v>Abrir facsímil</v>
      </c>
      <c r="K517" s="15" t="s">
        <v>23</v>
      </c>
    </row>
    <row r="518" spans="1:11" ht="42" customHeight="1">
      <c r="A518" s="4" t="s">
        <v>1340</v>
      </c>
      <c r="B518" s="5" t="s">
        <v>1341</v>
      </c>
      <c r="C518" s="5" t="s">
        <v>32</v>
      </c>
      <c r="D518" s="5" t="s">
        <v>33</v>
      </c>
      <c r="E518" s="5" t="s">
        <v>99</v>
      </c>
      <c r="F518" s="9">
        <v>32</v>
      </c>
      <c r="G518" s="9">
        <v>413</v>
      </c>
      <c r="H518" s="5" t="s">
        <v>21</v>
      </c>
      <c r="I518" s="5" t="s">
        <v>1342</v>
      </c>
      <c r="J518" s="12" t="str">
        <f>HYPERLINK("https://www.boe.es/gazeta/dias/1801/04/21/pdfs/GMD-1801-32.pdf#page=9","Abrir facsímil")</f>
        <v>Abrir facsímil</v>
      </c>
      <c r="K518" s="15" t="s">
        <v>23</v>
      </c>
    </row>
    <row r="519" spans="1:11" ht="42" customHeight="1">
      <c r="A519" s="4" t="s">
        <v>1343</v>
      </c>
      <c r="B519" s="5" t="s">
        <v>1344</v>
      </c>
      <c r="C519" s="5" t="s">
        <v>32</v>
      </c>
      <c r="D519" s="5" t="s">
        <v>33</v>
      </c>
      <c r="E519" s="5" t="s">
        <v>108</v>
      </c>
      <c r="F519" s="9">
        <v>61</v>
      </c>
      <c r="G519" s="9">
        <v>698</v>
      </c>
      <c r="H519" s="5" t="s">
        <v>21</v>
      </c>
      <c r="I519" s="5" t="s">
        <v>1345</v>
      </c>
      <c r="J519" s="12" t="str">
        <f>HYPERLINK("https://www.boe.es/gazeta/dias/1801/06/30/pdfs/GMD-1801-61.pdf#page=7","Abrir facsímil")</f>
        <v>Abrir facsímil</v>
      </c>
      <c r="K519" s="15" t="s">
        <v>23</v>
      </c>
    </row>
    <row r="520" spans="1:11" ht="42" customHeight="1">
      <c r="A520" s="4" t="s">
        <v>1346</v>
      </c>
      <c r="B520" s="5" t="s">
        <v>1347</v>
      </c>
      <c r="C520" s="5" t="s">
        <v>32</v>
      </c>
      <c r="D520" s="5" t="s">
        <v>33</v>
      </c>
      <c r="E520" s="5" t="s">
        <v>126</v>
      </c>
      <c r="F520" s="9">
        <v>13</v>
      </c>
      <c r="G520" s="9">
        <v>160</v>
      </c>
      <c r="H520" s="5" t="s">
        <v>21</v>
      </c>
      <c r="I520" s="5" t="s">
        <v>1348</v>
      </c>
      <c r="J520" s="12" t="str">
        <f>HYPERLINK("https://www.boe.es/gazeta/dias/1801/02/13/pdfs/GMD-1801-13.pdf#page=7","Abrir facsímil")</f>
        <v>Abrir facsímil</v>
      </c>
      <c r="K520" s="15" t="s">
        <v>23</v>
      </c>
    </row>
    <row r="521" spans="1:11" ht="42" customHeight="1">
      <c r="A521" s="4" t="s">
        <v>1346</v>
      </c>
      <c r="B521" s="5" t="s">
        <v>1347</v>
      </c>
      <c r="C521" s="5" t="s">
        <v>38</v>
      </c>
      <c r="D521" s="5" t="s">
        <v>39</v>
      </c>
      <c r="E521" s="5" t="s">
        <v>48</v>
      </c>
      <c r="F521" s="9">
        <v>20</v>
      </c>
      <c r="G521" s="9">
        <v>264</v>
      </c>
      <c r="H521" s="5" t="s">
        <v>21</v>
      </c>
      <c r="I521" s="5" t="s">
        <v>1349</v>
      </c>
      <c r="J521" s="12" t="str">
        <f>HYPERLINK("https://www.boe.es/gazeta/dias/1801/03/10/pdfs/GMD-1801-20.pdf#page=9","Abrir facsímil")</f>
        <v>Abrir facsímil</v>
      </c>
      <c r="K521" s="15" t="s">
        <v>23</v>
      </c>
    </row>
    <row r="522" spans="1:11" ht="42" customHeight="1">
      <c r="A522" s="4" t="s">
        <v>1346</v>
      </c>
      <c r="B522" s="5" t="s">
        <v>1347</v>
      </c>
      <c r="C522" s="5" t="s">
        <v>38</v>
      </c>
      <c r="D522" s="5" t="s">
        <v>39</v>
      </c>
      <c r="E522" s="5" t="s">
        <v>108</v>
      </c>
      <c r="F522" s="9">
        <v>61</v>
      </c>
      <c r="G522" s="9">
        <v>697</v>
      </c>
      <c r="H522" s="5" t="s">
        <v>21</v>
      </c>
      <c r="I522" s="5" t="s">
        <v>1350</v>
      </c>
      <c r="J522" s="12" t="str">
        <f>HYPERLINK("https://www.boe.es/gazeta/dias/1801/06/30/pdfs/GMD-1801-61.pdf#page=6","Abrir facsímil")</f>
        <v>Abrir facsímil</v>
      </c>
      <c r="K522" s="15" t="s">
        <v>23</v>
      </c>
    </row>
    <row r="523" spans="1:11" ht="42" customHeight="1">
      <c r="A523" s="4" t="s">
        <v>1346</v>
      </c>
      <c r="B523" s="5" t="s">
        <v>1347</v>
      </c>
      <c r="C523" s="5" t="s">
        <v>38</v>
      </c>
      <c r="D523" s="5" t="s">
        <v>39</v>
      </c>
      <c r="E523" s="5" t="s">
        <v>309</v>
      </c>
      <c r="F523" s="9">
        <v>118</v>
      </c>
      <c r="G523" s="9">
        <v>1289</v>
      </c>
      <c r="H523" s="5" t="s">
        <v>21</v>
      </c>
      <c r="I523" s="5" t="s">
        <v>1351</v>
      </c>
      <c r="J523" s="12" t="str">
        <f>HYPERLINK("https://www.boe.es/gazeta/dias/1801/12/25/pdfs/GMD-1801-118.pdf#page=4","Abrir facsímil")</f>
        <v>Abrir facsímil</v>
      </c>
      <c r="K523" s="15" t="s">
        <v>23</v>
      </c>
    </row>
    <row r="524" spans="1:11" ht="42" customHeight="1">
      <c r="A524" s="4" t="s">
        <v>1352</v>
      </c>
      <c r="B524" s="5" t="s">
        <v>1353</v>
      </c>
      <c r="C524" s="5" t="s">
        <v>38</v>
      </c>
      <c r="D524" s="5" t="s">
        <v>39</v>
      </c>
      <c r="E524" s="5" t="s">
        <v>615</v>
      </c>
      <c r="F524" s="9">
        <v>72</v>
      </c>
      <c r="G524" s="9">
        <v>806</v>
      </c>
      <c r="H524" s="5" t="s">
        <v>21</v>
      </c>
      <c r="I524" s="5" t="s">
        <v>1354</v>
      </c>
      <c r="J524" s="12" t="str">
        <f>HYPERLINK("https://www.boe.es/gazeta/dias/1801/07/24/pdfs/GMD-1801-72.pdf#page=11","Abrir facsímil")</f>
        <v>Abrir facsímil</v>
      </c>
      <c r="K524" s="15" t="s">
        <v>23</v>
      </c>
    </row>
    <row r="525" spans="1:11" ht="42" customHeight="1">
      <c r="A525" s="4" t="s">
        <v>1355</v>
      </c>
      <c r="B525" s="5" t="s">
        <v>1355</v>
      </c>
      <c r="C525" s="5" t="s">
        <v>32</v>
      </c>
      <c r="D525" s="5" t="s">
        <v>33</v>
      </c>
      <c r="E525" s="5" t="s">
        <v>44</v>
      </c>
      <c r="F525" s="9">
        <v>117</v>
      </c>
      <c r="G525" s="9">
        <v>1284</v>
      </c>
      <c r="H525" s="5" t="s">
        <v>21</v>
      </c>
      <c r="I525" s="5" t="s">
        <v>1356</v>
      </c>
      <c r="J525" s="12" t="str">
        <f>HYPERLINK("https://www.boe.es/gazeta/dias/1801/12/22/pdfs/GMD-1801-117.pdf#page=11","Abrir facsímil")</f>
        <v>Abrir facsímil</v>
      </c>
      <c r="K525" s="15" t="s">
        <v>23</v>
      </c>
    </row>
    <row r="526" spans="1:11" ht="42" customHeight="1">
      <c r="A526" s="4" t="s">
        <v>1357</v>
      </c>
      <c r="B526" s="5" t="s">
        <v>1357</v>
      </c>
      <c r="C526" s="5" t="s">
        <v>32</v>
      </c>
      <c r="D526" s="5" t="s">
        <v>33</v>
      </c>
      <c r="E526" s="5" t="s">
        <v>48</v>
      </c>
      <c r="F526" s="9">
        <v>20</v>
      </c>
      <c r="G526" s="9">
        <v>265</v>
      </c>
      <c r="H526" s="5" t="s">
        <v>21</v>
      </c>
      <c r="I526" s="5" t="s">
        <v>1358</v>
      </c>
      <c r="J526" s="12" t="str">
        <f>HYPERLINK("https://www.boe.es/gazeta/dias/1801/03/10/pdfs/GMD-1801-20.pdf#page=10","Abrir facsímil")</f>
        <v>Abrir facsímil</v>
      </c>
      <c r="K526" s="15" t="s">
        <v>23</v>
      </c>
    </row>
    <row r="527" spans="1:11" ht="42" customHeight="1">
      <c r="A527" s="4" t="s">
        <v>1359</v>
      </c>
      <c r="B527" s="5" t="s">
        <v>1359</v>
      </c>
      <c r="C527" s="5" t="s">
        <v>32</v>
      </c>
      <c r="D527" s="5" t="s">
        <v>33</v>
      </c>
      <c r="E527" s="5" t="s">
        <v>201</v>
      </c>
      <c r="F527" s="9">
        <v>79</v>
      </c>
      <c r="G527" s="9">
        <v>889</v>
      </c>
      <c r="H527" s="5" t="s">
        <v>21</v>
      </c>
      <c r="I527" s="5" t="s">
        <v>1360</v>
      </c>
      <c r="J527" s="12" t="str">
        <f>HYPERLINK("https://www.boe.es/gazeta/dias/1801/08/18/pdfs/GMD-1801-79.pdf#page=6","Abrir facsímil")</f>
        <v>Abrir facsímil</v>
      </c>
      <c r="K527" s="15" t="s">
        <v>23</v>
      </c>
    </row>
    <row r="528" spans="1:11" ht="42" customHeight="1">
      <c r="A528" s="4" t="s">
        <v>1361</v>
      </c>
      <c r="B528" s="5" t="s">
        <v>1361</v>
      </c>
      <c r="C528" s="5" t="s">
        <v>26</v>
      </c>
      <c r="D528" s="5" t="s">
        <v>27</v>
      </c>
      <c r="E528" s="5" t="s">
        <v>338</v>
      </c>
      <c r="F528" s="9">
        <v>83</v>
      </c>
      <c r="G528" s="9">
        <v>937</v>
      </c>
      <c r="H528" s="5" t="s">
        <v>21</v>
      </c>
      <c r="I528" s="5" t="s">
        <v>1362</v>
      </c>
      <c r="J528" s="12" t="str">
        <f>HYPERLINK("https://www.boe.es/gazeta/dias/1801/09/01/pdfs/GMD-1801-83.pdf#page=12","Abrir facsímil")</f>
        <v>Abrir facsímil</v>
      </c>
      <c r="K528" s="15" t="s">
        <v>23</v>
      </c>
    </row>
    <row r="529" spans="1:11" ht="42" customHeight="1">
      <c r="A529" s="4" t="s">
        <v>1363</v>
      </c>
      <c r="B529" s="5" t="s">
        <v>1364</v>
      </c>
      <c r="C529" s="5" t="s">
        <v>69</v>
      </c>
      <c r="D529" s="5" t="s">
        <v>19</v>
      </c>
      <c r="E529" s="5" t="s">
        <v>137</v>
      </c>
      <c r="F529" s="9">
        <v>30</v>
      </c>
      <c r="G529" s="9">
        <v>394</v>
      </c>
      <c r="H529" s="5" t="s">
        <v>21</v>
      </c>
      <c r="I529" s="5" t="s">
        <v>1365</v>
      </c>
      <c r="J529" s="12" t="str">
        <f>HYPERLINK("https://www.boe.es/gazeta/dias/1801/04/14/pdfs/GMD-1801-30.pdf#page=10","Abrir facsímil")</f>
        <v>Abrir facsímil</v>
      </c>
      <c r="K529" s="15" t="s">
        <v>23</v>
      </c>
    </row>
    <row r="530" spans="1:11" ht="42" customHeight="1">
      <c r="A530" s="4" t="s">
        <v>1366</v>
      </c>
      <c r="B530" s="5" t="s">
        <v>1366</v>
      </c>
      <c r="C530" s="5" t="s">
        <v>32</v>
      </c>
      <c r="D530" s="5" t="s">
        <v>33</v>
      </c>
      <c r="E530" s="5" t="s">
        <v>182</v>
      </c>
      <c r="F530" s="9">
        <v>18</v>
      </c>
      <c r="G530" s="9">
        <v>220</v>
      </c>
      <c r="H530" s="5" t="s">
        <v>21</v>
      </c>
      <c r="I530" s="5" t="s">
        <v>1367</v>
      </c>
      <c r="J530" s="12" t="str">
        <f>HYPERLINK("https://www.boe.es/gazeta/dias/1801/03/03/pdfs/GMD-1801-18.pdf#page=1","Abrir facsímil")</f>
        <v>Abrir facsímil</v>
      </c>
      <c r="K530" s="15" t="s">
        <v>23</v>
      </c>
    </row>
    <row r="531" spans="1:11" ht="42" customHeight="1">
      <c r="A531" s="4" t="s">
        <v>1368</v>
      </c>
      <c r="B531" s="5" t="s">
        <v>1368</v>
      </c>
      <c r="C531" s="5" t="s">
        <v>75</v>
      </c>
      <c r="D531" s="5" t="s">
        <v>76</v>
      </c>
      <c r="E531" s="5" t="s">
        <v>161</v>
      </c>
      <c r="F531" s="9">
        <v>58</v>
      </c>
      <c r="G531" s="9">
        <v>657</v>
      </c>
      <c r="H531" s="5" t="s">
        <v>21</v>
      </c>
      <c r="I531" s="5" t="s">
        <v>1369</v>
      </c>
      <c r="J531" s="12" t="str">
        <f>HYPERLINK("https://www.boe.es/gazeta/dias/1801/06/19/pdfs/GMD-1801-58.pdf#page=2","Abrir facsímil")</f>
        <v>Abrir facsímil</v>
      </c>
      <c r="K531" s="15" t="s">
        <v>23</v>
      </c>
    </row>
    <row r="532" spans="1:11" ht="42" customHeight="1">
      <c r="A532" s="4" t="s">
        <v>1370</v>
      </c>
      <c r="B532" s="5" t="s">
        <v>1371</v>
      </c>
      <c r="C532" s="5" t="s">
        <v>75</v>
      </c>
      <c r="D532" s="5" t="s">
        <v>76</v>
      </c>
      <c r="E532" s="5" t="s">
        <v>108</v>
      </c>
      <c r="F532" s="9">
        <v>61</v>
      </c>
      <c r="G532" s="9">
        <v>692</v>
      </c>
      <c r="H532" s="5" t="s">
        <v>21</v>
      </c>
      <c r="I532" s="5" t="s">
        <v>1372</v>
      </c>
      <c r="J532" s="12" t="str">
        <f>HYPERLINK("https://www.boe.es/gazeta/dias/1801/06/30/pdfs/GMD-1801-61.pdf#page=1","Abrir facsímil")</f>
        <v>Abrir facsímil</v>
      </c>
      <c r="K532" s="15" t="s">
        <v>23</v>
      </c>
    </row>
    <row r="533" spans="1:11" ht="42" customHeight="1">
      <c r="A533" s="4" t="s">
        <v>1373</v>
      </c>
      <c r="B533" s="5" t="s">
        <v>1374</v>
      </c>
      <c r="C533" s="5" t="s">
        <v>75</v>
      </c>
      <c r="D533" s="5" t="s">
        <v>76</v>
      </c>
      <c r="E533" s="5" t="s">
        <v>211</v>
      </c>
      <c r="F533" s="9">
        <v>87</v>
      </c>
      <c r="G533" s="9">
        <v>959</v>
      </c>
      <c r="H533" s="5" t="s">
        <v>21</v>
      </c>
      <c r="I533" s="5" t="s">
        <v>1375</v>
      </c>
      <c r="J533" s="12" t="str">
        <f>HYPERLINK("https://www.boe.es/gazeta/dias/1801/09/11/pdfs/GMD-1801-87.pdf#page=2","Abrir facsímil")</f>
        <v>Abrir facsímil</v>
      </c>
      <c r="K533" s="15" t="s">
        <v>23</v>
      </c>
    </row>
    <row r="534" spans="1:11" ht="42" customHeight="1">
      <c r="A534" s="4" t="s">
        <v>1376</v>
      </c>
      <c r="B534" s="5" t="s">
        <v>1376</v>
      </c>
      <c r="C534" s="5" t="s">
        <v>69</v>
      </c>
      <c r="D534" s="5" t="s">
        <v>19</v>
      </c>
      <c r="E534" s="5" t="s">
        <v>112</v>
      </c>
      <c r="F534" s="9">
        <v>114</v>
      </c>
      <c r="G534" s="9">
        <v>1247</v>
      </c>
      <c r="H534" s="5" t="s">
        <v>21</v>
      </c>
      <c r="I534" s="5" t="s">
        <v>1377</v>
      </c>
      <c r="J534" s="12" t="str">
        <f>HYPERLINK("https://www.boe.es/gazeta/dias/1801/12/11/pdfs/GMD-1801-114.pdf#page=9","Abrir facsímil")</f>
        <v>Abrir facsímil</v>
      </c>
      <c r="K534" s="15" t="s">
        <v>23</v>
      </c>
    </row>
    <row r="535" spans="1:11" ht="42" customHeight="1">
      <c r="A535" s="4" t="s">
        <v>1378</v>
      </c>
      <c r="B535" s="5" t="s">
        <v>1379</v>
      </c>
      <c r="C535" s="5" t="s">
        <v>32</v>
      </c>
      <c r="D535" s="5" t="s">
        <v>33</v>
      </c>
      <c r="E535" s="5" t="s">
        <v>1058</v>
      </c>
      <c r="F535" s="9">
        <v>108</v>
      </c>
      <c r="G535" s="9">
        <v>1191</v>
      </c>
      <c r="H535" s="5" t="s">
        <v>21</v>
      </c>
      <c r="I535" s="5" t="s">
        <v>1380</v>
      </c>
      <c r="J535" s="12" t="str">
        <f>HYPERLINK("https://www.boe.es/gazeta/dias/1801/11/20/pdfs/GMD-1801-108.pdf#page=8","Abrir facsímil")</f>
        <v>Abrir facsímil</v>
      </c>
      <c r="K535" s="15" t="s">
        <v>23</v>
      </c>
    </row>
    <row r="536" spans="1:11" ht="42" customHeight="1">
      <c r="A536" s="4" t="s">
        <v>1381</v>
      </c>
      <c r="B536" s="5" t="s">
        <v>1382</v>
      </c>
      <c r="C536" s="5" t="s">
        <v>32</v>
      </c>
      <c r="D536" s="5" t="s">
        <v>33</v>
      </c>
      <c r="E536" s="5" t="s">
        <v>219</v>
      </c>
      <c r="F536" s="9">
        <v>26</v>
      </c>
      <c r="G536" s="9">
        <v>346</v>
      </c>
      <c r="H536" s="5" t="s">
        <v>21</v>
      </c>
      <c r="I536" s="5" t="s">
        <v>1383</v>
      </c>
      <c r="J536" s="12" t="str">
        <f>HYPERLINK("https://www.boe.es/gazeta/dias/1801/03/31/pdfs/GMD-1801-26.pdf#page=10","Abrir facsímil")</f>
        <v>Abrir facsímil</v>
      </c>
      <c r="K536" s="15" t="s">
        <v>23</v>
      </c>
    </row>
    <row r="537" spans="1:11" ht="42" customHeight="1">
      <c r="A537" s="4" t="s">
        <v>1384</v>
      </c>
      <c r="B537" s="5" t="s">
        <v>1385</v>
      </c>
      <c r="C537" s="5" t="s">
        <v>32</v>
      </c>
      <c r="D537" s="5" t="s">
        <v>33</v>
      </c>
      <c r="E537" s="5" t="s">
        <v>352</v>
      </c>
      <c r="F537" s="9">
        <v>43</v>
      </c>
      <c r="G537" s="9">
        <v>538</v>
      </c>
      <c r="H537" s="5" t="s">
        <v>21</v>
      </c>
      <c r="I537" s="5" t="s">
        <v>1386</v>
      </c>
      <c r="J537" s="12" t="str">
        <f>HYPERLINK("https://www.boe.es/gazeta/dias/1801/05/26/pdfs/GMD-1801-43.pdf#page=10","Abrir facsímil")</f>
        <v>Abrir facsímil</v>
      </c>
      <c r="K537" s="15" t="s">
        <v>23</v>
      </c>
    </row>
    <row r="538" spans="1:11" ht="42" customHeight="1">
      <c r="A538" s="4" t="s">
        <v>1387</v>
      </c>
      <c r="B538" s="5" t="s">
        <v>1388</v>
      </c>
      <c r="C538" s="5" t="s">
        <v>32</v>
      </c>
      <c r="D538" s="5" t="s">
        <v>33</v>
      </c>
      <c r="E538" s="5" t="s">
        <v>165</v>
      </c>
      <c r="F538" s="9">
        <v>59</v>
      </c>
      <c r="G538" s="9">
        <v>676</v>
      </c>
      <c r="H538" s="5" t="s">
        <v>21</v>
      </c>
      <c r="I538" s="5" t="s">
        <v>1389</v>
      </c>
      <c r="J538" s="12" t="str">
        <f>HYPERLINK("https://www.boe.es/gazeta/dias/1801/06/23/pdfs/GMD-1801-59.pdf#page=9","Abrir facsímil")</f>
        <v>Abrir facsímil</v>
      </c>
      <c r="K538" s="15" t="s">
        <v>23</v>
      </c>
    </row>
    <row r="539" spans="1:11" ht="42" customHeight="1">
      <c r="A539" s="4" t="s">
        <v>1390</v>
      </c>
      <c r="B539" s="5" t="s">
        <v>1391</v>
      </c>
      <c r="C539" s="5" t="s">
        <v>32</v>
      </c>
      <c r="D539" s="5" t="s">
        <v>33</v>
      </c>
      <c r="E539" s="5" t="s">
        <v>165</v>
      </c>
      <c r="F539" s="9">
        <v>59</v>
      </c>
      <c r="G539" s="9">
        <v>676</v>
      </c>
      <c r="H539" s="5" t="s">
        <v>21</v>
      </c>
      <c r="I539" s="5" t="s">
        <v>1392</v>
      </c>
      <c r="J539" s="12" t="str">
        <f>HYPERLINK("https://www.boe.es/gazeta/dias/1801/06/23/pdfs/GMD-1801-59.pdf#page=9","Abrir facsímil")</f>
        <v>Abrir facsímil</v>
      </c>
      <c r="K539" s="15" t="s">
        <v>23</v>
      </c>
    </row>
    <row r="540" spans="1:11" ht="42" customHeight="1">
      <c r="A540" s="4" t="s">
        <v>1393</v>
      </c>
      <c r="B540" s="5" t="s">
        <v>1394</v>
      </c>
      <c r="C540" s="5" t="s">
        <v>32</v>
      </c>
      <c r="D540" s="5" t="s">
        <v>33</v>
      </c>
      <c r="E540" s="5" t="s">
        <v>112</v>
      </c>
      <c r="F540" s="9">
        <v>114</v>
      </c>
      <c r="G540" s="9">
        <v>1244</v>
      </c>
      <c r="H540" s="5" t="s">
        <v>21</v>
      </c>
      <c r="I540" s="5" t="s">
        <v>1395</v>
      </c>
      <c r="J540" s="12" t="str">
        <f>HYPERLINK("https://www.boe.es/gazeta/dias/1801/12/11/pdfs/GMD-1801-114.pdf#page=6","Abrir facsímil")</f>
        <v>Abrir facsímil</v>
      </c>
      <c r="K540" s="15" t="s">
        <v>23</v>
      </c>
    </row>
    <row r="541" spans="1:11" ht="42" customHeight="1">
      <c r="A541" s="4" t="s">
        <v>1396</v>
      </c>
      <c r="B541" s="5" t="s">
        <v>1397</v>
      </c>
      <c r="C541" s="5" t="s">
        <v>32</v>
      </c>
      <c r="D541" s="5" t="s">
        <v>33</v>
      </c>
      <c r="E541" s="5" t="s">
        <v>137</v>
      </c>
      <c r="F541" s="9">
        <v>30</v>
      </c>
      <c r="G541" s="9">
        <v>391</v>
      </c>
      <c r="H541" s="5" t="s">
        <v>21</v>
      </c>
      <c r="I541" s="5" t="s">
        <v>1398</v>
      </c>
      <c r="J541" s="12" t="str">
        <f>HYPERLINK("https://www.boe.es/gazeta/dias/1801/04/14/pdfs/GMD-1801-30.pdf#page=7","Abrir facsímil")</f>
        <v>Abrir facsímil</v>
      </c>
      <c r="K541" s="15" t="s">
        <v>23</v>
      </c>
    </row>
    <row r="542" spans="1:11" ht="42" customHeight="1">
      <c r="A542" s="4" t="s">
        <v>1396</v>
      </c>
      <c r="B542" s="5" t="s">
        <v>1397</v>
      </c>
      <c r="C542" s="5" t="s">
        <v>26</v>
      </c>
      <c r="D542" s="5" t="s">
        <v>27</v>
      </c>
      <c r="E542" s="5" t="s">
        <v>137</v>
      </c>
      <c r="F542" s="9">
        <v>30</v>
      </c>
      <c r="G542" s="9">
        <v>392</v>
      </c>
      <c r="H542" s="5" t="s">
        <v>21</v>
      </c>
      <c r="I542" s="5" t="s">
        <v>1399</v>
      </c>
      <c r="J542" s="12" t="str">
        <f>HYPERLINK("https://www.boe.es/gazeta/dias/1801/04/14/pdfs/GMD-1801-30.pdf#page=8","Abrir facsímil")</f>
        <v>Abrir facsímil</v>
      </c>
      <c r="K542" s="15" t="s">
        <v>23</v>
      </c>
    </row>
    <row r="543" spans="1:11" ht="42" customHeight="1">
      <c r="A543" s="4" t="s">
        <v>1396</v>
      </c>
      <c r="B543" s="5" t="s">
        <v>1397</v>
      </c>
      <c r="C543" s="5" t="s">
        <v>26</v>
      </c>
      <c r="D543" s="5" t="s">
        <v>27</v>
      </c>
      <c r="E543" s="5" t="s">
        <v>143</v>
      </c>
      <c r="F543" s="9">
        <v>34</v>
      </c>
      <c r="G543" s="9">
        <v>435</v>
      </c>
      <c r="H543" s="5" t="s">
        <v>21</v>
      </c>
      <c r="I543" s="5" t="s">
        <v>1400</v>
      </c>
      <c r="J543" s="12" t="str">
        <f>HYPERLINK("https://www.boe.es/gazeta/dias/1801/04/28/pdfs/GMD-1801-34.pdf#page=7","Abrir facsímil")</f>
        <v>Abrir facsímil</v>
      </c>
      <c r="K543" s="15" t="s">
        <v>23</v>
      </c>
    </row>
    <row r="544" spans="1:11" ht="42" customHeight="1">
      <c r="A544" s="4" t="s">
        <v>1401</v>
      </c>
      <c r="B544" s="5" t="s">
        <v>1401</v>
      </c>
      <c r="C544" s="5" t="s">
        <v>515</v>
      </c>
      <c r="D544" s="5" t="s">
        <v>516</v>
      </c>
      <c r="E544" s="5" t="s">
        <v>501</v>
      </c>
      <c r="F544" s="9">
        <v>115</v>
      </c>
      <c r="G544" s="9" t="s">
        <v>299</v>
      </c>
      <c r="H544" s="5" t="s">
        <v>21</v>
      </c>
      <c r="I544" s="5" t="s">
        <v>1402</v>
      </c>
      <c r="J544" s="12" t="str">
        <f>HYPERLINK("https://www.boe.es/gazeta/dias/1801/12/15/pdfs/GMD-C-1801-115.pdf#page=5","Abrir facsímil")</f>
        <v>Abrir facsímil</v>
      </c>
      <c r="K544" s="15" t="s">
        <v>23</v>
      </c>
    </row>
    <row r="545" spans="1:11" ht="42" customHeight="1">
      <c r="A545" s="4" t="s">
        <v>1403</v>
      </c>
      <c r="B545" s="5" t="s">
        <v>1404</v>
      </c>
      <c r="C545" s="5" t="s">
        <v>32</v>
      </c>
      <c r="D545" s="5" t="s">
        <v>33</v>
      </c>
      <c r="E545" s="5" t="s">
        <v>131</v>
      </c>
      <c r="F545" s="9">
        <v>22</v>
      </c>
      <c r="G545" s="9">
        <v>290</v>
      </c>
      <c r="H545" s="5" t="s">
        <v>21</v>
      </c>
      <c r="I545" s="5" t="s">
        <v>1405</v>
      </c>
      <c r="J545" s="12" t="str">
        <f>HYPERLINK("https://www.boe.es/gazeta/dias/1801/03/17/pdfs/GMD-1801-22.pdf#page=7","Abrir facsímil")</f>
        <v>Abrir facsímil</v>
      </c>
      <c r="K545" s="15" t="s">
        <v>23</v>
      </c>
    </row>
    <row r="546" spans="1:11" ht="42" customHeight="1">
      <c r="A546" s="4" t="s">
        <v>1406</v>
      </c>
      <c r="B546" s="5" t="s">
        <v>1406</v>
      </c>
      <c r="C546" s="5" t="s">
        <v>75</v>
      </c>
      <c r="D546" s="5" t="s">
        <v>76</v>
      </c>
      <c r="E546" s="5" t="s">
        <v>935</v>
      </c>
      <c r="F546" s="9">
        <v>116</v>
      </c>
      <c r="G546" s="9">
        <v>1268</v>
      </c>
      <c r="H546" s="5" t="s">
        <v>21</v>
      </c>
      <c r="I546" s="5" t="s">
        <v>1407</v>
      </c>
      <c r="J546" s="12" t="str">
        <f>HYPERLINK("https://www.boe.es/gazeta/dias/1801/12/18/pdfs/GMD-1801-116.pdf#page=10","Abrir facsímil")</f>
        <v>Abrir facsímil</v>
      </c>
      <c r="K546" s="15" t="s">
        <v>23</v>
      </c>
    </row>
    <row r="547" spans="1:11" ht="42" customHeight="1">
      <c r="A547" s="4" t="s">
        <v>1408</v>
      </c>
      <c r="B547" s="5" t="s">
        <v>1409</v>
      </c>
      <c r="C547" s="5" t="s">
        <v>69</v>
      </c>
      <c r="D547" s="5" t="s">
        <v>19</v>
      </c>
      <c r="E547" s="5" t="s">
        <v>126</v>
      </c>
      <c r="F547" s="9">
        <v>13</v>
      </c>
      <c r="G547" s="9">
        <v>162</v>
      </c>
      <c r="H547" s="5" t="s">
        <v>21</v>
      </c>
      <c r="I547" s="5" t="s">
        <v>1410</v>
      </c>
      <c r="J547" s="12" t="str">
        <f>HYPERLINK("https://www.boe.es/gazeta/dias/1801/02/13/pdfs/GMD-1801-13.pdf#page=9","Abrir facsímil")</f>
        <v>Abrir facsímil</v>
      </c>
      <c r="K547" s="15" t="s">
        <v>23</v>
      </c>
    </row>
    <row r="548" spans="1:11" ht="42" customHeight="1">
      <c r="A548" s="4" t="s">
        <v>1411</v>
      </c>
      <c r="B548" s="5" t="s">
        <v>1412</v>
      </c>
      <c r="C548" s="5" t="s">
        <v>32</v>
      </c>
      <c r="D548" s="5" t="s">
        <v>33</v>
      </c>
      <c r="E548" s="5" t="s">
        <v>186</v>
      </c>
      <c r="F548" s="9">
        <v>21</v>
      </c>
      <c r="G548" s="9">
        <v>280</v>
      </c>
      <c r="H548" s="5" t="s">
        <v>21</v>
      </c>
      <c r="I548" s="5" t="s">
        <v>1413</v>
      </c>
      <c r="J548" s="12" t="str">
        <f>HYPERLINK("https://www.boe.es/gazeta/dias/1801/03/13/pdfs/GMD-1801-21.pdf#page=9","Abrir facsímil")</f>
        <v>Abrir facsímil</v>
      </c>
      <c r="K548" s="15" t="s">
        <v>23</v>
      </c>
    </row>
    <row r="549" spans="1:11" ht="42" customHeight="1">
      <c r="A549" s="4" t="s">
        <v>1414</v>
      </c>
      <c r="B549" s="5" t="s">
        <v>1415</v>
      </c>
      <c r="C549" s="5" t="s">
        <v>38</v>
      </c>
      <c r="D549" s="5" t="s">
        <v>39</v>
      </c>
      <c r="E549" s="5" t="s">
        <v>289</v>
      </c>
      <c r="F549" s="9">
        <v>40</v>
      </c>
      <c r="G549" s="9">
        <v>514</v>
      </c>
      <c r="H549" s="5" t="s">
        <v>21</v>
      </c>
      <c r="I549" s="5" t="s">
        <v>1416</v>
      </c>
      <c r="J549" s="12" t="str">
        <f>HYPERLINK("https://www.boe.es/gazeta/dias/1801/05/19/pdfs/GMD-1801-40.pdf#page=6","Abrir facsímil")</f>
        <v>Abrir facsímil</v>
      </c>
      <c r="K549" s="15" t="s">
        <v>23</v>
      </c>
    </row>
    <row r="550" spans="1:11" ht="42" customHeight="1">
      <c r="A550" s="4" t="s">
        <v>1417</v>
      </c>
      <c r="B550" s="5" t="s">
        <v>1418</v>
      </c>
      <c r="C550" s="5" t="s">
        <v>75</v>
      </c>
      <c r="D550" s="5" t="s">
        <v>76</v>
      </c>
      <c r="E550" s="5" t="s">
        <v>201</v>
      </c>
      <c r="F550" s="9">
        <v>79</v>
      </c>
      <c r="G550" s="9">
        <v>887</v>
      </c>
      <c r="H550" s="5" t="s">
        <v>21</v>
      </c>
      <c r="I550" s="5" t="s">
        <v>1419</v>
      </c>
      <c r="J550" s="12" t="str">
        <f>HYPERLINK("https://www.boe.es/gazeta/dias/1801/08/18/pdfs/GMD-1801-79.pdf#page=4","Abrir facsímil")</f>
        <v>Abrir facsímil</v>
      </c>
      <c r="K550" s="15" t="s">
        <v>23</v>
      </c>
    </row>
    <row r="551" spans="1:11" ht="42" customHeight="1">
      <c r="A551" s="4" t="s">
        <v>1420</v>
      </c>
      <c r="B551" s="5" t="s">
        <v>1421</v>
      </c>
      <c r="C551" s="5" t="s">
        <v>75</v>
      </c>
      <c r="D551" s="5" t="s">
        <v>76</v>
      </c>
      <c r="E551" s="5" t="s">
        <v>194</v>
      </c>
      <c r="F551" s="9">
        <v>92</v>
      </c>
      <c r="G551" s="9">
        <v>1007</v>
      </c>
      <c r="H551" s="5" t="s">
        <v>21</v>
      </c>
      <c r="I551" s="5" t="s">
        <v>1422</v>
      </c>
      <c r="J551" s="12" t="str">
        <f>HYPERLINK("https://www.boe.es/gazeta/dias/1801/09/25/pdfs/GMD-1801-92.pdf#page=2","Abrir facsímil")</f>
        <v>Abrir facsímil</v>
      </c>
      <c r="K551" s="15" t="s">
        <v>23</v>
      </c>
    </row>
    <row r="552" spans="1:11" ht="42" customHeight="1">
      <c r="A552" s="4" t="s">
        <v>1423</v>
      </c>
      <c r="B552" s="5" t="s">
        <v>1424</v>
      </c>
      <c r="C552" s="5" t="s">
        <v>18</v>
      </c>
      <c r="D552" s="5" t="s">
        <v>19</v>
      </c>
      <c r="E552" s="5" t="s">
        <v>186</v>
      </c>
      <c r="F552" s="9">
        <v>21</v>
      </c>
      <c r="G552" s="9">
        <v>273</v>
      </c>
      <c r="H552" s="5" t="s">
        <v>21</v>
      </c>
      <c r="I552" s="5" t="s">
        <v>1425</v>
      </c>
      <c r="J552" s="12" t="str">
        <f>HYPERLINK("https://www.boe.es/gazeta/dias/1801/03/13/pdfs/GMD-1801-21.pdf#page=2","Abrir facsímil")</f>
        <v>Abrir facsímil</v>
      </c>
      <c r="K552" s="15" t="s">
        <v>23</v>
      </c>
    </row>
    <row r="553" spans="1:11" ht="42" customHeight="1">
      <c r="A553" s="4" t="s">
        <v>1426</v>
      </c>
      <c r="B553" s="5" t="s">
        <v>1427</v>
      </c>
      <c r="C553" s="5" t="s">
        <v>75</v>
      </c>
      <c r="D553" s="5" t="s">
        <v>76</v>
      </c>
      <c r="E553" s="5" t="s">
        <v>161</v>
      </c>
      <c r="F553" s="9">
        <v>58</v>
      </c>
      <c r="G553" s="9">
        <v>658</v>
      </c>
      <c r="H553" s="5" t="s">
        <v>21</v>
      </c>
      <c r="I553" s="5" t="s">
        <v>1428</v>
      </c>
      <c r="J553" s="12" t="str">
        <f>HYPERLINK("https://www.boe.es/gazeta/dias/1801/06/19/pdfs/GMD-1801-58.pdf#page=3","Abrir facsímil")</f>
        <v>Abrir facsímil</v>
      </c>
      <c r="K553" s="15" t="s">
        <v>23</v>
      </c>
    </row>
    <row r="554" spans="1:11" ht="42" customHeight="1">
      <c r="A554" s="4" t="s">
        <v>1429</v>
      </c>
      <c r="B554" s="5" t="s">
        <v>1430</v>
      </c>
      <c r="C554" s="5" t="s">
        <v>75</v>
      </c>
      <c r="D554" s="5" t="s">
        <v>76</v>
      </c>
      <c r="E554" s="5" t="s">
        <v>153</v>
      </c>
      <c r="F554" s="9">
        <v>48</v>
      </c>
      <c r="G554" s="9">
        <v>582</v>
      </c>
      <c r="H554" s="5" t="s">
        <v>21</v>
      </c>
      <c r="I554" s="5" t="s">
        <v>1431</v>
      </c>
      <c r="J554" s="12" t="str">
        <f>HYPERLINK("https://www.boe.es/gazeta/dias/1801/06/05/pdfs/GMD-1801-48.pdf#page=4","Abrir facsímil")</f>
        <v>Abrir facsímil</v>
      </c>
      <c r="K554" s="15" t="s">
        <v>23</v>
      </c>
    </row>
    <row r="555" spans="1:11" ht="42" customHeight="1">
      <c r="A555" s="4" t="s">
        <v>1432</v>
      </c>
      <c r="B555" s="5" t="s">
        <v>1433</v>
      </c>
      <c r="C555" s="5" t="s">
        <v>32</v>
      </c>
      <c r="D555" s="5" t="s">
        <v>33</v>
      </c>
      <c r="E555" s="5" t="s">
        <v>221</v>
      </c>
      <c r="F555" s="9">
        <v>28</v>
      </c>
      <c r="G555" s="9">
        <v>363</v>
      </c>
      <c r="H555" s="5" t="s">
        <v>21</v>
      </c>
      <c r="I555" s="5" t="s">
        <v>1434</v>
      </c>
      <c r="J555" s="12" t="str">
        <f>HYPERLINK("https://www.boe.es/gazeta/dias/1801/04/07/pdfs/GMD-1801-28.pdf#page=3","Abrir facsímil")</f>
        <v>Abrir facsímil</v>
      </c>
      <c r="K555" s="15" t="s">
        <v>23</v>
      </c>
    </row>
    <row r="556" spans="1:11" ht="42" customHeight="1">
      <c r="A556" s="4" t="s">
        <v>1435</v>
      </c>
      <c r="B556" s="5" t="s">
        <v>1435</v>
      </c>
      <c r="C556" s="5" t="s">
        <v>32</v>
      </c>
      <c r="D556" s="5" t="s">
        <v>33</v>
      </c>
      <c r="E556" s="5" t="s">
        <v>1436</v>
      </c>
      <c r="F556" s="9">
        <v>95</v>
      </c>
      <c r="G556" s="9">
        <v>1039</v>
      </c>
      <c r="H556" s="5" t="s">
        <v>21</v>
      </c>
      <c r="I556" s="5" t="s">
        <v>1437</v>
      </c>
      <c r="J556" s="12" t="str">
        <f>HYPERLINK("https://www.boe.es/gazeta/dias/1801/10/06/pdfs/GMD-1801-95.pdf#page=3","Abrir facsímil")</f>
        <v>Abrir facsímil</v>
      </c>
      <c r="K556" s="15" t="s">
        <v>23</v>
      </c>
    </row>
    <row r="557" spans="1:11" ht="42" customHeight="1">
      <c r="A557" s="4" t="s">
        <v>1435</v>
      </c>
      <c r="B557" s="5" t="s">
        <v>1435</v>
      </c>
      <c r="C557" s="5" t="s">
        <v>75</v>
      </c>
      <c r="D557" s="5" t="s">
        <v>76</v>
      </c>
      <c r="E557" s="5" t="s">
        <v>935</v>
      </c>
      <c r="F557" s="9">
        <v>116</v>
      </c>
      <c r="G557" s="9">
        <v>1262</v>
      </c>
      <c r="H557" s="5" t="s">
        <v>21</v>
      </c>
      <c r="I557" s="5" t="s">
        <v>1438</v>
      </c>
      <c r="J557" s="12" t="str">
        <f>HYPERLINK("https://www.boe.es/gazeta/dias/1801/12/18/pdfs/GMD-1801-116.pdf#page=4","Abrir facsímil")</f>
        <v>Abrir facsímil</v>
      </c>
      <c r="K557" s="15" t="s">
        <v>23</v>
      </c>
    </row>
    <row r="558" spans="1:11" ht="42" customHeight="1">
      <c r="A558" s="4" t="s">
        <v>1439</v>
      </c>
      <c r="B558" s="5" t="s">
        <v>1440</v>
      </c>
      <c r="C558" s="5" t="s">
        <v>32</v>
      </c>
      <c r="D558" s="5" t="s">
        <v>33</v>
      </c>
      <c r="E558" s="5" t="s">
        <v>201</v>
      </c>
      <c r="F558" s="9">
        <v>79</v>
      </c>
      <c r="G558" s="9">
        <v>885</v>
      </c>
      <c r="H558" s="5" t="s">
        <v>21</v>
      </c>
      <c r="I558" s="5" t="s">
        <v>1441</v>
      </c>
      <c r="J558" s="12" t="str">
        <f>HYPERLINK("https://www.boe.es/gazeta/dias/1801/08/18/pdfs/GMD-1801-79.pdf#page=2","Abrir facsímil")</f>
        <v>Abrir facsímil</v>
      </c>
      <c r="K558" s="15" t="s">
        <v>23</v>
      </c>
    </row>
    <row r="559" spans="1:11" ht="42" customHeight="1">
      <c r="A559" s="4" t="s">
        <v>1442</v>
      </c>
      <c r="B559" s="5" t="s">
        <v>1443</v>
      </c>
      <c r="C559" s="5" t="s">
        <v>32</v>
      </c>
      <c r="D559" s="5" t="s">
        <v>33</v>
      </c>
      <c r="E559" s="5" t="s">
        <v>219</v>
      </c>
      <c r="F559" s="9">
        <v>26</v>
      </c>
      <c r="G559" s="9">
        <v>344</v>
      </c>
      <c r="H559" s="5" t="s">
        <v>21</v>
      </c>
      <c r="I559" s="5" t="s">
        <v>1444</v>
      </c>
      <c r="J559" s="12" t="str">
        <f>HYPERLINK("https://www.boe.es/gazeta/dias/1801/03/31/pdfs/GMD-1801-26.pdf#page=8","Abrir facsímil")</f>
        <v>Abrir facsímil</v>
      </c>
      <c r="K559" s="15" t="s">
        <v>23</v>
      </c>
    </row>
    <row r="560" spans="1:11" ht="42" customHeight="1">
      <c r="A560" s="4" t="s">
        <v>1445</v>
      </c>
      <c r="B560" s="5" t="s">
        <v>1446</v>
      </c>
      <c r="C560" s="5" t="s">
        <v>69</v>
      </c>
      <c r="D560" s="5" t="s">
        <v>19</v>
      </c>
      <c r="E560" s="5" t="s">
        <v>462</v>
      </c>
      <c r="F560" s="9">
        <v>5</v>
      </c>
      <c r="G560" s="9">
        <v>51</v>
      </c>
      <c r="H560" s="5" t="s">
        <v>21</v>
      </c>
      <c r="I560" s="5" t="s">
        <v>1447</v>
      </c>
      <c r="J560" s="12" t="str">
        <f>HYPERLINK("https://www.boe.es/gazeta/dias/1801/01/16/pdfs/GMD-1801-5.pdf#page=3","Abrir facsímil")</f>
        <v>Abrir facsímil</v>
      </c>
      <c r="K560" s="15" t="s">
        <v>23</v>
      </c>
    </row>
    <row r="561" spans="1:11" ht="42" customHeight="1">
      <c r="A561" s="4" t="s">
        <v>1448</v>
      </c>
      <c r="B561" s="5" t="s">
        <v>1449</v>
      </c>
      <c r="C561" s="5" t="s">
        <v>80</v>
      </c>
      <c r="D561" s="5" t="s">
        <v>81</v>
      </c>
      <c r="E561" s="5" t="s">
        <v>82</v>
      </c>
      <c r="F561" s="9">
        <v>75</v>
      </c>
      <c r="G561" s="9" t="s">
        <v>996</v>
      </c>
      <c r="H561" s="5" t="s">
        <v>21</v>
      </c>
      <c r="I561" s="5" t="s">
        <v>1450</v>
      </c>
      <c r="J561" s="12" t="str">
        <f>HYPERLINK("https://www.boe.es/gazeta/dias/1801/08/04/pdfs/GMD-C-1801-75.pdf#page=6","Abrir facsímil")</f>
        <v>Abrir facsímil</v>
      </c>
      <c r="K561" s="15" t="s">
        <v>23</v>
      </c>
    </row>
    <row r="562" spans="1:11" ht="42" customHeight="1">
      <c r="A562" s="4" t="s">
        <v>1451</v>
      </c>
      <c r="B562" s="5" t="s">
        <v>1452</v>
      </c>
      <c r="C562" s="5" t="s">
        <v>32</v>
      </c>
      <c r="D562" s="5" t="s">
        <v>33</v>
      </c>
      <c r="E562" s="5" t="s">
        <v>120</v>
      </c>
      <c r="F562" s="9">
        <v>7</v>
      </c>
      <c r="G562" s="9">
        <v>84</v>
      </c>
      <c r="H562" s="5" t="s">
        <v>21</v>
      </c>
      <c r="I562" s="5" t="s">
        <v>1453</v>
      </c>
      <c r="J562" s="12" t="str">
        <f>HYPERLINK("https://www.boe.es/gazeta/dias/1801/01/23/pdfs/GMD-1801-7.pdf#page=8","Abrir facsímil")</f>
        <v>Abrir facsímil</v>
      </c>
      <c r="K562" s="15" t="s">
        <v>23</v>
      </c>
    </row>
    <row r="563" spans="1:11" ht="42" customHeight="1">
      <c r="A563" s="4" t="s">
        <v>1454</v>
      </c>
      <c r="B563" s="5" t="s">
        <v>1455</v>
      </c>
      <c r="C563" s="5" t="s">
        <v>32</v>
      </c>
      <c r="D563" s="5" t="s">
        <v>33</v>
      </c>
      <c r="E563" s="5" t="s">
        <v>50</v>
      </c>
      <c r="F563" s="9">
        <v>29</v>
      </c>
      <c r="G563" s="9">
        <v>382</v>
      </c>
      <c r="H563" s="5" t="s">
        <v>21</v>
      </c>
      <c r="I563" s="5" t="s">
        <v>1456</v>
      </c>
      <c r="J563" s="12" t="str">
        <f>HYPERLINK("https://www.boe.es/gazeta/dias/1801/04/10/pdfs/GMD-1801-29.pdf#page=10","Abrir facsímil")</f>
        <v>Abrir facsímil</v>
      </c>
      <c r="K563" s="15" t="s">
        <v>23</v>
      </c>
    </row>
    <row r="564" spans="1:11" ht="42" customHeight="1">
      <c r="A564" s="4" t="s">
        <v>1457</v>
      </c>
      <c r="B564" s="5" t="s">
        <v>1458</v>
      </c>
      <c r="C564" s="5" t="s">
        <v>32</v>
      </c>
      <c r="D564" s="5" t="s">
        <v>33</v>
      </c>
      <c r="E564" s="5" t="s">
        <v>935</v>
      </c>
      <c r="F564" s="9">
        <v>116</v>
      </c>
      <c r="G564" s="9">
        <v>1261</v>
      </c>
      <c r="H564" s="5" t="s">
        <v>21</v>
      </c>
      <c r="I564" s="5" t="s">
        <v>1459</v>
      </c>
      <c r="J564" s="12" t="str">
        <f>HYPERLINK("https://www.boe.es/gazeta/dias/1801/12/18/pdfs/GMD-1801-116.pdf#page=3","Abrir facsímil")</f>
        <v>Abrir facsímil</v>
      </c>
      <c r="K564" s="15" t="s">
        <v>23</v>
      </c>
    </row>
    <row r="565" spans="1:11" ht="42" customHeight="1">
      <c r="A565" s="4" t="s">
        <v>1460</v>
      </c>
      <c r="B565" s="5" t="s">
        <v>1460</v>
      </c>
      <c r="C565" s="5" t="s">
        <v>75</v>
      </c>
      <c r="D565" s="5" t="s">
        <v>76</v>
      </c>
      <c r="E565" s="5" t="s">
        <v>161</v>
      </c>
      <c r="F565" s="9">
        <v>58</v>
      </c>
      <c r="G565" s="9">
        <v>657</v>
      </c>
      <c r="H565" s="5" t="s">
        <v>21</v>
      </c>
      <c r="I565" s="5" t="s">
        <v>1461</v>
      </c>
      <c r="J565" s="12" t="str">
        <f>HYPERLINK("https://www.boe.es/gazeta/dias/1801/06/19/pdfs/GMD-1801-58.pdf#page=2","Abrir facsímil")</f>
        <v>Abrir facsímil</v>
      </c>
      <c r="K565" s="15" t="s">
        <v>23</v>
      </c>
    </row>
    <row r="566" spans="1:11" ht="42" customHeight="1">
      <c r="A566" s="4" t="s">
        <v>1462</v>
      </c>
      <c r="B566" s="5" t="s">
        <v>1462</v>
      </c>
      <c r="C566" s="5" t="s">
        <v>26</v>
      </c>
      <c r="D566" s="5" t="s">
        <v>27</v>
      </c>
      <c r="E566" s="5" t="s">
        <v>254</v>
      </c>
      <c r="F566" s="9">
        <v>73</v>
      </c>
      <c r="G566" s="9">
        <v>810</v>
      </c>
      <c r="H566" s="5" t="s">
        <v>21</v>
      </c>
      <c r="I566" s="5" t="s">
        <v>1463</v>
      </c>
      <c r="J566" s="12" t="str">
        <f>HYPERLINK("https://www.boe.es/gazeta/dias/1801/07/28/pdfs/GMD-1801-73.pdf#page=3","Abrir facsímil")</f>
        <v>Abrir facsímil</v>
      </c>
      <c r="K566" s="15" t="s">
        <v>23</v>
      </c>
    </row>
    <row r="567" spans="1:11" ht="42" customHeight="1">
      <c r="A567" s="4" t="s">
        <v>1464</v>
      </c>
      <c r="B567" s="5" t="s">
        <v>1465</v>
      </c>
      <c r="C567" s="5" t="s">
        <v>26</v>
      </c>
      <c r="D567" s="5" t="s">
        <v>27</v>
      </c>
      <c r="E567" s="5" t="s">
        <v>254</v>
      </c>
      <c r="F567" s="9">
        <v>73</v>
      </c>
      <c r="G567" s="9">
        <v>810</v>
      </c>
      <c r="H567" s="5" t="s">
        <v>21</v>
      </c>
      <c r="I567" s="5" t="s">
        <v>1466</v>
      </c>
      <c r="J567" s="12" t="str">
        <f>HYPERLINK("https://www.boe.es/gazeta/dias/1801/07/28/pdfs/GMD-1801-73.pdf#page=3","Abrir facsímil")</f>
        <v>Abrir facsímil</v>
      </c>
      <c r="K567" s="15" t="s">
        <v>23</v>
      </c>
    </row>
    <row r="568" spans="1:11" ht="42" customHeight="1">
      <c r="A568" s="4" t="s">
        <v>1467</v>
      </c>
      <c r="B568" s="5" t="s">
        <v>1468</v>
      </c>
      <c r="C568" s="5" t="s">
        <v>32</v>
      </c>
      <c r="D568" s="5" t="s">
        <v>33</v>
      </c>
      <c r="E568" s="5" t="s">
        <v>712</v>
      </c>
      <c r="F568" s="9">
        <v>105</v>
      </c>
      <c r="G568" s="9">
        <v>1155</v>
      </c>
      <c r="H568" s="5" t="s">
        <v>21</v>
      </c>
      <c r="I568" s="5" t="s">
        <v>1469</v>
      </c>
      <c r="J568" s="12" t="str">
        <f>HYPERLINK("https://www.boe.es/gazeta/dias/1801/11/10/pdfs/GMD-1801-105.pdf#page=8","Abrir facsímil")</f>
        <v>Abrir facsímil</v>
      </c>
      <c r="K568" s="15" t="s">
        <v>23</v>
      </c>
    </row>
    <row r="569" spans="1:11" ht="42" customHeight="1">
      <c r="A569" s="4" t="s">
        <v>1470</v>
      </c>
      <c r="B569" s="5" t="s">
        <v>1471</v>
      </c>
      <c r="C569" s="5" t="s">
        <v>32</v>
      </c>
      <c r="D569" s="5" t="s">
        <v>33</v>
      </c>
      <c r="E569" s="5" t="s">
        <v>352</v>
      </c>
      <c r="F569" s="9">
        <v>43</v>
      </c>
      <c r="G569" s="9">
        <v>538</v>
      </c>
      <c r="H569" s="5" t="s">
        <v>21</v>
      </c>
      <c r="I569" s="5" t="s">
        <v>1472</v>
      </c>
      <c r="J569" s="12" t="str">
        <f>HYPERLINK("https://www.boe.es/gazeta/dias/1801/05/26/pdfs/GMD-1801-43.pdf#page=10","Abrir facsímil")</f>
        <v>Abrir facsímil</v>
      </c>
      <c r="K569" s="15" t="s">
        <v>23</v>
      </c>
    </row>
    <row r="570" spans="1:11" ht="42" customHeight="1">
      <c r="A570" s="4" t="s">
        <v>1473</v>
      </c>
      <c r="B570" s="5" t="s">
        <v>1474</v>
      </c>
      <c r="C570" s="5" t="s">
        <v>38</v>
      </c>
      <c r="D570" s="5" t="s">
        <v>39</v>
      </c>
      <c r="E570" s="5" t="s">
        <v>20</v>
      </c>
      <c r="F570" s="9">
        <v>37</v>
      </c>
      <c r="G570" s="9">
        <v>481</v>
      </c>
      <c r="H570" s="5" t="s">
        <v>21</v>
      </c>
      <c r="I570" s="5" t="s">
        <v>1475</v>
      </c>
      <c r="J570" s="12" t="str">
        <f>HYPERLINK("https://www.boe.es/gazeta/dias/1801/05/08/pdfs/GMD-1801-37.pdf#page=9","Abrir facsímil")</f>
        <v>Abrir facsímil</v>
      </c>
      <c r="K570" s="15" t="s">
        <v>23</v>
      </c>
    </row>
    <row r="571" spans="1:11" ht="42" customHeight="1">
      <c r="A571" s="4" t="s">
        <v>1476</v>
      </c>
      <c r="B571" s="5" t="s">
        <v>1477</v>
      </c>
      <c r="C571" s="5" t="s">
        <v>75</v>
      </c>
      <c r="D571" s="5" t="s">
        <v>76</v>
      </c>
      <c r="E571" s="5" t="s">
        <v>190</v>
      </c>
      <c r="F571" s="9">
        <v>16</v>
      </c>
      <c r="G571" s="9">
        <v>198</v>
      </c>
      <c r="H571" s="5" t="s">
        <v>21</v>
      </c>
      <c r="I571" s="5" t="s">
        <v>1478</v>
      </c>
      <c r="J571" s="12" t="str">
        <f>HYPERLINK("https://www.boe.es/gazeta/dias/1801/02/24/pdfs/GMD-1801-16.pdf#page=5","Abrir facsímil")</f>
        <v>Abrir facsímil</v>
      </c>
      <c r="K571" s="15" t="s">
        <v>23</v>
      </c>
    </row>
    <row r="572" spans="1:11" ht="42" customHeight="1">
      <c r="A572" s="4" t="s">
        <v>1479</v>
      </c>
      <c r="B572" s="5" t="s">
        <v>1480</v>
      </c>
      <c r="C572" s="5" t="s">
        <v>1481</v>
      </c>
      <c r="D572" s="5" t="s">
        <v>1482</v>
      </c>
      <c r="E572" s="5" t="s">
        <v>151</v>
      </c>
      <c r="F572" s="9" t="s">
        <v>1483</v>
      </c>
      <c r="G572" s="9">
        <v>566</v>
      </c>
      <c r="H572" s="5" t="s">
        <v>21</v>
      </c>
      <c r="I572" s="5" t="s">
        <v>1484</v>
      </c>
      <c r="J572" s="12" t="str">
        <f>HYPERLINK("https://www.boe.es/gazeta/dias/1801/06/02/pdfs/GMD-1801-46E.pdf#page=2","Abrir facsímil")</f>
        <v>Abrir facsímil</v>
      </c>
      <c r="K572" s="15" t="s">
        <v>23</v>
      </c>
    </row>
    <row r="573" spans="1:11" ht="42" customHeight="1">
      <c r="A573" s="4" t="s">
        <v>1485</v>
      </c>
      <c r="B573" s="5" t="s">
        <v>1486</v>
      </c>
      <c r="C573" s="5" t="s">
        <v>18</v>
      </c>
      <c r="D573" s="5" t="s">
        <v>19</v>
      </c>
      <c r="E573" s="5" t="s">
        <v>1487</v>
      </c>
      <c r="F573" s="9" t="s">
        <v>1488</v>
      </c>
      <c r="G573" s="9">
        <v>642</v>
      </c>
      <c r="H573" s="5" t="s">
        <v>21</v>
      </c>
      <c r="I573" s="5" t="s">
        <v>1489</v>
      </c>
      <c r="J573" s="12" t="str">
        <f>HYPERLINK("https://www.boe.es/gazeta/dias/1801/06/17/pdfs/GMD-1801-56E.pdf#page=2","Abrir facsímil")</f>
        <v>Abrir facsímil</v>
      </c>
      <c r="K573" s="15" t="s">
        <v>23</v>
      </c>
    </row>
    <row r="574" spans="1:11" ht="42" customHeight="1">
      <c r="A574" s="4" t="s">
        <v>1490</v>
      </c>
      <c r="B574" s="5" t="s">
        <v>1490</v>
      </c>
      <c r="C574" s="5" t="s">
        <v>18</v>
      </c>
      <c r="D574" s="5" t="s">
        <v>19</v>
      </c>
      <c r="E574" s="5" t="s">
        <v>50</v>
      </c>
      <c r="F574" s="9">
        <v>29</v>
      </c>
      <c r="G574" s="9">
        <v>377</v>
      </c>
      <c r="H574" s="5" t="s">
        <v>21</v>
      </c>
      <c r="I574" s="5" t="s">
        <v>1491</v>
      </c>
      <c r="J574" s="12" t="str">
        <f>HYPERLINK("https://www.boe.es/gazeta/dias/1801/04/10/pdfs/GMD-1801-29.pdf#page=5","Abrir facsímil")</f>
        <v>Abrir facsímil</v>
      </c>
      <c r="K574" s="15" t="s">
        <v>23</v>
      </c>
    </row>
    <row r="575" spans="1:11" ht="42" customHeight="1">
      <c r="A575" s="4" t="s">
        <v>1492</v>
      </c>
      <c r="B575" s="5" t="s">
        <v>1493</v>
      </c>
      <c r="C575" s="5" t="s">
        <v>69</v>
      </c>
      <c r="D575" s="5" t="s">
        <v>19</v>
      </c>
      <c r="E575" s="5" t="s">
        <v>171</v>
      </c>
      <c r="F575" s="9">
        <v>76</v>
      </c>
      <c r="G575" s="9">
        <v>852</v>
      </c>
      <c r="H575" s="5" t="s">
        <v>21</v>
      </c>
      <c r="I575" s="5" t="s">
        <v>1494</v>
      </c>
      <c r="J575" s="12" t="str">
        <f>HYPERLINK("https://www.boe.es/gazeta/dias/1801/08/07/pdfs/GMD-1801-76.pdf#page=9","Abrir facsímil")</f>
        <v>Abrir facsímil</v>
      </c>
      <c r="K575" s="15" t="s">
        <v>23</v>
      </c>
    </row>
    <row r="576" spans="1:11" ht="42" customHeight="1">
      <c r="A576" s="4" t="s">
        <v>1495</v>
      </c>
      <c r="B576" s="5" t="s">
        <v>1496</v>
      </c>
      <c r="C576" s="5" t="s">
        <v>32</v>
      </c>
      <c r="D576" s="5" t="s">
        <v>33</v>
      </c>
      <c r="E576" s="5" t="s">
        <v>781</v>
      </c>
      <c r="F576" s="9">
        <v>14</v>
      </c>
      <c r="G576" s="9">
        <v>174</v>
      </c>
      <c r="H576" s="5" t="s">
        <v>21</v>
      </c>
      <c r="I576" s="5" t="s">
        <v>1497</v>
      </c>
      <c r="J576" s="12" t="str">
        <f>HYPERLINK("https://www.boe.es/gazeta/dias/1801/02/17/pdfs/GMD-1801-14.pdf#page=9","Abrir facsímil")</f>
        <v>Abrir facsímil</v>
      </c>
      <c r="K576" s="15" t="s">
        <v>23</v>
      </c>
    </row>
    <row r="577" spans="1:11" ht="42" customHeight="1">
      <c r="A577" s="4" t="s">
        <v>1495</v>
      </c>
      <c r="B577" s="5" t="s">
        <v>1496</v>
      </c>
      <c r="C577" s="5" t="s">
        <v>80</v>
      </c>
      <c r="D577" s="5" t="s">
        <v>81</v>
      </c>
      <c r="E577" s="5" t="s">
        <v>289</v>
      </c>
      <c r="F577" s="9">
        <v>40</v>
      </c>
      <c r="G577" s="9" t="s">
        <v>517</v>
      </c>
      <c r="H577" s="5" t="s">
        <v>21</v>
      </c>
      <c r="I577" s="5" t="s">
        <v>1498</v>
      </c>
      <c r="J577" s="12" t="str">
        <f>HYPERLINK("https://www.boe.es/gazeta/dias/1801/05/19/pdfs/GMD-C-1801-40.pdf#page=7","Abrir facsímil")</f>
        <v>Abrir facsímil</v>
      </c>
      <c r="K577" s="15" t="s">
        <v>23</v>
      </c>
    </row>
    <row r="578" spans="1:11" ht="42" customHeight="1">
      <c r="A578" s="4" t="s">
        <v>1499</v>
      </c>
      <c r="B578" s="5" t="s">
        <v>1499</v>
      </c>
      <c r="C578" s="5" t="s">
        <v>32</v>
      </c>
      <c r="D578" s="5" t="s">
        <v>33</v>
      </c>
      <c r="E578" s="5" t="s">
        <v>169</v>
      </c>
      <c r="F578" s="9">
        <v>70</v>
      </c>
      <c r="G578" s="9">
        <v>771</v>
      </c>
      <c r="H578" s="5" t="s">
        <v>21</v>
      </c>
      <c r="I578" s="5" t="s">
        <v>1500</v>
      </c>
      <c r="J578" s="12" t="str">
        <f>HYPERLINK("https://www.boe.es/gazeta/dias/1801/07/17/pdfs/GMD-1801-70.pdf#page=4","Abrir facsímil")</f>
        <v>Abrir facsímil</v>
      </c>
      <c r="K578" s="15" t="s">
        <v>23</v>
      </c>
    </row>
    <row r="579" spans="1:11" ht="42" customHeight="1">
      <c r="A579" s="4" t="s">
        <v>1501</v>
      </c>
      <c r="B579" s="5" t="s">
        <v>1502</v>
      </c>
      <c r="C579" s="5" t="s">
        <v>75</v>
      </c>
      <c r="D579" s="5" t="s">
        <v>76</v>
      </c>
      <c r="E579" s="5" t="s">
        <v>105</v>
      </c>
      <c r="F579" s="9">
        <v>44</v>
      </c>
      <c r="G579" s="9">
        <v>546</v>
      </c>
      <c r="H579" s="5" t="s">
        <v>21</v>
      </c>
      <c r="I579" s="5" t="s">
        <v>1503</v>
      </c>
      <c r="J579" s="12" t="str">
        <f>HYPERLINK("https://www.boe.es/gazeta/dias/1801/05/29/pdfs/GMD-1801-44.pdf#page=6","Abrir facsímil")</f>
        <v>Abrir facsímil</v>
      </c>
      <c r="K579" s="15" t="s">
        <v>23</v>
      </c>
    </row>
    <row r="580" spans="1:11" ht="42" customHeight="1">
      <c r="A580" s="4" t="s">
        <v>1501</v>
      </c>
      <c r="B580" s="5" t="s">
        <v>1502</v>
      </c>
      <c r="C580" s="5" t="s">
        <v>75</v>
      </c>
      <c r="D580" s="5" t="s">
        <v>76</v>
      </c>
      <c r="E580" s="5" t="s">
        <v>223</v>
      </c>
      <c r="F580" s="9">
        <v>74</v>
      </c>
      <c r="G580" s="9">
        <v>823</v>
      </c>
      <c r="H580" s="5" t="s">
        <v>21</v>
      </c>
      <c r="I580" s="5" t="s">
        <v>1504</v>
      </c>
      <c r="J580" s="12" t="str">
        <f>HYPERLINK("https://www.boe.es/gazeta/dias/1801/07/31/pdfs/GMD-1801-74.pdf#page=4","Abrir facsímil")</f>
        <v>Abrir facsímil</v>
      </c>
      <c r="K580" s="15" t="s">
        <v>23</v>
      </c>
    </row>
    <row r="581" spans="1:11" ht="42" customHeight="1">
      <c r="A581" s="4" t="s">
        <v>1501</v>
      </c>
      <c r="B581" s="5" t="s">
        <v>1502</v>
      </c>
      <c r="C581" s="5" t="s">
        <v>38</v>
      </c>
      <c r="D581" s="5" t="s">
        <v>39</v>
      </c>
      <c r="E581" s="5" t="s">
        <v>82</v>
      </c>
      <c r="F581" s="9">
        <v>75</v>
      </c>
      <c r="G581" s="9">
        <v>834</v>
      </c>
      <c r="H581" s="5" t="s">
        <v>21</v>
      </c>
      <c r="I581" s="5" t="s">
        <v>1505</v>
      </c>
      <c r="J581" s="12" t="str">
        <f>HYPERLINK("https://www.boe.es/gazeta/dias/1801/08/04/pdfs/GMD-1801-75.pdf#page=3","Abrir facsímil")</f>
        <v>Abrir facsímil</v>
      </c>
      <c r="K581" s="15" t="s">
        <v>23</v>
      </c>
    </row>
    <row r="582" spans="1:11" ht="42" customHeight="1">
      <c r="A582" s="4" t="s">
        <v>1501</v>
      </c>
      <c r="B582" s="5" t="s">
        <v>1502</v>
      </c>
      <c r="C582" s="5" t="s">
        <v>38</v>
      </c>
      <c r="D582" s="5" t="s">
        <v>39</v>
      </c>
      <c r="E582" s="5" t="s">
        <v>82</v>
      </c>
      <c r="F582" s="9">
        <v>75</v>
      </c>
      <c r="G582" s="9">
        <v>839</v>
      </c>
      <c r="H582" s="5" t="s">
        <v>21</v>
      </c>
      <c r="I582" s="5" t="s">
        <v>1506</v>
      </c>
      <c r="J582" s="12" t="str">
        <f>HYPERLINK("https://www.boe.es/gazeta/dias/1801/08/04/pdfs/GMD-1801-75.pdf#page=8","Abrir facsímil")</f>
        <v>Abrir facsímil</v>
      </c>
      <c r="K582" s="15" t="s">
        <v>23</v>
      </c>
    </row>
    <row r="583" spans="1:11" ht="42" customHeight="1">
      <c r="A583" s="4" t="s">
        <v>1507</v>
      </c>
      <c r="B583" s="5" t="s">
        <v>1508</v>
      </c>
      <c r="C583" s="5" t="s">
        <v>38</v>
      </c>
      <c r="D583" s="5" t="s">
        <v>39</v>
      </c>
      <c r="E583" s="5" t="s">
        <v>126</v>
      </c>
      <c r="F583" s="9">
        <v>13</v>
      </c>
      <c r="G583" s="9">
        <v>156</v>
      </c>
      <c r="H583" s="5" t="s">
        <v>21</v>
      </c>
      <c r="I583" s="5" t="s">
        <v>1509</v>
      </c>
      <c r="J583" s="12" t="str">
        <f>HYPERLINK("https://www.boe.es/gazeta/dias/1801/02/13/pdfs/GMD-1801-13.pdf#page=3","Abrir facsímil")</f>
        <v>Abrir facsímil</v>
      </c>
      <c r="K583" s="15" t="s">
        <v>23</v>
      </c>
    </row>
    <row r="584" spans="1:11" ht="42" customHeight="1">
      <c r="A584" s="4" t="s">
        <v>1507</v>
      </c>
      <c r="B584" s="5" t="s">
        <v>1508</v>
      </c>
      <c r="C584" s="5" t="s">
        <v>38</v>
      </c>
      <c r="D584" s="5" t="s">
        <v>39</v>
      </c>
      <c r="E584" s="5" t="s">
        <v>417</v>
      </c>
      <c r="F584" s="9">
        <v>64</v>
      </c>
      <c r="G584" s="9">
        <v>723</v>
      </c>
      <c r="H584" s="5" t="s">
        <v>21</v>
      </c>
      <c r="I584" s="5" t="s">
        <v>1510</v>
      </c>
      <c r="J584" s="12" t="str">
        <f>HYPERLINK("https://www.boe.es/gazeta/dias/1801/07/07/pdfs/GMD-1801-64.pdf#page=4","Abrir facsímil")</f>
        <v>Abrir facsímil</v>
      </c>
      <c r="K584" s="15" t="s">
        <v>23</v>
      </c>
    </row>
    <row r="585" spans="1:11" ht="42" customHeight="1">
      <c r="A585" s="4" t="s">
        <v>1511</v>
      </c>
      <c r="B585" s="5" t="s">
        <v>1512</v>
      </c>
      <c r="C585" s="5" t="s">
        <v>38</v>
      </c>
      <c r="D585" s="5" t="s">
        <v>39</v>
      </c>
      <c r="E585" s="5" t="s">
        <v>82</v>
      </c>
      <c r="F585" s="9">
        <v>75</v>
      </c>
      <c r="G585" s="9">
        <v>834</v>
      </c>
      <c r="H585" s="5" t="s">
        <v>21</v>
      </c>
      <c r="I585" s="5" t="s">
        <v>1513</v>
      </c>
      <c r="J585" s="12" t="str">
        <f>HYPERLINK("https://www.boe.es/gazeta/dias/1801/08/04/pdfs/GMD-1801-75.pdf#page=3","Abrir facsímil")</f>
        <v>Abrir facsímil</v>
      </c>
      <c r="K585" s="15" t="s">
        <v>23</v>
      </c>
    </row>
    <row r="586" spans="1:11" ht="42" customHeight="1">
      <c r="A586" s="4" t="s">
        <v>1514</v>
      </c>
      <c r="B586" s="5" t="s">
        <v>1515</v>
      </c>
      <c r="C586" s="5" t="s">
        <v>69</v>
      </c>
      <c r="D586" s="5" t="s">
        <v>19</v>
      </c>
      <c r="E586" s="5" t="s">
        <v>190</v>
      </c>
      <c r="F586" s="9">
        <v>16</v>
      </c>
      <c r="G586" s="9">
        <v>204</v>
      </c>
      <c r="H586" s="5" t="s">
        <v>21</v>
      </c>
      <c r="I586" s="5" t="s">
        <v>1516</v>
      </c>
      <c r="J586" s="12" t="str">
        <f>HYPERLINK("https://www.boe.es/gazeta/dias/1801/02/24/pdfs/GMD-1801-16.pdf#page=11","Abrir facsímil")</f>
        <v>Abrir facsímil</v>
      </c>
      <c r="K586" s="15" t="s">
        <v>23</v>
      </c>
    </row>
    <row r="587" spans="1:11" ht="42" customHeight="1">
      <c r="A587" s="4" t="s">
        <v>1517</v>
      </c>
      <c r="B587" s="5" t="s">
        <v>1518</v>
      </c>
      <c r="C587" s="5" t="s">
        <v>38</v>
      </c>
      <c r="D587" s="5" t="s">
        <v>39</v>
      </c>
      <c r="E587" s="5" t="s">
        <v>781</v>
      </c>
      <c r="F587" s="9">
        <v>14</v>
      </c>
      <c r="G587" s="9">
        <v>176</v>
      </c>
      <c r="H587" s="5" t="s">
        <v>21</v>
      </c>
      <c r="I587" s="5" t="s">
        <v>1519</v>
      </c>
      <c r="J587" s="12" t="str">
        <f>HYPERLINK("https://www.boe.es/gazeta/dias/1801/02/17/pdfs/GMD-1801-14.pdf#page=11","Abrir facsímil")</f>
        <v>Abrir facsímil</v>
      </c>
      <c r="K587" s="15" t="s">
        <v>23</v>
      </c>
    </row>
    <row r="588" spans="1:11" ht="42" customHeight="1">
      <c r="A588" s="4" t="s">
        <v>1520</v>
      </c>
      <c r="B588" s="5" t="s">
        <v>1521</v>
      </c>
      <c r="C588" s="5" t="s">
        <v>80</v>
      </c>
      <c r="D588" s="5" t="s">
        <v>81</v>
      </c>
      <c r="E588" s="5" t="s">
        <v>82</v>
      </c>
      <c r="F588" s="9">
        <v>75</v>
      </c>
      <c r="G588" s="9" t="s">
        <v>668</v>
      </c>
      <c r="H588" s="5" t="s">
        <v>21</v>
      </c>
      <c r="I588" s="5" t="s">
        <v>1522</v>
      </c>
      <c r="J588" s="12" t="str">
        <f>HYPERLINK("https://www.boe.es/gazeta/dias/1801/08/04/pdfs/GMD-C-1801-75.pdf#page=1","Abrir facsímil")</f>
        <v>Abrir facsímil</v>
      </c>
      <c r="K588" s="15" t="s">
        <v>23</v>
      </c>
    </row>
    <row r="589" spans="1:11" ht="42" customHeight="1">
      <c r="A589" s="4" t="s">
        <v>1523</v>
      </c>
      <c r="B589" s="5" t="s">
        <v>1524</v>
      </c>
      <c r="C589" s="5" t="s">
        <v>32</v>
      </c>
      <c r="D589" s="5" t="s">
        <v>33</v>
      </c>
      <c r="E589" s="5" t="s">
        <v>161</v>
      </c>
      <c r="F589" s="9">
        <v>58</v>
      </c>
      <c r="G589" s="9">
        <v>664</v>
      </c>
      <c r="H589" s="5" t="s">
        <v>21</v>
      </c>
      <c r="I589" s="5" t="s">
        <v>1525</v>
      </c>
      <c r="J589" s="12" t="str">
        <f>HYPERLINK("https://www.boe.es/gazeta/dias/1801/06/19/pdfs/GMD-1801-58.pdf#page=9","Abrir facsímil")</f>
        <v>Abrir facsímil</v>
      </c>
      <c r="K589" s="15" t="s">
        <v>23</v>
      </c>
    </row>
    <row r="590" spans="1:11" ht="42" customHeight="1">
      <c r="A590" s="4" t="s">
        <v>1526</v>
      </c>
      <c r="B590" s="5" t="s">
        <v>1527</v>
      </c>
      <c r="C590" s="5" t="s">
        <v>75</v>
      </c>
      <c r="D590" s="5" t="s">
        <v>76</v>
      </c>
      <c r="E590" s="5" t="s">
        <v>135</v>
      </c>
      <c r="F590" s="9">
        <v>24</v>
      </c>
      <c r="G590" s="9">
        <v>310</v>
      </c>
      <c r="H590" s="5" t="s">
        <v>21</v>
      </c>
      <c r="I590" s="5" t="s">
        <v>1528</v>
      </c>
      <c r="J590" s="12" t="str">
        <f>HYPERLINK("https://www.boe.es/gazeta/dias/1801/03/24/pdfs/GMD-1801-24.pdf#page=1","Abrir facsímil")</f>
        <v>Abrir facsímil</v>
      </c>
      <c r="K590" s="15" t="s">
        <v>23</v>
      </c>
    </row>
    <row r="591" spans="1:11" ht="42" customHeight="1">
      <c r="A591" s="4" t="s">
        <v>1529</v>
      </c>
      <c r="B591" s="5" t="s">
        <v>1529</v>
      </c>
      <c r="C591" s="5" t="s">
        <v>38</v>
      </c>
      <c r="D591" s="5" t="s">
        <v>39</v>
      </c>
      <c r="E591" s="5" t="s">
        <v>751</v>
      </c>
      <c r="F591" s="9">
        <v>106</v>
      </c>
      <c r="G591" s="9">
        <v>1161</v>
      </c>
      <c r="H591" s="5" t="s">
        <v>21</v>
      </c>
      <c r="I591" s="5" t="s">
        <v>1530</v>
      </c>
      <c r="J591" s="12" t="str">
        <f>HYPERLINK("https://www.boe.es/gazeta/dias/1801/11/13/pdfs/GMD-1801-106.pdf#page=2","Abrir facsímil")</f>
        <v>Abrir facsímil</v>
      </c>
      <c r="K591" s="15" t="s">
        <v>23</v>
      </c>
    </row>
    <row r="592" spans="1:11" ht="42" customHeight="1">
      <c r="A592" s="4" t="s">
        <v>1531</v>
      </c>
      <c r="B592" s="5" t="s">
        <v>1531</v>
      </c>
      <c r="C592" s="5" t="s">
        <v>32</v>
      </c>
      <c r="D592" s="5" t="s">
        <v>33</v>
      </c>
      <c r="E592" s="5" t="s">
        <v>122</v>
      </c>
      <c r="F592" s="9">
        <v>8</v>
      </c>
      <c r="G592" s="9">
        <v>89</v>
      </c>
      <c r="H592" s="5" t="s">
        <v>21</v>
      </c>
      <c r="I592" s="5" t="s">
        <v>1532</v>
      </c>
      <c r="J592" s="12" t="str">
        <f>HYPERLINK("https://www.boe.es/gazeta/dias/1801/01/27/pdfs/GMD-1801-8.pdf#page=1","Abrir facsímil")</f>
        <v>Abrir facsímil</v>
      </c>
      <c r="K592" s="15" t="s">
        <v>23</v>
      </c>
    </row>
    <row r="593" spans="1:11" ht="42" customHeight="1">
      <c r="A593" s="4" t="s">
        <v>1533</v>
      </c>
      <c r="B593" s="5" t="s">
        <v>1534</v>
      </c>
      <c r="C593" s="5" t="s">
        <v>75</v>
      </c>
      <c r="D593" s="5" t="s">
        <v>76</v>
      </c>
      <c r="E593" s="5" t="s">
        <v>34</v>
      </c>
      <c r="F593" s="9">
        <v>38</v>
      </c>
      <c r="G593" s="9">
        <v>489</v>
      </c>
      <c r="H593" s="5" t="s">
        <v>21</v>
      </c>
      <c r="I593" s="5" t="s">
        <v>1535</v>
      </c>
      <c r="J593" s="12" t="str">
        <f>HYPERLINK("https://www.boe.es/gazeta/dias/1801/05/12/pdfs/GMD-1801-38.pdf#page=5","Abrir facsímil")</f>
        <v>Abrir facsímil</v>
      </c>
      <c r="K593" s="15" t="s">
        <v>23</v>
      </c>
    </row>
    <row r="594" spans="1:11" ht="42" customHeight="1">
      <c r="A594" s="4" t="s">
        <v>1533</v>
      </c>
      <c r="B594" s="5" t="s">
        <v>1534</v>
      </c>
      <c r="C594" s="5" t="s">
        <v>75</v>
      </c>
      <c r="D594" s="5" t="s">
        <v>76</v>
      </c>
      <c r="E594" s="5" t="s">
        <v>313</v>
      </c>
      <c r="F594" s="9">
        <v>39</v>
      </c>
      <c r="G594" s="9">
        <v>500</v>
      </c>
      <c r="H594" s="5" t="s">
        <v>21</v>
      </c>
      <c r="I594" s="5" t="s">
        <v>1536</v>
      </c>
      <c r="J594" s="12" t="str">
        <f>HYPERLINK("https://www.boe.es/gazeta/dias/1801/05/15/pdfs/GMD-1801-39.pdf#page=4","Abrir facsímil")</f>
        <v>Abrir facsímil</v>
      </c>
      <c r="K594" s="15" t="s">
        <v>23</v>
      </c>
    </row>
    <row r="595" spans="1:11" ht="42" customHeight="1">
      <c r="A595" s="4" t="s">
        <v>1533</v>
      </c>
      <c r="B595" s="5" t="s">
        <v>1534</v>
      </c>
      <c r="C595" s="5" t="s">
        <v>75</v>
      </c>
      <c r="D595" s="5" t="s">
        <v>76</v>
      </c>
      <c r="E595" s="5" t="s">
        <v>161</v>
      </c>
      <c r="F595" s="9">
        <v>58</v>
      </c>
      <c r="G595" s="9">
        <v>658</v>
      </c>
      <c r="H595" s="5" t="s">
        <v>21</v>
      </c>
      <c r="I595" s="5" t="s">
        <v>1537</v>
      </c>
      <c r="J595" s="12" t="str">
        <f>HYPERLINK("https://www.boe.es/gazeta/dias/1801/06/19/pdfs/GMD-1801-58.pdf#page=3","Abrir facsímil")</f>
        <v>Abrir facsímil</v>
      </c>
      <c r="K595" s="15" t="s">
        <v>23</v>
      </c>
    </row>
    <row r="596" spans="1:11" ht="42" customHeight="1">
      <c r="A596" s="4" t="s">
        <v>1538</v>
      </c>
      <c r="B596" s="5" t="s">
        <v>1539</v>
      </c>
      <c r="C596" s="5" t="s">
        <v>32</v>
      </c>
      <c r="D596" s="5" t="s">
        <v>33</v>
      </c>
      <c r="E596" s="5" t="s">
        <v>62</v>
      </c>
      <c r="F596" s="9">
        <v>6</v>
      </c>
      <c r="G596" s="9">
        <v>73</v>
      </c>
      <c r="H596" s="5" t="s">
        <v>21</v>
      </c>
      <c r="I596" s="5" t="s">
        <v>1540</v>
      </c>
      <c r="J596" s="12" t="str">
        <f>HYPERLINK("https://www.boe.es/gazeta/dias/1801/01/20/pdfs/GMD-1801-6.pdf#page=9","Abrir facsímil")</f>
        <v>Abrir facsímil</v>
      </c>
      <c r="K596" s="15" t="s">
        <v>23</v>
      </c>
    </row>
    <row r="597" spans="1:11" ht="42" customHeight="1">
      <c r="A597" s="4" t="s">
        <v>1541</v>
      </c>
      <c r="B597" s="5" t="s">
        <v>1541</v>
      </c>
      <c r="C597" s="5" t="s">
        <v>38</v>
      </c>
      <c r="D597" s="5" t="s">
        <v>39</v>
      </c>
      <c r="E597" s="5" t="s">
        <v>313</v>
      </c>
      <c r="F597" s="9">
        <v>39</v>
      </c>
      <c r="G597" s="9">
        <v>508</v>
      </c>
      <c r="H597" s="5" t="s">
        <v>21</v>
      </c>
      <c r="I597" s="5" t="s">
        <v>1542</v>
      </c>
      <c r="J597" s="12" t="str">
        <f>HYPERLINK("https://www.boe.es/gazeta/dias/1801/05/15/pdfs/GMD-1801-39.pdf#page=12","Abrir facsímil")</f>
        <v>Abrir facsímil</v>
      </c>
      <c r="K597" s="15" t="s">
        <v>23</v>
      </c>
    </row>
    <row r="598" spans="1:11" ht="42" customHeight="1">
      <c r="A598" s="4" t="s">
        <v>1543</v>
      </c>
      <c r="B598" s="5" t="s">
        <v>1544</v>
      </c>
      <c r="C598" s="5" t="s">
        <v>32</v>
      </c>
      <c r="D598" s="5" t="s">
        <v>33</v>
      </c>
      <c r="E598" s="5" t="s">
        <v>40</v>
      </c>
      <c r="F598" s="9">
        <v>63</v>
      </c>
      <c r="G598" s="9">
        <v>708</v>
      </c>
      <c r="H598" s="5" t="s">
        <v>21</v>
      </c>
      <c r="I598" s="5" t="s">
        <v>1545</v>
      </c>
      <c r="J598" s="12" t="str">
        <f>HYPERLINK("https://www.boe.es/gazeta/dias/1801/07/03/pdfs/GMD-1801-63.pdf#page=5","Abrir facsímil")</f>
        <v>Abrir facsímil</v>
      </c>
      <c r="K598" s="15" t="s">
        <v>23</v>
      </c>
    </row>
    <row r="599" spans="1:11" ht="42" customHeight="1">
      <c r="A599" s="4" t="s">
        <v>1546</v>
      </c>
      <c r="B599" s="5" t="s">
        <v>1547</v>
      </c>
      <c r="C599" s="5" t="s">
        <v>32</v>
      </c>
      <c r="D599" s="5" t="s">
        <v>33</v>
      </c>
      <c r="E599" s="5" t="s">
        <v>321</v>
      </c>
      <c r="F599" s="9">
        <v>3</v>
      </c>
      <c r="G599" s="9">
        <v>33</v>
      </c>
      <c r="H599" s="5" t="s">
        <v>21</v>
      </c>
      <c r="I599" s="5" t="s">
        <v>1548</v>
      </c>
      <c r="J599" s="12" t="str">
        <f>HYPERLINK("https://www.boe.es/gazeta/dias/1801/01/09/pdfs/GMD-1801-3.pdf#page=9","Abrir facsímil")</f>
        <v>Abrir facsímil</v>
      </c>
      <c r="K599" s="15" t="s">
        <v>23</v>
      </c>
    </row>
    <row r="600" spans="1:11" ht="42" customHeight="1">
      <c r="A600" s="4" t="s">
        <v>1549</v>
      </c>
      <c r="B600" s="5" t="s">
        <v>1550</v>
      </c>
      <c r="C600" s="5" t="s">
        <v>80</v>
      </c>
      <c r="D600" s="5" t="s">
        <v>81</v>
      </c>
      <c r="E600" s="5" t="s">
        <v>82</v>
      </c>
      <c r="F600" s="9">
        <v>75</v>
      </c>
      <c r="G600" s="9" t="s">
        <v>83</v>
      </c>
      <c r="H600" s="5" t="s">
        <v>21</v>
      </c>
      <c r="I600" s="5" t="s">
        <v>1551</v>
      </c>
      <c r="J600" s="12" t="str">
        <f>HYPERLINK("https://www.boe.es/gazeta/dias/1801/08/04/pdfs/GMD-C-1801-75.pdf#page=2","Abrir facsímil")</f>
        <v>Abrir facsímil</v>
      </c>
      <c r="K600" s="15" t="s">
        <v>23</v>
      </c>
    </row>
    <row r="601" spans="1:11" ht="42" customHeight="1">
      <c r="A601" s="4" t="s">
        <v>1552</v>
      </c>
      <c r="B601" s="5" t="s">
        <v>1553</v>
      </c>
      <c r="C601" s="5" t="s">
        <v>32</v>
      </c>
      <c r="D601" s="5" t="s">
        <v>33</v>
      </c>
      <c r="E601" s="5" t="s">
        <v>131</v>
      </c>
      <c r="F601" s="9">
        <v>22</v>
      </c>
      <c r="G601" s="9">
        <v>289</v>
      </c>
      <c r="H601" s="5" t="s">
        <v>21</v>
      </c>
      <c r="I601" s="5" t="s">
        <v>1554</v>
      </c>
      <c r="J601" s="12" t="str">
        <f>HYPERLINK("https://www.boe.es/gazeta/dias/1801/03/17/pdfs/GMD-1801-22.pdf#page=6","Abrir facsímil")</f>
        <v>Abrir facsímil</v>
      </c>
      <c r="K601" s="15" t="s">
        <v>23</v>
      </c>
    </row>
    <row r="602" spans="1:11" ht="42" customHeight="1">
      <c r="A602" s="4" t="s">
        <v>1555</v>
      </c>
      <c r="B602" s="5" t="s">
        <v>1556</v>
      </c>
      <c r="C602" s="5" t="s">
        <v>32</v>
      </c>
      <c r="D602" s="5" t="s">
        <v>33</v>
      </c>
      <c r="E602" s="5" t="s">
        <v>145</v>
      </c>
      <c r="F602" s="9">
        <v>36</v>
      </c>
      <c r="G602" s="9">
        <v>468</v>
      </c>
      <c r="H602" s="5" t="s">
        <v>21</v>
      </c>
      <c r="I602" s="5" t="s">
        <v>1557</v>
      </c>
      <c r="J602" s="12" t="str">
        <f>HYPERLINK("https://www.boe.es/gazeta/dias/1801/05/05/pdfs/GMD-1801-36.pdf#page=12","Abrir facsímil")</f>
        <v>Abrir facsímil</v>
      </c>
      <c r="K602" s="15" t="s">
        <v>23</v>
      </c>
    </row>
    <row r="603" spans="1:11" ht="42" customHeight="1">
      <c r="A603" s="4" t="s">
        <v>1558</v>
      </c>
      <c r="B603" s="5" t="s">
        <v>1559</v>
      </c>
      <c r="C603" s="5" t="s">
        <v>80</v>
      </c>
      <c r="D603" s="5" t="s">
        <v>81</v>
      </c>
      <c r="E603" s="5" t="s">
        <v>82</v>
      </c>
      <c r="F603" s="9">
        <v>75</v>
      </c>
      <c r="G603" s="9" t="s">
        <v>86</v>
      </c>
      <c r="H603" s="5" t="s">
        <v>21</v>
      </c>
      <c r="I603" s="5" t="s">
        <v>1560</v>
      </c>
      <c r="J603" s="12" t="str">
        <f>HYPERLINK("https://www.boe.es/gazeta/dias/1801/08/04/pdfs/GMD-C-1801-75.pdf#page=3","Abrir facsímil")</f>
        <v>Abrir facsímil</v>
      </c>
      <c r="K603" s="15" t="s">
        <v>23</v>
      </c>
    </row>
    <row r="604" spans="1:11" ht="42" customHeight="1">
      <c r="A604" s="4" t="s">
        <v>1561</v>
      </c>
      <c r="B604" s="5" t="s">
        <v>1562</v>
      </c>
      <c r="C604" s="5" t="s">
        <v>32</v>
      </c>
      <c r="D604" s="5" t="s">
        <v>33</v>
      </c>
      <c r="E604" s="5" t="s">
        <v>90</v>
      </c>
      <c r="F604" s="9">
        <v>1</v>
      </c>
      <c r="G604" s="9">
        <v>9</v>
      </c>
      <c r="H604" s="5" t="s">
        <v>21</v>
      </c>
      <c r="I604" s="5" t="s">
        <v>1563</v>
      </c>
      <c r="J604" s="12" t="str">
        <f>HYPERLINK("https://www.boe.es/gazeta/dias/1801/01/02/pdfs/GMD-1801-1.pdf#page=9","Abrir facsímil")</f>
        <v>Abrir facsímil</v>
      </c>
      <c r="K604" s="15" t="s">
        <v>23</v>
      </c>
    </row>
    <row r="605" spans="1:11" ht="42" customHeight="1">
      <c r="A605" s="4" t="s">
        <v>1564</v>
      </c>
      <c r="B605" s="5" t="s">
        <v>1565</v>
      </c>
      <c r="C605" s="5" t="s">
        <v>32</v>
      </c>
      <c r="D605" s="5" t="s">
        <v>33</v>
      </c>
      <c r="E605" s="5" t="s">
        <v>48</v>
      </c>
      <c r="F605" s="9">
        <v>20</v>
      </c>
      <c r="G605" s="9">
        <v>265</v>
      </c>
      <c r="H605" s="5" t="s">
        <v>21</v>
      </c>
      <c r="I605" s="5" t="s">
        <v>1566</v>
      </c>
      <c r="J605" s="12" t="str">
        <f>HYPERLINK("https://www.boe.es/gazeta/dias/1801/03/10/pdfs/GMD-1801-20.pdf#page=10","Abrir facsímil")</f>
        <v>Abrir facsímil</v>
      </c>
      <c r="K605" s="15" t="s">
        <v>23</v>
      </c>
    </row>
    <row r="606" spans="1:11" ht="42" customHeight="1">
      <c r="A606" s="4" t="s">
        <v>1567</v>
      </c>
      <c r="B606" s="5" t="s">
        <v>1568</v>
      </c>
      <c r="C606" s="5" t="s">
        <v>32</v>
      </c>
      <c r="D606" s="5" t="s">
        <v>33</v>
      </c>
      <c r="E606" s="5" t="s">
        <v>735</v>
      </c>
      <c r="F606" s="9">
        <v>97</v>
      </c>
      <c r="G606" s="9">
        <v>1063</v>
      </c>
      <c r="H606" s="5" t="s">
        <v>21</v>
      </c>
      <c r="I606" s="5" t="s">
        <v>1569</v>
      </c>
      <c r="J606" s="12" t="str">
        <f>HYPERLINK("https://www.boe.es/gazeta/dias/1801/10/13/pdfs/GMD-1801-97.pdf#page=7","Abrir facsímil")</f>
        <v>Abrir facsímil</v>
      </c>
      <c r="K606" s="15" t="s">
        <v>23</v>
      </c>
    </row>
    <row r="607" spans="1:11" ht="42" customHeight="1">
      <c r="A607" s="4" t="s">
        <v>1570</v>
      </c>
      <c r="B607" s="5" t="s">
        <v>1571</v>
      </c>
      <c r="C607" s="5" t="s">
        <v>38</v>
      </c>
      <c r="D607" s="5" t="s">
        <v>39</v>
      </c>
      <c r="E607" s="5" t="s">
        <v>264</v>
      </c>
      <c r="F607" s="9">
        <v>111</v>
      </c>
      <c r="G607" s="9">
        <v>1214</v>
      </c>
      <c r="H607" s="5" t="s">
        <v>21</v>
      </c>
      <c r="I607" s="5" t="s">
        <v>1572</v>
      </c>
      <c r="J607" s="12" t="str">
        <f>HYPERLINK("https://www.boe.es/gazeta/dias/1801/12/01/pdfs/GMD-1801-111.pdf#page=3","Abrir facsímil")</f>
        <v>Abrir facsímil</v>
      </c>
      <c r="K607" s="15" t="s">
        <v>23</v>
      </c>
    </row>
    <row r="608" spans="1:11" ht="42" customHeight="1">
      <c r="A608" s="4" t="s">
        <v>1573</v>
      </c>
      <c r="B608" s="5" t="s">
        <v>1574</v>
      </c>
      <c r="C608" s="5" t="s">
        <v>38</v>
      </c>
      <c r="D608" s="5" t="s">
        <v>39</v>
      </c>
      <c r="E608" s="5" t="s">
        <v>223</v>
      </c>
      <c r="F608" s="9">
        <v>74</v>
      </c>
      <c r="G608" s="9">
        <v>830</v>
      </c>
      <c r="H608" s="5" t="s">
        <v>21</v>
      </c>
      <c r="I608" s="5" t="s">
        <v>1575</v>
      </c>
      <c r="J608" s="12" t="str">
        <f>HYPERLINK("https://www.boe.es/gazeta/dias/1801/07/31/pdfs/GMD-1801-74.pdf#page=11","Abrir facsímil")</f>
        <v>Abrir facsímil</v>
      </c>
      <c r="K608" s="15" t="s">
        <v>23</v>
      </c>
    </row>
    <row r="609" spans="1:11" ht="42" customHeight="1">
      <c r="A609" s="4" t="s">
        <v>1576</v>
      </c>
      <c r="B609" s="5" t="s">
        <v>1577</v>
      </c>
      <c r="C609" s="5" t="s">
        <v>75</v>
      </c>
      <c r="D609" s="5" t="s">
        <v>76</v>
      </c>
      <c r="E609" s="5" t="s">
        <v>128</v>
      </c>
      <c r="F609" s="9">
        <v>17</v>
      </c>
      <c r="G609" s="9">
        <v>210</v>
      </c>
      <c r="H609" s="5" t="s">
        <v>21</v>
      </c>
      <c r="I609" s="5" t="s">
        <v>1578</v>
      </c>
      <c r="J609" s="12" t="str">
        <f>HYPERLINK("https://www.boe.es/gazeta/dias/1801/02/27/pdfs/GMD-1801-17.pdf#page=5","Abrir facsímil")</f>
        <v>Abrir facsímil</v>
      </c>
      <c r="K609" s="15" t="s">
        <v>23</v>
      </c>
    </row>
    <row r="610" spans="1:11" ht="42" customHeight="1">
      <c r="A610" s="4" t="s">
        <v>1579</v>
      </c>
      <c r="B610" s="5" t="s">
        <v>1580</v>
      </c>
      <c r="C610" s="5" t="s">
        <v>75</v>
      </c>
      <c r="D610" s="5" t="s">
        <v>76</v>
      </c>
      <c r="E610" s="5" t="s">
        <v>465</v>
      </c>
      <c r="F610" s="9">
        <v>4</v>
      </c>
      <c r="G610" s="9">
        <v>41</v>
      </c>
      <c r="H610" s="5" t="s">
        <v>21</v>
      </c>
      <c r="I610" s="5" t="s">
        <v>1581</v>
      </c>
      <c r="J610" s="12" t="str">
        <f>HYPERLINK("https://www.boe.es/gazeta/dias/1801/01/13/pdfs/GMD-1801-4.pdf#page=5","Abrir facsímil")</f>
        <v>Abrir facsímil</v>
      </c>
      <c r="K610" s="15" t="s">
        <v>23</v>
      </c>
    </row>
    <row r="611" spans="1:11" ht="42" customHeight="1">
      <c r="A611" s="4" t="s">
        <v>1582</v>
      </c>
      <c r="B611" s="5" t="s">
        <v>1583</v>
      </c>
      <c r="C611" s="5" t="s">
        <v>32</v>
      </c>
      <c r="D611" s="5" t="s">
        <v>33</v>
      </c>
      <c r="E611" s="5" t="s">
        <v>264</v>
      </c>
      <c r="F611" s="9">
        <v>111</v>
      </c>
      <c r="G611" s="9">
        <v>1218</v>
      </c>
      <c r="H611" s="5" t="s">
        <v>21</v>
      </c>
      <c r="I611" s="5" t="s">
        <v>1584</v>
      </c>
      <c r="J611" s="12" t="str">
        <f>HYPERLINK("https://www.boe.es/gazeta/dias/1801/12/01/pdfs/GMD-1801-111.pdf#page=7","Abrir facsímil")</f>
        <v>Abrir facsímil</v>
      </c>
      <c r="K611" s="15" t="s">
        <v>23</v>
      </c>
    </row>
    <row r="612" spans="1:11" ht="42" customHeight="1">
      <c r="A612" s="4" t="s">
        <v>1585</v>
      </c>
      <c r="B612" s="5" t="s">
        <v>1586</v>
      </c>
      <c r="C612" s="5" t="s">
        <v>32</v>
      </c>
      <c r="D612" s="5" t="s">
        <v>33</v>
      </c>
      <c r="E612" s="5" t="s">
        <v>712</v>
      </c>
      <c r="F612" s="9">
        <v>105</v>
      </c>
      <c r="G612" s="9">
        <v>1155</v>
      </c>
      <c r="H612" s="5" t="s">
        <v>21</v>
      </c>
      <c r="I612" s="5" t="s">
        <v>1587</v>
      </c>
      <c r="J612" s="12" t="str">
        <f>HYPERLINK("https://www.boe.es/gazeta/dias/1801/11/10/pdfs/GMD-1801-105.pdf#page=8","Abrir facsímil")</f>
        <v>Abrir facsímil</v>
      </c>
      <c r="K612" s="15" t="s">
        <v>23</v>
      </c>
    </row>
    <row r="613" spans="1:11" ht="42" customHeight="1">
      <c r="A613" s="4" t="s">
        <v>1588</v>
      </c>
      <c r="B613" s="5" t="s">
        <v>1588</v>
      </c>
      <c r="C613" s="5" t="s">
        <v>32</v>
      </c>
      <c r="D613" s="5" t="s">
        <v>33</v>
      </c>
      <c r="E613" s="5" t="s">
        <v>145</v>
      </c>
      <c r="F613" s="9">
        <v>36</v>
      </c>
      <c r="G613" s="9">
        <v>468</v>
      </c>
      <c r="H613" s="5" t="s">
        <v>21</v>
      </c>
      <c r="I613" s="5" t="s">
        <v>1589</v>
      </c>
      <c r="J613" s="12" t="str">
        <f>HYPERLINK("https://www.boe.es/gazeta/dias/1801/05/05/pdfs/GMD-1801-36.pdf#page=12","Abrir facsímil")</f>
        <v>Abrir facsímil</v>
      </c>
      <c r="K613" s="15" t="s">
        <v>23</v>
      </c>
    </row>
    <row r="614" spans="1:11" ht="42" customHeight="1">
      <c r="A614" s="4" t="s">
        <v>1590</v>
      </c>
      <c r="B614" s="5" t="s">
        <v>1590</v>
      </c>
      <c r="C614" s="5" t="s">
        <v>32</v>
      </c>
      <c r="D614" s="5" t="s">
        <v>33</v>
      </c>
      <c r="E614" s="5" t="s">
        <v>194</v>
      </c>
      <c r="F614" s="9">
        <v>92</v>
      </c>
      <c r="G614" s="9">
        <v>1011</v>
      </c>
      <c r="H614" s="5" t="s">
        <v>21</v>
      </c>
      <c r="I614" s="5" t="s">
        <v>1591</v>
      </c>
      <c r="J614" s="12" t="str">
        <f>HYPERLINK("https://www.boe.es/gazeta/dias/1801/09/25/pdfs/GMD-1801-92.pdf#page=6","Abrir facsímil")</f>
        <v>Abrir facsímil</v>
      </c>
      <c r="K614" s="15" t="s">
        <v>23</v>
      </c>
    </row>
    <row r="615" spans="1:11" ht="42" customHeight="1">
      <c r="A615" s="4" t="s">
        <v>1592</v>
      </c>
      <c r="B615" s="5" t="s">
        <v>1592</v>
      </c>
      <c r="C615" s="5" t="s">
        <v>32</v>
      </c>
      <c r="D615" s="5" t="s">
        <v>33</v>
      </c>
      <c r="E615" s="5" t="s">
        <v>70</v>
      </c>
      <c r="F615" s="9">
        <v>2</v>
      </c>
      <c r="G615" s="9">
        <v>21</v>
      </c>
      <c r="H615" s="5" t="s">
        <v>21</v>
      </c>
      <c r="I615" s="5" t="s">
        <v>1593</v>
      </c>
      <c r="J615" s="12" t="str">
        <f>HYPERLINK("https://www.boe.es/gazeta/dias/1801/01/06/pdfs/GMD-1801-2.pdf#page=9","Abrir facsímil")</f>
        <v>Abrir facsímil</v>
      </c>
      <c r="K615" s="15" t="s">
        <v>23</v>
      </c>
    </row>
    <row r="616" spans="1:11" ht="42" customHeight="1">
      <c r="A616" s="4" t="s">
        <v>1594</v>
      </c>
      <c r="B616" s="5" t="s">
        <v>1594</v>
      </c>
      <c r="C616" s="5" t="s">
        <v>38</v>
      </c>
      <c r="D616" s="5" t="s">
        <v>39</v>
      </c>
      <c r="E616" s="5" t="s">
        <v>215</v>
      </c>
      <c r="F616" s="9">
        <v>71</v>
      </c>
      <c r="G616" s="9">
        <v>789</v>
      </c>
      <c r="H616" s="5" t="s">
        <v>21</v>
      </c>
      <c r="I616" s="5" t="s">
        <v>1595</v>
      </c>
      <c r="J616" s="12" t="str">
        <f>HYPERLINK("https://www.boe.es/gazeta/dias/1801/07/21/pdfs/GMD-1801-71.pdf#page=10","Abrir facsímil")</f>
        <v>Abrir facsímil</v>
      </c>
      <c r="K616" s="15" t="s">
        <v>23</v>
      </c>
    </row>
    <row r="617" spans="1:11" ht="42" customHeight="1">
      <c r="A617" s="4" t="s">
        <v>1596</v>
      </c>
      <c r="B617" s="5" t="s">
        <v>1596</v>
      </c>
      <c r="C617" s="5" t="s">
        <v>32</v>
      </c>
      <c r="D617" s="5" t="s">
        <v>33</v>
      </c>
      <c r="E617" s="5" t="s">
        <v>120</v>
      </c>
      <c r="F617" s="9">
        <v>7</v>
      </c>
      <c r="G617" s="9">
        <v>84</v>
      </c>
      <c r="H617" s="5" t="s">
        <v>21</v>
      </c>
      <c r="I617" s="5" t="s">
        <v>1597</v>
      </c>
      <c r="J617" s="12" t="str">
        <f>HYPERLINK("https://www.boe.es/gazeta/dias/1801/01/23/pdfs/GMD-1801-7.pdf#page=8","Abrir facsímil")</f>
        <v>Abrir facsímil</v>
      </c>
      <c r="K617" s="15" t="s">
        <v>23</v>
      </c>
    </row>
    <row r="618" spans="1:11" ht="42" customHeight="1">
      <c r="A618" s="4" t="s">
        <v>1598</v>
      </c>
      <c r="B618" s="5" t="s">
        <v>1599</v>
      </c>
      <c r="C618" s="5" t="s">
        <v>32</v>
      </c>
      <c r="D618" s="5" t="s">
        <v>33</v>
      </c>
      <c r="E618" s="5" t="s">
        <v>201</v>
      </c>
      <c r="F618" s="9">
        <v>79</v>
      </c>
      <c r="G618" s="9">
        <v>888</v>
      </c>
      <c r="H618" s="5" t="s">
        <v>21</v>
      </c>
      <c r="I618" s="5" t="s">
        <v>1600</v>
      </c>
      <c r="J618" s="12" t="str">
        <f>HYPERLINK("https://www.boe.es/gazeta/dias/1801/08/18/pdfs/GMD-1801-79.pdf#page=5","Abrir facsímil")</f>
        <v>Abrir facsímil</v>
      </c>
      <c r="K618" s="15" t="s">
        <v>23</v>
      </c>
    </row>
    <row r="619" spans="1:11" ht="42" customHeight="1">
      <c r="A619" s="4" t="s">
        <v>1601</v>
      </c>
      <c r="B619" s="5" t="s">
        <v>1602</v>
      </c>
      <c r="C619" s="5" t="s">
        <v>32</v>
      </c>
      <c r="D619" s="5" t="s">
        <v>33</v>
      </c>
      <c r="E619" s="5" t="s">
        <v>82</v>
      </c>
      <c r="F619" s="9">
        <v>75</v>
      </c>
      <c r="G619" s="9">
        <v>840</v>
      </c>
      <c r="H619" s="5" t="s">
        <v>21</v>
      </c>
      <c r="I619" s="5" t="s">
        <v>1603</v>
      </c>
      <c r="J619" s="12" t="str">
        <f>HYPERLINK("https://www.boe.es/gazeta/dias/1801/08/04/pdfs/GMD-1801-75.pdf#page=9","Abrir facsímil")</f>
        <v>Abrir facsímil</v>
      </c>
      <c r="K619" s="15" t="s">
        <v>23</v>
      </c>
    </row>
    <row r="620" spans="1:11" ht="42" customHeight="1">
      <c r="A620" s="4" t="s">
        <v>1604</v>
      </c>
      <c r="B620" s="5" t="s">
        <v>1605</v>
      </c>
      <c r="C620" s="5" t="s">
        <v>69</v>
      </c>
      <c r="D620" s="5" t="s">
        <v>19</v>
      </c>
      <c r="E620" s="5" t="s">
        <v>262</v>
      </c>
      <c r="F620" s="9">
        <v>109</v>
      </c>
      <c r="G620" s="9">
        <v>1204</v>
      </c>
      <c r="H620" s="5" t="s">
        <v>21</v>
      </c>
      <c r="I620" s="5" t="s">
        <v>1606</v>
      </c>
      <c r="J620" s="12" t="str">
        <f>HYPERLINK("https://www.boe.es/gazeta/dias/1801/11/24/pdfs/GMD-1801-109.pdf#page=9","Abrir facsímil")</f>
        <v>Abrir facsímil</v>
      </c>
      <c r="K620" s="15" t="s">
        <v>23</v>
      </c>
    </row>
    <row r="621" spans="1:11" ht="42" customHeight="1">
      <c r="A621" s="4" t="s">
        <v>1607</v>
      </c>
      <c r="B621" s="5" t="s">
        <v>1608</v>
      </c>
      <c r="C621" s="5" t="s">
        <v>75</v>
      </c>
      <c r="D621" s="5" t="s">
        <v>76</v>
      </c>
      <c r="E621" s="5" t="s">
        <v>448</v>
      </c>
      <c r="F621" s="9">
        <v>35</v>
      </c>
      <c r="G621" s="9">
        <v>448</v>
      </c>
      <c r="H621" s="5" t="s">
        <v>21</v>
      </c>
      <c r="I621" s="5" t="s">
        <v>1609</v>
      </c>
      <c r="J621" s="12" t="str">
        <f>HYPERLINK("https://www.boe.es/gazeta/dias/1801/05/01/pdfs/GMD-1801-35.pdf#page=4","Abrir facsímil")</f>
        <v>Abrir facsímil</v>
      </c>
      <c r="K621" s="15" t="s">
        <v>23</v>
      </c>
    </row>
    <row r="622" spans="1:11" ht="42" customHeight="1">
      <c r="A622" s="4" t="s">
        <v>1610</v>
      </c>
      <c r="B622" s="5" t="s">
        <v>1611</v>
      </c>
      <c r="C622" s="5" t="s">
        <v>75</v>
      </c>
      <c r="D622" s="5" t="s">
        <v>76</v>
      </c>
      <c r="E622" s="5" t="s">
        <v>90</v>
      </c>
      <c r="F622" s="9">
        <v>1</v>
      </c>
      <c r="G622" s="9">
        <v>6</v>
      </c>
      <c r="H622" s="5" t="s">
        <v>21</v>
      </c>
      <c r="I622" s="5" t="s">
        <v>1612</v>
      </c>
      <c r="J622" s="12" t="str">
        <f>HYPERLINK("https://www.boe.es/gazeta/dias/1801/01/02/pdfs/GMD-1801-1.pdf#page=6","Abrir facsímil")</f>
        <v>Abrir facsímil</v>
      </c>
      <c r="K622" s="15" t="s">
        <v>23</v>
      </c>
    </row>
    <row r="623" spans="1:11" ht="42" customHeight="1">
      <c r="A623" s="4" t="s">
        <v>1613</v>
      </c>
      <c r="B623" s="5" t="s">
        <v>1614</v>
      </c>
      <c r="C623" s="5" t="s">
        <v>32</v>
      </c>
      <c r="D623" s="5" t="s">
        <v>33</v>
      </c>
      <c r="E623" s="5" t="s">
        <v>352</v>
      </c>
      <c r="F623" s="9">
        <v>43</v>
      </c>
      <c r="G623" s="9">
        <v>538</v>
      </c>
      <c r="H623" s="5" t="s">
        <v>21</v>
      </c>
      <c r="I623" s="5" t="s">
        <v>1615</v>
      </c>
      <c r="J623" s="12" t="str">
        <f>HYPERLINK("https://www.boe.es/gazeta/dias/1801/05/26/pdfs/GMD-1801-43.pdf#page=10","Abrir facsímil")</f>
        <v>Abrir facsímil</v>
      </c>
      <c r="K623" s="15" t="s">
        <v>23</v>
      </c>
    </row>
    <row r="624" spans="1:11" ht="42" customHeight="1">
      <c r="A624" s="4" t="s">
        <v>1616</v>
      </c>
      <c r="B624" s="5" t="s">
        <v>1617</v>
      </c>
      <c r="C624" s="5" t="s">
        <v>38</v>
      </c>
      <c r="D624" s="5" t="s">
        <v>39</v>
      </c>
      <c r="E624" s="5" t="s">
        <v>378</v>
      </c>
      <c r="F624" s="9">
        <v>23</v>
      </c>
      <c r="G624" s="9">
        <v>302</v>
      </c>
      <c r="H624" s="5" t="s">
        <v>21</v>
      </c>
      <c r="I624" s="5" t="s">
        <v>1618</v>
      </c>
      <c r="J624" s="12" t="str">
        <f>HYPERLINK("https://www.boe.es/gazeta/dias/1801/03/20/pdfs/GMD-1801-23.pdf#page=5","Abrir facsímil")</f>
        <v>Abrir facsímil</v>
      </c>
      <c r="K624" s="15" t="s">
        <v>23</v>
      </c>
    </row>
    <row r="625" spans="1:11" ht="42" customHeight="1">
      <c r="A625" s="4" t="s">
        <v>1619</v>
      </c>
      <c r="B625" s="5" t="s">
        <v>1620</v>
      </c>
      <c r="C625" s="5" t="s">
        <v>80</v>
      </c>
      <c r="D625" s="5" t="s">
        <v>81</v>
      </c>
      <c r="E625" s="5" t="s">
        <v>82</v>
      </c>
      <c r="F625" s="9">
        <v>75</v>
      </c>
      <c r="G625" s="9" t="s">
        <v>299</v>
      </c>
      <c r="H625" s="5" t="s">
        <v>21</v>
      </c>
      <c r="I625" s="5" t="s">
        <v>1621</v>
      </c>
      <c r="J625" s="12" t="str">
        <f>HYPERLINK("https://www.boe.es/gazeta/dias/1801/08/04/pdfs/GMD-C-1801-75.pdf#page=5","Abrir facsímil")</f>
        <v>Abrir facsímil</v>
      </c>
      <c r="K625" s="15" t="s">
        <v>23</v>
      </c>
    </row>
    <row r="626" spans="1:11" ht="42" customHeight="1">
      <c r="A626" s="4" t="s">
        <v>1622</v>
      </c>
      <c r="B626" s="5" t="s">
        <v>1623</v>
      </c>
      <c r="C626" s="5" t="s">
        <v>75</v>
      </c>
      <c r="D626" s="5" t="s">
        <v>76</v>
      </c>
      <c r="E626" s="5" t="s">
        <v>70</v>
      </c>
      <c r="F626" s="9">
        <v>2</v>
      </c>
      <c r="G626" s="9">
        <v>13</v>
      </c>
      <c r="H626" s="5" t="s">
        <v>21</v>
      </c>
      <c r="I626" s="5" t="s">
        <v>1624</v>
      </c>
      <c r="J626" s="12" t="str">
        <f>HYPERLINK("https://www.boe.es/gazeta/dias/1801/01/06/pdfs/GMD-1801-2.pdf#page=1","Abrir facsímil")</f>
        <v>Abrir facsímil</v>
      </c>
      <c r="K626" s="15" t="s">
        <v>23</v>
      </c>
    </row>
    <row r="627" spans="1:11" ht="42" customHeight="1">
      <c r="A627" s="4" t="s">
        <v>1625</v>
      </c>
      <c r="B627" s="5" t="s">
        <v>1626</v>
      </c>
      <c r="C627" s="5" t="s">
        <v>32</v>
      </c>
      <c r="D627" s="5" t="s">
        <v>33</v>
      </c>
      <c r="E627" s="5" t="s">
        <v>359</v>
      </c>
      <c r="F627" s="9">
        <v>101</v>
      </c>
      <c r="G627" s="9">
        <v>1114</v>
      </c>
      <c r="H627" s="5" t="s">
        <v>21</v>
      </c>
      <c r="I627" s="5" t="s">
        <v>1627</v>
      </c>
      <c r="J627" s="12" t="str">
        <f>HYPERLINK("https://www.boe.es/gazeta/dias/1801/10/27/pdfs/GMD-1801-101.pdf#page=7","Abrir facsímil")</f>
        <v>Abrir facsímil</v>
      </c>
      <c r="K627" s="15" t="s">
        <v>23</v>
      </c>
    </row>
    <row r="628" spans="1:11" ht="42" customHeight="1">
      <c r="A628" s="4" t="s">
        <v>1628</v>
      </c>
      <c r="B628" s="5" t="s">
        <v>1629</v>
      </c>
      <c r="C628" s="5" t="s">
        <v>38</v>
      </c>
      <c r="D628" s="5" t="s">
        <v>39</v>
      </c>
      <c r="E628" s="5" t="s">
        <v>615</v>
      </c>
      <c r="F628" s="9">
        <v>72</v>
      </c>
      <c r="G628" s="9">
        <v>802</v>
      </c>
      <c r="H628" s="5" t="s">
        <v>21</v>
      </c>
      <c r="I628" s="5" t="s">
        <v>1630</v>
      </c>
      <c r="J628" s="12" t="str">
        <f>HYPERLINK("https://www.boe.es/gazeta/dias/1801/07/24/pdfs/GMD-1801-72.pdf#page=7","Abrir facsímil")</f>
        <v>Abrir facsímil</v>
      </c>
      <c r="K628" s="15" t="s">
        <v>23</v>
      </c>
    </row>
    <row r="629" spans="1:11" ht="42" customHeight="1">
      <c r="A629" s="4" t="s">
        <v>1628</v>
      </c>
      <c r="B629" s="5" t="s">
        <v>1629</v>
      </c>
      <c r="C629" s="5" t="s">
        <v>38</v>
      </c>
      <c r="D629" s="5" t="s">
        <v>39</v>
      </c>
      <c r="E629" s="5" t="s">
        <v>615</v>
      </c>
      <c r="F629" s="9">
        <v>72</v>
      </c>
      <c r="G629" s="9">
        <v>803</v>
      </c>
      <c r="H629" s="5" t="s">
        <v>21</v>
      </c>
      <c r="I629" s="5" t="s">
        <v>1631</v>
      </c>
      <c r="J629" s="12" t="str">
        <f>HYPERLINK("https://www.boe.es/gazeta/dias/1801/07/24/pdfs/GMD-1801-72.pdf#page=8","Abrir facsímil")</f>
        <v>Abrir facsímil</v>
      </c>
      <c r="K629" s="15" t="s">
        <v>23</v>
      </c>
    </row>
    <row r="630" spans="1:11" ht="42" customHeight="1">
      <c r="A630" s="4" t="s">
        <v>1632</v>
      </c>
      <c r="B630" s="5" t="s">
        <v>1633</v>
      </c>
      <c r="C630" s="5" t="s">
        <v>75</v>
      </c>
      <c r="D630" s="5" t="s">
        <v>76</v>
      </c>
      <c r="E630" s="5" t="s">
        <v>124</v>
      </c>
      <c r="F630" s="9">
        <v>12</v>
      </c>
      <c r="G630" s="9">
        <v>147</v>
      </c>
      <c r="H630" s="5" t="s">
        <v>21</v>
      </c>
      <c r="I630" s="5" t="s">
        <v>1634</v>
      </c>
      <c r="J630" s="12" t="str">
        <f>HYPERLINK("https://www.boe.es/gazeta/dias/1801/02/10/pdfs/GMD-1801-12.pdf#page=8","Abrir facsímil")</f>
        <v>Abrir facsímil</v>
      </c>
      <c r="K630" s="15" t="s">
        <v>23</v>
      </c>
    </row>
    <row r="631" spans="1:11" ht="42" customHeight="1">
      <c r="A631" s="4" t="s">
        <v>1632</v>
      </c>
      <c r="B631" s="5" t="s">
        <v>1633</v>
      </c>
      <c r="C631" s="5" t="s">
        <v>38</v>
      </c>
      <c r="D631" s="5" t="s">
        <v>39</v>
      </c>
      <c r="E631" s="5" t="s">
        <v>124</v>
      </c>
      <c r="F631" s="9">
        <v>12</v>
      </c>
      <c r="G631" s="9">
        <v>148</v>
      </c>
      <c r="H631" s="5" t="s">
        <v>21</v>
      </c>
      <c r="I631" s="5" t="s">
        <v>1635</v>
      </c>
      <c r="J631" s="12" t="str">
        <f>HYPERLINK("https://www.boe.es/gazeta/dias/1801/02/10/pdfs/GMD-1801-12.pdf#page=9","Abrir facsímil")</f>
        <v>Abrir facsímil</v>
      </c>
      <c r="K631" s="15" t="s">
        <v>23</v>
      </c>
    </row>
    <row r="632" spans="1:11" ht="42" customHeight="1">
      <c r="A632" s="4" t="s">
        <v>1636</v>
      </c>
      <c r="B632" s="5" t="s">
        <v>1637</v>
      </c>
      <c r="C632" s="5" t="s">
        <v>69</v>
      </c>
      <c r="D632" s="5" t="s">
        <v>19</v>
      </c>
      <c r="E632" s="5" t="s">
        <v>99</v>
      </c>
      <c r="F632" s="9">
        <v>32</v>
      </c>
      <c r="G632" s="9">
        <v>413</v>
      </c>
      <c r="H632" s="5" t="s">
        <v>21</v>
      </c>
      <c r="I632" s="5" t="s">
        <v>1638</v>
      </c>
      <c r="J632" s="12" t="str">
        <f>HYPERLINK("https://www.boe.es/gazeta/dias/1801/04/21/pdfs/GMD-1801-32.pdf#page=9","Abrir facsímil")</f>
        <v>Abrir facsímil</v>
      </c>
      <c r="K632" s="15" t="s">
        <v>23</v>
      </c>
    </row>
    <row r="633" spans="1:11" ht="42" customHeight="1">
      <c r="A633" s="4" t="s">
        <v>1639</v>
      </c>
      <c r="B633" s="5" t="s">
        <v>1640</v>
      </c>
      <c r="C633" s="5" t="s">
        <v>32</v>
      </c>
      <c r="D633" s="5" t="s">
        <v>33</v>
      </c>
      <c r="E633" s="5" t="s">
        <v>179</v>
      </c>
      <c r="F633" s="9">
        <v>11</v>
      </c>
      <c r="G633" s="9">
        <v>137</v>
      </c>
      <c r="H633" s="5" t="s">
        <v>21</v>
      </c>
      <c r="I633" s="5" t="s">
        <v>1641</v>
      </c>
      <c r="J633" s="12" t="str">
        <f>HYPERLINK("https://www.boe.es/gazeta/dias/1801/02/06/pdfs/GMD-1801-11.pdf#page=10","Abrir facsímil")</f>
        <v>Abrir facsímil</v>
      </c>
      <c r="K633" s="15" t="s">
        <v>23</v>
      </c>
    </row>
    <row r="634" spans="1:11" ht="42" customHeight="1">
      <c r="A634" s="4" t="s">
        <v>1642</v>
      </c>
      <c r="B634" s="5" t="s">
        <v>1643</v>
      </c>
      <c r="C634" s="5" t="s">
        <v>75</v>
      </c>
      <c r="D634" s="5" t="s">
        <v>76</v>
      </c>
      <c r="E634" s="5" t="s">
        <v>190</v>
      </c>
      <c r="F634" s="9">
        <v>16</v>
      </c>
      <c r="G634" s="9">
        <v>197</v>
      </c>
      <c r="H634" s="5" t="s">
        <v>21</v>
      </c>
      <c r="I634" s="5" t="s">
        <v>1644</v>
      </c>
      <c r="J634" s="12" t="str">
        <f>HYPERLINK("https://www.boe.es/gazeta/dias/1801/02/24/pdfs/GMD-1801-16.pdf#page=4","Abrir facsímil")</f>
        <v>Abrir facsímil</v>
      </c>
      <c r="K634" s="15" t="s">
        <v>23</v>
      </c>
    </row>
    <row r="635" spans="1:11" ht="42" customHeight="1">
      <c r="A635" s="4" t="s">
        <v>1645</v>
      </c>
      <c r="B635" s="5" t="s">
        <v>1646</v>
      </c>
      <c r="C635" s="5" t="s">
        <v>32</v>
      </c>
      <c r="D635" s="5" t="s">
        <v>33</v>
      </c>
      <c r="E635" s="5" t="s">
        <v>90</v>
      </c>
      <c r="F635" s="9">
        <v>1</v>
      </c>
      <c r="G635" s="9">
        <v>8</v>
      </c>
      <c r="H635" s="5" t="s">
        <v>21</v>
      </c>
      <c r="I635" s="5" t="s">
        <v>1647</v>
      </c>
      <c r="J635" s="12" t="str">
        <f>HYPERLINK("https://www.boe.es/gazeta/dias/1801/01/02/pdfs/GMD-1801-1.pdf#page=8","Abrir facsímil")</f>
        <v>Abrir facsímil</v>
      </c>
      <c r="K635" s="15" t="s">
        <v>23</v>
      </c>
    </row>
    <row r="636" spans="1:11" ht="42" customHeight="1">
      <c r="A636" s="4" t="s">
        <v>1648</v>
      </c>
      <c r="B636" s="5" t="s">
        <v>1649</v>
      </c>
      <c r="C636" s="5" t="s">
        <v>38</v>
      </c>
      <c r="D636" s="5" t="s">
        <v>39</v>
      </c>
      <c r="E636" s="5" t="s">
        <v>223</v>
      </c>
      <c r="F636" s="9">
        <v>74</v>
      </c>
      <c r="G636" s="9">
        <v>831</v>
      </c>
      <c r="H636" s="5" t="s">
        <v>21</v>
      </c>
      <c r="I636" s="5" t="s">
        <v>1650</v>
      </c>
      <c r="J636" s="12" t="str">
        <f>HYPERLINK("https://www.boe.es/gazeta/dias/1801/07/31/pdfs/GMD-1801-74.pdf#page=12","Abrir facsímil")</f>
        <v>Abrir facsímil</v>
      </c>
      <c r="K636" s="15" t="s">
        <v>23</v>
      </c>
    </row>
    <row r="637" spans="1:11" ht="42" customHeight="1">
      <c r="A637" s="4" t="s">
        <v>1651</v>
      </c>
      <c r="B637" s="5" t="s">
        <v>1652</v>
      </c>
      <c r="C637" s="5" t="s">
        <v>38</v>
      </c>
      <c r="D637" s="5" t="s">
        <v>39</v>
      </c>
      <c r="E637" s="5" t="s">
        <v>223</v>
      </c>
      <c r="F637" s="9">
        <v>74</v>
      </c>
      <c r="G637" s="9">
        <v>831</v>
      </c>
      <c r="H637" s="5" t="s">
        <v>21</v>
      </c>
      <c r="I637" s="5" t="s">
        <v>1653</v>
      </c>
      <c r="J637" s="12" t="str">
        <f>HYPERLINK("https://www.boe.es/gazeta/dias/1801/07/31/pdfs/GMD-1801-74.pdf#page=12","Abrir facsímil")</f>
        <v>Abrir facsímil</v>
      </c>
      <c r="K637" s="15" t="s">
        <v>23</v>
      </c>
    </row>
    <row r="638" spans="1:11" ht="42" customHeight="1">
      <c r="A638" s="4" t="s">
        <v>1654</v>
      </c>
      <c r="B638" s="5" t="s">
        <v>1655</v>
      </c>
      <c r="C638" s="5" t="s">
        <v>38</v>
      </c>
      <c r="D638" s="5" t="s">
        <v>39</v>
      </c>
      <c r="E638" s="5" t="s">
        <v>155</v>
      </c>
      <c r="F638" s="9">
        <v>50</v>
      </c>
      <c r="G638" s="9">
        <v>596</v>
      </c>
      <c r="H638" s="5" t="s">
        <v>21</v>
      </c>
      <c r="I638" s="5" t="s">
        <v>1656</v>
      </c>
      <c r="J638" s="12" t="str">
        <f>HYPERLINK("https://www.boe.es/gazeta/dias/1801/06/09/pdfs/GMD-1801-50.pdf#page=8","Abrir facsímil")</f>
        <v>Abrir facsímil</v>
      </c>
      <c r="K638" s="15" t="s">
        <v>23</v>
      </c>
    </row>
    <row r="639" spans="1:11" ht="42" customHeight="1">
      <c r="A639" s="4" t="s">
        <v>1657</v>
      </c>
      <c r="B639" s="5" t="s">
        <v>1657</v>
      </c>
      <c r="C639" s="5" t="s">
        <v>75</v>
      </c>
      <c r="D639" s="5" t="s">
        <v>76</v>
      </c>
      <c r="E639" s="5" t="s">
        <v>77</v>
      </c>
      <c r="F639" s="9">
        <v>93</v>
      </c>
      <c r="G639" s="9">
        <v>1017</v>
      </c>
      <c r="H639" s="5" t="s">
        <v>21</v>
      </c>
      <c r="I639" s="5" t="s">
        <v>1658</v>
      </c>
      <c r="J639" s="12" t="str">
        <f>HYPERLINK("https://www.boe.es/gazeta/dias/1801/09/29/pdfs/GMD-1801-93.pdf#page=4","Abrir facsímil")</f>
        <v>Abrir facsímil</v>
      </c>
      <c r="K639" s="15" t="s">
        <v>23</v>
      </c>
    </row>
    <row r="640" spans="1:11" ht="42" customHeight="1">
      <c r="A640" s="4" t="s">
        <v>1659</v>
      </c>
      <c r="B640" s="5" t="s">
        <v>1659</v>
      </c>
      <c r="C640" s="5" t="s">
        <v>75</v>
      </c>
      <c r="D640" s="5" t="s">
        <v>76</v>
      </c>
      <c r="E640" s="5" t="s">
        <v>194</v>
      </c>
      <c r="F640" s="9">
        <v>92</v>
      </c>
      <c r="G640" s="9">
        <v>1008</v>
      </c>
      <c r="H640" s="5" t="s">
        <v>21</v>
      </c>
      <c r="I640" s="5" t="s">
        <v>1660</v>
      </c>
      <c r="J640" s="12" t="str">
        <f>HYPERLINK("https://www.boe.es/gazeta/dias/1801/09/25/pdfs/GMD-1801-92.pdf#page=3","Abrir facsímil")</f>
        <v>Abrir facsímil</v>
      </c>
      <c r="K640" s="15" t="s">
        <v>23</v>
      </c>
    </row>
    <row r="641" spans="1:11" ht="42" customHeight="1">
      <c r="A641" s="4" t="s">
        <v>1661</v>
      </c>
      <c r="B641" s="5" t="s">
        <v>1662</v>
      </c>
      <c r="C641" s="5" t="s">
        <v>75</v>
      </c>
      <c r="D641" s="5" t="s">
        <v>76</v>
      </c>
      <c r="E641" s="5" t="s">
        <v>194</v>
      </c>
      <c r="F641" s="9">
        <v>92</v>
      </c>
      <c r="G641" s="9">
        <v>1008</v>
      </c>
      <c r="H641" s="5" t="s">
        <v>21</v>
      </c>
      <c r="I641" s="5" t="s">
        <v>1663</v>
      </c>
      <c r="J641" s="12" t="str">
        <f>HYPERLINK("https://www.boe.es/gazeta/dias/1801/09/25/pdfs/GMD-1801-92.pdf#page=3","Abrir facsímil")</f>
        <v>Abrir facsímil</v>
      </c>
      <c r="K641" s="15" t="s">
        <v>23</v>
      </c>
    </row>
    <row r="642" spans="1:11" ht="42" customHeight="1">
      <c r="A642" s="4" t="s">
        <v>1664</v>
      </c>
      <c r="B642" s="5" t="s">
        <v>1665</v>
      </c>
      <c r="C642" s="5" t="s">
        <v>80</v>
      </c>
      <c r="D642" s="5" t="s">
        <v>81</v>
      </c>
      <c r="E642" s="5" t="s">
        <v>289</v>
      </c>
      <c r="F642" s="9">
        <v>40</v>
      </c>
      <c r="G642" s="9" t="s">
        <v>668</v>
      </c>
      <c r="H642" s="5" t="s">
        <v>21</v>
      </c>
      <c r="I642" s="5" t="s">
        <v>1666</v>
      </c>
      <c r="J642" s="12" t="str">
        <f>HYPERLINK("https://www.boe.es/gazeta/dias/1801/05/19/pdfs/GMD-C-1801-40.pdf#page=1","Abrir facsímil")</f>
        <v>Abrir facsímil</v>
      </c>
      <c r="K642" s="15" t="s">
        <v>23</v>
      </c>
    </row>
    <row r="643" spans="1:11" ht="42" customHeight="1">
      <c r="A643" s="4" t="s">
        <v>1667</v>
      </c>
      <c r="B643" s="5" t="s">
        <v>1668</v>
      </c>
      <c r="C643" s="5" t="s">
        <v>38</v>
      </c>
      <c r="D643" s="5" t="s">
        <v>39</v>
      </c>
      <c r="E643" s="5" t="s">
        <v>480</v>
      </c>
      <c r="F643" s="9">
        <v>10</v>
      </c>
      <c r="G643" s="9">
        <v>125</v>
      </c>
      <c r="H643" s="5" t="s">
        <v>21</v>
      </c>
      <c r="I643" s="5" t="s">
        <v>1669</v>
      </c>
      <c r="J643" s="12" t="str">
        <f>HYPERLINK("https://www.boe.es/gazeta/dias/1801/02/03/pdfs/GMD-1801-10.pdf#page=10","Abrir facsímil")</f>
        <v>Abrir facsímil</v>
      </c>
      <c r="K643" s="15" t="s">
        <v>23</v>
      </c>
    </row>
    <row r="644" spans="1:11" ht="42" customHeight="1">
      <c r="A644" s="4" t="s">
        <v>1670</v>
      </c>
      <c r="B644" s="5" t="s">
        <v>1671</v>
      </c>
      <c r="C644" s="5" t="s">
        <v>32</v>
      </c>
      <c r="D644" s="5" t="s">
        <v>33</v>
      </c>
      <c r="E644" s="5" t="s">
        <v>359</v>
      </c>
      <c r="F644" s="9">
        <v>101</v>
      </c>
      <c r="G644" s="9">
        <v>1114</v>
      </c>
      <c r="H644" s="5" t="s">
        <v>21</v>
      </c>
      <c r="I644" s="5" t="s">
        <v>1672</v>
      </c>
      <c r="J644" s="12" t="str">
        <f>HYPERLINK("https://www.boe.es/gazeta/dias/1801/10/27/pdfs/GMD-1801-101.pdf#page=7","Abrir facsímil")</f>
        <v>Abrir facsímil</v>
      </c>
      <c r="K644" s="15" t="s">
        <v>23</v>
      </c>
    </row>
    <row r="645" spans="1:11" ht="42" customHeight="1">
      <c r="A645" s="4" t="s">
        <v>1673</v>
      </c>
      <c r="B645" s="5" t="s">
        <v>1674</v>
      </c>
      <c r="C645" s="5" t="s">
        <v>32</v>
      </c>
      <c r="D645" s="5" t="s">
        <v>33</v>
      </c>
      <c r="E645" s="5" t="s">
        <v>153</v>
      </c>
      <c r="F645" s="9">
        <v>48</v>
      </c>
      <c r="G645" s="9">
        <v>585</v>
      </c>
      <c r="H645" s="5" t="s">
        <v>21</v>
      </c>
      <c r="I645" s="5" t="s">
        <v>1675</v>
      </c>
      <c r="J645" s="12" t="str">
        <f>HYPERLINK("https://www.boe.es/gazeta/dias/1801/06/05/pdfs/GMD-1801-48.pdf#page=7","Abrir facsímil")</f>
        <v>Abrir facsímil</v>
      </c>
      <c r="K645" s="15" t="s">
        <v>23</v>
      </c>
    </row>
    <row r="646" spans="1:11" ht="42" customHeight="1">
      <c r="A646" s="4" t="s">
        <v>1676</v>
      </c>
      <c r="B646" s="5" t="s">
        <v>1677</v>
      </c>
      <c r="C646" s="5" t="s">
        <v>38</v>
      </c>
      <c r="D646" s="5" t="s">
        <v>39</v>
      </c>
      <c r="E646" s="5" t="s">
        <v>82</v>
      </c>
      <c r="F646" s="9">
        <v>75</v>
      </c>
      <c r="G646" s="9">
        <v>832</v>
      </c>
      <c r="H646" s="5" t="s">
        <v>21</v>
      </c>
      <c r="I646" s="5" t="s">
        <v>1678</v>
      </c>
      <c r="J646" s="12" t="str">
        <f>HYPERLINK("https://www.boe.es/gazeta/dias/1801/08/04/pdfs/GMD-1801-75.pdf#page=1","Abrir facsímil")</f>
        <v>Abrir facsímil</v>
      </c>
      <c r="K646" s="15" t="s">
        <v>23</v>
      </c>
    </row>
    <row r="647" spans="1:11" ht="42" customHeight="1">
      <c r="A647" s="4" t="s">
        <v>1679</v>
      </c>
      <c r="B647" s="5" t="s">
        <v>1680</v>
      </c>
      <c r="C647" s="5" t="s">
        <v>32</v>
      </c>
      <c r="D647" s="5" t="s">
        <v>33</v>
      </c>
      <c r="E647" s="5" t="s">
        <v>128</v>
      </c>
      <c r="F647" s="9">
        <v>17</v>
      </c>
      <c r="G647" s="9">
        <v>214</v>
      </c>
      <c r="H647" s="5" t="s">
        <v>21</v>
      </c>
      <c r="I647" s="5" t="s">
        <v>1681</v>
      </c>
      <c r="J647" s="12" t="str">
        <f>HYPERLINK("https://www.boe.es/gazeta/dias/1801/02/27/pdfs/GMD-1801-17.pdf#page=9","Abrir facsímil")</f>
        <v>Abrir facsímil</v>
      </c>
      <c r="K647" s="15" t="s">
        <v>23</v>
      </c>
    </row>
    <row r="648" spans="1:11" ht="42" customHeight="1">
      <c r="A648" s="4" t="s">
        <v>1682</v>
      </c>
      <c r="B648" s="5" t="s">
        <v>1682</v>
      </c>
      <c r="C648" s="5" t="s">
        <v>69</v>
      </c>
      <c r="D648" s="5" t="s">
        <v>19</v>
      </c>
      <c r="E648" s="5" t="s">
        <v>328</v>
      </c>
      <c r="F648" s="9">
        <v>89</v>
      </c>
      <c r="G648" s="9">
        <v>979</v>
      </c>
      <c r="H648" s="5" t="s">
        <v>21</v>
      </c>
      <c r="I648" s="5" t="s">
        <v>1683</v>
      </c>
      <c r="J648" s="12" t="str">
        <f>HYPERLINK("https://www.boe.es/gazeta/dias/1801/09/15/pdfs/GMD-1801-89.pdf#page=6","Abrir facsímil")</f>
        <v>Abrir facsímil</v>
      </c>
      <c r="K648" s="15" t="s">
        <v>23</v>
      </c>
    </row>
    <row r="649" spans="1:11" ht="42" customHeight="1">
      <c r="A649" s="4" t="s">
        <v>1684</v>
      </c>
      <c r="B649" s="5" t="s">
        <v>1685</v>
      </c>
      <c r="C649" s="5" t="s">
        <v>75</v>
      </c>
      <c r="D649" s="5" t="s">
        <v>76</v>
      </c>
      <c r="E649" s="5" t="s">
        <v>1015</v>
      </c>
      <c r="F649" s="9">
        <v>15</v>
      </c>
      <c r="G649" s="9">
        <v>187</v>
      </c>
      <c r="H649" s="5" t="s">
        <v>21</v>
      </c>
      <c r="I649" s="5" t="s">
        <v>1686</v>
      </c>
      <c r="J649" s="12" t="str">
        <f>HYPERLINK("https://www.boe.es/gazeta/dias/1801/02/20/pdfs/GMD-1801-15.pdf#page=6","Abrir facsímil")</f>
        <v>Abrir facsímil</v>
      </c>
      <c r="K649" s="15" t="s">
        <v>23</v>
      </c>
    </row>
    <row r="650" spans="1:11" ht="42" customHeight="1">
      <c r="A650" s="4" t="s">
        <v>1687</v>
      </c>
      <c r="B650" s="5" t="s">
        <v>1688</v>
      </c>
      <c r="C650" s="5" t="s">
        <v>69</v>
      </c>
      <c r="D650" s="5" t="s">
        <v>19</v>
      </c>
      <c r="E650" s="5" t="s">
        <v>223</v>
      </c>
      <c r="F650" s="9">
        <v>74</v>
      </c>
      <c r="G650" s="9">
        <v>826</v>
      </c>
      <c r="H650" s="5" t="s">
        <v>21</v>
      </c>
      <c r="I650" s="5" t="s">
        <v>1689</v>
      </c>
      <c r="J650" s="12" t="str">
        <f>HYPERLINK("https://www.boe.es/gazeta/dias/1801/07/31/pdfs/GMD-1801-74.pdf#page=7","Abrir facsímil")</f>
        <v>Abrir facsímil</v>
      </c>
      <c r="K650" s="15" t="s">
        <v>23</v>
      </c>
    </row>
    <row r="651" spans="1:11" ht="42" customHeight="1">
      <c r="A651" s="4" t="s">
        <v>1687</v>
      </c>
      <c r="B651" s="5" t="s">
        <v>1688</v>
      </c>
      <c r="C651" s="5" t="s">
        <v>69</v>
      </c>
      <c r="D651" s="5" t="s">
        <v>19</v>
      </c>
      <c r="E651" s="5" t="s">
        <v>764</v>
      </c>
      <c r="F651" s="9">
        <v>80</v>
      </c>
      <c r="G651" s="9">
        <v>898</v>
      </c>
      <c r="H651" s="5" t="s">
        <v>21</v>
      </c>
      <c r="I651" s="5" t="s">
        <v>1690</v>
      </c>
      <c r="J651" s="12" t="str">
        <f>HYPERLINK("https://www.boe.es/gazeta/dias/1801/08/21/pdfs/GMD-1801-80.pdf#page=7","Abrir facsímil")</f>
        <v>Abrir facsímil</v>
      </c>
      <c r="K651" s="15" t="s">
        <v>23</v>
      </c>
    </row>
    <row r="652" spans="1:11" ht="42" customHeight="1">
      <c r="A652" s="4" t="s">
        <v>1691</v>
      </c>
      <c r="B652" s="5" t="s">
        <v>1692</v>
      </c>
      <c r="C652" s="5" t="s">
        <v>32</v>
      </c>
      <c r="D652" s="5" t="s">
        <v>33</v>
      </c>
      <c r="E652" s="5" t="s">
        <v>165</v>
      </c>
      <c r="F652" s="9">
        <v>59</v>
      </c>
      <c r="G652" s="9">
        <v>676</v>
      </c>
      <c r="H652" s="5" t="s">
        <v>21</v>
      </c>
      <c r="I652" s="5" t="s">
        <v>1693</v>
      </c>
      <c r="J652" s="12" t="str">
        <f>HYPERLINK("https://www.boe.es/gazeta/dias/1801/06/23/pdfs/GMD-1801-59.pdf#page=9","Abrir facsímil")</f>
        <v>Abrir facsímil</v>
      </c>
      <c r="K652" s="15" t="s">
        <v>23</v>
      </c>
    </row>
    <row r="653" spans="1:11" ht="42" customHeight="1">
      <c r="A653" s="4" t="s">
        <v>1694</v>
      </c>
      <c r="B653" s="5" t="s">
        <v>1694</v>
      </c>
      <c r="C653" s="5" t="s">
        <v>32</v>
      </c>
      <c r="D653" s="5" t="s">
        <v>33</v>
      </c>
      <c r="E653" s="5" t="s">
        <v>275</v>
      </c>
      <c r="F653" s="9">
        <v>9</v>
      </c>
      <c r="G653" s="9">
        <v>113</v>
      </c>
      <c r="H653" s="5" t="s">
        <v>21</v>
      </c>
      <c r="I653" s="5" t="s">
        <v>1695</v>
      </c>
      <c r="J653" s="12" t="str">
        <f>HYPERLINK("https://www.boe.es/gazeta/dias/1801/01/30/pdfs/GMD-1801-9.pdf#page=10","Abrir facsímil")</f>
        <v>Abrir facsímil</v>
      </c>
      <c r="K653" s="15" t="s">
        <v>23</v>
      </c>
    </row>
    <row r="654" spans="1:11" ht="42" customHeight="1">
      <c r="A654" s="4" t="s">
        <v>1696</v>
      </c>
      <c r="B654" s="5" t="s">
        <v>1697</v>
      </c>
      <c r="C654" s="5" t="s">
        <v>32</v>
      </c>
      <c r="D654" s="5" t="s">
        <v>33</v>
      </c>
      <c r="E654" s="5" t="s">
        <v>165</v>
      </c>
      <c r="F654" s="9">
        <v>59</v>
      </c>
      <c r="G654" s="9">
        <v>676</v>
      </c>
      <c r="H654" s="5" t="s">
        <v>21</v>
      </c>
      <c r="I654" s="5" t="s">
        <v>1698</v>
      </c>
      <c r="J654" s="12" t="str">
        <f>HYPERLINK("https://www.boe.es/gazeta/dias/1801/06/23/pdfs/GMD-1801-59.pdf#page=9","Abrir facsímil")</f>
        <v>Abrir facsímil</v>
      </c>
      <c r="K654" s="15" t="s">
        <v>23</v>
      </c>
    </row>
    <row r="655" spans="1:11" ht="42" customHeight="1">
      <c r="A655" s="4" t="s">
        <v>1699</v>
      </c>
      <c r="B655" s="5" t="s">
        <v>1700</v>
      </c>
      <c r="C655" s="5" t="s">
        <v>32</v>
      </c>
      <c r="D655" s="5" t="s">
        <v>33</v>
      </c>
      <c r="E655" s="5" t="s">
        <v>90</v>
      </c>
      <c r="F655" s="9">
        <v>1</v>
      </c>
      <c r="G655" s="9">
        <v>9</v>
      </c>
      <c r="H655" s="5" t="s">
        <v>21</v>
      </c>
      <c r="I655" s="5" t="s">
        <v>1701</v>
      </c>
      <c r="J655" s="12" t="str">
        <f>HYPERLINK("https://www.boe.es/gazeta/dias/1801/01/02/pdfs/GMD-1801-1.pdf#page=9","Abrir facsímil")</f>
        <v>Abrir facsímil</v>
      </c>
      <c r="K655" s="15" t="s">
        <v>23</v>
      </c>
    </row>
    <row r="656" spans="1:11" ht="42" customHeight="1">
      <c r="A656" s="4" t="s">
        <v>1702</v>
      </c>
      <c r="B656" s="5" t="s">
        <v>1703</v>
      </c>
      <c r="C656" s="5" t="s">
        <v>32</v>
      </c>
      <c r="D656" s="5" t="s">
        <v>33</v>
      </c>
      <c r="E656" s="5" t="s">
        <v>120</v>
      </c>
      <c r="F656" s="9">
        <v>7</v>
      </c>
      <c r="G656" s="9">
        <v>84</v>
      </c>
      <c r="H656" s="5" t="s">
        <v>21</v>
      </c>
      <c r="I656" s="5" t="s">
        <v>1704</v>
      </c>
      <c r="J656" s="12" t="str">
        <f>HYPERLINK("https://www.boe.es/gazeta/dias/1801/01/23/pdfs/GMD-1801-7.pdf#page=8","Abrir facsímil")</f>
        <v>Abrir facsímil</v>
      </c>
      <c r="K656" s="15" t="s">
        <v>23</v>
      </c>
    </row>
    <row r="657" spans="1:11" ht="42" customHeight="1">
      <c r="A657" s="4" t="s">
        <v>1705</v>
      </c>
      <c r="B657" s="5" t="s">
        <v>1706</v>
      </c>
      <c r="C657" s="5" t="s">
        <v>69</v>
      </c>
      <c r="D657" s="5" t="s">
        <v>19</v>
      </c>
      <c r="E657" s="5" t="s">
        <v>155</v>
      </c>
      <c r="F657" s="9">
        <v>50</v>
      </c>
      <c r="G657" s="9">
        <v>592</v>
      </c>
      <c r="H657" s="5" t="s">
        <v>21</v>
      </c>
      <c r="I657" s="5" t="s">
        <v>1707</v>
      </c>
      <c r="J657" s="12" t="str">
        <f>HYPERLINK("https://www.boe.es/gazeta/dias/1801/06/09/pdfs/GMD-1801-50.pdf#page=4","Abrir facsímil")</f>
        <v>Abrir facsímil</v>
      </c>
      <c r="K657" s="15" t="s">
        <v>23</v>
      </c>
    </row>
    <row r="658" spans="1:11" ht="42" customHeight="1">
      <c r="A658" s="4" t="s">
        <v>1708</v>
      </c>
      <c r="B658" s="5" t="s">
        <v>1709</v>
      </c>
      <c r="C658" s="5" t="s">
        <v>38</v>
      </c>
      <c r="D658" s="5" t="s">
        <v>39</v>
      </c>
      <c r="E658" s="5" t="s">
        <v>62</v>
      </c>
      <c r="F658" s="9">
        <v>6</v>
      </c>
      <c r="G658" s="9">
        <v>72</v>
      </c>
      <c r="H658" s="5" t="s">
        <v>21</v>
      </c>
      <c r="I658" s="5" t="s">
        <v>1710</v>
      </c>
      <c r="J658" s="12" t="str">
        <f>HYPERLINK("https://www.boe.es/gazeta/dias/1801/01/20/pdfs/GMD-1801-6.pdf#page=8","Abrir facsímil")</f>
        <v>Abrir facsímil</v>
      </c>
      <c r="K658" s="15" t="s">
        <v>23</v>
      </c>
    </row>
    <row r="659" spans="1:11" ht="42" customHeight="1">
      <c r="A659" s="4" t="s">
        <v>1711</v>
      </c>
      <c r="B659" s="5" t="s">
        <v>1712</v>
      </c>
      <c r="C659" s="5" t="s">
        <v>26</v>
      </c>
      <c r="D659" s="5" t="s">
        <v>27</v>
      </c>
      <c r="E659" s="5" t="s">
        <v>935</v>
      </c>
      <c r="F659" s="9">
        <v>116</v>
      </c>
      <c r="G659" s="9">
        <v>1270</v>
      </c>
      <c r="H659" s="5" t="s">
        <v>21</v>
      </c>
      <c r="I659" s="5" t="s">
        <v>1713</v>
      </c>
      <c r="J659" s="12" t="str">
        <f>HYPERLINK("https://www.boe.es/gazeta/dias/1801/12/18/pdfs/GMD-1801-116.pdf#page=12","Abrir facsímil")</f>
        <v>Abrir facsímil</v>
      </c>
      <c r="K659" s="15" t="s">
        <v>23</v>
      </c>
    </row>
    <row r="660" spans="1:11" ht="42" customHeight="1">
      <c r="A660" s="4" t="s">
        <v>1714</v>
      </c>
      <c r="B660" s="5" t="s">
        <v>1715</v>
      </c>
      <c r="C660" s="5" t="s">
        <v>38</v>
      </c>
      <c r="D660" s="5" t="s">
        <v>39</v>
      </c>
      <c r="E660" s="5" t="s">
        <v>151</v>
      </c>
      <c r="F660" s="9">
        <v>45</v>
      </c>
      <c r="G660" s="9">
        <v>561</v>
      </c>
      <c r="H660" s="5" t="s">
        <v>21</v>
      </c>
      <c r="I660" s="5" t="s">
        <v>1716</v>
      </c>
      <c r="J660" s="12" t="str">
        <f>HYPERLINK("https://www.boe.es/gazeta/dias/1801/06/02/pdfs/GMD-1801-45.pdf#page=9","Abrir facsímil")</f>
        <v>Abrir facsímil</v>
      </c>
      <c r="K660" s="15" t="s">
        <v>23</v>
      </c>
    </row>
    <row r="661" spans="1:11" ht="42" customHeight="1">
      <c r="A661" s="4" t="s">
        <v>1717</v>
      </c>
      <c r="B661" s="5" t="s">
        <v>1718</v>
      </c>
      <c r="C661" s="5" t="s">
        <v>75</v>
      </c>
      <c r="D661" s="5" t="s">
        <v>76</v>
      </c>
      <c r="E661" s="5" t="s">
        <v>108</v>
      </c>
      <c r="F661" s="9">
        <v>61</v>
      </c>
      <c r="G661" s="9">
        <v>693</v>
      </c>
      <c r="H661" s="5" t="s">
        <v>21</v>
      </c>
      <c r="I661" s="5" t="s">
        <v>1719</v>
      </c>
      <c r="J661" s="12" t="str">
        <f>HYPERLINK("https://www.boe.es/gazeta/dias/1801/06/30/pdfs/GMD-1801-61.pdf#page=2","Abrir facsímil")</f>
        <v>Abrir facsímil</v>
      </c>
      <c r="K661" s="15" t="s">
        <v>23</v>
      </c>
    </row>
    <row r="662" spans="1:11" ht="42" customHeight="1">
      <c r="A662" s="4" t="s">
        <v>1720</v>
      </c>
      <c r="B662" s="5" t="s">
        <v>1721</v>
      </c>
      <c r="C662" s="5" t="s">
        <v>18</v>
      </c>
      <c r="D662" s="5" t="s">
        <v>19</v>
      </c>
      <c r="E662" s="5" t="s">
        <v>190</v>
      </c>
      <c r="F662" s="9">
        <v>16</v>
      </c>
      <c r="G662" s="9">
        <v>202</v>
      </c>
      <c r="H662" s="5" t="s">
        <v>21</v>
      </c>
      <c r="I662" s="5" t="s">
        <v>1722</v>
      </c>
      <c r="J662" s="12" t="str">
        <f>HYPERLINK("https://www.boe.es/gazeta/dias/1801/02/24/pdfs/GMD-1801-16.pdf#page=9","Abrir facsímil")</f>
        <v>Abrir facsímil</v>
      </c>
      <c r="K662" s="15" t="s">
        <v>23</v>
      </c>
    </row>
    <row r="663" spans="1:11" ht="42" customHeight="1">
      <c r="A663" s="4" t="s">
        <v>1723</v>
      </c>
      <c r="B663" s="5" t="s">
        <v>1724</v>
      </c>
      <c r="C663" s="5" t="s">
        <v>32</v>
      </c>
      <c r="D663" s="5" t="s">
        <v>33</v>
      </c>
      <c r="E663" s="5" t="s">
        <v>66</v>
      </c>
      <c r="F663" s="9">
        <v>52</v>
      </c>
      <c r="G663" s="9">
        <v>608</v>
      </c>
      <c r="H663" s="5" t="s">
        <v>21</v>
      </c>
      <c r="I663" s="5" t="s">
        <v>1725</v>
      </c>
      <c r="J663" s="12" t="str">
        <f>HYPERLINK("https://www.boe.es/gazeta/dias/1801/06/12/pdfs/GMD-1801-52.pdf#page=7","Abrir facsímil")</f>
        <v>Abrir facsímil</v>
      </c>
      <c r="K663" s="15" t="s">
        <v>23</v>
      </c>
    </row>
    <row r="664" spans="1:11" ht="42" customHeight="1">
      <c r="A664" s="4" t="s">
        <v>1726</v>
      </c>
      <c r="B664" s="5" t="s">
        <v>1727</v>
      </c>
      <c r="C664" s="5" t="s">
        <v>32</v>
      </c>
      <c r="D664" s="5" t="s">
        <v>33</v>
      </c>
      <c r="E664" s="5" t="s">
        <v>378</v>
      </c>
      <c r="F664" s="9">
        <v>23</v>
      </c>
      <c r="G664" s="9">
        <v>298</v>
      </c>
      <c r="H664" s="5" t="s">
        <v>21</v>
      </c>
      <c r="I664" s="5" t="s">
        <v>1728</v>
      </c>
      <c r="J664" s="12" t="str">
        <f>HYPERLINK("https://www.boe.es/gazeta/dias/1801/03/20/pdfs/GMD-1801-23.pdf#page=1","Abrir facsímil")</f>
        <v>Abrir facsímil</v>
      </c>
      <c r="K664" s="15" t="s">
        <v>23</v>
      </c>
    </row>
    <row r="665" spans="1:11" ht="42" customHeight="1">
      <c r="A665" s="4" t="s">
        <v>1729</v>
      </c>
      <c r="B665" s="5" t="s">
        <v>1730</v>
      </c>
      <c r="C665" s="5" t="s">
        <v>75</v>
      </c>
      <c r="D665" s="5" t="s">
        <v>76</v>
      </c>
      <c r="E665" s="5" t="s">
        <v>105</v>
      </c>
      <c r="F665" s="9">
        <v>44</v>
      </c>
      <c r="G665" s="9">
        <v>545</v>
      </c>
      <c r="H665" s="5" t="s">
        <v>21</v>
      </c>
      <c r="I665" s="5" t="s">
        <v>1731</v>
      </c>
      <c r="J665" s="12" t="str">
        <f>HYPERLINK("https://www.boe.es/gazeta/dias/1801/05/29/pdfs/GMD-1801-44.pdf#page=5","Abrir facsímil")</f>
        <v>Abrir facsímil</v>
      </c>
      <c r="K665" s="15" t="s">
        <v>23</v>
      </c>
    </row>
    <row r="666" spans="1:11" ht="42" customHeight="1">
      <c r="A666" s="4" t="s">
        <v>1732</v>
      </c>
      <c r="B666" s="5" t="s">
        <v>1733</v>
      </c>
      <c r="C666" s="5" t="s">
        <v>32</v>
      </c>
      <c r="D666" s="5" t="s">
        <v>33</v>
      </c>
      <c r="E666" s="5" t="s">
        <v>90</v>
      </c>
      <c r="F666" s="9">
        <v>1</v>
      </c>
      <c r="G666" s="9">
        <v>9</v>
      </c>
      <c r="H666" s="5" t="s">
        <v>21</v>
      </c>
      <c r="I666" s="5" t="s">
        <v>1734</v>
      </c>
      <c r="J666" s="12" t="str">
        <f>HYPERLINK("https://www.boe.es/gazeta/dias/1801/01/02/pdfs/GMD-1801-1.pdf#page=9","Abrir facsímil")</f>
        <v>Abrir facsímil</v>
      </c>
      <c r="K666" s="15" t="s">
        <v>23</v>
      </c>
    </row>
    <row r="667" spans="1:11" ht="42" customHeight="1">
      <c r="A667" s="4" t="s">
        <v>1735</v>
      </c>
      <c r="B667" s="5" t="s">
        <v>1736</v>
      </c>
      <c r="C667" s="5" t="s">
        <v>32</v>
      </c>
      <c r="D667" s="5" t="s">
        <v>33</v>
      </c>
      <c r="E667" s="5" t="s">
        <v>417</v>
      </c>
      <c r="F667" s="9">
        <v>64</v>
      </c>
      <c r="G667" s="9">
        <v>724</v>
      </c>
      <c r="H667" s="5" t="s">
        <v>21</v>
      </c>
      <c r="I667" s="5" t="s">
        <v>1737</v>
      </c>
      <c r="J667" s="12" t="str">
        <f>HYPERLINK("https://www.boe.es/gazeta/dias/1801/07/07/pdfs/GMD-1801-64.pdf#page=5","Abrir facsímil")</f>
        <v>Abrir facsímil</v>
      </c>
      <c r="K667" s="15" t="s">
        <v>23</v>
      </c>
    </row>
    <row r="668" spans="1:11" ht="42" customHeight="1">
      <c r="A668" s="4" t="s">
        <v>1738</v>
      </c>
      <c r="B668" s="5" t="s">
        <v>1739</v>
      </c>
      <c r="C668" s="5" t="s">
        <v>75</v>
      </c>
      <c r="D668" s="5" t="s">
        <v>76</v>
      </c>
      <c r="E668" s="5" t="s">
        <v>105</v>
      </c>
      <c r="F668" s="9">
        <v>44</v>
      </c>
      <c r="G668" s="9">
        <v>544</v>
      </c>
      <c r="H668" s="5" t="s">
        <v>21</v>
      </c>
      <c r="I668" s="5" t="s">
        <v>1740</v>
      </c>
      <c r="J668" s="12" t="str">
        <f>HYPERLINK("https://www.boe.es/gazeta/dias/1801/05/29/pdfs/GMD-1801-44.pdf#page=4","Abrir facsímil")</f>
        <v>Abrir facsímil</v>
      </c>
      <c r="K668" s="15" t="s">
        <v>23</v>
      </c>
    </row>
    <row r="669" spans="1:11" ht="42" customHeight="1">
      <c r="A669" s="4" t="s">
        <v>1741</v>
      </c>
      <c r="B669" s="5" t="s">
        <v>1742</v>
      </c>
      <c r="C669" s="5" t="s">
        <v>75</v>
      </c>
      <c r="D669" s="5" t="s">
        <v>76</v>
      </c>
      <c r="E669" s="5" t="s">
        <v>169</v>
      </c>
      <c r="F669" s="9">
        <v>70</v>
      </c>
      <c r="G669" s="9">
        <v>773</v>
      </c>
      <c r="H669" s="5" t="s">
        <v>21</v>
      </c>
      <c r="I669" s="5" t="s">
        <v>1743</v>
      </c>
      <c r="J669" s="12" t="str">
        <f>HYPERLINK("https://www.boe.es/gazeta/dias/1801/07/17/pdfs/GMD-1801-70.pdf#page=6","Abrir facsímil")</f>
        <v>Abrir facsímil</v>
      </c>
      <c r="K669" s="15" t="s">
        <v>23</v>
      </c>
    </row>
    <row r="670" spans="1:11" ht="42" customHeight="1">
      <c r="A670" s="4" t="s">
        <v>1744</v>
      </c>
      <c r="B670" s="5" t="s">
        <v>1745</v>
      </c>
      <c r="C670" s="5" t="s">
        <v>69</v>
      </c>
      <c r="D670" s="5" t="s">
        <v>19</v>
      </c>
      <c r="E670" s="5" t="s">
        <v>126</v>
      </c>
      <c r="F670" s="9">
        <v>13</v>
      </c>
      <c r="G670" s="9">
        <v>162</v>
      </c>
      <c r="H670" s="5" t="s">
        <v>21</v>
      </c>
      <c r="I670" s="5" t="s">
        <v>1746</v>
      </c>
      <c r="J670" s="12" t="str">
        <f>HYPERLINK("https://www.boe.es/gazeta/dias/1801/02/13/pdfs/GMD-1801-13.pdf#page=9","Abrir facsímil")</f>
        <v>Abrir facsímil</v>
      </c>
      <c r="K670" s="15" t="s">
        <v>23</v>
      </c>
    </row>
    <row r="671" spans="1:11" ht="42" customHeight="1">
      <c r="A671" s="4" t="s">
        <v>1747</v>
      </c>
      <c r="B671" s="5" t="s">
        <v>1747</v>
      </c>
      <c r="C671" s="5" t="s">
        <v>75</v>
      </c>
      <c r="D671" s="5" t="s">
        <v>76</v>
      </c>
      <c r="E671" s="5" t="s">
        <v>101</v>
      </c>
      <c r="F671" s="9">
        <v>41</v>
      </c>
      <c r="G671" s="9">
        <v>520</v>
      </c>
      <c r="H671" s="5" t="s">
        <v>21</v>
      </c>
      <c r="I671" s="5" t="s">
        <v>1748</v>
      </c>
      <c r="J671" s="12" t="str">
        <f>HYPERLINK("https://www.boe.es/gazeta/dias/1801/05/22/pdfs/GMD-1801-41.pdf#page=4","Abrir facsímil")</f>
        <v>Abrir facsímil</v>
      </c>
      <c r="K671" s="15" t="s">
        <v>23</v>
      </c>
    </row>
    <row r="672" spans="1:11" ht="42" customHeight="1">
      <c r="A672" s="4" t="s">
        <v>1749</v>
      </c>
      <c r="B672" s="5" t="s">
        <v>1750</v>
      </c>
      <c r="C672" s="5" t="s">
        <v>69</v>
      </c>
      <c r="D672" s="5" t="s">
        <v>19</v>
      </c>
      <c r="E672" s="5" t="s">
        <v>223</v>
      </c>
      <c r="F672" s="9">
        <v>74</v>
      </c>
      <c r="G672" s="9">
        <v>830</v>
      </c>
      <c r="H672" s="5" t="s">
        <v>21</v>
      </c>
      <c r="I672" s="5" t="s">
        <v>1751</v>
      </c>
      <c r="J672" s="12" t="str">
        <f>HYPERLINK("https://www.boe.es/gazeta/dias/1801/07/31/pdfs/GMD-1801-74.pdf#page=11","Abrir facsímil")</f>
        <v>Abrir facsímil</v>
      </c>
      <c r="K672" s="15" t="s">
        <v>23</v>
      </c>
    </row>
    <row r="673" spans="1:11" ht="42" customHeight="1">
      <c r="A673" s="4" t="s">
        <v>1752</v>
      </c>
      <c r="B673" s="5" t="s">
        <v>1753</v>
      </c>
      <c r="C673" s="5" t="s">
        <v>75</v>
      </c>
      <c r="D673" s="5" t="s">
        <v>76</v>
      </c>
      <c r="E673" s="5" t="s">
        <v>124</v>
      </c>
      <c r="F673" s="9">
        <v>12</v>
      </c>
      <c r="G673" s="9">
        <v>145</v>
      </c>
      <c r="H673" s="5" t="s">
        <v>21</v>
      </c>
      <c r="I673" s="5" t="s">
        <v>1754</v>
      </c>
      <c r="J673" s="12" t="str">
        <f>HYPERLINK("https://www.boe.es/gazeta/dias/1801/02/10/pdfs/GMD-1801-12.pdf#page=6","Abrir facsímil")</f>
        <v>Abrir facsímil</v>
      </c>
      <c r="K673" s="15" t="s">
        <v>23</v>
      </c>
    </row>
    <row r="674" spans="1:11" ht="42" customHeight="1">
      <c r="A674" s="4" t="s">
        <v>1755</v>
      </c>
      <c r="B674" s="5" t="s">
        <v>1756</v>
      </c>
      <c r="C674" s="5" t="s">
        <v>80</v>
      </c>
      <c r="D674" s="5" t="s">
        <v>81</v>
      </c>
      <c r="E674" s="5" t="s">
        <v>289</v>
      </c>
      <c r="F674" s="9">
        <v>40</v>
      </c>
      <c r="G674" s="9" t="s">
        <v>305</v>
      </c>
      <c r="H674" s="5" t="s">
        <v>21</v>
      </c>
      <c r="I674" s="5" t="s">
        <v>1757</v>
      </c>
      <c r="J674" s="12" t="str">
        <f>HYPERLINK("https://www.boe.es/gazeta/dias/1801/05/19/pdfs/GMD-C-1801-40.pdf#page=4","Abrir facsímil")</f>
        <v>Abrir facsímil</v>
      </c>
      <c r="K674" s="15" t="s">
        <v>23</v>
      </c>
    </row>
    <row r="675" spans="1:11" ht="42" customHeight="1">
      <c r="A675" s="4" t="s">
        <v>1758</v>
      </c>
      <c r="B675" s="5" t="s">
        <v>1759</v>
      </c>
      <c r="C675" s="5" t="s">
        <v>75</v>
      </c>
      <c r="D675" s="5" t="s">
        <v>76</v>
      </c>
      <c r="E675" s="5" t="s">
        <v>90</v>
      </c>
      <c r="F675" s="9">
        <v>1</v>
      </c>
      <c r="G675" s="9">
        <v>2</v>
      </c>
      <c r="H675" s="5" t="s">
        <v>21</v>
      </c>
      <c r="I675" s="5" t="s">
        <v>1760</v>
      </c>
      <c r="J675" s="12" t="str">
        <f>HYPERLINK("https://www.boe.es/gazeta/dias/1801/01/02/pdfs/GMD-1801-1.pdf#page=2","Abrir facsímil")</f>
        <v>Abrir facsímil</v>
      </c>
      <c r="K675" s="15" t="s">
        <v>23</v>
      </c>
    </row>
    <row r="676" spans="1:11" ht="42" customHeight="1">
      <c r="A676" s="4" t="s">
        <v>1758</v>
      </c>
      <c r="B676" s="5" t="s">
        <v>1759</v>
      </c>
      <c r="C676" s="5" t="s">
        <v>75</v>
      </c>
      <c r="D676" s="5" t="s">
        <v>76</v>
      </c>
      <c r="E676" s="5" t="s">
        <v>462</v>
      </c>
      <c r="F676" s="9">
        <v>5</v>
      </c>
      <c r="G676" s="9">
        <v>51</v>
      </c>
      <c r="H676" s="5" t="s">
        <v>21</v>
      </c>
      <c r="I676" s="5" t="s">
        <v>1761</v>
      </c>
      <c r="J676" s="12" t="str">
        <f>HYPERLINK("https://www.boe.es/gazeta/dias/1801/01/16/pdfs/GMD-1801-5.pdf#page=3","Abrir facsímil")</f>
        <v>Abrir facsímil</v>
      </c>
      <c r="K676" s="15" t="s">
        <v>23</v>
      </c>
    </row>
    <row r="677" spans="1:11" ht="42" customHeight="1">
      <c r="A677" s="4" t="s">
        <v>1758</v>
      </c>
      <c r="B677" s="5" t="s">
        <v>1759</v>
      </c>
      <c r="C677" s="5" t="s">
        <v>75</v>
      </c>
      <c r="D677" s="5" t="s">
        <v>76</v>
      </c>
      <c r="E677" s="5" t="s">
        <v>480</v>
      </c>
      <c r="F677" s="9">
        <v>10</v>
      </c>
      <c r="G677" s="9">
        <v>120</v>
      </c>
      <c r="H677" s="5" t="s">
        <v>21</v>
      </c>
      <c r="I677" s="5" t="s">
        <v>1762</v>
      </c>
      <c r="J677" s="12" t="str">
        <f>HYPERLINK("https://www.boe.es/gazeta/dias/1801/02/03/pdfs/GMD-1801-10.pdf#page=5","Abrir facsímil")</f>
        <v>Abrir facsímil</v>
      </c>
      <c r="K677" s="15" t="s">
        <v>23</v>
      </c>
    </row>
    <row r="678" spans="1:11" ht="42" customHeight="1">
      <c r="A678" s="4" t="s">
        <v>1758</v>
      </c>
      <c r="B678" s="5" t="s">
        <v>1759</v>
      </c>
      <c r="C678" s="5" t="s">
        <v>38</v>
      </c>
      <c r="D678" s="5" t="s">
        <v>39</v>
      </c>
      <c r="E678" s="5" t="s">
        <v>126</v>
      </c>
      <c r="F678" s="9">
        <v>13</v>
      </c>
      <c r="G678" s="9">
        <v>159</v>
      </c>
      <c r="H678" s="5" t="s">
        <v>21</v>
      </c>
      <c r="I678" s="5" t="s">
        <v>1763</v>
      </c>
      <c r="J678" s="12" t="str">
        <f>HYPERLINK("https://www.boe.es/gazeta/dias/1801/02/13/pdfs/GMD-1801-13.pdf#page=6","Abrir facsímil")</f>
        <v>Abrir facsímil</v>
      </c>
      <c r="K678" s="15" t="s">
        <v>23</v>
      </c>
    </row>
    <row r="679" spans="1:11" ht="42" customHeight="1">
      <c r="A679" s="4" t="s">
        <v>1758</v>
      </c>
      <c r="B679" s="5" t="s">
        <v>1759</v>
      </c>
      <c r="C679" s="5" t="s">
        <v>38</v>
      </c>
      <c r="D679" s="5" t="s">
        <v>39</v>
      </c>
      <c r="E679" s="5" t="s">
        <v>126</v>
      </c>
      <c r="F679" s="9">
        <v>13</v>
      </c>
      <c r="G679" s="9">
        <v>160</v>
      </c>
      <c r="H679" s="5" t="s">
        <v>21</v>
      </c>
      <c r="I679" s="5" t="s">
        <v>1764</v>
      </c>
      <c r="J679" s="12" t="str">
        <f>HYPERLINK("https://www.boe.es/gazeta/dias/1801/02/13/pdfs/GMD-1801-13.pdf#page=7","Abrir facsímil")</f>
        <v>Abrir facsímil</v>
      </c>
      <c r="K679" s="15" t="s">
        <v>23</v>
      </c>
    </row>
    <row r="680" spans="1:11" ht="42" customHeight="1">
      <c r="A680" s="4" t="s">
        <v>1758</v>
      </c>
      <c r="B680" s="5" t="s">
        <v>1759</v>
      </c>
      <c r="C680" s="5" t="s">
        <v>75</v>
      </c>
      <c r="D680" s="5" t="s">
        <v>76</v>
      </c>
      <c r="E680" s="5" t="s">
        <v>1015</v>
      </c>
      <c r="F680" s="9">
        <v>15</v>
      </c>
      <c r="G680" s="9">
        <v>187</v>
      </c>
      <c r="H680" s="5" t="s">
        <v>21</v>
      </c>
      <c r="I680" s="5" t="s">
        <v>1765</v>
      </c>
      <c r="J680" s="12" t="str">
        <f>HYPERLINK("https://www.boe.es/gazeta/dias/1801/02/20/pdfs/GMD-1801-15.pdf#page=6","Abrir facsímil")</f>
        <v>Abrir facsímil</v>
      </c>
      <c r="K680" s="15" t="s">
        <v>23</v>
      </c>
    </row>
    <row r="681" spans="1:11" ht="42" customHeight="1">
      <c r="A681" s="4" t="s">
        <v>1758</v>
      </c>
      <c r="B681" s="5" t="s">
        <v>1759</v>
      </c>
      <c r="C681" s="5" t="s">
        <v>75</v>
      </c>
      <c r="D681" s="5" t="s">
        <v>76</v>
      </c>
      <c r="E681" s="5" t="s">
        <v>48</v>
      </c>
      <c r="F681" s="9">
        <v>20</v>
      </c>
      <c r="G681" s="9">
        <v>260</v>
      </c>
      <c r="H681" s="5" t="s">
        <v>21</v>
      </c>
      <c r="I681" s="5" t="s">
        <v>1766</v>
      </c>
      <c r="J681" s="12" t="str">
        <f>HYPERLINK("https://www.boe.es/gazeta/dias/1801/03/10/pdfs/GMD-1801-20.pdf#page=5","Abrir facsímil")</f>
        <v>Abrir facsímil</v>
      </c>
      <c r="K681" s="15" t="s">
        <v>23</v>
      </c>
    </row>
    <row r="682" spans="1:11" ht="42" customHeight="1">
      <c r="A682" s="4" t="s">
        <v>1758</v>
      </c>
      <c r="B682" s="5" t="s">
        <v>1759</v>
      </c>
      <c r="C682" s="5" t="s">
        <v>38</v>
      </c>
      <c r="D682" s="5" t="s">
        <v>39</v>
      </c>
      <c r="E682" s="5" t="s">
        <v>48</v>
      </c>
      <c r="F682" s="9">
        <v>20</v>
      </c>
      <c r="G682" s="9">
        <v>261</v>
      </c>
      <c r="H682" s="5" t="s">
        <v>21</v>
      </c>
      <c r="I682" s="5" t="s">
        <v>1767</v>
      </c>
      <c r="J682" s="12" t="str">
        <f>HYPERLINK("https://www.boe.es/gazeta/dias/1801/03/10/pdfs/GMD-1801-20.pdf#page=6","Abrir facsímil")</f>
        <v>Abrir facsímil</v>
      </c>
      <c r="K682" s="15" t="s">
        <v>23</v>
      </c>
    </row>
    <row r="683" spans="1:11" ht="42" customHeight="1">
      <c r="A683" s="4" t="s">
        <v>1758</v>
      </c>
      <c r="B683" s="5" t="s">
        <v>1759</v>
      </c>
      <c r="C683" s="5" t="s">
        <v>38</v>
      </c>
      <c r="D683" s="5" t="s">
        <v>39</v>
      </c>
      <c r="E683" s="5" t="s">
        <v>378</v>
      </c>
      <c r="F683" s="9">
        <v>23</v>
      </c>
      <c r="G683" s="9">
        <v>303</v>
      </c>
      <c r="H683" s="5" t="s">
        <v>21</v>
      </c>
      <c r="I683" s="5" t="s">
        <v>1768</v>
      </c>
      <c r="J683" s="12" t="str">
        <f>HYPERLINK("https://www.boe.es/gazeta/dias/1801/03/20/pdfs/GMD-1801-23.pdf#page=6","Abrir facsímil")</f>
        <v>Abrir facsímil</v>
      </c>
      <c r="K683" s="15" t="s">
        <v>23</v>
      </c>
    </row>
    <row r="684" spans="1:11" ht="42" customHeight="1">
      <c r="A684" s="4" t="s">
        <v>1758</v>
      </c>
      <c r="B684" s="5" t="s">
        <v>1759</v>
      </c>
      <c r="C684" s="5" t="s">
        <v>75</v>
      </c>
      <c r="D684" s="5" t="s">
        <v>76</v>
      </c>
      <c r="E684" s="5" t="s">
        <v>313</v>
      </c>
      <c r="F684" s="9">
        <v>39</v>
      </c>
      <c r="G684" s="9">
        <v>503</v>
      </c>
      <c r="H684" s="5" t="s">
        <v>21</v>
      </c>
      <c r="I684" s="5" t="s">
        <v>1769</v>
      </c>
      <c r="J684" s="12" t="str">
        <f>HYPERLINK("https://www.boe.es/gazeta/dias/1801/05/15/pdfs/GMD-1801-39.pdf#page=7","Abrir facsímil")</f>
        <v>Abrir facsímil</v>
      </c>
      <c r="K684" s="15" t="s">
        <v>23</v>
      </c>
    </row>
    <row r="685" spans="1:11" ht="42" customHeight="1">
      <c r="A685" s="4" t="s">
        <v>1758</v>
      </c>
      <c r="B685" s="5" t="s">
        <v>1759</v>
      </c>
      <c r="C685" s="5" t="s">
        <v>32</v>
      </c>
      <c r="D685" s="5" t="s">
        <v>33</v>
      </c>
      <c r="E685" s="5" t="s">
        <v>155</v>
      </c>
      <c r="F685" s="9">
        <v>50</v>
      </c>
      <c r="G685" s="9">
        <v>592</v>
      </c>
      <c r="H685" s="5" t="s">
        <v>21</v>
      </c>
      <c r="I685" s="5" t="s">
        <v>1770</v>
      </c>
      <c r="J685" s="12" t="str">
        <f>HYPERLINK("https://www.boe.es/gazeta/dias/1801/06/09/pdfs/GMD-1801-50.pdf#page=4","Abrir facsímil")</f>
        <v>Abrir facsímil</v>
      </c>
      <c r="K685" s="15" t="s">
        <v>23</v>
      </c>
    </row>
    <row r="686" spans="1:11" ht="42" customHeight="1">
      <c r="A686" s="4" t="s">
        <v>1758</v>
      </c>
      <c r="B686" s="5" t="s">
        <v>1759</v>
      </c>
      <c r="C686" s="5" t="s">
        <v>75</v>
      </c>
      <c r="D686" s="5" t="s">
        <v>76</v>
      </c>
      <c r="E686" s="5" t="s">
        <v>165</v>
      </c>
      <c r="F686" s="9">
        <v>59</v>
      </c>
      <c r="G686" s="9">
        <v>673</v>
      </c>
      <c r="H686" s="5" t="s">
        <v>21</v>
      </c>
      <c r="I686" s="5" t="s">
        <v>1771</v>
      </c>
      <c r="J686" s="12" t="str">
        <f>HYPERLINK("https://www.boe.es/gazeta/dias/1801/06/23/pdfs/GMD-1801-59.pdf#page=6","Abrir facsímil")</f>
        <v>Abrir facsímil</v>
      </c>
      <c r="K686" s="15" t="s">
        <v>23</v>
      </c>
    </row>
    <row r="687" spans="1:11" ht="42" customHeight="1">
      <c r="A687" s="4" t="s">
        <v>1758</v>
      </c>
      <c r="B687" s="5" t="s">
        <v>1759</v>
      </c>
      <c r="C687" s="5" t="s">
        <v>38</v>
      </c>
      <c r="D687" s="5" t="s">
        <v>39</v>
      </c>
      <c r="E687" s="5" t="s">
        <v>751</v>
      </c>
      <c r="F687" s="9">
        <v>106</v>
      </c>
      <c r="G687" s="9">
        <v>1163</v>
      </c>
      <c r="H687" s="5" t="s">
        <v>21</v>
      </c>
      <c r="I687" s="5" t="s">
        <v>1772</v>
      </c>
      <c r="J687" s="12" t="str">
        <f>HYPERLINK("https://www.boe.es/gazeta/dias/1801/11/13/pdfs/GMD-1801-106.pdf#page=4","Abrir facsímil")</f>
        <v>Abrir facsímil</v>
      </c>
      <c r="K687" s="15" t="s">
        <v>23</v>
      </c>
    </row>
    <row r="688" spans="1:11" ht="42" customHeight="1">
      <c r="A688" s="4" t="s">
        <v>1773</v>
      </c>
      <c r="B688" s="5" t="s">
        <v>1774</v>
      </c>
      <c r="C688" s="5" t="s">
        <v>80</v>
      </c>
      <c r="D688" s="5" t="s">
        <v>81</v>
      </c>
      <c r="E688" s="5" t="s">
        <v>82</v>
      </c>
      <c r="F688" s="9">
        <v>75</v>
      </c>
      <c r="G688" s="9" t="s">
        <v>86</v>
      </c>
      <c r="H688" s="5" t="s">
        <v>21</v>
      </c>
      <c r="I688" s="5" t="s">
        <v>1775</v>
      </c>
      <c r="J688" s="12" t="str">
        <f>HYPERLINK("https://www.boe.es/gazeta/dias/1801/08/04/pdfs/GMD-C-1801-75.pdf#page=3","Abrir facsímil")</f>
        <v>Abrir facsímil</v>
      </c>
      <c r="K688" s="15" t="s">
        <v>23</v>
      </c>
    </row>
    <row r="689" spans="1:11" ht="42" customHeight="1">
      <c r="A689" s="4" t="s">
        <v>1776</v>
      </c>
      <c r="B689" s="5" t="s">
        <v>1777</v>
      </c>
      <c r="C689" s="5" t="s">
        <v>26</v>
      </c>
      <c r="D689" s="5" t="s">
        <v>27</v>
      </c>
      <c r="E689" s="5" t="s">
        <v>338</v>
      </c>
      <c r="F689" s="9">
        <v>83</v>
      </c>
      <c r="G689" s="9">
        <v>937</v>
      </c>
      <c r="H689" s="5" t="s">
        <v>21</v>
      </c>
      <c r="I689" s="5" t="s">
        <v>1778</v>
      </c>
      <c r="J689" s="12" t="str">
        <f>HYPERLINK("https://www.boe.es/gazeta/dias/1801/09/01/pdfs/GMD-1801-83.pdf#page=12","Abrir facsímil")</f>
        <v>Abrir facsímil</v>
      </c>
      <c r="K689" s="15" t="s">
        <v>23</v>
      </c>
    </row>
    <row r="690" spans="1:11" ht="42" customHeight="1">
      <c r="A690" s="4" t="s">
        <v>1779</v>
      </c>
      <c r="B690" s="5" t="s">
        <v>1780</v>
      </c>
      <c r="C690" s="5" t="s">
        <v>26</v>
      </c>
      <c r="D690" s="5" t="s">
        <v>27</v>
      </c>
      <c r="E690" s="5" t="s">
        <v>501</v>
      </c>
      <c r="F690" s="9">
        <v>115</v>
      </c>
      <c r="G690" s="9" t="s">
        <v>502</v>
      </c>
      <c r="H690" s="5" t="s">
        <v>21</v>
      </c>
      <c r="I690" s="5" t="s">
        <v>1781</v>
      </c>
      <c r="J690" s="12" t="str">
        <f>HYPERLINK("https://www.boe.es/gazeta/dias/1801/12/15/pdfs/GMD-C-1801-115.pdf#page=8","Abrir facsímil")</f>
        <v>Abrir facsímil</v>
      </c>
      <c r="K690" s="15" t="s">
        <v>23</v>
      </c>
    </row>
    <row r="691" spans="1:11" ht="42" customHeight="1">
      <c r="A691" s="4" t="s">
        <v>1782</v>
      </c>
      <c r="B691" s="5" t="s">
        <v>1782</v>
      </c>
      <c r="C691" s="5" t="s">
        <v>32</v>
      </c>
      <c r="D691" s="5" t="s">
        <v>33</v>
      </c>
      <c r="E691" s="5" t="s">
        <v>99</v>
      </c>
      <c r="F691" s="9">
        <v>32</v>
      </c>
      <c r="G691" s="9">
        <v>414</v>
      </c>
      <c r="H691" s="5" t="s">
        <v>21</v>
      </c>
      <c r="I691" s="5" t="s">
        <v>1783</v>
      </c>
      <c r="J691" s="12" t="str">
        <f>HYPERLINK("https://www.boe.es/gazeta/dias/1801/04/21/pdfs/GMD-1801-32.pdf#page=10","Abrir facsímil")</f>
        <v>Abrir facsímil</v>
      </c>
      <c r="K691" s="15" t="s">
        <v>23</v>
      </c>
    </row>
    <row r="692" spans="1:11" ht="42" customHeight="1">
      <c r="A692" s="4" t="s">
        <v>1784</v>
      </c>
      <c r="B692" s="5" t="s">
        <v>1784</v>
      </c>
      <c r="C692" s="5" t="s">
        <v>80</v>
      </c>
      <c r="D692" s="5" t="s">
        <v>81</v>
      </c>
      <c r="E692" s="5" t="s">
        <v>82</v>
      </c>
      <c r="F692" s="9">
        <v>75</v>
      </c>
      <c r="G692" s="9" t="s">
        <v>305</v>
      </c>
      <c r="H692" s="5" t="s">
        <v>21</v>
      </c>
      <c r="I692" s="5" t="s">
        <v>1785</v>
      </c>
      <c r="J692" s="12" t="str">
        <f>HYPERLINK("https://www.boe.es/gazeta/dias/1801/08/04/pdfs/GMD-C-1801-75.pdf#page=4","Abrir facsímil")</f>
        <v>Abrir facsímil</v>
      </c>
      <c r="K692" s="15" t="s">
        <v>23</v>
      </c>
    </row>
    <row r="693" spans="1:11" ht="42" customHeight="1">
      <c r="A693" s="4" t="s">
        <v>1786</v>
      </c>
      <c r="B693" s="5" t="s">
        <v>1786</v>
      </c>
      <c r="C693" s="5" t="s">
        <v>69</v>
      </c>
      <c r="D693" s="5" t="s">
        <v>19</v>
      </c>
      <c r="E693" s="5" t="s">
        <v>359</v>
      </c>
      <c r="F693" s="9">
        <v>101</v>
      </c>
      <c r="G693" s="9">
        <v>1113</v>
      </c>
      <c r="H693" s="5" t="s">
        <v>21</v>
      </c>
      <c r="I693" s="5" t="s">
        <v>1787</v>
      </c>
      <c r="J693" s="12" t="str">
        <f>HYPERLINK("https://www.boe.es/gazeta/dias/1801/10/27/pdfs/GMD-1801-101.pdf#page=6","Abrir facsímil")</f>
        <v>Abrir facsímil</v>
      </c>
      <c r="K693" s="15" t="s">
        <v>23</v>
      </c>
    </row>
    <row r="694" spans="1:11" ht="42" customHeight="1">
      <c r="A694" s="4" t="s">
        <v>1788</v>
      </c>
      <c r="B694" s="5" t="s">
        <v>1788</v>
      </c>
      <c r="C694" s="5" t="s">
        <v>32</v>
      </c>
      <c r="D694" s="5" t="s">
        <v>33</v>
      </c>
      <c r="E694" s="5" t="s">
        <v>122</v>
      </c>
      <c r="F694" s="9">
        <v>8</v>
      </c>
      <c r="G694" s="9">
        <v>97</v>
      </c>
      <c r="H694" s="5" t="s">
        <v>21</v>
      </c>
      <c r="I694" s="5" t="s">
        <v>1789</v>
      </c>
      <c r="J694" s="12" t="str">
        <f>HYPERLINK("https://www.boe.es/gazeta/dias/1801/01/27/pdfs/GMD-1801-8.pdf#page=9","Abrir facsímil")</f>
        <v>Abrir facsímil</v>
      </c>
      <c r="K694" s="15" t="s">
        <v>23</v>
      </c>
    </row>
    <row r="695" spans="1:11" ht="42" customHeight="1">
      <c r="A695" s="4" t="s">
        <v>1790</v>
      </c>
      <c r="B695" s="5" t="s">
        <v>1791</v>
      </c>
      <c r="C695" s="5" t="s">
        <v>69</v>
      </c>
      <c r="D695" s="5" t="s">
        <v>19</v>
      </c>
      <c r="E695" s="5" t="s">
        <v>145</v>
      </c>
      <c r="F695" s="9">
        <v>36</v>
      </c>
      <c r="G695" s="9">
        <v>467</v>
      </c>
      <c r="H695" s="5" t="s">
        <v>21</v>
      </c>
      <c r="I695" s="5" t="s">
        <v>1792</v>
      </c>
      <c r="J695" s="12" t="str">
        <f>HYPERLINK("https://www.boe.es/gazeta/dias/1801/05/05/pdfs/GMD-1801-36.pdf#page=11","Abrir facsímil")</f>
        <v>Abrir facsímil</v>
      </c>
      <c r="K695" s="15" t="s">
        <v>23</v>
      </c>
    </row>
    <row r="696" spans="1:11" ht="42" customHeight="1">
      <c r="A696" s="4" t="s">
        <v>1793</v>
      </c>
      <c r="B696" s="5" t="s">
        <v>1794</v>
      </c>
      <c r="C696" s="5" t="s">
        <v>75</v>
      </c>
      <c r="D696" s="5" t="s">
        <v>76</v>
      </c>
      <c r="E696" s="5" t="s">
        <v>151</v>
      </c>
      <c r="F696" s="9">
        <v>45</v>
      </c>
      <c r="G696" s="9">
        <v>557</v>
      </c>
      <c r="H696" s="5" t="s">
        <v>21</v>
      </c>
      <c r="I696" s="5" t="s">
        <v>1795</v>
      </c>
      <c r="J696" s="12" t="str">
        <f>HYPERLINK("https://www.boe.es/gazeta/dias/1801/06/02/pdfs/GMD-1801-45.pdf#page=5","Abrir facsímil")</f>
        <v>Abrir facsímil</v>
      </c>
      <c r="K696" s="15" t="s">
        <v>23</v>
      </c>
    </row>
    <row r="697" spans="1:11" ht="42" customHeight="1">
      <c r="A697" s="4" t="s">
        <v>1796</v>
      </c>
      <c r="B697" s="5" t="s">
        <v>1797</v>
      </c>
      <c r="C697" s="5" t="s">
        <v>32</v>
      </c>
      <c r="D697" s="5" t="s">
        <v>33</v>
      </c>
      <c r="E697" s="5" t="s">
        <v>453</v>
      </c>
      <c r="F697" s="9">
        <v>100</v>
      </c>
      <c r="G697" s="9">
        <v>1100</v>
      </c>
      <c r="H697" s="5" t="s">
        <v>21</v>
      </c>
      <c r="I697" s="5" t="s">
        <v>1798</v>
      </c>
      <c r="J697" s="12" t="str">
        <f>HYPERLINK("https://www.boe.es/gazeta/dias/1801/10/23/pdfs/GMD-1801-100.pdf#page=9","Abrir facsímil")</f>
        <v>Abrir facsímil</v>
      </c>
      <c r="K697" s="15" t="s">
        <v>23</v>
      </c>
    </row>
    <row r="698" spans="1:11" ht="42" customHeight="1">
      <c r="A698" s="4" t="s">
        <v>1799</v>
      </c>
      <c r="B698" s="5" t="s">
        <v>1800</v>
      </c>
      <c r="C698" s="5" t="s">
        <v>26</v>
      </c>
      <c r="D698" s="5" t="s">
        <v>27</v>
      </c>
      <c r="E698" s="5" t="s">
        <v>28</v>
      </c>
      <c r="F698" s="9">
        <v>77</v>
      </c>
      <c r="G698" s="9">
        <v>864</v>
      </c>
      <c r="H698" s="5" t="s">
        <v>21</v>
      </c>
      <c r="I698" s="5" t="s">
        <v>1801</v>
      </c>
      <c r="J698" s="12" t="str">
        <f>HYPERLINK("https://www.boe.es/gazeta/dias/1801/08/11/pdfs/GMD-1801-77.pdf#page=9","Abrir facsímil")</f>
        <v>Abrir facsímil</v>
      </c>
      <c r="K698" s="15" t="s">
        <v>23</v>
      </c>
    </row>
    <row r="699" spans="1:11" ht="42" customHeight="1">
      <c r="A699" s="4" t="s">
        <v>1802</v>
      </c>
      <c r="B699" s="5" t="s">
        <v>1803</v>
      </c>
      <c r="C699" s="5" t="s">
        <v>80</v>
      </c>
      <c r="D699" s="5" t="s">
        <v>81</v>
      </c>
      <c r="E699" s="5" t="s">
        <v>82</v>
      </c>
      <c r="F699" s="9">
        <v>75</v>
      </c>
      <c r="G699" s="9" t="s">
        <v>996</v>
      </c>
      <c r="H699" s="5" t="s">
        <v>21</v>
      </c>
      <c r="I699" s="5" t="s">
        <v>1804</v>
      </c>
      <c r="J699" s="12" t="str">
        <f>HYPERLINK("https://www.boe.es/gazeta/dias/1801/08/04/pdfs/GMD-C-1801-75.pdf#page=6","Abrir facsímil")</f>
        <v>Abrir facsímil</v>
      </c>
      <c r="K699" s="15" t="s">
        <v>23</v>
      </c>
    </row>
    <row r="700" spans="1:11" ht="42" customHeight="1">
      <c r="A700" s="4" t="s">
        <v>1805</v>
      </c>
      <c r="B700" s="5" t="s">
        <v>1806</v>
      </c>
      <c r="C700" s="5" t="s">
        <v>80</v>
      </c>
      <c r="D700" s="5" t="s">
        <v>81</v>
      </c>
      <c r="E700" s="5" t="s">
        <v>82</v>
      </c>
      <c r="F700" s="9">
        <v>75</v>
      </c>
      <c r="G700" s="9" t="s">
        <v>996</v>
      </c>
      <c r="H700" s="5" t="s">
        <v>21</v>
      </c>
      <c r="I700" s="5" t="s">
        <v>1807</v>
      </c>
      <c r="J700" s="12" t="str">
        <f>HYPERLINK("https://www.boe.es/gazeta/dias/1801/08/04/pdfs/GMD-C-1801-75.pdf#page=6","Abrir facsímil")</f>
        <v>Abrir facsímil</v>
      </c>
      <c r="K700" s="15" t="s">
        <v>23</v>
      </c>
    </row>
    <row r="701" spans="1:11" ht="42" customHeight="1">
      <c r="A701" s="4" t="s">
        <v>1808</v>
      </c>
      <c r="B701" s="5" t="s">
        <v>1809</v>
      </c>
      <c r="C701" s="5" t="s">
        <v>32</v>
      </c>
      <c r="D701" s="5" t="s">
        <v>33</v>
      </c>
      <c r="E701" s="5" t="s">
        <v>72</v>
      </c>
      <c r="F701" s="9">
        <v>60</v>
      </c>
      <c r="G701" s="9">
        <v>688</v>
      </c>
      <c r="H701" s="5" t="s">
        <v>21</v>
      </c>
      <c r="I701" s="5" t="s">
        <v>1810</v>
      </c>
      <c r="J701" s="12" t="str">
        <f>HYPERLINK("https://www.boe.es/gazeta/dias/1801/06/26/pdfs/GMD-1801-60.pdf#page=9","Abrir facsímil")</f>
        <v>Abrir facsímil</v>
      </c>
      <c r="K701" s="15" t="s">
        <v>23</v>
      </c>
    </row>
    <row r="702" spans="1:11" ht="42" customHeight="1">
      <c r="A702" s="4" t="s">
        <v>1811</v>
      </c>
      <c r="B702" s="5" t="s">
        <v>1812</v>
      </c>
      <c r="C702" s="5" t="s">
        <v>32</v>
      </c>
      <c r="D702" s="5" t="s">
        <v>33</v>
      </c>
      <c r="E702" s="5" t="s">
        <v>48</v>
      </c>
      <c r="F702" s="9">
        <v>20</v>
      </c>
      <c r="G702" s="9">
        <v>265</v>
      </c>
      <c r="H702" s="5" t="s">
        <v>21</v>
      </c>
      <c r="I702" s="5" t="s">
        <v>1813</v>
      </c>
      <c r="J702" s="12" t="str">
        <f>HYPERLINK("https://www.boe.es/gazeta/dias/1801/03/10/pdfs/GMD-1801-20.pdf#page=10","Abrir facsímil")</f>
        <v>Abrir facsímil</v>
      </c>
      <c r="K702" s="15" t="s">
        <v>23</v>
      </c>
    </row>
    <row r="703" spans="1:11" ht="42" customHeight="1">
      <c r="A703" s="4" t="s">
        <v>1811</v>
      </c>
      <c r="B703" s="5" t="s">
        <v>1812</v>
      </c>
      <c r="C703" s="5" t="s">
        <v>32</v>
      </c>
      <c r="D703" s="5" t="s">
        <v>33</v>
      </c>
      <c r="E703" s="5" t="s">
        <v>55</v>
      </c>
      <c r="F703" s="9">
        <v>104</v>
      </c>
      <c r="G703" s="9">
        <v>1145</v>
      </c>
      <c r="H703" s="5" t="s">
        <v>21</v>
      </c>
      <c r="I703" s="5" t="s">
        <v>1814</v>
      </c>
      <c r="J703" s="12" t="str">
        <f>HYPERLINK("https://www.boe.es/gazeta/dias/1801/11/06/pdfs/GMD-1801-104.pdf#page=6","Abrir facsímil")</f>
        <v>Abrir facsímil</v>
      </c>
      <c r="K703" s="15" t="s">
        <v>23</v>
      </c>
    </row>
    <row r="704" spans="1:11" ht="42" customHeight="1">
      <c r="A704" s="4" t="s">
        <v>1815</v>
      </c>
      <c r="B704" s="5" t="s">
        <v>1815</v>
      </c>
      <c r="C704" s="5" t="s">
        <v>75</v>
      </c>
      <c r="D704" s="5" t="s">
        <v>76</v>
      </c>
      <c r="E704" s="5" t="s">
        <v>465</v>
      </c>
      <c r="F704" s="9">
        <v>4</v>
      </c>
      <c r="G704" s="9">
        <v>40</v>
      </c>
      <c r="H704" s="5" t="s">
        <v>21</v>
      </c>
      <c r="I704" s="5" t="s">
        <v>1816</v>
      </c>
      <c r="J704" s="12" t="str">
        <f>HYPERLINK("https://www.boe.es/gazeta/dias/1801/01/13/pdfs/GMD-1801-4.pdf#page=4","Abrir facsímil")</f>
        <v>Abrir facsímil</v>
      </c>
      <c r="K704" s="15" t="s">
        <v>23</v>
      </c>
    </row>
    <row r="705" spans="1:11" ht="42" customHeight="1">
      <c r="A705" s="4" t="s">
        <v>1817</v>
      </c>
      <c r="B705" s="5" t="s">
        <v>1818</v>
      </c>
      <c r="C705" s="5" t="s">
        <v>32</v>
      </c>
      <c r="D705" s="5" t="s">
        <v>33</v>
      </c>
      <c r="E705" s="5" t="s">
        <v>321</v>
      </c>
      <c r="F705" s="9">
        <v>3</v>
      </c>
      <c r="G705" s="9">
        <v>33</v>
      </c>
      <c r="H705" s="5" t="s">
        <v>21</v>
      </c>
      <c r="I705" s="5" t="s">
        <v>1819</v>
      </c>
      <c r="J705" s="12" t="str">
        <f>HYPERLINK("https://www.boe.es/gazeta/dias/1801/01/09/pdfs/GMD-1801-3.pdf#page=9","Abrir facsímil")</f>
        <v>Abrir facsímil</v>
      </c>
      <c r="K705" s="15" t="s">
        <v>23</v>
      </c>
    </row>
    <row r="706" spans="1:11" ht="42" customHeight="1">
      <c r="A706" s="4" t="s">
        <v>1820</v>
      </c>
      <c r="B706" s="5" t="s">
        <v>1821</v>
      </c>
      <c r="C706" s="5" t="s">
        <v>80</v>
      </c>
      <c r="D706" s="5" t="s">
        <v>81</v>
      </c>
      <c r="E706" s="5" t="s">
        <v>82</v>
      </c>
      <c r="F706" s="9">
        <v>75</v>
      </c>
      <c r="G706" s="9" t="s">
        <v>996</v>
      </c>
      <c r="H706" s="5" t="s">
        <v>21</v>
      </c>
      <c r="I706" s="5" t="s">
        <v>1822</v>
      </c>
      <c r="J706" s="12" t="str">
        <f>HYPERLINK("https://www.boe.es/gazeta/dias/1801/08/04/pdfs/GMD-C-1801-75.pdf#page=6","Abrir facsímil")</f>
        <v>Abrir facsímil</v>
      </c>
      <c r="K706" s="15" t="s">
        <v>23</v>
      </c>
    </row>
    <row r="707" spans="1:11" ht="42" customHeight="1">
      <c r="A707" s="4" t="s">
        <v>1823</v>
      </c>
      <c r="B707" s="5" t="s">
        <v>1823</v>
      </c>
      <c r="C707" s="5" t="s">
        <v>75</v>
      </c>
      <c r="D707" s="5" t="s">
        <v>76</v>
      </c>
      <c r="E707" s="5" t="s">
        <v>935</v>
      </c>
      <c r="F707" s="9">
        <v>116</v>
      </c>
      <c r="G707" s="9">
        <v>1263</v>
      </c>
      <c r="H707" s="5" t="s">
        <v>21</v>
      </c>
      <c r="I707" s="5" t="s">
        <v>1824</v>
      </c>
      <c r="J707" s="12" t="str">
        <f>HYPERLINK("https://www.boe.es/gazeta/dias/1801/12/18/pdfs/GMD-1801-116.pdf#page=5","Abrir facsímil")</f>
        <v>Abrir facsímil</v>
      </c>
      <c r="K707" s="15" t="s">
        <v>23</v>
      </c>
    </row>
    <row r="708" spans="1:11" ht="42" customHeight="1">
      <c r="A708" s="4" t="s">
        <v>1825</v>
      </c>
      <c r="B708" s="5" t="s">
        <v>1825</v>
      </c>
      <c r="C708" s="5" t="s">
        <v>32</v>
      </c>
      <c r="D708" s="5" t="s">
        <v>33</v>
      </c>
      <c r="E708" s="5" t="s">
        <v>266</v>
      </c>
      <c r="F708" s="9">
        <v>119</v>
      </c>
      <c r="G708" s="9">
        <v>1299</v>
      </c>
      <c r="H708" s="5" t="s">
        <v>21</v>
      </c>
      <c r="I708" s="5" t="s">
        <v>1826</v>
      </c>
      <c r="J708" s="12" t="str">
        <f>HYPERLINK("https://www.boe.es/gazeta/dias/1801/12/29/pdfs/GMD-1801-119.pdf#page=3","Abrir facsímil")</f>
        <v>Abrir facsímil</v>
      </c>
      <c r="K708" s="15" t="s">
        <v>23</v>
      </c>
    </row>
    <row r="709" spans="1:11" ht="42" customHeight="1">
      <c r="A709" s="4" t="s">
        <v>1827</v>
      </c>
      <c r="B709" s="5" t="s">
        <v>1827</v>
      </c>
      <c r="C709" s="5" t="s">
        <v>26</v>
      </c>
      <c r="D709" s="5" t="s">
        <v>27</v>
      </c>
      <c r="E709" s="5" t="s">
        <v>501</v>
      </c>
      <c r="F709" s="9">
        <v>115</v>
      </c>
      <c r="G709" s="9">
        <v>1254</v>
      </c>
      <c r="H709" s="5" t="s">
        <v>21</v>
      </c>
      <c r="I709" s="5" t="s">
        <v>1828</v>
      </c>
      <c r="J709" s="12" t="str">
        <f>HYPERLINK("https://www.boe.es/gazeta/dias/1801/12/15/pdfs/GMD-1801-115.pdf#page=4","Abrir facsímil")</f>
        <v>Abrir facsímil</v>
      </c>
      <c r="K709" s="15" t="s">
        <v>23</v>
      </c>
    </row>
    <row r="710" spans="1:11" ht="42" customHeight="1">
      <c r="A710" s="4" t="s">
        <v>1829</v>
      </c>
      <c r="B710" s="5" t="s">
        <v>1829</v>
      </c>
      <c r="C710" s="5" t="s">
        <v>75</v>
      </c>
      <c r="D710" s="5" t="s">
        <v>76</v>
      </c>
      <c r="E710" s="5" t="s">
        <v>20</v>
      </c>
      <c r="F710" s="9">
        <v>37</v>
      </c>
      <c r="G710" s="9">
        <v>479</v>
      </c>
      <c r="H710" s="5" t="s">
        <v>21</v>
      </c>
      <c r="I710" s="5" t="s">
        <v>1830</v>
      </c>
      <c r="J710" s="12" t="str">
        <f>HYPERLINK("https://www.boe.es/gazeta/dias/1801/05/08/pdfs/GMD-1801-37.pdf#page=7","Abrir facsímil")</f>
        <v>Abrir facsímil</v>
      </c>
      <c r="K710" s="15" t="s">
        <v>23</v>
      </c>
    </row>
    <row r="711" spans="1:11" ht="42" customHeight="1">
      <c r="A711" s="4" t="s">
        <v>1831</v>
      </c>
      <c r="B711" s="5" t="s">
        <v>1832</v>
      </c>
      <c r="C711" s="5" t="s">
        <v>32</v>
      </c>
      <c r="D711" s="5" t="s">
        <v>33</v>
      </c>
      <c r="E711" s="5" t="s">
        <v>328</v>
      </c>
      <c r="F711" s="9">
        <v>89</v>
      </c>
      <c r="G711" s="9">
        <v>984</v>
      </c>
      <c r="H711" s="5" t="s">
        <v>21</v>
      </c>
      <c r="I711" s="5" t="s">
        <v>1833</v>
      </c>
      <c r="J711" s="12" t="str">
        <f>HYPERLINK("https://www.boe.es/gazeta/dias/1801/09/15/pdfs/GMD-1801-89.pdf#page=11","Abrir facsímil")</f>
        <v>Abrir facsímil</v>
      </c>
      <c r="K711" s="15" t="s">
        <v>23</v>
      </c>
    </row>
    <row r="712" spans="1:11" ht="42" customHeight="1">
      <c r="A712" s="4" t="s">
        <v>1834</v>
      </c>
      <c r="B712" s="5" t="s">
        <v>1835</v>
      </c>
      <c r="C712" s="5" t="s">
        <v>80</v>
      </c>
      <c r="D712" s="5" t="s">
        <v>81</v>
      </c>
      <c r="E712" s="5" t="s">
        <v>82</v>
      </c>
      <c r="F712" s="9">
        <v>75</v>
      </c>
      <c r="G712" s="9" t="s">
        <v>83</v>
      </c>
      <c r="H712" s="5" t="s">
        <v>21</v>
      </c>
      <c r="I712" s="5" t="s">
        <v>1836</v>
      </c>
      <c r="J712" s="12" t="str">
        <f>HYPERLINK("https://www.boe.es/gazeta/dias/1801/08/04/pdfs/GMD-C-1801-75.pdf#page=2","Abrir facsímil")</f>
        <v>Abrir facsímil</v>
      </c>
      <c r="K712" s="15" t="s">
        <v>23</v>
      </c>
    </row>
    <row r="713" spans="1:11" ht="42" customHeight="1">
      <c r="A713" s="4" t="s">
        <v>1837</v>
      </c>
      <c r="B713" s="5" t="s">
        <v>1838</v>
      </c>
      <c r="C713" s="5" t="s">
        <v>75</v>
      </c>
      <c r="D713" s="5" t="s">
        <v>76</v>
      </c>
      <c r="E713" s="5" t="s">
        <v>221</v>
      </c>
      <c r="F713" s="9">
        <v>28</v>
      </c>
      <c r="G713" s="9">
        <v>365</v>
      </c>
      <c r="H713" s="5" t="s">
        <v>21</v>
      </c>
      <c r="I713" s="5" t="s">
        <v>1839</v>
      </c>
      <c r="J713" s="12" t="str">
        <f>HYPERLINK("https://www.boe.es/gazeta/dias/1801/04/07/pdfs/GMD-1801-28.pdf#page=5","Abrir facsímil")</f>
        <v>Abrir facsímil</v>
      </c>
      <c r="K713" s="15" t="s">
        <v>23</v>
      </c>
    </row>
    <row r="714" spans="1:11" ht="42" customHeight="1">
      <c r="A714" s="4" t="s">
        <v>1840</v>
      </c>
      <c r="B714" s="5" t="s">
        <v>1841</v>
      </c>
      <c r="C714" s="5" t="s">
        <v>32</v>
      </c>
      <c r="D714" s="5" t="s">
        <v>33</v>
      </c>
      <c r="E714" s="5" t="s">
        <v>131</v>
      </c>
      <c r="F714" s="9">
        <v>22</v>
      </c>
      <c r="G714" s="9">
        <v>289</v>
      </c>
      <c r="H714" s="5" t="s">
        <v>21</v>
      </c>
      <c r="I714" s="5" t="s">
        <v>1842</v>
      </c>
      <c r="J714" s="12" t="str">
        <f>HYPERLINK("https://www.boe.es/gazeta/dias/1801/03/17/pdfs/GMD-1801-22.pdf#page=6","Abrir facsímil")</f>
        <v>Abrir facsímil</v>
      </c>
      <c r="K714" s="15" t="s">
        <v>23</v>
      </c>
    </row>
    <row r="715" spans="1:11" ht="42" customHeight="1">
      <c r="A715" s="4" t="s">
        <v>1843</v>
      </c>
      <c r="B715" s="5" t="s">
        <v>1844</v>
      </c>
      <c r="C715" s="5" t="s">
        <v>32</v>
      </c>
      <c r="D715" s="5" t="s">
        <v>33</v>
      </c>
      <c r="E715" s="5" t="s">
        <v>781</v>
      </c>
      <c r="F715" s="9">
        <v>14</v>
      </c>
      <c r="G715" s="9">
        <v>174</v>
      </c>
      <c r="H715" s="5" t="s">
        <v>21</v>
      </c>
      <c r="I715" s="5" t="s">
        <v>1845</v>
      </c>
      <c r="J715" s="12" t="str">
        <f>HYPERLINK("https://www.boe.es/gazeta/dias/1801/02/17/pdfs/GMD-1801-14.pdf#page=9","Abrir facsímil")</f>
        <v>Abrir facsímil</v>
      </c>
      <c r="K715" s="15" t="s">
        <v>23</v>
      </c>
    </row>
    <row r="716" spans="1:11" ht="42" customHeight="1">
      <c r="A716" s="4" t="s">
        <v>1846</v>
      </c>
      <c r="B716" s="5" t="s">
        <v>1847</v>
      </c>
      <c r="C716" s="5" t="s">
        <v>38</v>
      </c>
      <c r="D716" s="5" t="s">
        <v>39</v>
      </c>
      <c r="E716" s="5" t="s">
        <v>122</v>
      </c>
      <c r="F716" s="9">
        <v>8</v>
      </c>
      <c r="G716" s="9">
        <v>99</v>
      </c>
      <c r="H716" s="5" t="s">
        <v>21</v>
      </c>
      <c r="I716" s="5" t="s">
        <v>1848</v>
      </c>
      <c r="J716" s="12" t="str">
        <f>HYPERLINK("https://www.boe.es/gazeta/dias/1801/01/27/pdfs/GMD-1801-8.pdf#page=11","Abrir facsímil")</f>
        <v>Abrir facsímil</v>
      </c>
      <c r="K716" s="15" t="s">
        <v>23</v>
      </c>
    </row>
    <row r="717" spans="1:11" ht="42" customHeight="1">
      <c r="A717" s="4" t="s">
        <v>1849</v>
      </c>
      <c r="B717" s="5" t="s">
        <v>1850</v>
      </c>
      <c r="C717" s="5" t="s">
        <v>75</v>
      </c>
      <c r="D717" s="5" t="s">
        <v>76</v>
      </c>
      <c r="E717" s="5" t="s">
        <v>40</v>
      </c>
      <c r="F717" s="9">
        <v>63</v>
      </c>
      <c r="G717" s="9">
        <v>708</v>
      </c>
      <c r="H717" s="5" t="s">
        <v>21</v>
      </c>
      <c r="I717" s="5" t="s">
        <v>1851</v>
      </c>
      <c r="J717" s="12" t="str">
        <f>HYPERLINK("https://www.boe.es/gazeta/dias/1801/07/03/pdfs/GMD-1801-63.pdf#page=5","Abrir facsímil")</f>
        <v>Abrir facsímil</v>
      </c>
      <c r="K717" s="15" t="s">
        <v>23</v>
      </c>
    </row>
    <row r="718" spans="1:11" ht="42" customHeight="1">
      <c r="A718" s="4" t="s">
        <v>1852</v>
      </c>
      <c r="B718" s="5" t="s">
        <v>1853</v>
      </c>
      <c r="C718" s="5" t="s">
        <v>80</v>
      </c>
      <c r="D718" s="5" t="s">
        <v>81</v>
      </c>
      <c r="E718" s="5" t="s">
        <v>82</v>
      </c>
      <c r="F718" s="9">
        <v>75</v>
      </c>
      <c r="G718" s="9" t="s">
        <v>83</v>
      </c>
      <c r="H718" s="5" t="s">
        <v>21</v>
      </c>
      <c r="I718" s="5" t="s">
        <v>1854</v>
      </c>
      <c r="J718" s="12" t="str">
        <f>HYPERLINK("https://www.boe.es/gazeta/dias/1801/08/04/pdfs/GMD-C-1801-75.pdf#page=2","Abrir facsímil")</f>
        <v>Abrir facsímil</v>
      </c>
      <c r="K718" s="15" t="s">
        <v>23</v>
      </c>
    </row>
    <row r="719" spans="1:11" ht="42" customHeight="1">
      <c r="A719" s="4" t="s">
        <v>1855</v>
      </c>
      <c r="B719" s="5" t="s">
        <v>1856</v>
      </c>
      <c r="C719" s="5" t="s">
        <v>32</v>
      </c>
      <c r="D719" s="5" t="s">
        <v>33</v>
      </c>
      <c r="E719" s="5" t="s">
        <v>44</v>
      </c>
      <c r="F719" s="9">
        <v>117</v>
      </c>
      <c r="G719" s="9">
        <v>1282</v>
      </c>
      <c r="H719" s="5" t="s">
        <v>21</v>
      </c>
      <c r="I719" s="5" t="s">
        <v>1857</v>
      </c>
      <c r="J719" s="12" t="str">
        <f>HYPERLINK("https://www.boe.es/gazeta/dias/1801/12/22/pdfs/GMD-1801-117.pdf#page=9","Abrir facsímil")</f>
        <v>Abrir facsímil</v>
      </c>
      <c r="K719" s="15" t="s">
        <v>23</v>
      </c>
    </row>
    <row r="720" spans="1:11" ht="42" customHeight="1">
      <c r="A720" s="4" t="s">
        <v>1858</v>
      </c>
      <c r="B720" s="5" t="s">
        <v>1858</v>
      </c>
      <c r="C720" s="5" t="s">
        <v>32</v>
      </c>
      <c r="D720" s="5" t="s">
        <v>33</v>
      </c>
      <c r="E720" s="5" t="s">
        <v>20</v>
      </c>
      <c r="F720" s="9">
        <v>37</v>
      </c>
      <c r="G720" s="9">
        <v>484</v>
      </c>
      <c r="H720" s="5" t="s">
        <v>21</v>
      </c>
      <c r="I720" s="5" t="s">
        <v>1859</v>
      </c>
      <c r="J720" s="12" t="str">
        <f>HYPERLINK("https://www.boe.es/gazeta/dias/1801/05/08/pdfs/GMD-1801-37.pdf#page=12","Abrir facsímil")</f>
        <v>Abrir facsímil</v>
      </c>
      <c r="K720" s="15" t="s">
        <v>23</v>
      </c>
    </row>
    <row r="721" spans="1:11" ht="42" customHeight="1">
      <c r="A721" s="4" t="s">
        <v>1860</v>
      </c>
      <c r="B721" s="5" t="s">
        <v>1861</v>
      </c>
      <c r="C721" s="5" t="s">
        <v>69</v>
      </c>
      <c r="D721" s="5" t="s">
        <v>19</v>
      </c>
      <c r="E721" s="5" t="s">
        <v>137</v>
      </c>
      <c r="F721" s="9">
        <v>30</v>
      </c>
      <c r="G721" s="9">
        <v>394</v>
      </c>
      <c r="H721" s="5" t="s">
        <v>21</v>
      </c>
      <c r="I721" s="5" t="s">
        <v>1862</v>
      </c>
      <c r="J721" s="12" t="str">
        <f>HYPERLINK("https://www.boe.es/gazeta/dias/1801/04/14/pdfs/GMD-1801-30.pdf#page=10","Abrir facsímil")</f>
        <v>Abrir facsímil</v>
      </c>
      <c r="K721" s="15" t="s">
        <v>23</v>
      </c>
    </row>
    <row r="722" spans="1:11" ht="42" customHeight="1">
      <c r="A722" s="4" t="s">
        <v>1863</v>
      </c>
      <c r="B722" s="5" t="s">
        <v>1864</v>
      </c>
      <c r="C722" s="5" t="s">
        <v>32</v>
      </c>
      <c r="D722" s="5" t="s">
        <v>33</v>
      </c>
      <c r="E722" s="5" t="s">
        <v>179</v>
      </c>
      <c r="F722" s="9">
        <v>11</v>
      </c>
      <c r="G722" s="9">
        <v>137</v>
      </c>
      <c r="H722" s="5" t="s">
        <v>21</v>
      </c>
      <c r="I722" s="5" t="s">
        <v>1865</v>
      </c>
      <c r="J722" s="12" t="str">
        <f>HYPERLINK("https://www.boe.es/gazeta/dias/1801/02/06/pdfs/GMD-1801-11.pdf#page=10","Abrir facsímil")</f>
        <v>Abrir facsímil</v>
      </c>
      <c r="K722" s="15" t="s">
        <v>23</v>
      </c>
    </row>
    <row r="723" spans="1:11" ht="42" customHeight="1">
      <c r="A723" s="4" t="s">
        <v>1866</v>
      </c>
      <c r="B723" s="5" t="s">
        <v>1867</v>
      </c>
      <c r="C723" s="5" t="s">
        <v>32</v>
      </c>
      <c r="D723" s="5" t="s">
        <v>33</v>
      </c>
      <c r="E723" s="5" t="s">
        <v>145</v>
      </c>
      <c r="F723" s="9">
        <v>36</v>
      </c>
      <c r="G723" s="9">
        <v>467</v>
      </c>
      <c r="H723" s="5" t="s">
        <v>21</v>
      </c>
      <c r="I723" s="5" t="s">
        <v>1868</v>
      </c>
      <c r="J723" s="12" t="str">
        <f>HYPERLINK("https://www.boe.es/gazeta/dias/1801/05/05/pdfs/GMD-1801-36.pdf#page=11","Abrir facsímil")</f>
        <v>Abrir facsímil</v>
      </c>
      <c r="K723" s="15" t="s">
        <v>23</v>
      </c>
    </row>
    <row r="724" spans="1:11" ht="42" customHeight="1">
      <c r="A724" s="4" t="s">
        <v>1869</v>
      </c>
      <c r="B724" s="5" t="s">
        <v>1870</v>
      </c>
      <c r="C724" s="5" t="s">
        <v>32</v>
      </c>
      <c r="D724" s="5" t="s">
        <v>33</v>
      </c>
      <c r="E724" s="5" t="s">
        <v>62</v>
      </c>
      <c r="F724" s="9">
        <v>6</v>
      </c>
      <c r="G724" s="9">
        <v>73</v>
      </c>
      <c r="H724" s="5" t="s">
        <v>21</v>
      </c>
      <c r="I724" s="5" t="s">
        <v>1871</v>
      </c>
      <c r="J724" s="12" t="str">
        <f>HYPERLINK("https://www.boe.es/gazeta/dias/1801/01/20/pdfs/GMD-1801-6.pdf#page=9","Abrir facsímil")</f>
        <v>Abrir facsímil</v>
      </c>
      <c r="K724" s="15" t="s">
        <v>23</v>
      </c>
    </row>
    <row r="725" spans="1:11" ht="42" customHeight="1">
      <c r="A725" s="4" t="s">
        <v>1872</v>
      </c>
      <c r="B725" s="5" t="s">
        <v>1873</v>
      </c>
      <c r="C725" s="5" t="s">
        <v>69</v>
      </c>
      <c r="D725" s="5" t="s">
        <v>19</v>
      </c>
      <c r="E725" s="5" t="s">
        <v>275</v>
      </c>
      <c r="F725" s="9">
        <v>9</v>
      </c>
      <c r="G725" s="9">
        <v>112</v>
      </c>
      <c r="H725" s="5" t="s">
        <v>21</v>
      </c>
      <c r="I725" s="5" t="s">
        <v>1874</v>
      </c>
      <c r="J725" s="12" t="str">
        <f>HYPERLINK("https://www.boe.es/gazeta/dias/1801/01/30/pdfs/GMD-1801-9.pdf#page=9","Abrir facsímil")</f>
        <v>Abrir facsímil</v>
      </c>
      <c r="K725" s="15" t="s">
        <v>23</v>
      </c>
    </row>
    <row r="726" spans="1:11" ht="42" customHeight="1">
      <c r="A726" s="4" t="s">
        <v>1875</v>
      </c>
      <c r="B726" s="5" t="s">
        <v>1876</v>
      </c>
      <c r="C726" s="5" t="s">
        <v>69</v>
      </c>
      <c r="D726" s="5" t="s">
        <v>19</v>
      </c>
      <c r="E726" s="5" t="s">
        <v>262</v>
      </c>
      <c r="F726" s="9">
        <v>109</v>
      </c>
      <c r="G726" s="9">
        <v>1204</v>
      </c>
      <c r="H726" s="5" t="s">
        <v>21</v>
      </c>
      <c r="I726" s="5" t="s">
        <v>1877</v>
      </c>
      <c r="J726" s="12" t="str">
        <f>HYPERLINK("https://www.boe.es/gazeta/dias/1801/11/24/pdfs/GMD-1801-109.pdf#page=9","Abrir facsímil")</f>
        <v>Abrir facsímil</v>
      </c>
      <c r="K726" s="15" t="s">
        <v>23</v>
      </c>
    </row>
    <row r="727" spans="1:11" ht="42" customHeight="1">
      <c r="A727" s="4" t="s">
        <v>1878</v>
      </c>
      <c r="B727" s="5" t="s">
        <v>1879</v>
      </c>
      <c r="C727" s="5" t="s">
        <v>32</v>
      </c>
      <c r="D727" s="5" t="s">
        <v>33</v>
      </c>
      <c r="E727" s="5" t="s">
        <v>378</v>
      </c>
      <c r="F727" s="9">
        <v>23</v>
      </c>
      <c r="G727" s="9">
        <v>306</v>
      </c>
      <c r="H727" s="5" t="s">
        <v>21</v>
      </c>
      <c r="I727" s="5" t="s">
        <v>1880</v>
      </c>
      <c r="J727" s="12" t="str">
        <f>HYPERLINK("https://www.boe.es/gazeta/dias/1801/03/20/pdfs/GMD-1801-23.pdf#page=9","Abrir facsímil")</f>
        <v>Abrir facsímil</v>
      </c>
      <c r="K727" s="15" t="s">
        <v>23</v>
      </c>
    </row>
    <row r="728" spans="1:11" ht="42" customHeight="1">
      <c r="A728" s="4" t="s">
        <v>1881</v>
      </c>
      <c r="B728" s="5" t="s">
        <v>1882</v>
      </c>
      <c r="C728" s="5" t="s">
        <v>32</v>
      </c>
      <c r="D728" s="5" t="s">
        <v>33</v>
      </c>
      <c r="E728" s="5" t="s">
        <v>328</v>
      </c>
      <c r="F728" s="9">
        <v>89</v>
      </c>
      <c r="G728" s="9">
        <v>983</v>
      </c>
      <c r="H728" s="5" t="s">
        <v>21</v>
      </c>
      <c r="I728" s="5" t="s">
        <v>1883</v>
      </c>
      <c r="J728" s="12" t="str">
        <f>HYPERLINK("https://www.boe.es/gazeta/dias/1801/09/15/pdfs/GMD-1801-89.pdf#page=10","Abrir facsímil")</f>
        <v>Abrir facsímil</v>
      </c>
      <c r="K728" s="15" t="s">
        <v>23</v>
      </c>
    </row>
    <row r="729" spans="1:11" ht="42" customHeight="1">
      <c r="A729" s="4" t="s">
        <v>1884</v>
      </c>
      <c r="B729" s="5" t="s">
        <v>1885</v>
      </c>
      <c r="C729" s="5" t="s">
        <v>80</v>
      </c>
      <c r="D729" s="5" t="s">
        <v>81</v>
      </c>
      <c r="E729" s="5" t="s">
        <v>289</v>
      </c>
      <c r="F729" s="9">
        <v>40</v>
      </c>
      <c r="G729" s="9" t="s">
        <v>996</v>
      </c>
      <c r="H729" s="5" t="s">
        <v>21</v>
      </c>
      <c r="I729" s="5" t="s">
        <v>1886</v>
      </c>
      <c r="J729" s="12" t="str">
        <f>HYPERLINK("https://www.boe.es/gazeta/dias/1801/05/19/pdfs/GMD-C-1801-40.pdf#page=6","Abrir facsímil")</f>
        <v>Abrir facsímil</v>
      </c>
      <c r="K729" s="15" t="s">
        <v>23</v>
      </c>
    </row>
    <row r="730" spans="1:11" ht="42" customHeight="1">
      <c r="A730" s="4" t="s">
        <v>1887</v>
      </c>
      <c r="B730" s="5" t="s">
        <v>1888</v>
      </c>
      <c r="C730" s="5" t="s">
        <v>26</v>
      </c>
      <c r="D730" s="5" t="s">
        <v>27</v>
      </c>
      <c r="E730" s="5" t="s">
        <v>128</v>
      </c>
      <c r="F730" s="9">
        <v>17</v>
      </c>
      <c r="G730" s="9">
        <v>217</v>
      </c>
      <c r="H730" s="5" t="s">
        <v>21</v>
      </c>
      <c r="I730" s="5" t="s">
        <v>1889</v>
      </c>
      <c r="J730" s="12" t="str">
        <f>HYPERLINK("https://www.boe.es/gazeta/dias/1801/02/27/pdfs/GMD-1801-17.pdf#page=12","Abrir facsímil")</f>
        <v>Abrir facsímil</v>
      </c>
      <c r="K730" s="15" t="s">
        <v>23</v>
      </c>
    </row>
    <row r="731" spans="1:11" ht="42" customHeight="1">
      <c r="A731" s="4" t="s">
        <v>1890</v>
      </c>
      <c r="B731" s="5" t="s">
        <v>1891</v>
      </c>
      <c r="C731" s="5" t="s">
        <v>32</v>
      </c>
      <c r="D731" s="5" t="s">
        <v>33</v>
      </c>
      <c r="E731" s="5" t="s">
        <v>131</v>
      </c>
      <c r="F731" s="9">
        <v>22</v>
      </c>
      <c r="G731" s="9">
        <v>289</v>
      </c>
      <c r="H731" s="5" t="s">
        <v>21</v>
      </c>
      <c r="I731" s="5" t="s">
        <v>1892</v>
      </c>
      <c r="J731" s="12" t="str">
        <f>HYPERLINK("https://www.boe.es/gazeta/dias/1801/03/17/pdfs/GMD-1801-22.pdf#page=6","Abrir facsímil")</f>
        <v>Abrir facsímil</v>
      </c>
      <c r="K731" s="15" t="s">
        <v>23</v>
      </c>
    </row>
    <row r="732" spans="1:11" ht="42" customHeight="1">
      <c r="A732" s="4" t="s">
        <v>1893</v>
      </c>
      <c r="B732" s="5" t="s">
        <v>1894</v>
      </c>
      <c r="C732" s="5" t="s">
        <v>32</v>
      </c>
      <c r="D732" s="5" t="s">
        <v>33</v>
      </c>
      <c r="E732" s="5" t="s">
        <v>34</v>
      </c>
      <c r="F732" s="9">
        <v>38</v>
      </c>
      <c r="G732" s="9">
        <v>494</v>
      </c>
      <c r="H732" s="5" t="s">
        <v>21</v>
      </c>
      <c r="I732" s="5" t="s">
        <v>1895</v>
      </c>
      <c r="J732" s="12" t="str">
        <f>HYPERLINK("https://www.boe.es/gazeta/dias/1801/05/12/pdfs/GMD-1801-38.pdf#page=10","Abrir facsímil")</f>
        <v>Abrir facsímil</v>
      </c>
      <c r="K732" s="15" t="s">
        <v>23</v>
      </c>
    </row>
    <row r="733" spans="1:11" ht="42" customHeight="1">
      <c r="A733" s="4" t="s">
        <v>1896</v>
      </c>
      <c r="B733" s="5" t="s">
        <v>1897</v>
      </c>
      <c r="C733" s="5" t="s">
        <v>32</v>
      </c>
      <c r="D733" s="5" t="s">
        <v>33</v>
      </c>
      <c r="E733" s="5" t="s">
        <v>313</v>
      </c>
      <c r="F733" s="9">
        <v>39</v>
      </c>
      <c r="G733" s="9">
        <v>505</v>
      </c>
      <c r="H733" s="5" t="s">
        <v>21</v>
      </c>
      <c r="I733" s="5" t="s">
        <v>1898</v>
      </c>
      <c r="J733" s="12" t="str">
        <f>HYPERLINK("https://www.boe.es/gazeta/dias/1801/05/15/pdfs/GMD-1801-39.pdf#page=9","Abrir facsímil")</f>
        <v>Abrir facsímil</v>
      </c>
      <c r="K733" s="15" t="s">
        <v>23</v>
      </c>
    </row>
    <row r="734" spans="1:11" ht="42" customHeight="1">
      <c r="A734" s="4" t="s">
        <v>1899</v>
      </c>
      <c r="B734" s="5" t="s">
        <v>1900</v>
      </c>
      <c r="C734" s="5" t="s">
        <v>32</v>
      </c>
      <c r="D734" s="5" t="s">
        <v>33</v>
      </c>
      <c r="E734" s="5" t="s">
        <v>55</v>
      </c>
      <c r="F734" s="9">
        <v>104</v>
      </c>
      <c r="G734" s="9">
        <v>1145</v>
      </c>
      <c r="H734" s="5" t="s">
        <v>21</v>
      </c>
      <c r="I734" s="5" t="s">
        <v>1901</v>
      </c>
      <c r="J734" s="12" t="str">
        <f>HYPERLINK("https://www.boe.es/gazeta/dias/1801/11/06/pdfs/GMD-1801-104.pdf#page=6","Abrir facsímil")</f>
        <v>Abrir facsímil</v>
      </c>
      <c r="K734" s="15" t="s">
        <v>23</v>
      </c>
    </row>
    <row r="735" spans="1:11" ht="42" customHeight="1">
      <c r="A735" s="4" t="s">
        <v>1902</v>
      </c>
      <c r="B735" s="5" t="s">
        <v>1903</v>
      </c>
      <c r="C735" s="5" t="s">
        <v>38</v>
      </c>
      <c r="D735" s="5" t="s">
        <v>39</v>
      </c>
      <c r="E735" s="5" t="s">
        <v>219</v>
      </c>
      <c r="F735" s="9">
        <v>26</v>
      </c>
      <c r="G735" s="9">
        <v>343</v>
      </c>
      <c r="H735" s="5" t="s">
        <v>21</v>
      </c>
      <c r="I735" s="5" t="s">
        <v>1904</v>
      </c>
      <c r="J735" s="12" t="str">
        <f>HYPERLINK("https://www.boe.es/gazeta/dias/1801/03/31/pdfs/GMD-1801-26.pdf#page=7","Abrir facsímil")</f>
        <v>Abrir facsímil</v>
      </c>
      <c r="K735" s="15" t="s">
        <v>23</v>
      </c>
    </row>
    <row r="736" spans="1:11" ht="42" customHeight="1">
      <c r="A736" s="4" t="s">
        <v>1905</v>
      </c>
      <c r="B736" s="5" t="s">
        <v>1906</v>
      </c>
      <c r="C736" s="5" t="s">
        <v>69</v>
      </c>
      <c r="D736" s="5" t="s">
        <v>19</v>
      </c>
      <c r="E736" s="5" t="s">
        <v>99</v>
      </c>
      <c r="F736" s="9">
        <v>32</v>
      </c>
      <c r="G736" s="9">
        <v>413</v>
      </c>
      <c r="H736" s="5" t="s">
        <v>21</v>
      </c>
      <c r="I736" s="5" t="s">
        <v>1907</v>
      </c>
      <c r="J736" s="12" t="str">
        <f>HYPERLINK("https://www.boe.es/gazeta/dias/1801/04/21/pdfs/GMD-1801-32.pdf#page=9","Abrir facsímil")</f>
        <v>Abrir facsímil</v>
      </c>
      <c r="K736" s="15" t="s">
        <v>23</v>
      </c>
    </row>
    <row r="737" spans="1:11" ht="42" customHeight="1">
      <c r="A737" s="4" t="s">
        <v>1905</v>
      </c>
      <c r="B737" s="5" t="s">
        <v>1906</v>
      </c>
      <c r="C737" s="5" t="s">
        <v>32</v>
      </c>
      <c r="D737" s="5" t="s">
        <v>33</v>
      </c>
      <c r="E737" s="5" t="s">
        <v>141</v>
      </c>
      <c r="F737" s="9">
        <v>33</v>
      </c>
      <c r="G737" s="9">
        <v>425</v>
      </c>
      <c r="H737" s="5" t="s">
        <v>21</v>
      </c>
      <c r="I737" s="5" t="s">
        <v>1908</v>
      </c>
      <c r="J737" s="12" t="str">
        <f>HYPERLINK("https://www.boe.es/gazeta/dias/1801/04/24/pdfs/GMD-1801-33.pdf#page=9","Abrir facsímil")</f>
        <v>Abrir facsímil</v>
      </c>
      <c r="K737" s="15" t="s">
        <v>23</v>
      </c>
    </row>
    <row r="738" spans="1:11" ht="42" customHeight="1">
      <c r="A738" s="4" t="s">
        <v>1909</v>
      </c>
      <c r="B738" s="5" t="s">
        <v>1910</v>
      </c>
      <c r="C738" s="5" t="s">
        <v>75</v>
      </c>
      <c r="D738" s="5" t="s">
        <v>76</v>
      </c>
      <c r="E738" s="5" t="s">
        <v>141</v>
      </c>
      <c r="F738" s="9">
        <v>33</v>
      </c>
      <c r="G738" s="9">
        <v>420</v>
      </c>
      <c r="H738" s="5" t="s">
        <v>21</v>
      </c>
      <c r="I738" s="5" t="s">
        <v>1911</v>
      </c>
      <c r="J738" s="12" t="str">
        <f>HYPERLINK("https://www.boe.es/gazeta/dias/1801/04/24/pdfs/GMD-1801-33.pdf#page=4","Abrir facsímil")</f>
        <v>Abrir facsímil</v>
      </c>
      <c r="K738" s="15" t="s">
        <v>23</v>
      </c>
    </row>
    <row r="739" spans="1:11" ht="42" customHeight="1">
      <c r="A739" s="4" t="s">
        <v>1912</v>
      </c>
      <c r="B739" s="5" t="s">
        <v>1913</v>
      </c>
      <c r="C739" s="5" t="s">
        <v>515</v>
      </c>
      <c r="D739" s="5" t="s">
        <v>516</v>
      </c>
      <c r="E739" s="5" t="s">
        <v>143</v>
      </c>
      <c r="F739" s="9">
        <v>34</v>
      </c>
      <c r="G739" s="9">
        <v>441</v>
      </c>
      <c r="H739" s="5" t="s">
        <v>21</v>
      </c>
      <c r="I739" s="5" t="s">
        <v>1914</v>
      </c>
      <c r="J739" s="12" t="str">
        <f>HYPERLINK("https://www.boe.es/gazeta/dias/1801/04/28/pdfs/GMD-C-1801-34.pdf#page=1","Abrir facsímil")</f>
        <v>Abrir facsímil</v>
      </c>
      <c r="K739" s="15" t="s">
        <v>23</v>
      </c>
    </row>
    <row r="740" spans="1:11" ht="42" customHeight="1">
      <c r="A740" s="4" t="s">
        <v>1915</v>
      </c>
      <c r="B740" s="5" t="s">
        <v>1916</v>
      </c>
      <c r="C740" s="5" t="s">
        <v>32</v>
      </c>
      <c r="D740" s="5" t="s">
        <v>33</v>
      </c>
      <c r="E740" s="5" t="s">
        <v>90</v>
      </c>
      <c r="F740" s="9">
        <v>1</v>
      </c>
      <c r="G740" s="9">
        <v>9</v>
      </c>
      <c r="H740" s="5" t="s">
        <v>21</v>
      </c>
      <c r="I740" s="5" t="s">
        <v>1917</v>
      </c>
      <c r="J740" s="12" t="str">
        <f>HYPERLINK("https://www.boe.es/gazeta/dias/1801/01/02/pdfs/GMD-1801-1.pdf#page=9","Abrir facsímil")</f>
        <v>Abrir facsímil</v>
      </c>
      <c r="K740" s="15" t="s">
        <v>23</v>
      </c>
    </row>
    <row r="741" spans="1:11" ht="42" customHeight="1">
      <c r="A741" s="4" t="s">
        <v>1918</v>
      </c>
      <c r="B741" s="5" t="s">
        <v>1919</v>
      </c>
      <c r="C741" s="5" t="s">
        <v>32</v>
      </c>
      <c r="D741" s="5" t="s">
        <v>33</v>
      </c>
      <c r="E741" s="5" t="s">
        <v>90</v>
      </c>
      <c r="F741" s="9">
        <v>1</v>
      </c>
      <c r="G741" s="9">
        <v>9</v>
      </c>
      <c r="H741" s="5" t="s">
        <v>21</v>
      </c>
      <c r="I741" s="5" t="s">
        <v>1920</v>
      </c>
      <c r="J741" s="12" t="str">
        <f>HYPERLINK("https://www.boe.es/gazeta/dias/1801/01/02/pdfs/GMD-1801-1.pdf#page=9","Abrir facsímil")</f>
        <v>Abrir facsímil</v>
      </c>
      <c r="K741" s="15" t="s">
        <v>23</v>
      </c>
    </row>
    <row r="742" spans="1:11" ht="42" customHeight="1">
      <c r="A742" s="4" t="s">
        <v>1921</v>
      </c>
      <c r="B742" s="5" t="s">
        <v>1922</v>
      </c>
      <c r="C742" s="5" t="s">
        <v>38</v>
      </c>
      <c r="D742" s="5" t="s">
        <v>39</v>
      </c>
      <c r="E742" s="5" t="s">
        <v>219</v>
      </c>
      <c r="F742" s="9">
        <v>26</v>
      </c>
      <c r="G742" s="9">
        <v>346</v>
      </c>
      <c r="H742" s="5" t="s">
        <v>21</v>
      </c>
      <c r="I742" s="5" t="s">
        <v>1923</v>
      </c>
      <c r="J742" s="12" t="str">
        <f>HYPERLINK("https://www.boe.es/gazeta/dias/1801/03/31/pdfs/GMD-1801-26.pdf#page=10","Abrir facsímil")</f>
        <v>Abrir facsímil</v>
      </c>
      <c r="K742" s="15" t="s">
        <v>23</v>
      </c>
    </row>
    <row r="743" spans="1:11" ht="42" customHeight="1">
      <c r="A743" s="4" t="s">
        <v>1924</v>
      </c>
      <c r="B743" s="5" t="s">
        <v>1924</v>
      </c>
      <c r="C743" s="5" t="s">
        <v>32</v>
      </c>
      <c r="D743" s="5" t="s">
        <v>33</v>
      </c>
      <c r="E743" s="5" t="s">
        <v>153</v>
      </c>
      <c r="F743" s="9">
        <v>48</v>
      </c>
      <c r="G743" s="9">
        <v>584</v>
      </c>
      <c r="H743" s="5" t="s">
        <v>21</v>
      </c>
      <c r="I743" s="5" t="s">
        <v>1925</v>
      </c>
      <c r="J743" s="12" t="str">
        <f>HYPERLINK("https://www.boe.es/gazeta/dias/1801/06/05/pdfs/GMD-1801-48.pdf#page=6","Abrir facsímil")</f>
        <v>Abrir facsímil</v>
      </c>
      <c r="K743" s="15" t="s">
        <v>23</v>
      </c>
    </row>
    <row r="744" spans="1:11" ht="42" customHeight="1">
      <c r="A744" s="4" t="s">
        <v>1926</v>
      </c>
      <c r="B744" s="5" t="s">
        <v>1927</v>
      </c>
      <c r="C744" s="5" t="s">
        <v>69</v>
      </c>
      <c r="D744" s="5" t="s">
        <v>19</v>
      </c>
      <c r="E744" s="5" t="s">
        <v>112</v>
      </c>
      <c r="F744" s="9">
        <v>114</v>
      </c>
      <c r="G744" s="9">
        <v>1247</v>
      </c>
      <c r="H744" s="5" t="s">
        <v>21</v>
      </c>
      <c r="I744" s="5" t="s">
        <v>1928</v>
      </c>
      <c r="J744" s="12" t="str">
        <f>HYPERLINK("https://www.boe.es/gazeta/dias/1801/12/11/pdfs/GMD-1801-114.pdf#page=9","Abrir facsímil")</f>
        <v>Abrir facsímil</v>
      </c>
      <c r="K744" s="15" t="s">
        <v>23</v>
      </c>
    </row>
    <row r="745" spans="1:11" ht="42" customHeight="1">
      <c r="A745" s="4" t="s">
        <v>1929</v>
      </c>
      <c r="B745" s="5" t="s">
        <v>1930</v>
      </c>
      <c r="C745" s="5" t="s">
        <v>80</v>
      </c>
      <c r="D745" s="5" t="s">
        <v>81</v>
      </c>
      <c r="E745" s="5" t="s">
        <v>289</v>
      </c>
      <c r="F745" s="9">
        <v>40</v>
      </c>
      <c r="G745" s="9" t="s">
        <v>305</v>
      </c>
      <c r="H745" s="5" t="s">
        <v>21</v>
      </c>
      <c r="I745" s="5" t="s">
        <v>1931</v>
      </c>
      <c r="J745" s="12" t="str">
        <f>HYPERLINK("https://www.boe.es/gazeta/dias/1801/05/19/pdfs/GMD-C-1801-40.pdf#page=4","Abrir facsímil")</f>
        <v>Abrir facsímil</v>
      </c>
      <c r="K745" s="15" t="s">
        <v>23</v>
      </c>
    </row>
    <row r="746" spans="1:11" ht="42" customHeight="1">
      <c r="A746" s="4" t="s">
        <v>1932</v>
      </c>
      <c r="B746" s="5" t="s">
        <v>1933</v>
      </c>
      <c r="C746" s="5" t="s">
        <v>32</v>
      </c>
      <c r="D746" s="5" t="s">
        <v>33</v>
      </c>
      <c r="E746" s="5" t="s">
        <v>615</v>
      </c>
      <c r="F746" s="9">
        <v>72</v>
      </c>
      <c r="G746" s="9">
        <v>804</v>
      </c>
      <c r="H746" s="5" t="s">
        <v>21</v>
      </c>
      <c r="I746" s="5" t="s">
        <v>1934</v>
      </c>
      <c r="J746" s="12" t="str">
        <f>HYPERLINK("https://www.boe.es/gazeta/dias/1801/07/24/pdfs/GMD-1801-72.pdf#page=9","Abrir facsímil")</f>
        <v>Abrir facsímil</v>
      </c>
      <c r="K746" s="15" t="s">
        <v>23</v>
      </c>
    </row>
    <row r="747" spans="1:11" ht="42" customHeight="1">
      <c r="A747" s="4" t="s">
        <v>1935</v>
      </c>
      <c r="B747" s="5" t="s">
        <v>1936</v>
      </c>
      <c r="C747" s="5" t="s">
        <v>38</v>
      </c>
      <c r="D747" s="5" t="s">
        <v>39</v>
      </c>
      <c r="E747" s="5" t="s">
        <v>215</v>
      </c>
      <c r="F747" s="9">
        <v>71</v>
      </c>
      <c r="G747" s="9">
        <v>788</v>
      </c>
      <c r="H747" s="5" t="s">
        <v>21</v>
      </c>
      <c r="I747" s="5" t="s">
        <v>1937</v>
      </c>
      <c r="J747" s="12" t="str">
        <f>HYPERLINK("https://www.boe.es/gazeta/dias/1801/07/21/pdfs/GMD-1801-71.pdf#page=9","Abrir facsímil")</f>
        <v>Abrir facsímil</v>
      </c>
      <c r="K747" s="15" t="s">
        <v>23</v>
      </c>
    </row>
    <row r="748" spans="1:11" ht="42" customHeight="1">
      <c r="A748" s="4" t="s">
        <v>1935</v>
      </c>
      <c r="B748" s="5" t="s">
        <v>1936</v>
      </c>
      <c r="C748" s="5" t="s">
        <v>515</v>
      </c>
      <c r="D748" s="5" t="s">
        <v>516</v>
      </c>
      <c r="E748" s="5" t="s">
        <v>751</v>
      </c>
      <c r="F748" s="9">
        <v>106</v>
      </c>
      <c r="G748" s="9">
        <v>1169</v>
      </c>
      <c r="H748" s="5" t="s">
        <v>21</v>
      </c>
      <c r="I748" s="5" t="s">
        <v>1938</v>
      </c>
      <c r="J748" s="12" t="str">
        <f>HYPERLINK("https://www.boe.es/gazeta/dias/1801/11/13/pdfs/GMD-C-1801-106.pdf#page=2","Abrir facsímil")</f>
        <v>Abrir facsímil</v>
      </c>
      <c r="K748" s="15" t="s">
        <v>23</v>
      </c>
    </row>
    <row r="749" spans="1:11" ht="42" customHeight="1">
      <c r="A749" s="4" t="s">
        <v>1935</v>
      </c>
      <c r="B749" s="5" t="s">
        <v>1936</v>
      </c>
      <c r="C749" s="5" t="s">
        <v>75</v>
      </c>
      <c r="D749" s="5" t="s">
        <v>76</v>
      </c>
      <c r="E749" s="5" t="s">
        <v>1939</v>
      </c>
      <c r="F749" s="9">
        <v>107</v>
      </c>
      <c r="G749" s="9">
        <v>1180</v>
      </c>
      <c r="H749" s="5" t="s">
        <v>21</v>
      </c>
      <c r="I749" s="5" t="s">
        <v>1940</v>
      </c>
      <c r="J749" s="12" t="str">
        <f>HYPERLINK("https://www.boe.es/gazeta/dias/1801/11/17/pdfs/GMD-1801-107.pdf#page=9","Abrir facsímil")</f>
        <v>Abrir facsímil</v>
      </c>
      <c r="K749" s="15" t="s">
        <v>23</v>
      </c>
    </row>
    <row r="750" spans="1:11" ht="42" customHeight="1">
      <c r="A750" s="4" t="s">
        <v>1935</v>
      </c>
      <c r="B750" s="5" t="s">
        <v>1936</v>
      </c>
      <c r="C750" s="5" t="s">
        <v>38</v>
      </c>
      <c r="D750" s="5" t="s">
        <v>39</v>
      </c>
      <c r="E750" s="5" t="s">
        <v>1058</v>
      </c>
      <c r="F750" s="9">
        <v>108</v>
      </c>
      <c r="G750" s="9">
        <v>1193</v>
      </c>
      <c r="H750" s="5" t="s">
        <v>21</v>
      </c>
      <c r="I750" s="5" t="s">
        <v>1941</v>
      </c>
      <c r="J750" s="12" t="str">
        <f>HYPERLINK("https://www.boe.es/gazeta/dias/1801/11/20/pdfs/GMD-1801-108.pdf#page=10","Abrir facsímil")</f>
        <v>Abrir facsímil</v>
      </c>
      <c r="K750" s="15" t="s">
        <v>23</v>
      </c>
    </row>
    <row r="751" spans="1:11" ht="42" customHeight="1">
      <c r="A751" s="4" t="s">
        <v>1942</v>
      </c>
      <c r="B751" s="5" t="s">
        <v>1943</v>
      </c>
      <c r="C751" s="5" t="s">
        <v>75</v>
      </c>
      <c r="D751" s="5" t="s">
        <v>76</v>
      </c>
      <c r="E751" s="5" t="s">
        <v>62</v>
      </c>
      <c r="F751" s="9">
        <v>6</v>
      </c>
      <c r="G751" s="9">
        <v>69</v>
      </c>
      <c r="H751" s="5" t="s">
        <v>21</v>
      </c>
      <c r="I751" s="5" t="s">
        <v>1944</v>
      </c>
      <c r="J751" s="12" t="str">
        <f>HYPERLINK("https://www.boe.es/gazeta/dias/1801/01/20/pdfs/GMD-1801-6.pdf#page=5","Abrir facsímil")</f>
        <v>Abrir facsímil</v>
      </c>
      <c r="K751" s="15" t="s">
        <v>23</v>
      </c>
    </row>
    <row r="752" spans="1:11" ht="42" customHeight="1">
      <c r="A752" s="4" t="s">
        <v>1945</v>
      </c>
      <c r="B752" s="5" t="s">
        <v>1946</v>
      </c>
      <c r="C752" s="5" t="s">
        <v>32</v>
      </c>
      <c r="D752" s="5" t="s">
        <v>33</v>
      </c>
      <c r="E752" s="5" t="s">
        <v>201</v>
      </c>
      <c r="F752" s="9">
        <v>79</v>
      </c>
      <c r="G752" s="9">
        <v>889</v>
      </c>
      <c r="H752" s="5" t="s">
        <v>21</v>
      </c>
      <c r="I752" s="5" t="s">
        <v>1947</v>
      </c>
      <c r="J752" s="12" t="str">
        <f>HYPERLINK("https://www.boe.es/gazeta/dias/1801/08/18/pdfs/GMD-1801-79.pdf#page=6","Abrir facsímil")</f>
        <v>Abrir facsímil</v>
      </c>
      <c r="K752" s="15" t="s">
        <v>23</v>
      </c>
    </row>
    <row r="753" spans="1:11" ht="42" customHeight="1">
      <c r="A753" s="4" t="s">
        <v>1948</v>
      </c>
      <c r="B753" s="5" t="s">
        <v>1949</v>
      </c>
      <c r="C753" s="5" t="s">
        <v>69</v>
      </c>
      <c r="D753" s="5" t="s">
        <v>19</v>
      </c>
      <c r="E753" s="5" t="s">
        <v>292</v>
      </c>
      <c r="F753" s="9">
        <v>25</v>
      </c>
      <c r="G753" s="9">
        <v>331</v>
      </c>
      <c r="H753" s="5" t="s">
        <v>21</v>
      </c>
      <c r="I753" s="5" t="s">
        <v>1950</v>
      </c>
      <c r="J753" s="12" t="str">
        <f>HYPERLINK("https://www.boe.es/gazeta/dias/1801/03/27/pdfs/GMD-1801-25.pdf#page=10","Abrir facsímil")</f>
        <v>Abrir facsímil</v>
      </c>
      <c r="K753" s="15" t="s">
        <v>23</v>
      </c>
    </row>
    <row r="754" spans="1:11" ht="42" customHeight="1">
      <c r="A754" s="4" t="s">
        <v>1951</v>
      </c>
      <c r="B754" s="5" t="s">
        <v>1952</v>
      </c>
      <c r="C754" s="5" t="s">
        <v>80</v>
      </c>
      <c r="D754" s="5" t="s">
        <v>81</v>
      </c>
      <c r="E754" s="5" t="s">
        <v>289</v>
      </c>
      <c r="F754" s="9">
        <v>40</v>
      </c>
      <c r="G754" s="9" t="s">
        <v>299</v>
      </c>
      <c r="H754" s="5" t="s">
        <v>21</v>
      </c>
      <c r="I754" s="5" t="s">
        <v>1953</v>
      </c>
      <c r="J754" s="12" t="str">
        <f>HYPERLINK("https://www.boe.es/gazeta/dias/1801/05/19/pdfs/GMD-C-1801-40.pdf#page=5","Abrir facsímil")</f>
        <v>Abrir facsímil</v>
      </c>
      <c r="K754" s="15" t="s">
        <v>23</v>
      </c>
    </row>
    <row r="755" spans="1:11" ht="42" customHeight="1">
      <c r="A755" s="4" t="s">
        <v>1954</v>
      </c>
      <c r="B755" s="5" t="s">
        <v>1955</v>
      </c>
      <c r="C755" s="5" t="s">
        <v>32</v>
      </c>
      <c r="D755" s="5" t="s">
        <v>33</v>
      </c>
      <c r="E755" s="5" t="s">
        <v>90</v>
      </c>
      <c r="F755" s="9">
        <v>1</v>
      </c>
      <c r="G755" s="9">
        <v>9</v>
      </c>
      <c r="H755" s="5" t="s">
        <v>21</v>
      </c>
      <c r="I755" s="5" t="s">
        <v>1956</v>
      </c>
      <c r="J755" s="12" t="str">
        <f>HYPERLINK("https://www.boe.es/gazeta/dias/1801/01/02/pdfs/GMD-1801-1.pdf#page=9","Abrir facsímil")</f>
        <v>Abrir facsímil</v>
      </c>
      <c r="K755" s="15" t="s">
        <v>23</v>
      </c>
    </row>
    <row r="756" spans="1:11" ht="42" customHeight="1">
      <c r="A756" s="4" t="s">
        <v>1957</v>
      </c>
      <c r="B756" s="5" t="s">
        <v>1958</v>
      </c>
      <c r="C756" s="5" t="s">
        <v>32</v>
      </c>
      <c r="D756" s="5" t="s">
        <v>33</v>
      </c>
      <c r="E756" s="5" t="s">
        <v>321</v>
      </c>
      <c r="F756" s="9">
        <v>3</v>
      </c>
      <c r="G756" s="9">
        <v>33</v>
      </c>
      <c r="H756" s="5" t="s">
        <v>21</v>
      </c>
      <c r="I756" s="5" t="s">
        <v>1959</v>
      </c>
      <c r="J756" s="12" t="str">
        <f>HYPERLINK("https://www.boe.es/gazeta/dias/1801/01/09/pdfs/GMD-1801-3.pdf#page=9","Abrir facsímil")</f>
        <v>Abrir facsímil</v>
      </c>
      <c r="K756" s="15" t="s">
        <v>23</v>
      </c>
    </row>
    <row r="757" spans="1:11" ht="42" customHeight="1">
      <c r="A757" s="4" t="s">
        <v>1960</v>
      </c>
      <c r="B757" s="5" t="s">
        <v>1961</v>
      </c>
      <c r="C757" s="5" t="s">
        <v>32</v>
      </c>
      <c r="D757" s="5" t="s">
        <v>33</v>
      </c>
      <c r="E757" s="5" t="s">
        <v>153</v>
      </c>
      <c r="F757" s="9">
        <v>48</v>
      </c>
      <c r="G757" s="9">
        <v>585</v>
      </c>
      <c r="H757" s="5" t="s">
        <v>21</v>
      </c>
      <c r="I757" s="5" t="s">
        <v>1962</v>
      </c>
      <c r="J757" s="12" t="str">
        <f>HYPERLINK("https://www.boe.es/gazeta/dias/1801/06/05/pdfs/GMD-1801-48.pdf#page=7","Abrir facsímil")</f>
        <v>Abrir facsímil</v>
      </c>
      <c r="K757" s="15" t="s">
        <v>23</v>
      </c>
    </row>
    <row r="758" spans="1:11" ht="42" customHeight="1">
      <c r="A758" s="4" t="s">
        <v>1963</v>
      </c>
      <c r="B758" s="5" t="s">
        <v>1963</v>
      </c>
      <c r="C758" s="5" t="s">
        <v>32</v>
      </c>
      <c r="D758" s="5" t="s">
        <v>33</v>
      </c>
      <c r="E758" s="5" t="s">
        <v>723</v>
      </c>
      <c r="F758" s="9">
        <v>113</v>
      </c>
      <c r="G758" s="9">
        <v>1234</v>
      </c>
      <c r="H758" s="5" t="s">
        <v>21</v>
      </c>
      <c r="I758" s="5" t="s">
        <v>1964</v>
      </c>
      <c r="J758" s="12" t="str">
        <f>HYPERLINK("https://www.boe.es/gazeta/dias/1801/12/08/pdfs/GMD-1801-113.pdf#page=7","Abrir facsímil")</f>
        <v>Abrir facsímil</v>
      </c>
      <c r="K758" s="15" t="s">
        <v>23</v>
      </c>
    </row>
    <row r="759" spans="1:11" ht="42" customHeight="1">
      <c r="A759" s="4" t="s">
        <v>1965</v>
      </c>
      <c r="B759" s="5" t="s">
        <v>1966</v>
      </c>
      <c r="C759" s="5" t="s">
        <v>75</v>
      </c>
      <c r="D759" s="5" t="s">
        <v>76</v>
      </c>
      <c r="E759" s="5" t="s">
        <v>223</v>
      </c>
      <c r="F759" s="9">
        <v>74</v>
      </c>
      <c r="G759" s="9">
        <v>821</v>
      </c>
      <c r="H759" s="5" t="s">
        <v>21</v>
      </c>
      <c r="I759" s="5" t="s">
        <v>1967</v>
      </c>
      <c r="J759" s="12" t="str">
        <f>HYPERLINK("https://www.boe.es/gazeta/dias/1801/07/31/pdfs/GMD-1801-74.pdf#page=2","Abrir facsímil")</f>
        <v>Abrir facsímil</v>
      </c>
      <c r="K759" s="15" t="s">
        <v>23</v>
      </c>
    </row>
    <row r="760" spans="1:11" ht="42" customHeight="1">
      <c r="A760" s="4" t="s">
        <v>1968</v>
      </c>
      <c r="B760" s="5" t="s">
        <v>1969</v>
      </c>
      <c r="C760" s="5" t="s">
        <v>75</v>
      </c>
      <c r="D760" s="5" t="s">
        <v>76</v>
      </c>
      <c r="E760" s="5" t="s">
        <v>112</v>
      </c>
      <c r="F760" s="9">
        <v>114</v>
      </c>
      <c r="G760" s="9">
        <v>1242</v>
      </c>
      <c r="H760" s="5" t="s">
        <v>21</v>
      </c>
      <c r="I760" s="5" t="s">
        <v>1970</v>
      </c>
      <c r="J760" s="12" t="str">
        <f>HYPERLINK("https://www.boe.es/gazeta/dias/1801/12/11/pdfs/GMD-1801-114.pdf#page=4","Abrir facsímil")</f>
        <v>Abrir facsímil</v>
      </c>
      <c r="K760" s="15" t="s">
        <v>23</v>
      </c>
    </row>
    <row r="761" spans="1:11" ht="42" customHeight="1">
      <c r="A761" s="4" t="s">
        <v>1971</v>
      </c>
      <c r="B761" s="5" t="s">
        <v>1972</v>
      </c>
      <c r="C761" s="5" t="s">
        <v>26</v>
      </c>
      <c r="D761" s="5" t="s">
        <v>27</v>
      </c>
      <c r="E761" s="5" t="s">
        <v>1058</v>
      </c>
      <c r="F761" s="9">
        <v>108</v>
      </c>
      <c r="G761" s="9">
        <v>1194</v>
      </c>
      <c r="H761" s="5" t="s">
        <v>21</v>
      </c>
      <c r="I761" s="5" t="s">
        <v>1973</v>
      </c>
      <c r="J761" s="12" t="str">
        <f>HYPERLINK("https://www.boe.es/gazeta/dias/1801/11/20/pdfs/GMD-1801-108.pdf#page=11","Abrir facsímil")</f>
        <v>Abrir facsímil</v>
      </c>
      <c r="K761" s="15" t="s">
        <v>23</v>
      </c>
    </row>
    <row r="762" spans="1:11" ht="42" customHeight="1">
      <c r="A762" s="4" t="s">
        <v>1974</v>
      </c>
      <c r="B762" s="5" t="s">
        <v>1975</v>
      </c>
      <c r="C762" s="5" t="s">
        <v>38</v>
      </c>
      <c r="D762" s="5" t="s">
        <v>39</v>
      </c>
      <c r="E762" s="5" t="s">
        <v>219</v>
      </c>
      <c r="F762" s="9">
        <v>26</v>
      </c>
      <c r="G762" s="9">
        <v>346</v>
      </c>
      <c r="H762" s="5" t="s">
        <v>21</v>
      </c>
      <c r="I762" s="5" t="s">
        <v>1976</v>
      </c>
      <c r="J762" s="12" t="str">
        <f>HYPERLINK("https://www.boe.es/gazeta/dias/1801/03/31/pdfs/GMD-1801-26.pdf#page=10","Abrir facsímil")</f>
        <v>Abrir facsímil</v>
      </c>
      <c r="K762" s="15" t="s">
        <v>23</v>
      </c>
    </row>
    <row r="763" spans="1:11" ht="42" customHeight="1">
      <c r="A763" s="4" t="s">
        <v>1977</v>
      </c>
      <c r="B763" s="5" t="s">
        <v>1978</v>
      </c>
      <c r="C763" s="5" t="s">
        <v>80</v>
      </c>
      <c r="D763" s="5" t="s">
        <v>81</v>
      </c>
      <c r="E763" s="5" t="s">
        <v>289</v>
      </c>
      <c r="F763" s="9">
        <v>40</v>
      </c>
      <c r="G763" s="9" t="s">
        <v>996</v>
      </c>
      <c r="H763" s="5" t="s">
        <v>21</v>
      </c>
      <c r="I763" s="5" t="s">
        <v>1979</v>
      </c>
      <c r="J763" s="12" t="str">
        <f>HYPERLINK("https://www.boe.es/gazeta/dias/1801/05/19/pdfs/GMD-C-1801-40.pdf#page=6","Abrir facsímil")</f>
        <v>Abrir facsímil</v>
      </c>
      <c r="K763" s="15" t="s">
        <v>23</v>
      </c>
    </row>
    <row r="764" spans="1:11" ht="42" customHeight="1">
      <c r="A764" s="4" t="s">
        <v>1980</v>
      </c>
      <c r="B764" s="5" t="s">
        <v>1981</v>
      </c>
      <c r="C764" s="5" t="s">
        <v>69</v>
      </c>
      <c r="D764" s="5" t="s">
        <v>19</v>
      </c>
      <c r="E764" s="5" t="s">
        <v>349</v>
      </c>
      <c r="F764" s="9">
        <v>112</v>
      </c>
      <c r="G764" s="9">
        <v>1226</v>
      </c>
      <c r="H764" s="5" t="s">
        <v>21</v>
      </c>
      <c r="I764" s="5" t="s">
        <v>1982</v>
      </c>
      <c r="J764" s="12" t="str">
        <f>HYPERLINK("https://www.boe.es/gazeta/dias/1801/12/04/pdfs/GMD-1801-112.pdf#page=7","Abrir facsímil")</f>
        <v>Abrir facsímil</v>
      </c>
      <c r="K764" s="15" t="s">
        <v>23</v>
      </c>
    </row>
    <row r="765" spans="1:11" ht="42" customHeight="1">
      <c r="A765" s="4" t="s">
        <v>1983</v>
      </c>
      <c r="B765" s="5" t="s">
        <v>1984</v>
      </c>
      <c r="C765" s="5" t="s">
        <v>32</v>
      </c>
      <c r="D765" s="5" t="s">
        <v>33</v>
      </c>
      <c r="E765" s="5" t="s">
        <v>145</v>
      </c>
      <c r="F765" s="9">
        <v>36</v>
      </c>
      <c r="G765" s="9">
        <v>468</v>
      </c>
      <c r="H765" s="5" t="s">
        <v>21</v>
      </c>
      <c r="I765" s="5" t="s">
        <v>1985</v>
      </c>
      <c r="J765" s="12" t="str">
        <f>HYPERLINK("https://www.boe.es/gazeta/dias/1801/05/05/pdfs/GMD-1801-36.pdf#page=12","Abrir facsímil")</f>
        <v>Abrir facsímil</v>
      </c>
      <c r="K765" s="15" t="s">
        <v>23</v>
      </c>
    </row>
    <row r="766" spans="1:11" ht="42" customHeight="1">
      <c r="A766" s="4" t="s">
        <v>1986</v>
      </c>
      <c r="B766" s="5" t="s">
        <v>1987</v>
      </c>
      <c r="C766" s="5" t="s">
        <v>26</v>
      </c>
      <c r="D766" s="5" t="s">
        <v>27</v>
      </c>
      <c r="E766" s="5" t="s">
        <v>135</v>
      </c>
      <c r="F766" s="9">
        <v>24</v>
      </c>
      <c r="G766" s="9">
        <v>319</v>
      </c>
      <c r="H766" s="5" t="s">
        <v>21</v>
      </c>
      <c r="I766" s="5" t="s">
        <v>1988</v>
      </c>
      <c r="J766" s="12" t="str">
        <f>HYPERLINK("https://www.boe.es/gazeta/dias/1801/03/24/pdfs/GMD-1801-24.pdf#page=10","Abrir facsímil")</f>
        <v>Abrir facsímil</v>
      </c>
      <c r="K766" s="15" t="s">
        <v>23</v>
      </c>
    </row>
    <row r="767" spans="1:11" ht="42" customHeight="1">
      <c r="A767" s="4" t="s">
        <v>1989</v>
      </c>
      <c r="B767" s="5" t="s">
        <v>1990</v>
      </c>
      <c r="C767" s="5" t="s">
        <v>32</v>
      </c>
      <c r="D767" s="5" t="s">
        <v>33</v>
      </c>
      <c r="E767" s="5" t="s">
        <v>465</v>
      </c>
      <c r="F767" s="9">
        <v>4</v>
      </c>
      <c r="G767" s="9">
        <v>46</v>
      </c>
      <c r="H767" s="5" t="s">
        <v>21</v>
      </c>
      <c r="I767" s="5" t="s">
        <v>1991</v>
      </c>
      <c r="J767" s="12" t="str">
        <f>HYPERLINK("https://www.boe.es/gazeta/dias/1801/01/13/pdfs/GMD-1801-4.pdf#page=10","Abrir facsímil")</f>
        <v>Abrir facsímil</v>
      </c>
      <c r="K767" s="15" t="s">
        <v>23</v>
      </c>
    </row>
    <row r="768" spans="1:11" ht="42" customHeight="1">
      <c r="A768" s="4" t="s">
        <v>1992</v>
      </c>
      <c r="B768" s="5" t="s">
        <v>1993</v>
      </c>
      <c r="C768" s="5" t="s">
        <v>38</v>
      </c>
      <c r="D768" s="5" t="s">
        <v>39</v>
      </c>
      <c r="E768" s="5" t="s">
        <v>131</v>
      </c>
      <c r="F768" s="9">
        <v>22</v>
      </c>
      <c r="G768" s="9">
        <v>290</v>
      </c>
      <c r="H768" s="5" t="s">
        <v>21</v>
      </c>
      <c r="I768" s="5" t="s">
        <v>1994</v>
      </c>
      <c r="J768" s="12" t="str">
        <f>HYPERLINK("https://www.boe.es/gazeta/dias/1801/03/17/pdfs/GMD-1801-22.pdf#page=7","Abrir facsímil")</f>
        <v>Abrir facsímil</v>
      </c>
      <c r="K768" s="15" t="s">
        <v>23</v>
      </c>
    </row>
    <row r="769" spans="1:11" ht="42" customHeight="1">
      <c r="A769" s="4" t="s">
        <v>1995</v>
      </c>
      <c r="B769" s="5" t="s">
        <v>1996</v>
      </c>
      <c r="C769" s="5" t="s">
        <v>26</v>
      </c>
      <c r="D769" s="5" t="s">
        <v>27</v>
      </c>
      <c r="E769" s="5" t="s">
        <v>735</v>
      </c>
      <c r="F769" s="9">
        <v>97</v>
      </c>
      <c r="G769" s="9">
        <v>1068</v>
      </c>
      <c r="H769" s="5" t="s">
        <v>21</v>
      </c>
      <c r="I769" s="5" t="s">
        <v>1997</v>
      </c>
      <c r="J769" s="12" t="str">
        <f>HYPERLINK("https://www.boe.es/gazeta/dias/1801/10/13/pdfs/GMD-1801-97.pdf#page=12","Abrir facsímil")</f>
        <v>Abrir facsímil</v>
      </c>
      <c r="K769" s="15" t="s">
        <v>23</v>
      </c>
    </row>
    <row r="770" spans="1:11" ht="42" customHeight="1">
      <c r="A770" s="4" t="s">
        <v>1998</v>
      </c>
      <c r="B770" s="5" t="s">
        <v>1999</v>
      </c>
      <c r="C770" s="5" t="s">
        <v>32</v>
      </c>
      <c r="D770" s="5" t="s">
        <v>33</v>
      </c>
      <c r="E770" s="5" t="s">
        <v>219</v>
      </c>
      <c r="F770" s="9">
        <v>26</v>
      </c>
      <c r="G770" s="9">
        <v>339</v>
      </c>
      <c r="H770" s="5" t="s">
        <v>21</v>
      </c>
      <c r="I770" s="5" t="s">
        <v>2000</v>
      </c>
      <c r="J770" s="12" t="str">
        <f>HYPERLINK("https://www.boe.es/gazeta/dias/1801/03/31/pdfs/GMD-1801-26.pdf#page=3","Abrir facsímil")</f>
        <v>Abrir facsímil</v>
      </c>
      <c r="K770" s="15" t="s">
        <v>23</v>
      </c>
    </row>
    <row r="771" spans="1:11" ht="42" customHeight="1">
      <c r="A771" s="4" t="s">
        <v>2001</v>
      </c>
      <c r="B771" s="5" t="s">
        <v>2002</v>
      </c>
      <c r="C771" s="5" t="s">
        <v>75</v>
      </c>
      <c r="D771" s="5" t="s">
        <v>76</v>
      </c>
      <c r="E771" s="5" t="s">
        <v>480</v>
      </c>
      <c r="F771" s="9">
        <v>10</v>
      </c>
      <c r="G771" s="9">
        <v>118</v>
      </c>
      <c r="H771" s="5" t="s">
        <v>21</v>
      </c>
      <c r="I771" s="5" t="s">
        <v>2003</v>
      </c>
      <c r="J771" s="12" t="str">
        <f>HYPERLINK("https://www.boe.es/gazeta/dias/1801/02/03/pdfs/GMD-1801-10.pdf#page=3","Abrir facsímil")</f>
        <v>Abrir facsímil</v>
      </c>
      <c r="K771" s="15" t="s">
        <v>23</v>
      </c>
    </row>
    <row r="772" spans="1:11" ht="42" customHeight="1">
      <c r="A772" s="4" t="s">
        <v>2001</v>
      </c>
      <c r="B772" s="5" t="s">
        <v>2002</v>
      </c>
      <c r="C772" s="5" t="s">
        <v>32</v>
      </c>
      <c r="D772" s="5" t="s">
        <v>33</v>
      </c>
      <c r="E772" s="5" t="s">
        <v>128</v>
      </c>
      <c r="F772" s="9">
        <v>17</v>
      </c>
      <c r="G772" s="9">
        <v>207</v>
      </c>
      <c r="H772" s="5" t="s">
        <v>21</v>
      </c>
      <c r="I772" s="5" t="s">
        <v>2004</v>
      </c>
      <c r="J772" s="12" t="str">
        <f>HYPERLINK("https://www.boe.es/gazeta/dias/1801/02/27/pdfs/GMD-1801-17.pdf#page=2","Abrir facsímil")</f>
        <v>Abrir facsímil</v>
      </c>
      <c r="K772" s="15" t="s">
        <v>23</v>
      </c>
    </row>
    <row r="773" spans="1:11" ht="42" customHeight="1">
      <c r="A773" s="4" t="s">
        <v>2001</v>
      </c>
      <c r="B773" s="5" t="s">
        <v>2002</v>
      </c>
      <c r="C773" s="5" t="s">
        <v>75</v>
      </c>
      <c r="D773" s="5" t="s">
        <v>76</v>
      </c>
      <c r="E773" s="5" t="s">
        <v>34</v>
      </c>
      <c r="F773" s="9">
        <v>38</v>
      </c>
      <c r="G773" s="9">
        <v>490</v>
      </c>
      <c r="H773" s="5" t="s">
        <v>21</v>
      </c>
      <c r="I773" s="5" t="s">
        <v>2005</v>
      </c>
      <c r="J773" s="12" t="str">
        <f>HYPERLINK("https://www.boe.es/gazeta/dias/1801/05/12/pdfs/GMD-1801-38.pdf#page=6","Abrir facsímil")</f>
        <v>Abrir facsímil</v>
      </c>
      <c r="K773" s="15" t="s">
        <v>23</v>
      </c>
    </row>
    <row r="774" spans="1:11" ht="42" customHeight="1">
      <c r="A774" s="4" t="s">
        <v>2001</v>
      </c>
      <c r="B774" s="5" t="s">
        <v>2002</v>
      </c>
      <c r="C774" s="5" t="s">
        <v>32</v>
      </c>
      <c r="D774" s="5" t="s">
        <v>33</v>
      </c>
      <c r="E774" s="5" t="s">
        <v>223</v>
      </c>
      <c r="F774" s="9">
        <v>74</v>
      </c>
      <c r="G774" s="9">
        <v>823</v>
      </c>
      <c r="H774" s="5" t="s">
        <v>21</v>
      </c>
      <c r="I774" s="5" t="s">
        <v>2006</v>
      </c>
      <c r="J774" s="12" t="str">
        <f>HYPERLINK("https://www.boe.es/gazeta/dias/1801/07/31/pdfs/GMD-1801-74.pdf#page=4","Abrir facsímil")</f>
        <v>Abrir facsímil</v>
      </c>
      <c r="K774" s="15" t="s">
        <v>23</v>
      </c>
    </row>
    <row r="775" spans="1:11" ht="42" customHeight="1">
      <c r="A775" s="4" t="s">
        <v>2001</v>
      </c>
      <c r="B775" s="5" t="s">
        <v>2002</v>
      </c>
      <c r="C775" s="5" t="s">
        <v>75</v>
      </c>
      <c r="D775" s="5" t="s">
        <v>76</v>
      </c>
      <c r="E775" s="5" t="s">
        <v>359</v>
      </c>
      <c r="F775" s="9">
        <v>101</v>
      </c>
      <c r="G775" s="9">
        <v>1110</v>
      </c>
      <c r="H775" s="5" t="s">
        <v>21</v>
      </c>
      <c r="I775" s="5" t="s">
        <v>2007</v>
      </c>
      <c r="J775" s="12" t="str">
        <f>HYPERLINK("https://www.boe.es/gazeta/dias/1801/10/27/pdfs/GMD-1801-101.pdf#page=3","Abrir facsímil")</f>
        <v>Abrir facsímil</v>
      </c>
      <c r="K775" s="15" t="s">
        <v>23</v>
      </c>
    </row>
    <row r="776" spans="1:11" ht="42" customHeight="1">
      <c r="A776" s="4" t="s">
        <v>2008</v>
      </c>
      <c r="B776" s="5" t="s">
        <v>2009</v>
      </c>
      <c r="C776" s="5" t="s">
        <v>75</v>
      </c>
      <c r="D776" s="5" t="s">
        <v>76</v>
      </c>
      <c r="E776" s="5" t="s">
        <v>702</v>
      </c>
      <c r="F776" s="9">
        <v>69</v>
      </c>
      <c r="G776" s="9">
        <v>761</v>
      </c>
      <c r="H776" s="5" t="s">
        <v>21</v>
      </c>
      <c r="I776" s="5" t="s">
        <v>2010</v>
      </c>
      <c r="J776" s="12" t="str">
        <f>HYPERLINK("https://www.boe.es/gazeta/dias/1801/07/14/pdfs/GMD-1801-69.pdf#page=6","Abrir facsímil")</f>
        <v>Abrir facsímil</v>
      </c>
      <c r="K776" s="15" t="s">
        <v>23</v>
      </c>
    </row>
    <row r="777" spans="1:11" ht="42" customHeight="1">
      <c r="A777" s="4" t="s">
        <v>2011</v>
      </c>
      <c r="B777" s="5" t="s">
        <v>2011</v>
      </c>
      <c r="C777" s="5" t="s">
        <v>32</v>
      </c>
      <c r="D777" s="5" t="s">
        <v>33</v>
      </c>
      <c r="E777" s="5" t="s">
        <v>171</v>
      </c>
      <c r="F777" s="9">
        <v>76</v>
      </c>
      <c r="G777" s="9">
        <v>853</v>
      </c>
      <c r="H777" s="5" t="s">
        <v>21</v>
      </c>
      <c r="I777" s="5" t="s">
        <v>2012</v>
      </c>
      <c r="J777" s="12" t="str">
        <f>HYPERLINK("https://www.boe.es/gazeta/dias/1801/08/07/pdfs/GMD-1801-76.pdf#page=10","Abrir facsímil")</f>
        <v>Abrir facsímil</v>
      </c>
      <c r="K777" s="15" t="s">
        <v>23</v>
      </c>
    </row>
    <row r="778" spans="1:11" ht="42" customHeight="1">
      <c r="A778" s="4" t="s">
        <v>2013</v>
      </c>
      <c r="B778" s="5" t="s">
        <v>2013</v>
      </c>
      <c r="C778" s="5" t="s">
        <v>38</v>
      </c>
      <c r="D778" s="5" t="s">
        <v>39</v>
      </c>
      <c r="E778" s="5" t="s">
        <v>1058</v>
      </c>
      <c r="F778" s="9">
        <v>108</v>
      </c>
      <c r="G778" s="9">
        <v>1195</v>
      </c>
      <c r="H778" s="5" t="s">
        <v>21</v>
      </c>
      <c r="I778" s="5" t="s">
        <v>2014</v>
      </c>
      <c r="J778" s="12" t="str">
        <f>HYPERLINK("https://www.boe.es/gazeta/dias/1801/11/20/pdfs/GMD-1801-108.pdf#page=12","Abrir facsímil")</f>
        <v>Abrir facsímil</v>
      </c>
      <c r="K778" s="15" t="s">
        <v>23</v>
      </c>
    </row>
    <row r="779" spans="1:11" ht="42" customHeight="1">
      <c r="A779" s="4" t="s">
        <v>2013</v>
      </c>
      <c r="B779" s="5" t="s">
        <v>2013</v>
      </c>
      <c r="C779" s="5" t="s">
        <v>515</v>
      </c>
      <c r="D779" s="5" t="s">
        <v>516</v>
      </c>
      <c r="E779" s="5" t="s">
        <v>501</v>
      </c>
      <c r="F779" s="9">
        <v>115</v>
      </c>
      <c r="G779" s="9" t="s">
        <v>517</v>
      </c>
      <c r="H779" s="5" t="s">
        <v>21</v>
      </c>
      <c r="I779" s="5" t="s">
        <v>2015</v>
      </c>
      <c r="J779" s="12" t="str">
        <f>HYPERLINK("https://www.boe.es/gazeta/dias/1801/12/15/pdfs/GMD-C-1801-115.pdf#page=7","Abrir facsímil")</f>
        <v>Abrir facsímil</v>
      </c>
      <c r="K779" s="15" t="s">
        <v>23</v>
      </c>
    </row>
    <row r="780" spans="1:11" ht="42" customHeight="1">
      <c r="A780" s="4" t="s">
        <v>2016</v>
      </c>
      <c r="B780" s="5" t="s">
        <v>2017</v>
      </c>
      <c r="C780" s="5" t="s">
        <v>80</v>
      </c>
      <c r="D780" s="5" t="s">
        <v>81</v>
      </c>
      <c r="E780" s="5" t="s">
        <v>82</v>
      </c>
      <c r="F780" s="9">
        <v>75</v>
      </c>
      <c r="G780" s="9" t="s">
        <v>83</v>
      </c>
      <c r="H780" s="5" t="s">
        <v>21</v>
      </c>
      <c r="I780" s="5" t="s">
        <v>2018</v>
      </c>
      <c r="J780" s="12" t="str">
        <f>HYPERLINK("https://www.boe.es/gazeta/dias/1801/08/04/pdfs/GMD-C-1801-75.pdf#page=2","Abrir facsímil")</f>
        <v>Abrir facsímil</v>
      </c>
      <c r="K780" s="15" t="s">
        <v>23</v>
      </c>
    </row>
    <row r="781" spans="1:11" ht="42" customHeight="1">
      <c r="A781" s="4" t="s">
        <v>2019</v>
      </c>
      <c r="B781" s="5" t="s">
        <v>2020</v>
      </c>
      <c r="C781" s="5" t="s">
        <v>32</v>
      </c>
      <c r="D781" s="5" t="s">
        <v>33</v>
      </c>
      <c r="E781" s="5" t="s">
        <v>62</v>
      </c>
      <c r="F781" s="9">
        <v>6</v>
      </c>
      <c r="G781" s="9">
        <v>73</v>
      </c>
      <c r="H781" s="5" t="s">
        <v>21</v>
      </c>
      <c r="I781" s="5" t="s">
        <v>2021</v>
      </c>
      <c r="J781" s="12" t="str">
        <f>HYPERLINK("https://www.boe.es/gazeta/dias/1801/01/20/pdfs/GMD-1801-6.pdf#page=9","Abrir facsímil")</f>
        <v>Abrir facsímil</v>
      </c>
      <c r="K781" s="15" t="s">
        <v>23</v>
      </c>
    </row>
    <row r="782" spans="1:11" ht="42" customHeight="1">
      <c r="A782" s="4" t="s">
        <v>2022</v>
      </c>
      <c r="B782" s="5" t="s">
        <v>2023</v>
      </c>
      <c r="C782" s="5" t="s">
        <v>32</v>
      </c>
      <c r="D782" s="5" t="s">
        <v>33</v>
      </c>
      <c r="E782" s="5" t="s">
        <v>1015</v>
      </c>
      <c r="F782" s="9">
        <v>15</v>
      </c>
      <c r="G782" s="9">
        <v>191</v>
      </c>
      <c r="H782" s="5" t="s">
        <v>21</v>
      </c>
      <c r="I782" s="5" t="s">
        <v>2024</v>
      </c>
      <c r="J782" s="12" t="str">
        <f>HYPERLINK("https://www.boe.es/gazeta/dias/1801/02/20/pdfs/GMD-1801-15.pdf#page=10","Abrir facsímil")</f>
        <v>Abrir facsímil</v>
      </c>
      <c r="K782" s="15" t="s">
        <v>23</v>
      </c>
    </row>
    <row r="783" spans="1:11" ht="42" customHeight="1">
      <c r="A783" s="4" t="s">
        <v>2025</v>
      </c>
      <c r="B783" s="5" t="s">
        <v>2026</v>
      </c>
      <c r="C783" s="5" t="s">
        <v>32</v>
      </c>
      <c r="D783" s="5" t="s">
        <v>33</v>
      </c>
      <c r="E783" s="5" t="s">
        <v>186</v>
      </c>
      <c r="F783" s="9">
        <v>21</v>
      </c>
      <c r="G783" s="9">
        <v>280</v>
      </c>
      <c r="H783" s="5" t="s">
        <v>21</v>
      </c>
      <c r="I783" s="5" t="s">
        <v>2027</v>
      </c>
      <c r="J783" s="12" t="str">
        <f>HYPERLINK("https://www.boe.es/gazeta/dias/1801/03/13/pdfs/GMD-1801-21.pdf#page=9","Abrir facsímil")</f>
        <v>Abrir facsímil</v>
      </c>
      <c r="K783" s="15" t="s">
        <v>23</v>
      </c>
    </row>
    <row r="784" spans="1:11" ht="42" customHeight="1">
      <c r="A784" s="4" t="s">
        <v>2028</v>
      </c>
      <c r="B784" s="5" t="s">
        <v>2029</v>
      </c>
      <c r="C784" s="5" t="s">
        <v>32</v>
      </c>
      <c r="D784" s="5" t="s">
        <v>33</v>
      </c>
      <c r="E784" s="5" t="s">
        <v>151</v>
      </c>
      <c r="F784" s="9">
        <v>45</v>
      </c>
      <c r="G784" s="9">
        <v>561</v>
      </c>
      <c r="H784" s="5" t="s">
        <v>21</v>
      </c>
      <c r="I784" s="5" t="s">
        <v>2030</v>
      </c>
      <c r="J784" s="12" t="str">
        <f>HYPERLINK("https://www.boe.es/gazeta/dias/1801/06/02/pdfs/GMD-1801-45.pdf#page=9","Abrir facsímil")</f>
        <v>Abrir facsímil</v>
      </c>
      <c r="K784" s="15" t="s">
        <v>23</v>
      </c>
    </row>
    <row r="785" spans="1:11" ht="42" customHeight="1">
      <c r="A785" s="4" t="s">
        <v>2031</v>
      </c>
      <c r="B785" s="5" t="s">
        <v>2032</v>
      </c>
      <c r="C785" s="5" t="s">
        <v>32</v>
      </c>
      <c r="D785" s="5" t="s">
        <v>33</v>
      </c>
      <c r="E785" s="5" t="s">
        <v>131</v>
      </c>
      <c r="F785" s="9">
        <v>22</v>
      </c>
      <c r="G785" s="9">
        <v>290</v>
      </c>
      <c r="H785" s="5" t="s">
        <v>21</v>
      </c>
      <c r="I785" s="5" t="s">
        <v>2033</v>
      </c>
      <c r="J785" s="12" t="str">
        <f>HYPERLINK("https://www.boe.es/gazeta/dias/1801/03/17/pdfs/GMD-1801-22.pdf#page=7","Abrir facsímil")</f>
        <v>Abrir facsímil</v>
      </c>
      <c r="K785" s="15" t="s">
        <v>23</v>
      </c>
    </row>
    <row r="786" spans="1:11" ht="42" customHeight="1">
      <c r="A786" s="4" t="s">
        <v>2034</v>
      </c>
      <c r="B786" s="5" t="s">
        <v>2035</v>
      </c>
      <c r="C786" s="5" t="s">
        <v>80</v>
      </c>
      <c r="D786" s="5" t="s">
        <v>81</v>
      </c>
      <c r="E786" s="5" t="s">
        <v>289</v>
      </c>
      <c r="F786" s="9">
        <v>40</v>
      </c>
      <c r="G786" s="9" t="s">
        <v>299</v>
      </c>
      <c r="H786" s="5" t="s">
        <v>21</v>
      </c>
      <c r="I786" s="5" t="s">
        <v>2036</v>
      </c>
      <c r="J786" s="12" t="str">
        <f>HYPERLINK("https://www.boe.es/gazeta/dias/1801/05/19/pdfs/GMD-C-1801-40.pdf#page=5","Abrir facsímil")</f>
        <v>Abrir facsímil</v>
      </c>
      <c r="K786" s="15" t="s">
        <v>23</v>
      </c>
    </row>
    <row r="787" spans="1:11" ht="42" customHeight="1">
      <c r="A787" s="4" t="s">
        <v>2037</v>
      </c>
      <c r="B787" s="5" t="s">
        <v>2038</v>
      </c>
      <c r="C787" s="5" t="s">
        <v>32</v>
      </c>
      <c r="D787" s="5" t="s">
        <v>33</v>
      </c>
      <c r="E787" s="5" t="s">
        <v>256</v>
      </c>
      <c r="F787" s="9">
        <v>78</v>
      </c>
      <c r="G787" s="9">
        <v>881</v>
      </c>
      <c r="H787" s="5" t="s">
        <v>21</v>
      </c>
      <c r="I787" s="5" t="s">
        <v>2039</v>
      </c>
      <c r="J787" s="12" t="str">
        <f>HYPERLINK("https://www.boe.es/gazeta/dias/1801/08/14/pdfs/GMD-1801-78.pdf#page=10","Abrir facsímil")</f>
        <v>Abrir facsímil</v>
      </c>
      <c r="K787" s="15" t="s">
        <v>23</v>
      </c>
    </row>
    <row r="788" spans="1:11" ht="42" customHeight="1">
      <c r="A788" s="4" t="s">
        <v>2040</v>
      </c>
      <c r="B788" s="5" t="s">
        <v>2041</v>
      </c>
      <c r="C788" s="5" t="s">
        <v>38</v>
      </c>
      <c r="D788" s="5" t="s">
        <v>39</v>
      </c>
      <c r="E788" s="5" t="s">
        <v>112</v>
      </c>
      <c r="F788" s="9">
        <v>114</v>
      </c>
      <c r="G788" s="9">
        <v>1246</v>
      </c>
      <c r="H788" s="5" t="s">
        <v>21</v>
      </c>
      <c r="I788" s="5" t="s">
        <v>2042</v>
      </c>
      <c r="J788" s="12" t="str">
        <f>HYPERLINK("https://www.boe.es/gazeta/dias/1801/12/11/pdfs/GMD-1801-114.pdf#page=8","Abrir facsímil")</f>
        <v>Abrir facsímil</v>
      </c>
      <c r="K788" s="15" t="s">
        <v>23</v>
      </c>
    </row>
    <row r="789" spans="1:11" ht="42" customHeight="1">
      <c r="A789" s="4" t="s">
        <v>2040</v>
      </c>
      <c r="B789" s="5" t="s">
        <v>2041</v>
      </c>
      <c r="C789" s="5" t="s">
        <v>38</v>
      </c>
      <c r="D789" s="5" t="s">
        <v>39</v>
      </c>
      <c r="E789" s="5" t="s">
        <v>266</v>
      </c>
      <c r="F789" s="9">
        <v>119</v>
      </c>
      <c r="G789" s="9">
        <v>1304</v>
      </c>
      <c r="H789" s="5" t="s">
        <v>21</v>
      </c>
      <c r="I789" s="5" t="s">
        <v>2043</v>
      </c>
      <c r="J789" s="12" t="str">
        <f>HYPERLINK("https://www.boe.es/gazeta/dias/1801/12/29/pdfs/GMD-1801-119.pdf#page=8","Abrir facsímil")</f>
        <v>Abrir facsímil</v>
      </c>
      <c r="K789" s="15" t="s">
        <v>23</v>
      </c>
    </row>
    <row r="790" spans="1:11" ht="42" customHeight="1">
      <c r="A790" s="4" t="s">
        <v>2044</v>
      </c>
      <c r="B790" s="5" t="s">
        <v>2045</v>
      </c>
      <c r="C790" s="5" t="s">
        <v>32</v>
      </c>
      <c r="D790" s="5" t="s">
        <v>33</v>
      </c>
      <c r="E790" s="5" t="s">
        <v>321</v>
      </c>
      <c r="F790" s="9">
        <v>3</v>
      </c>
      <c r="G790" s="9">
        <v>33</v>
      </c>
      <c r="H790" s="5" t="s">
        <v>21</v>
      </c>
      <c r="I790" s="5" t="s">
        <v>2046</v>
      </c>
      <c r="J790" s="12" t="str">
        <f>HYPERLINK("https://www.boe.es/gazeta/dias/1801/01/09/pdfs/GMD-1801-3.pdf#page=9","Abrir facsímil")</f>
        <v>Abrir facsímil</v>
      </c>
      <c r="K790" s="15" t="s">
        <v>23</v>
      </c>
    </row>
    <row r="791" spans="1:11" ht="42" customHeight="1">
      <c r="A791" s="4" t="s">
        <v>2047</v>
      </c>
      <c r="B791" s="5" t="s">
        <v>2048</v>
      </c>
      <c r="C791" s="5" t="s">
        <v>75</v>
      </c>
      <c r="D791" s="5" t="s">
        <v>76</v>
      </c>
      <c r="E791" s="5" t="s">
        <v>70</v>
      </c>
      <c r="F791" s="9">
        <v>2</v>
      </c>
      <c r="G791" s="9">
        <v>20</v>
      </c>
      <c r="H791" s="5" t="s">
        <v>21</v>
      </c>
      <c r="I791" s="5" t="s">
        <v>2049</v>
      </c>
      <c r="J791" s="12" t="str">
        <f>HYPERLINK("https://www.boe.es/gazeta/dias/1801/01/06/pdfs/GMD-1801-2.pdf#page=8","Abrir facsímil")</f>
        <v>Abrir facsímil</v>
      </c>
      <c r="K791" s="15" t="s">
        <v>23</v>
      </c>
    </row>
    <row r="792" spans="1:11" ht="42" customHeight="1">
      <c r="A792" s="4" t="s">
        <v>2050</v>
      </c>
      <c r="B792" s="5" t="s">
        <v>2051</v>
      </c>
      <c r="C792" s="5" t="s">
        <v>32</v>
      </c>
      <c r="D792" s="5" t="s">
        <v>33</v>
      </c>
      <c r="E792" s="5" t="s">
        <v>48</v>
      </c>
      <c r="F792" s="9">
        <v>20</v>
      </c>
      <c r="G792" s="9">
        <v>265</v>
      </c>
      <c r="H792" s="5" t="s">
        <v>21</v>
      </c>
      <c r="I792" s="5" t="s">
        <v>2052</v>
      </c>
      <c r="J792" s="12" t="str">
        <f>HYPERLINK("https://www.boe.es/gazeta/dias/1801/03/10/pdfs/GMD-1801-20.pdf#page=10","Abrir facsímil")</f>
        <v>Abrir facsímil</v>
      </c>
      <c r="K792" s="15" t="s">
        <v>23</v>
      </c>
    </row>
    <row r="793" spans="1:11" ht="42" customHeight="1">
      <c r="A793" s="4" t="s">
        <v>2050</v>
      </c>
      <c r="B793" s="5" t="s">
        <v>2051</v>
      </c>
      <c r="C793" s="5" t="s">
        <v>32</v>
      </c>
      <c r="D793" s="5" t="s">
        <v>33</v>
      </c>
      <c r="E793" s="5" t="s">
        <v>55</v>
      </c>
      <c r="F793" s="9">
        <v>104</v>
      </c>
      <c r="G793" s="9">
        <v>1145</v>
      </c>
      <c r="H793" s="5" t="s">
        <v>21</v>
      </c>
      <c r="I793" s="5" t="s">
        <v>2053</v>
      </c>
      <c r="J793" s="12" t="str">
        <f>HYPERLINK("https://www.boe.es/gazeta/dias/1801/11/06/pdfs/GMD-1801-104.pdf#page=6","Abrir facsímil")</f>
        <v>Abrir facsímil</v>
      </c>
      <c r="K793" s="15" t="s">
        <v>23</v>
      </c>
    </row>
    <row r="794" spans="1:11" ht="42" customHeight="1">
      <c r="A794" s="4" t="s">
        <v>2054</v>
      </c>
      <c r="B794" s="5" t="s">
        <v>2054</v>
      </c>
      <c r="C794" s="5" t="s">
        <v>26</v>
      </c>
      <c r="D794" s="5" t="s">
        <v>27</v>
      </c>
      <c r="E794" s="5" t="s">
        <v>888</v>
      </c>
      <c r="F794" s="9">
        <v>103</v>
      </c>
      <c r="G794" s="9">
        <v>1130</v>
      </c>
      <c r="H794" s="5" t="s">
        <v>21</v>
      </c>
      <c r="I794" s="5" t="s">
        <v>2055</v>
      </c>
      <c r="J794" s="12" t="str">
        <f>HYPERLINK("https://www.boe.es/gazeta/dias/1801/11/03/pdfs/GMD-1801-103.pdf#page=3","Abrir facsímil")</f>
        <v>Abrir facsímil</v>
      </c>
      <c r="K794" s="15" t="s">
        <v>23</v>
      </c>
    </row>
    <row r="795" spans="1:11" ht="42" customHeight="1">
      <c r="A795" s="4" t="s">
        <v>2056</v>
      </c>
      <c r="B795" s="5" t="s">
        <v>2057</v>
      </c>
      <c r="C795" s="5" t="s">
        <v>38</v>
      </c>
      <c r="D795" s="5" t="s">
        <v>39</v>
      </c>
      <c r="E795" s="5" t="s">
        <v>615</v>
      </c>
      <c r="F795" s="9">
        <v>72</v>
      </c>
      <c r="G795" s="9">
        <v>803</v>
      </c>
      <c r="H795" s="5" t="s">
        <v>21</v>
      </c>
      <c r="I795" s="5" t="s">
        <v>2058</v>
      </c>
      <c r="J795" s="12" t="str">
        <f>HYPERLINK("https://www.boe.es/gazeta/dias/1801/07/24/pdfs/GMD-1801-72.pdf#page=8","Abrir facsímil")</f>
        <v>Abrir facsímil</v>
      </c>
      <c r="K795" s="15" t="s">
        <v>23</v>
      </c>
    </row>
    <row r="796" spans="1:11" ht="42" customHeight="1">
      <c r="A796" s="4" t="s">
        <v>2059</v>
      </c>
      <c r="B796" s="5" t="s">
        <v>2060</v>
      </c>
      <c r="C796" s="5" t="s">
        <v>32</v>
      </c>
      <c r="D796" s="5" t="s">
        <v>33</v>
      </c>
      <c r="E796" s="5" t="s">
        <v>62</v>
      </c>
      <c r="F796" s="9">
        <v>6</v>
      </c>
      <c r="G796" s="9">
        <v>72</v>
      </c>
      <c r="H796" s="5" t="s">
        <v>21</v>
      </c>
      <c r="I796" s="5" t="s">
        <v>2061</v>
      </c>
      <c r="J796" s="12" t="str">
        <f>HYPERLINK("https://www.boe.es/gazeta/dias/1801/01/20/pdfs/GMD-1801-6.pdf#page=8","Abrir facsímil")</f>
        <v>Abrir facsímil</v>
      </c>
      <c r="K796" s="15" t="s">
        <v>23</v>
      </c>
    </row>
    <row r="797" spans="1:11" ht="42" customHeight="1">
      <c r="A797" s="4" t="s">
        <v>2062</v>
      </c>
      <c r="B797" s="5" t="s">
        <v>2063</v>
      </c>
      <c r="C797" s="5" t="s">
        <v>38</v>
      </c>
      <c r="D797" s="5" t="s">
        <v>39</v>
      </c>
      <c r="E797" s="5" t="s">
        <v>453</v>
      </c>
      <c r="F797" s="9">
        <v>100</v>
      </c>
      <c r="G797" s="9">
        <v>1098</v>
      </c>
      <c r="H797" s="5" t="s">
        <v>21</v>
      </c>
      <c r="I797" s="5" t="s">
        <v>2064</v>
      </c>
      <c r="J797" s="12" t="str">
        <f>HYPERLINK("https://www.boe.es/gazeta/dias/1801/10/23/pdfs/GMD-1801-100.pdf#page=7","Abrir facsímil")</f>
        <v>Abrir facsímil</v>
      </c>
      <c r="K797" s="15" t="s">
        <v>23</v>
      </c>
    </row>
    <row r="798" spans="1:11" ht="42" customHeight="1">
      <c r="A798" s="4" t="s">
        <v>2065</v>
      </c>
      <c r="B798" s="5" t="s">
        <v>2066</v>
      </c>
      <c r="C798" s="5" t="s">
        <v>32</v>
      </c>
      <c r="D798" s="5" t="s">
        <v>33</v>
      </c>
      <c r="E798" s="5" t="s">
        <v>173</v>
      </c>
      <c r="F798" s="9">
        <v>98</v>
      </c>
      <c r="G798" s="9">
        <v>1073</v>
      </c>
      <c r="H798" s="5" t="s">
        <v>21</v>
      </c>
      <c r="I798" s="5" t="s">
        <v>2067</v>
      </c>
      <c r="J798" s="12" t="str">
        <f>HYPERLINK("https://www.boe.es/gazeta/dias/1801/10/16/pdfs/GMD-1801-98.pdf#page=5","Abrir facsímil")</f>
        <v>Abrir facsímil</v>
      </c>
      <c r="K798" s="15" t="s">
        <v>23</v>
      </c>
    </row>
    <row r="799" spans="1:11" ht="42" customHeight="1">
      <c r="A799" s="4" t="s">
        <v>2068</v>
      </c>
      <c r="B799" s="5" t="s">
        <v>2069</v>
      </c>
      <c r="C799" s="5" t="s">
        <v>32</v>
      </c>
      <c r="D799" s="5" t="s">
        <v>33</v>
      </c>
      <c r="E799" s="5" t="s">
        <v>221</v>
      </c>
      <c r="F799" s="9">
        <v>28</v>
      </c>
      <c r="G799" s="9">
        <v>370</v>
      </c>
      <c r="H799" s="5" t="s">
        <v>21</v>
      </c>
      <c r="I799" s="5" t="s">
        <v>2070</v>
      </c>
      <c r="J799" s="12" t="str">
        <f>HYPERLINK("https://www.boe.es/gazeta/dias/1801/04/07/pdfs/GMD-1801-28.pdf#page=10","Abrir facsímil")</f>
        <v>Abrir facsímil</v>
      </c>
      <c r="K799" s="15" t="s">
        <v>23</v>
      </c>
    </row>
    <row r="800" spans="1:11" ht="42" customHeight="1">
      <c r="A800" s="4" t="s">
        <v>2071</v>
      </c>
      <c r="B800" s="5" t="s">
        <v>2072</v>
      </c>
      <c r="C800" s="5" t="s">
        <v>32</v>
      </c>
      <c r="D800" s="5" t="s">
        <v>33</v>
      </c>
      <c r="E800" s="5" t="s">
        <v>262</v>
      </c>
      <c r="F800" s="9">
        <v>109</v>
      </c>
      <c r="G800" s="9">
        <v>1204</v>
      </c>
      <c r="H800" s="5" t="s">
        <v>21</v>
      </c>
      <c r="I800" s="5" t="s">
        <v>2073</v>
      </c>
      <c r="J800" s="12" t="str">
        <f>HYPERLINK("https://www.boe.es/gazeta/dias/1801/11/24/pdfs/GMD-1801-109.pdf#page=9","Abrir facsímil")</f>
        <v>Abrir facsímil</v>
      </c>
      <c r="K800" s="15" t="s">
        <v>23</v>
      </c>
    </row>
    <row r="801" spans="1:11" ht="42" customHeight="1">
      <c r="A801" s="4" t="s">
        <v>2074</v>
      </c>
      <c r="B801" s="5" t="s">
        <v>2075</v>
      </c>
      <c r="C801" s="5" t="s">
        <v>69</v>
      </c>
      <c r="D801" s="5" t="s">
        <v>19</v>
      </c>
      <c r="E801" s="5" t="s">
        <v>448</v>
      </c>
      <c r="F801" s="9">
        <v>35</v>
      </c>
      <c r="G801" s="9">
        <v>454</v>
      </c>
      <c r="H801" s="5" t="s">
        <v>21</v>
      </c>
      <c r="I801" s="5" t="s">
        <v>2076</v>
      </c>
      <c r="J801" s="12" t="str">
        <f>HYPERLINK("https://www.boe.es/gazeta/dias/1801/05/01/pdfs/GMD-1801-35.pdf#page=10","Abrir facsímil")</f>
        <v>Abrir facsímil</v>
      </c>
      <c r="K801" s="15" t="s">
        <v>23</v>
      </c>
    </row>
    <row r="802" spans="1:11" ht="42" customHeight="1">
      <c r="A802" s="4" t="s">
        <v>2077</v>
      </c>
      <c r="B802" s="5" t="s">
        <v>2078</v>
      </c>
      <c r="C802" s="5" t="s">
        <v>32</v>
      </c>
      <c r="D802" s="5" t="s">
        <v>33</v>
      </c>
      <c r="E802" s="5" t="s">
        <v>55</v>
      </c>
      <c r="F802" s="9">
        <v>104</v>
      </c>
      <c r="G802" s="9">
        <v>1145</v>
      </c>
      <c r="H802" s="5" t="s">
        <v>21</v>
      </c>
      <c r="I802" s="5" t="s">
        <v>2079</v>
      </c>
      <c r="J802" s="12" t="str">
        <f>HYPERLINK("https://www.boe.es/gazeta/dias/1801/11/06/pdfs/GMD-1801-104.pdf#page=6","Abrir facsímil")</f>
        <v>Abrir facsímil</v>
      </c>
      <c r="K802" s="15" t="s">
        <v>23</v>
      </c>
    </row>
    <row r="803" spans="1:11" ht="42" customHeight="1">
      <c r="A803" s="4" t="s">
        <v>2080</v>
      </c>
      <c r="B803" s="5" t="s">
        <v>2081</v>
      </c>
      <c r="C803" s="5" t="s">
        <v>80</v>
      </c>
      <c r="D803" s="5" t="s">
        <v>81</v>
      </c>
      <c r="E803" s="5" t="s">
        <v>82</v>
      </c>
      <c r="F803" s="9">
        <v>75</v>
      </c>
      <c r="G803" s="9" t="s">
        <v>86</v>
      </c>
      <c r="H803" s="5" t="s">
        <v>21</v>
      </c>
      <c r="I803" s="5" t="s">
        <v>2082</v>
      </c>
      <c r="J803" s="12" t="str">
        <f>HYPERLINK("https://www.boe.es/gazeta/dias/1801/08/04/pdfs/GMD-C-1801-75.pdf#page=3","Abrir facsímil")</f>
        <v>Abrir facsímil</v>
      </c>
      <c r="K803" s="15" t="s">
        <v>23</v>
      </c>
    </row>
    <row r="804" spans="1:11" ht="42" customHeight="1">
      <c r="A804" s="4" t="s">
        <v>2083</v>
      </c>
      <c r="B804" s="5" t="s">
        <v>2084</v>
      </c>
      <c r="C804" s="5" t="s">
        <v>75</v>
      </c>
      <c r="D804" s="5" t="s">
        <v>76</v>
      </c>
      <c r="E804" s="5" t="s">
        <v>145</v>
      </c>
      <c r="F804" s="9">
        <v>36</v>
      </c>
      <c r="G804" s="9">
        <v>461</v>
      </c>
      <c r="H804" s="5" t="s">
        <v>21</v>
      </c>
      <c r="I804" s="5" t="s">
        <v>2085</v>
      </c>
      <c r="J804" s="12" t="str">
        <f>HYPERLINK("https://www.boe.es/gazeta/dias/1801/05/05/pdfs/GMD-1801-36.pdf#page=5","Abrir facsímil")</f>
        <v>Abrir facsímil</v>
      </c>
      <c r="K804" s="15" t="s">
        <v>23</v>
      </c>
    </row>
    <row r="805" spans="1:11" ht="42" customHeight="1">
      <c r="A805" s="4" t="s">
        <v>2086</v>
      </c>
      <c r="B805" s="5" t="s">
        <v>2087</v>
      </c>
      <c r="C805" s="5" t="s">
        <v>26</v>
      </c>
      <c r="D805" s="5" t="s">
        <v>27</v>
      </c>
      <c r="E805" s="5" t="s">
        <v>137</v>
      </c>
      <c r="F805" s="9">
        <v>30</v>
      </c>
      <c r="G805" s="9">
        <v>396</v>
      </c>
      <c r="H805" s="5" t="s">
        <v>21</v>
      </c>
      <c r="I805" s="5" t="s">
        <v>2088</v>
      </c>
      <c r="J805" s="12" t="str">
        <f>HYPERLINK("https://www.boe.es/gazeta/dias/1801/04/14/pdfs/GMD-1801-30.pdf#page=12","Abrir facsímil")</f>
        <v>Abrir facsímil</v>
      </c>
      <c r="K805" s="15" t="s">
        <v>23</v>
      </c>
    </row>
    <row r="806" spans="1:11" ht="42" customHeight="1">
      <c r="A806" s="4" t="s">
        <v>2089</v>
      </c>
      <c r="B806" s="5" t="s">
        <v>2090</v>
      </c>
      <c r="C806" s="5" t="s">
        <v>80</v>
      </c>
      <c r="D806" s="5" t="s">
        <v>81</v>
      </c>
      <c r="E806" s="5" t="s">
        <v>82</v>
      </c>
      <c r="F806" s="9">
        <v>75</v>
      </c>
      <c r="G806" s="9" t="s">
        <v>996</v>
      </c>
      <c r="H806" s="5" t="s">
        <v>21</v>
      </c>
      <c r="I806" s="5" t="s">
        <v>2091</v>
      </c>
      <c r="J806" s="12" t="str">
        <f>HYPERLINK("https://www.boe.es/gazeta/dias/1801/08/04/pdfs/GMD-C-1801-75.pdf#page=6","Abrir facsímil")</f>
        <v>Abrir facsímil</v>
      </c>
      <c r="K806" s="15" t="s">
        <v>23</v>
      </c>
    </row>
    <row r="807" spans="1:11" ht="42" customHeight="1">
      <c r="A807" s="4" t="s">
        <v>2092</v>
      </c>
      <c r="B807" s="5" t="s">
        <v>2093</v>
      </c>
      <c r="C807" s="5" t="s">
        <v>75</v>
      </c>
      <c r="D807" s="5" t="s">
        <v>76</v>
      </c>
      <c r="E807" s="5" t="s">
        <v>20</v>
      </c>
      <c r="F807" s="9">
        <v>37</v>
      </c>
      <c r="G807" s="9">
        <v>475</v>
      </c>
      <c r="H807" s="5" t="s">
        <v>21</v>
      </c>
      <c r="I807" s="5" t="s">
        <v>2094</v>
      </c>
      <c r="J807" s="12" t="str">
        <f>HYPERLINK("https://www.boe.es/gazeta/dias/1801/05/08/pdfs/GMD-1801-37.pdf#page=3","Abrir facsímil")</f>
        <v>Abrir facsímil</v>
      </c>
      <c r="K807" s="15" t="s">
        <v>23</v>
      </c>
    </row>
    <row r="808" spans="1:11" ht="42" customHeight="1">
      <c r="A808" s="4" t="s">
        <v>2095</v>
      </c>
      <c r="B808" s="5" t="s">
        <v>2096</v>
      </c>
      <c r="C808" s="5" t="s">
        <v>75</v>
      </c>
      <c r="D808" s="5" t="s">
        <v>76</v>
      </c>
      <c r="E808" s="5" t="s">
        <v>62</v>
      </c>
      <c r="F808" s="9">
        <v>6</v>
      </c>
      <c r="G808" s="9">
        <v>67</v>
      </c>
      <c r="H808" s="5" t="s">
        <v>21</v>
      </c>
      <c r="I808" s="5" t="s">
        <v>2097</v>
      </c>
      <c r="J808" s="12" t="str">
        <f>HYPERLINK("https://www.boe.es/gazeta/dias/1801/01/20/pdfs/GMD-1801-6.pdf#page=3","Abrir facsímil")</f>
        <v>Abrir facsímil</v>
      </c>
      <c r="K808" s="15" t="s">
        <v>23</v>
      </c>
    </row>
    <row r="809" spans="1:11" ht="42" customHeight="1">
      <c r="A809" s="4" t="s">
        <v>2098</v>
      </c>
      <c r="B809" s="5" t="s">
        <v>2099</v>
      </c>
      <c r="C809" s="5" t="s">
        <v>38</v>
      </c>
      <c r="D809" s="5" t="s">
        <v>39</v>
      </c>
      <c r="E809" s="5" t="s">
        <v>171</v>
      </c>
      <c r="F809" s="9">
        <v>76</v>
      </c>
      <c r="G809" s="9">
        <v>848</v>
      </c>
      <c r="H809" s="5" t="s">
        <v>21</v>
      </c>
      <c r="I809" s="5" t="s">
        <v>2100</v>
      </c>
      <c r="J809" s="12" t="str">
        <f>HYPERLINK("https://www.boe.es/gazeta/dias/1801/08/07/pdfs/GMD-1801-76.pdf#page=5","Abrir facsímil")</f>
        <v>Abrir facsímil</v>
      </c>
      <c r="K809" s="15" t="s">
        <v>23</v>
      </c>
    </row>
    <row r="810" spans="1:11" ht="42" customHeight="1">
      <c r="A810" s="4" t="s">
        <v>2101</v>
      </c>
      <c r="B810" s="5" t="s">
        <v>2102</v>
      </c>
      <c r="C810" s="5" t="s">
        <v>75</v>
      </c>
      <c r="D810" s="5" t="s">
        <v>76</v>
      </c>
      <c r="E810" s="5" t="s">
        <v>105</v>
      </c>
      <c r="F810" s="9">
        <v>44</v>
      </c>
      <c r="G810" s="9">
        <v>544</v>
      </c>
      <c r="H810" s="5" t="s">
        <v>21</v>
      </c>
      <c r="I810" s="5" t="s">
        <v>2103</v>
      </c>
      <c r="J810" s="12" t="str">
        <f>HYPERLINK("https://www.boe.es/gazeta/dias/1801/05/29/pdfs/GMD-1801-44.pdf#page=4","Abrir facsímil")</f>
        <v>Abrir facsímil</v>
      </c>
      <c r="K810" s="15" t="s">
        <v>23</v>
      </c>
    </row>
    <row r="811" spans="1:11" ht="42" customHeight="1">
      <c r="A811" s="4" t="s">
        <v>2104</v>
      </c>
      <c r="B811" s="5" t="s">
        <v>2105</v>
      </c>
      <c r="C811" s="5" t="s">
        <v>75</v>
      </c>
      <c r="D811" s="5" t="s">
        <v>76</v>
      </c>
      <c r="E811" s="5" t="s">
        <v>179</v>
      </c>
      <c r="F811" s="9">
        <v>11</v>
      </c>
      <c r="G811" s="9">
        <v>130</v>
      </c>
      <c r="H811" s="5" t="s">
        <v>21</v>
      </c>
      <c r="I811" s="5" t="s">
        <v>2106</v>
      </c>
      <c r="J811" s="12" t="str">
        <f>HYPERLINK("https://www.boe.es/gazeta/dias/1801/02/06/pdfs/GMD-1801-11.pdf#page=3","Abrir facsímil")</f>
        <v>Abrir facsímil</v>
      </c>
      <c r="K811" s="15" t="s">
        <v>23</v>
      </c>
    </row>
    <row r="812" spans="1:11" ht="42" customHeight="1">
      <c r="A812" s="4" t="s">
        <v>2104</v>
      </c>
      <c r="B812" s="5" t="s">
        <v>2105</v>
      </c>
      <c r="C812" s="5" t="s">
        <v>32</v>
      </c>
      <c r="D812" s="5" t="s">
        <v>33</v>
      </c>
      <c r="E812" s="5" t="s">
        <v>94</v>
      </c>
      <c r="F812" s="9">
        <v>19</v>
      </c>
      <c r="G812" s="9">
        <v>238</v>
      </c>
      <c r="H812" s="5" t="s">
        <v>21</v>
      </c>
      <c r="I812" s="5" t="s">
        <v>2107</v>
      </c>
      <c r="J812" s="12" t="str">
        <f>HYPERLINK("https://www.boe.es/gazeta/dias/1801/03/06/pdfs/GMD-1801-19.pdf#page=3","Abrir facsímil")</f>
        <v>Abrir facsímil</v>
      </c>
      <c r="K812" s="15" t="s">
        <v>23</v>
      </c>
    </row>
    <row r="813" spans="1:11" ht="42" customHeight="1">
      <c r="A813" s="4" t="s">
        <v>2104</v>
      </c>
      <c r="B813" s="5" t="s">
        <v>2105</v>
      </c>
      <c r="C813" s="5" t="s">
        <v>32</v>
      </c>
      <c r="D813" s="5" t="s">
        <v>33</v>
      </c>
      <c r="E813" s="5" t="s">
        <v>137</v>
      </c>
      <c r="F813" s="9">
        <v>30</v>
      </c>
      <c r="G813" s="9">
        <v>387</v>
      </c>
      <c r="H813" s="5" t="s">
        <v>21</v>
      </c>
      <c r="I813" s="5" t="s">
        <v>2108</v>
      </c>
      <c r="J813" s="12" t="str">
        <f>HYPERLINK("https://www.boe.es/gazeta/dias/1801/04/14/pdfs/GMD-1801-30.pdf#page=3","Abrir facsímil")</f>
        <v>Abrir facsímil</v>
      </c>
      <c r="K813" s="15" t="s">
        <v>23</v>
      </c>
    </row>
    <row r="814" spans="1:11" ht="42" customHeight="1">
      <c r="A814" s="4" t="s">
        <v>2104</v>
      </c>
      <c r="B814" s="5" t="s">
        <v>2105</v>
      </c>
      <c r="C814" s="5" t="s">
        <v>18</v>
      </c>
      <c r="D814" s="5" t="s">
        <v>19</v>
      </c>
      <c r="E814" s="5" t="s">
        <v>141</v>
      </c>
      <c r="F814" s="9">
        <v>33</v>
      </c>
      <c r="G814" s="9">
        <v>419</v>
      </c>
      <c r="H814" s="5" t="s">
        <v>21</v>
      </c>
      <c r="I814" s="5" t="s">
        <v>2109</v>
      </c>
      <c r="J814" s="12" t="str">
        <f>HYPERLINK("https://www.boe.es/gazeta/dias/1801/04/24/pdfs/GMD-1801-33.pdf#page=3","Abrir facsímil")</f>
        <v>Abrir facsímil</v>
      </c>
      <c r="K814" s="15" t="s">
        <v>23</v>
      </c>
    </row>
    <row r="815" spans="1:11" ht="42" customHeight="1">
      <c r="A815" s="4" t="s">
        <v>2104</v>
      </c>
      <c r="B815" s="5" t="s">
        <v>2105</v>
      </c>
      <c r="C815" s="5" t="s">
        <v>38</v>
      </c>
      <c r="D815" s="5" t="s">
        <v>39</v>
      </c>
      <c r="E815" s="5" t="s">
        <v>143</v>
      </c>
      <c r="F815" s="9">
        <v>34</v>
      </c>
      <c r="G815" s="9">
        <v>431</v>
      </c>
      <c r="H815" s="5" t="s">
        <v>21</v>
      </c>
      <c r="I815" s="5" t="s">
        <v>2110</v>
      </c>
      <c r="J815" s="12" t="str">
        <f>HYPERLINK("https://www.boe.es/gazeta/dias/1801/04/28/pdfs/GMD-1801-34.pdf#page=3","Abrir facsímil")</f>
        <v>Abrir facsímil</v>
      </c>
      <c r="K815" s="15" t="s">
        <v>23</v>
      </c>
    </row>
    <row r="816" spans="1:11" ht="42" customHeight="1">
      <c r="A816" s="4" t="s">
        <v>2104</v>
      </c>
      <c r="B816" s="5" t="s">
        <v>2105</v>
      </c>
      <c r="C816" s="5" t="s">
        <v>38</v>
      </c>
      <c r="D816" s="5" t="s">
        <v>39</v>
      </c>
      <c r="E816" s="5" t="s">
        <v>143</v>
      </c>
      <c r="F816" s="9">
        <v>34</v>
      </c>
      <c r="G816" s="9">
        <v>432</v>
      </c>
      <c r="H816" s="5" t="s">
        <v>21</v>
      </c>
      <c r="I816" s="5" t="s">
        <v>2111</v>
      </c>
      <c r="J816" s="12" t="str">
        <f>HYPERLINK("https://www.boe.es/gazeta/dias/1801/04/28/pdfs/GMD-1801-34.pdf#page=4","Abrir facsímil")</f>
        <v>Abrir facsímil</v>
      </c>
      <c r="K816" s="15" t="s">
        <v>23</v>
      </c>
    </row>
    <row r="817" spans="1:11" ht="42" customHeight="1">
      <c r="A817" s="4" t="s">
        <v>2104</v>
      </c>
      <c r="B817" s="5" t="s">
        <v>2105</v>
      </c>
      <c r="C817" s="5" t="s">
        <v>75</v>
      </c>
      <c r="D817" s="5" t="s">
        <v>76</v>
      </c>
      <c r="E817" s="5" t="s">
        <v>20</v>
      </c>
      <c r="F817" s="9">
        <v>37</v>
      </c>
      <c r="G817" s="9">
        <v>476</v>
      </c>
      <c r="H817" s="5" t="s">
        <v>21</v>
      </c>
      <c r="I817" s="5" t="s">
        <v>2112</v>
      </c>
      <c r="J817" s="12" t="str">
        <f>HYPERLINK("https://www.boe.es/gazeta/dias/1801/05/08/pdfs/GMD-1801-37.pdf#page=4","Abrir facsímil")</f>
        <v>Abrir facsímil</v>
      </c>
      <c r="K817" s="15" t="s">
        <v>23</v>
      </c>
    </row>
    <row r="818" spans="1:11" ht="42" customHeight="1">
      <c r="A818" s="4" t="s">
        <v>2104</v>
      </c>
      <c r="B818" s="5" t="s">
        <v>2105</v>
      </c>
      <c r="C818" s="5" t="s">
        <v>75</v>
      </c>
      <c r="D818" s="5" t="s">
        <v>76</v>
      </c>
      <c r="E818" s="5" t="s">
        <v>151</v>
      </c>
      <c r="F818" s="9">
        <v>45</v>
      </c>
      <c r="G818" s="9">
        <v>555</v>
      </c>
      <c r="H818" s="5" t="s">
        <v>21</v>
      </c>
      <c r="I818" s="5" t="s">
        <v>2113</v>
      </c>
      <c r="J818" s="12" t="str">
        <f>HYPERLINK("https://www.boe.es/gazeta/dias/1801/06/02/pdfs/GMD-1801-45.pdf#page=3","Abrir facsímil")</f>
        <v>Abrir facsímil</v>
      </c>
      <c r="K818" s="15" t="s">
        <v>23</v>
      </c>
    </row>
    <row r="819" spans="1:11" ht="42" customHeight="1">
      <c r="A819" s="4" t="s">
        <v>2104</v>
      </c>
      <c r="B819" s="5" t="s">
        <v>2105</v>
      </c>
      <c r="C819" s="5" t="s">
        <v>75</v>
      </c>
      <c r="D819" s="5" t="s">
        <v>76</v>
      </c>
      <c r="E819" s="5" t="s">
        <v>161</v>
      </c>
      <c r="F819" s="9">
        <v>58</v>
      </c>
      <c r="G819" s="9">
        <v>658</v>
      </c>
      <c r="H819" s="5" t="s">
        <v>21</v>
      </c>
      <c r="I819" s="5" t="s">
        <v>2114</v>
      </c>
      <c r="J819" s="12" t="str">
        <f>HYPERLINK("https://www.boe.es/gazeta/dias/1801/06/19/pdfs/GMD-1801-58.pdf#page=3","Abrir facsímil")</f>
        <v>Abrir facsímil</v>
      </c>
      <c r="K819" s="15" t="s">
        <v>23</v>
      </c>
    </row>
    <row r="820" spans="1:11" ht="42" customHeight="1">
      <c r="A820" s="4" t="s">
        <v>2104</v>
      </c>
      <c r="B820" s="5" t="s">
        <v>2105</v>
      </c>
      <c r="C820" s="5" t="s">
        <v>75</v>
      </c>
      <c r="D820" s="5" t="s">
        <v>76</v>
      </c>
      <c r="E820" s="5" t="s">
        <v>640</v>
      </c>
      <c r="F820" s="9">
        <v>81</v>
      </c>
      <c r="G820" s="9">
        <v>906</v>
      </c>
      <c r="H820" s="5" t="s">
        <v>21</v>
      </c>
      <c r="I820" s="5" t="s">
        <v>2115</v>
      </c>
      <c r="J820" s="12" t="str">
        <f>HYPERLINK("https://www.boe.es/gazeta/dias/1801/08/25/pdfs/GMD-1801-81.pdf#page=3","Abrir facsímil")</f>
        <v>Abrir facsímil</v>
      </c>
      <c r="K820" s="15" t="s">
        <v>23</v>
      </c>
    </row>
    <row r="821" spans="1:11" ht="42" customHeight="1">
      <c r="A821" s="4" t="s">
        <v>2104</v>
      </c>
      <c r="B821" s="5" t="s">
        <v>2105</v>
      </c>
      <c r="C821" s="5" t="s">
        <v>32</v>
      </c>
      <c r="D821" s="5" t="s">
        <v>33</v>
      </c>
      <c r="E821" s="5" t="s">
        <v>505</v>
      </c>
      <c r="F821" s="9">
        <v>94</v>
      </c>
      <c r="G821" s="9">
        <v>1030</v>
      </c>
      <c r="H821" s="5" t="s">
        <v>21</v>
      </c>
      <c r="I821" s="5" t="s">
        <v>2116</v>
      </c>
      <c r="J821" s="12" t="str">
        <f>HYPERLINK("https://www.boe.es/gazeta/dias/1801/10/02/pdfs/GMD-1801-94.pdf#page=6","Abrir facsímil")</f>
        <v>Abrir facsímil</v>
      </c>
      <c r="K821" s="15" t="s">
        <v>23</v>
      </c>
    </row>
    <row r="822" spans="1:11" ht="42" customHeight="1">
      <c r="A822" s="4" t="s">
        <v>2104</v>
      </c>
      <c r="B822" s="5" t="s">
        <v>2105</v>
      </c>
      <c r="C822" s="5" t="s">
        <v>75</v>
      </c>
      <c r="D822" s="5" t="s">
        <v>76</v>
      </c>
      <c r="E822" s="5" t="s">
        <v>264</v>
      </c>
      <c r="F822" s="9">
        <v>111</v>
      </c>
      <c r="G822" s="9">
        <v>1213</v>
      </c>
      <c r="H822" s="5" t="s">
        <v>21</v>
      </c>
      <c r="I822" s="5" t="s">
        <v>2117</v>
      </c>
      <c r="J822" s="12" t="str">
        <f>HYPERLINK("https://www.boe.es/gazeta/dias/1801/12/01/pdfs/GMD-1801-111.pdf#page=2","Abrir facsímil")</f>
        <v>Abrir facsímil</v>
      </c>
      <c r="K822" s="15" t="s">
        <v>23</v>
      </c>
    </row>
    <row r="823" spans="1:11" ht="42" customHeight="1">
      <c r="A823" s="4" t="s">
        <v>2104</v>
      </c>
      <c r="B823" s="5" t="s">
        <v>2105</v>
      </c>
      <c r="C823" s="5" t="s">
        <v>75</v>
      </c>
      <c r="D823" s="5" t="s">
        <v>76</v>
      </c>
      <c r="E823" s="5" t="s">
        <v>112</v>
      </c>
      <c r="F823" s="9">
        <v>114</v>
      </c>
      <c r="G823" s="9">
        <v>1241</v>
      </c>
      <c r="H823" s="5" t="s">
        <v>21</v>
      </c>
      <c r="I823" s="5" t="s">
        <v>2118</v>
      </c>
      <c r="J823" s="12" t="str">
        <f>HYPERLINK("https://www.boe.es/gazeta/dias/1801/12/11/pdfs/GMD-1801-114.pdf#page=3","Abrir facsímil")</f>
        <v>Abrir facsímil</v>
      </c>
      <c r="K823" s="15" t="s">
        <v>23</v>
      </c>
    </row>
    <row r="824" spans="1:11" ht="42" customHeight="1">
      <c r="A824" s="4" t="s">
        <v>2104</v>
      </c>
      <c r="B824" s="5" t="s">
        <v>2105</v>
      </c>
      <c r="C824" s="5" t="s">
        <v>75</v>
      </c>
      <c r="D824" s="5" t="s">
        <v>76</v>
      </c>
      <c r="E824" s="5" t="s">
        <v>501</v>
      </c>
      <c r="F824" s="9">
        <v>115</v>
      </c>
      <c r="G824" s="9">
        <v>1253</v>
      </c>
      <c r="H824" s="5" t="s">
        <v>21</v>
      </c>
      <c r="I824" s="5" t="s">
        <v>2119</v>
      </c>
      <c r="J824" s="12" t="str">
        <f>HYPERLINK("https://www.boe.es/gazeta/dias/1801/12/15/pdfs/GMD-1801-115.pdf#page=3","Abrir facsímil")</f>
        <v>Abrir facsímil</v>
      </c>
      <c r="K824" s="15" t="s">
        <v>23</v>
      </c>
    </row>
    <row r="825" spans="1:11" ht="42" customHeight="1">
      <c r="A825" s="4" t="s">
        <v>2120</v>
      </c>
      <c r="B825" s="5" t="s">
        <v>2120</v>
      </c>
      <c r="C825" s="5" t="s">
        <v>26</v>
      </c>
      <c r="D825" s="5" t="s">
        <v>27</v>
      </c>
      <c r="E825" s="5" t="s">
        <v>223</v>
      </c>
      <c r="F825" s="9">
        <v>74</v>
      </c>
      <c r="G825" s="9">
        <v>828</v>
      </c>
      <c r="H825" s="5" t="s">
        <v>21</v>
      </c>
      <c r="I825" s="5" t="s">
        <v>2121</v>
      </c>
      <c r="J825" s="12" t="str">
        <f>HYPERLINK("https://www.boe.es/gazeta/dias/1801/07/31/pdfs/GMD-1801-74.pdf#page=9","Abrir facsímil")</f>
        <v>Abrir facsímil</v>
      </c>
      <c r="K825" s="15" t="s">
        <v>23</v>
      </c>
    </row>
    <row r="826" spans="1:11" ht="42" customHeight="1">
      <c r="A826" s="4" t="s">
        <v>2122</v>
      </c>
      <c r="B826" s="5" t="s">
        <v>2122</v>
      </c>
      <c r="C826" s="5" t="s">
        <v>75</v>
      </c>
      <c r="D826" s="5" t="s">
        <v>76</v>
      </c>
      <c r="E826" s="5" t="s">
        <v>1015</v>
      </c>
      <c r="F826" s="9">
        <v>15</v>
      </c>
      <c r="G826" s="9">
        <v>186</v>
      </c>
      <c r="H826" s="5" t="s">
        <v>21</v>
      </c>
      <c r="I826" s="5" t="s">
        <v>2123</v>
      </c>
      <c r="J826" s="12" t="str">
        <f>HYPERLINK("https://www.boe.es/gazeta/dias/1801/02/20/pdfs/GMD-1801-15.pdf#page=5","Abrir facsímil")</f>
        <v>Abrir facsímil</v>
      </c>
      <c r="K826" s="15" t="s">
        <v>23</v>
      </c>
    </row>
    <row r="827" spans="1:11" ht="42" customHeight="1">
      <c r="A827" s="4" t="s">
        <v>2124</v>
      </c>
      <c r="B827" s="5" t="s">
        <v>2124</v>
      </c>
      <c r="C827" s="5" t="s">
        <v>38</v>
      </c>
      <c r="D827" s="5" t="s">
        <v>39</v>
      </c>
      <c r="E827" s="5" t="s">
        <v>378</v>
      </c>
      <c r="F827" s="9">
        <v>23</v>
      </c>
      <c r="G827" s="9">
        <v>301</v>
      </c>
      <c r="H827" s="5" t="s">
        <v>21</v>
      </c>
      <c r="I827" s="5" t="s">
        <v>2125</v>
      </c>
      <c r="J827" s="12" t="str">
        <f>HYPERLINK("https://www.boe.es/gazeta/dias/1801/03/20/pdfs/GMD-1801-23.pdf#page=4","Abrir facsímil")</f>
        <v>Abrir facsímil</v>
      </c>
      <c r="K827" s="15" t="s">
        <v>23</v>
      </c>
    </row>
    <row r="828" spans="1:11" ht="42" customHeight="1">
      <c r="A828" s="4" t="s">
        <v>2126</v>
      </c>
      <c r="B828" s="5" t="s">
        <v>2126</v>
      </c>
      <c r="C828" s="5" t="s">
        <v>69</v>
      </c>
      <c r="D828" s="5" t="s">
        <v>19</v>
      </c>
      <c r="E828" s="5" t="s">
        <v>919</v>
      </c>
      <c r="F828" s="9">
        <v>91</v>
      </c>
      <c r="G828" s="9">
        <v>1002</v>
      </c>
      <c r="H828" s="5" t="s">
        <v>21</v>
      </c>
      <c r="I828" s="5" t="s">
        <v>2127</v>
      </c>
      <c r="J828" s="12" t="str">
        <f>HYPERLINK("https://www.boe.es/gazeta/dias/1801/09/22/pdfs/GMD-1801-91.pdf#page=5","Abrir facsímil")</f>
        <v>Abrir facsímil</v>
      </c>
      <c r="K828" s="15" t="s">
        <v>23</v>
      </c>
    </row>
    <row r="829" spans="1:11" ht="42" customHeight="1">
      <c r="A829" s="4" t="s">
        <v>2126</v>
      </c>
      <c r="B829" s="5" t="s">
        <v>2126</v>
      </c>
      <c r="C829" s="5" t="s">
        <v>32</v>
      </c>
      <c r="D829" s="5" t="s">
        <v>33</v>
      </c>
      <c r="E829" s="5" t="s">
        <v>55</v>
      </c>
      <c r="F829" s="9">
        <v>104</v>
      </c>
      <c r="G829" s="9">
        <v>1144</v>
      </c>
      <c r="H829" s="5" t="s">
        <v>21</v>
      </c>
      <c r="I829" s="5" t="s">
        <v>2128</v>
      </c>
      <c r="J829" s="12" t="str">
        <f>HYPERLINK("https://www.boe.es/gazeta/dias/1801/11/06/pdfs/GMD-1801-104.pdf#page=5","Abrir facsímil")</f>
        <v>Abrir facsímil</v>
      </c>
      <c r="K829" s="15" t="s">
        <v>23</v>
      </c>
    </row>
    <row r="830" spans="1:11" ht="42" customHeight="1">
      <c r="A830" s="4" t="s">
        <v>2126</v>
      </c>
      <c r="B830" s="5" t="s">
        <v>2126</v>
      </c>
      <c r="C830" s="5" t="s">
        <v>69</v>
      </c>
      <c r="D830" s="5" t="s">
        <v>19</v>
      </c>
      <c r="E830" s="5" t="s">
        <v>309</v>
      </c>
      <c r="F830" s="9">
        <v>118</v>
      </c>
      <c r="G830" s="9">
        <v>1292</v>
      </c>
      <c r="H830" s="5" t="s">
        <v>21</v>
      </c>
      <c r="I830" s="5" t="s">
        <v>2129</v>
      </c>
      <c r="J830" s="12" t="str">
        <f>HYPERLINK("https://www.boe.es/gazeta/dias/1801/12/25/pdfs/GMD-1801-118.pdf#page=7","Abrir facsímil")</f>
        <v>Abrir facsímil</v>
      </c>
      <c r="K830" s="15" t="s">
        <v>23</v>
      </c>
    </row>
    <row r="831" spans="1:11" ht="42" customHeight="1">
      <c r="A831" s="4" t="s">
        <v>2130</v>
      </c>
      <c r="B831" s="5" t="s">
        <v>2130</v>
      </c>
      <c r="C831" s="5" t="s">
        <v>32</v>
      </c>
      <c r="D831" s="5" t="s">
        <v>33</v>
      </c>
      <c r="E831" s="5" t="s">
        <v>55</v>
      </c>
      <c r="F831" s="9">
        <v>104</v>
      </c>
      <c r="G831" s="9">
        <v>1144</v>
      </c>
      <c r="H831" s="5" t="s">
        <v>21</v>
      </c>
      <c r="I831" s="5" t="s">
        <v>2131</v>
      </c>
      <c r="J831" s="12" t="str">
        <f>HYPERLINK("https://www.boe.es/gazeta/dias/1801/11/06/pdfs/GMD-1801-104.pdf#page=5","Abrir facsímil")</f>
        <v>Abrir facsímil</v>
      </c>
      <c r="K831" s="15" t="s">
        <v>23</v>
      </c>
    </row>
    <row r="832" spans="1:11" ht="42" customHeight="1">
      <c r="A832" s="4" t="s">
        <v>2130</v>
      </c>
      <c r="B832" s="5" t="s">
        <v>2130</v>
      </c>
      <c r="C832" s="5" t="s">
        <v>32</v>
      </c>
      <c r="D832" s="5" t="s">
        <v>33</v>
      </c>
      <c r="E832" s="5" t="s">
        <v>1058</v>
      </c>
      <c r="F832" s="9">
        <v>108</v>
      </c>
      <c r="G832" s="9">
        <v>1190</v>
      </c>
      <c r="H832" s="5" t="s">
        <v>21</v>
      </c>
      <c r="I832" s="5" t="s">
        <v>2132</v>
      </c>
      <c r="J832" s="12" t="str">
        <f>HYPERLINK("https://www.boe.es/gazeta/dias/1801/11/20/pdfs/GMD-1801-108.pdf#page=7","Abrir facsímil")</f>
        <v>Abrir facsímil</v>
      </c>
      <c r="K832" s="15" t="s">
        <v>23</v>
      </c>
    </row>
    <row r="833" spans="1:11" ht="42" customHeight="1">
      <c r="A833" s="4" t="s">
        <v>2133</v>
      </c>
      <c r="B833" s="5" t="s">
        <v>2134</v>
      </c>
      <c r="C833" s="5" t="s">
        <v>75</v>
      </c>
      <c r="D833" s="5" t="s">
        <v>76</v>
      </c>
      <c r="E833" s="5" t="s">
        <v>90</v>
      </c>
      <c r="F833" s="9">
        <v>1</v>
      </c>
      <c r="G833" s="9">
        <v>3</v>
      </c>
      <c r="H833" s="5" t="s">
        <v>21</v>
      </c>
      <c r="I833" s="5" t="s">
        <v>2135</v>
      </c>
      <c r="J833" s="12" t="str">
        <f>HYPERLINK("https://www.boe.es/gazeta/dias/1801/01/02/pdfs/GMD-1801-1.pdf#page=3","Abrir facsímil")</f>
        <v>Abrir facsímil</v>
      </c>
      <c r="K833" s="15" t="s">
        <v>23</v>
      </c>
    </row>
    <row r="834" spans="1:11" ht="42" customHeight="1">
      <c r="A834" s="4" t="s">
        <v>2133</v>
      </c>
      <c r="B834" s="5" t="s">
        <v>2134</v>
      </c>
      <c r="C834" s="5" t="s">
        <v>75</v>
      </c>
      <c r="D834" s="5" t="s">
        <v>76</v>
      </c>
      <c r="E834" s="5" t="s">
        <v>321</v>
      </c>
      <c r="F834" s="9">
        <v>3</v>
      </c>
      <c r="G834" s="9">
        <v>26</v>
      </c>
      <c r="H834" s="5" t="s">
        <v>21</v>
      </c>
      <c r="I834" s="5" t="s">
        <v>2136</v>
      </c>
      <c r="J834" s="12" t="str">
        <f>HYPERLINK("https://www.boe.es/gazeta/dias/1801/01/09/pdfs/GMD-1801-3.pdf#page=2","Abrir facsímil")</f>
        <v>Abrir facsímil</v>
      </c>
      <c r="K834" s="15" t="s">
        <v>23</v>
      </c>
    </row>
    <row r="835" spans="1:11" ht="42" customHeight="1">
      <c r="A835" s="4" t="s">
        <v>2133</v>
      </c>
      <c r="B835" s="5" t="s">
        <v>2134</v>
      </c>
      <c r="C835" s="5" t="s">
        <v>75</v>
      </c>
      <c r="D835" s="5" t="s">
        <v>76</v>
      </c>
      <c r="E835" s="5" t="s">
        <v>465</v>
      </c>
      <c r="F835" s="9">
        <v>4</v>
      </c>
      <c r="G835" s="9">
        <v>39</v>
      </c>
      <c r="H835" s="5" t="s">
        <v>21</v>
      </c>
      <c r="I835" s="5" t="s">
        <v>2137</v>
      </c>
      <c r="J835" s="12" t="str">
        <f>HYPERLINK("https://www.boe.es/gazeta/dias/1801/01/13/pdfs/GMD-1801-4.pdf#page=3","Abrir facsímil")</f>
        <v>Abrir facsímil</v>
      </c>
      <c r="K835" s="15" t="s">
        <v>23</v>
      </c>
    </row>
    <row r="836" spans="1:11" ht="42" customHeight="1">
      <c r="A836" s="4" t="s">
        <v>2133</v>
      </c>
      <c r="B836" s="5" t="s">
        <v>2134</v>
      </c>
      <c r="C836" s="5" t="s">
        <v>75</v>
      </c>
      <c r="D836" s="5" t="s">
        <v>76</v>
      </c>
      <c r="E836" s="5" t="s">
        <v>465</v>
      </c>
      <c r="F836" s="9">
        <v>4</v>
      </c>
      <c r="G836" s="9">
        <v>43</v>
      </c>
      <c r="H836" s="5" t="s">
        <v>21</v>
      </c>
      <c r="I836" s="5" t="s">
        <v>2138</v>
      </c>
      <c r="J836" s="12" t="str">
        <f>HYPERLINK("https://www.boe.es/gazeta/dias/1801/01/13/pdfs/GMD-1801-4.pdf#page=7","Abrir facsímil")</f>
        <v>Abrir facsímil</v>
      </c>
      <c r="K836" s="15" t="s">
        <v>23</v>
      </c>
    </row>
    <row r="837" spans="1:11" ht="42" customHeight="1">
      <c r="A837" s="4" t="s">
        <v>2133</v>
      </c>
      <c r="B837" s="5" t="s">
        <v>2134</v>
      </c>
      <c r="C837" s="5" t="s">
        <v>32</v>
      </c>
      <c r="D837" s="5" t="s">
        <v>33</v>
      </c>
      <c r="E837" s="5" t="s">
        <v>62</v>
      </c>
      <c r="F837" s="9">
        <v>6</v>
      </c>
      <c r="G837" s="9">
        <v>66</v>
      </c>
      <c r="H837" s="5" t="s">
        <v>21</v>
      </c>
      <c r="I837" s="5" t="s">
        <v>2139</v>
      </c>
      <c r="J837" s="12" t="str">
        <f>HYPERLINK("https://www.boe.es/gazeta/dias/1801/01/20/pdfs/GMD-1801-6.pdf#page=2","Abrir facsímil")</f>
        <v>Abrir facsímil</v>
      </c>
      <c r="K837" s="15" t="s">
        <v>23</v>
      </c>
    </row>
    <row r="838" spans="1:11" ht="42" customHeight="1">
      <c r="A838" s="4" t="s">
        <v>2133</v>
      </c>
      <c r="B838" s="5" t="s">
        <v>2134</v>
      </c>
      <c r="C838" s="5" t="s">
        <v>75</v>
      </c>
      <c r="D838" s="5" t="s">
        <v>76</v>
      </c>
      <c r="E838" s="5" t="s">
        <v>62</v>
      </c>
      <c r="F838" s="9">
        <v>6</v>
      </c>
      <c r="G838" s="9">
        <v>67</v>
      </c>
      <c r="H838" s="5" t="s">
        <v>21</v>
      </c>
      <c r="I838" s="5" t="s">
        <v>2140</v>
      </c>
      <c r="J838" s="12" t="str">
        <f>HYPERLINK("https://www.boe.es/gazeta/dias/1801/01/20/pdfs/GMD-1801-6.pdf#page=3","Abrir facsímil")</f>
        <v>Abrir facsímil</v>
      </c>
      <c r="K838" s="15" t="s">
        <v>23</v>
      </c>
    </row>
    <row r="839" spans="1:11" ht="42" customHeight="1">
      <c r="A839" s="4" t="s">
        <v>2133</v>
      </c>
      <c r="B839" s="5" t="s">
        <v>2134</v>
      </c>
      <c r="C839" s="5" t="s">
        <v>75</v>
      </c>
      <c r="D839" s="5" t="s">
        <v>76</v>
      </c>
      <c r="E839" s="5" t="s">
        <v>62</v>
      </c>
      <c r="F839" s="9">
        <v>6</v>
      </c>
      <c r="G839" s="9">
        <v>68</v>
      </c>
      <c r="H839" s="5" t="s">
        <v>21</v>
      </c>
      <c r="I839" s="5" t="s">
        <v>2141</v>
      </c>
      <c r="J839" s="12" t="str">
        <f>HYPERLINK("https://www.boe.es/gazeta/dias/1801/01/20/pdfs/GMD-1801-6.pdf#page=4","Abrir facsímil")</f>
        <v>Abrir facsímil</v>
      </c>
      <c r="K839" s="15" t="s">
        <v>23</v>
      </c>
    </row>
    <row r="840" spans="1:11" ht="42" customHeight="1">
      <c r="A840" s="4" t="s">
        <v>2133</v>
      </c>
      <c r="B840" s="5" t="s">
        <v>2134</v>
      </c>
      <c r="C840" s="5" t="s">
        <v>75</v>
      </c>
      <c r="D840" s="5" t="s">
        <v>76</v>
      </c>
      <c r="E840" s="5" t="s">
        <v>120</v>
      </c>
      <c r="F840" s="9">
        <v>7</v>
      </c>
      <c r="G840" s="9">
        <v>81</v>
      </c>
      <c r="H840" s="5" t="s">
        <v>21</v>
      </c>
      <c r="I840" s="5" t="s">
        <v>2142</v>
      </c>
      <c r="J840" s="12" t="str">
        <f>HYPERLINK("https://www.boe.es/gazeta/dias/1801/01/23/pdfs/GMD-1801-7.pdf#page=5","Abrir facsímil")</f>
        <v>Abrir facsímil</v>
      </c>
      <c r="K840" s="15" t="s">
        <v>23</v>
      </c>
    </row>
    <row r="841" spans="1:11" ht="42" customHeight="1">
      <c r="A841" s="4" t="s">
        <v>2133</v>
      </c>
      <c r="B841" s="5" t="s">
        <v>2134</v>
      </c>
      <c r="C841" s="5" t="s">
        <v>75</v>
      </c>
      <c r="D841" s="5" t="s">
        <v>76</v>
      </c>
      <c r="E841" s="5" t="s">
        <v>122</v>
      </c>
      <c r="F841" s="9">
        <v>8</v>
      </c>
      <c r="G841" s="9">
        <v>90</v>
      </c>
      <c r="H841" s="5" t="s">
        <v>21</v>
      </c>
      <c r="I841" s="5" t="s">
        <v>2143</v>
      </c>
      <c r="J841" s="12" t="str">
        <f>HYPERLINK("https://www.boe.es/gazeta/dias/1801/01/27/pdfs/GMD-1801-8.pdf#page=2","Abrir facsímil")</f>
        <v>Abrir facsímil</v>
      </c>
      <c r="K841" s="15" t="s">
        <v>23</v>
      </c>
    </row>
    <row r="842" spans="1:11" ht="42" customHeight="1">
      <c r="A842" s="4" t="s">
        <v>2133</v>
      </c>
      <c r="B842" s="5" t="s">
        <v>2134</v>
      </c>
      <c r="C842" s="5" t="s">
        <v>75</v>
      </c>
      <c r="D842" s="5" t="s">
        <v>76</v>
      </c>
      <c r="E842" s="5" t="s">
        <v>122</v>
      </c>
      <c r="F842" s="9">
        <v>8</v>
      </c>
      <c r="G842" s="9">
        <v>96</v>
      </c>
      <c r="H842" s="5" t="s">
        <v>21</v>
      </c>
      <c r="I842" s="5" t="s">
        <v>2144</v>
      </c>
      <c r="J842" s="12" t="str">
        <f>HYPERLINK("https://www.boe.es/gazeta/dias/1801/01/27/pdfs/GMD-1801-8.pdf#page=8","Abrir facsímil")</f>
        <v>Abrir facsímil</v>
      </c>
      <c r="K842" s="15" t="s">
        <v>23</v>
      </c>
    </row>
    <row r="843" spans="1:11" ht="42" customHeight="1">
      <c r="A843" s="4" t="s">
        <v>2133</v>
      </c>
      <c r="B843" s="5" t="s">
        <v>2134</v>
      </c>
      <c r="C843" s="5" t="s">
        <v>75</v>
      </c>
      <c r="D843" s="5" t="s">
        <v>76</v>
      </c>
      <c r="E843" s="5" t="s">
        <v>480</v>
      </c>
      <c r="F843" s="9">
        <v>10</v>
      </c>
      <c r="G843" s="9">
        <v>117</v>
      </c>
      <c r="H843" s="5" t="s">
        <v>21</v>
      </c>
      <c r="I843" s="5" t="s">
        <v>2145</v>
      </c>
      <c r="J843" s="12" t="str">
        <f>HYPERLINK("https://www.boe.es/gazeta/dias/1801/02/03/pdfs/GMD-1801-10.pdf#page=2","Abrir facsímil")</f>
        <v>Abrir facsímil</v>
      </c>
      <c r="K843" s="15" t="s">
        <v>23</v>
      </c>
    </row>
    <row r="844" spans="1:11" ht="42" customHeight="1">
      <c r="A844" s="4" t="s">
        <v>2133</v>
      </c>
      <c r="B844" s="5" t="s">
        <v>2134</v>
      </c>
      <c r="C844" s="5" t="s">
        <v>75</v>
      </c>
      <c r="D844" s="5" t="s">
        <v>76</v>
      </c>
      <c r="E844" s="5" t="s">
        <v>179</v>
      </c>
      <c r="F844" s="9">
        <v>11</v>
      </c>
      <c r="G844" s="9">
        <v>130</v>
      </c>
      <c r="H844" s="5" t="s">
        <v>21</v>
      </c>
      <c r="I844" s="5" t="s">
        <v>2146</v>
      </c>
      <c r="J844" s="12" t="str">
        <f>HYPERLINK("https://www.boe.es/gazeta/dias/1801/02/06/pdfs/GMD-1801-11.pdf#page=3","Abrir facsímil")</f>
        <v>Abrir facsímil</v>
      </c>
      <c r="K844" s="15" t="s">
        <v>23</v>
      </c>
    </row>
    <row r="845" spans="1:11" ht="42" customHeight="1">
      <c r="A845" s="4" t="s">
        <v>2133</v>
      </c>
      <c r="B845" s="5" t="s">
        <v>2134</v>
      </c>
      <c r="C845" s="5" t="s">
        <v>75</v>
      </c>
      <c r="D845" s="5" t="s">
        <v>76</v>
      </c>
      <c r="E845" s="5" t="s">
        <v>124</v>
      </c>
      <c r="F845" s="9">
        <v>12</v>
      </c>
      <c r="G845" s="9">
        <v>141</v>
      </c>
      <c r="H845" s="5" t="s">
        <v>21</v>
      </c>
      <c r="I845" s="5" t="s">
        <v>2147</v>
      </c>
      <c r="J845" s="12" t="str">
        <f>HYPERLINK("https://www.boe.es/gazeta/dias/1801/02/10/pdfs/GMD-1801-12.pdf#page=2","Abrir facsímil")</f>
        <v>Abrir facsímil</v>
      </c>
      <c r="K845" s="15" t="s">
        <v>23</v>
      </c>
    </row>
    <row r="846" spans="1:11" ht="42" customHeight="1">
      <c r="A846" s="4" t="s">
        <v>2133</v>
      </c>
      <c r="B846" s="5" t="s">
        <v>2134</v>
      </c>
      <c r="C846" s="5" t="s">
        <v>38</v>
      </c>
      <c r="D846" s="5" t="s">
        <v>39</v>
      </c>
      <c r="E846" s="5" t="s">
        <v>126</v>
      </c>
      <c r="F846" s="9">
        <v>13</v>
      </c>
      <c r="G846" s="9">
        <v>155</v>
      </c>
      <c r="H846" s="5" t="s">
        <v>21</v>
      </c>
      <c r="I846" s="5" t="s">
        <v>2148</v>
      </c>
      <c r="J846" s="12" t="str">
        <f>HYPERLINK("https://www.boe.es/gazeta/dias/1801/02/13/pdfs/GMD-1801-13.pdf#page=2","Abrir facsímil")</f>
        <v>Abrir facsímil</v>
      </c>
      <c r="K846" s="15" t="s">
        <v>23</v>
      </c>
    </row>
    <row r="847" spans="1:11" ht="42" customHeight="1">
      <c r="A847" s="4" t="s">
        <v>2133</v>
      </c>
      <c r="B847" s="5" t="s">
        <v>2134</v>
      </c>
      <c r="C847" s="5" t="s">
        <v>32</v>
      </c>
      <c r="D847" s="5" t="s">
        <v>33</v>
      </c>
      <c r="E847" s="5" t="s">
        <v>781</v>
      </c>
      <c r="F847" s="9">
        <v>14</v>
      </c>
      <c r="G847" s="9">
        <v>168</v>
      </c>
      <c r="H847" s="5" t="s">
        <v>21</v>
      </c>
      <c r="I847" s="5" t="s">
        <v>2149</v>
      </c>
      <c r="J847" s="12" t="str">
        <f>HYPERLINK("https://www.boe.es/gazeta/dias/1801/02/17/pdfs/GMD-1801-14.pdf#page=3","Abrir facsímil")</f>
        <v>Abrir facsímil</v>
      </c>
      <c r="K847" s="15" t="s">
        <v>23</v>
      </c>
    </row>
    <row r="848" spans="1:11" ht="42" customHeight="1">
      <c r="A848" s="4" t="s">
        <v>2133</v>
      </c>
      <c r="B848" s="5" t="s">
        <v>2134</v>
      </c>
      <c r="C848" s="5" t="s">
        <v>75</v>
      </c>
      <c r="D848" s="5" t="s">
        <v>76</v>
      </c>
      <c r="E848" s="5" t="s">
        <v>781</v>
      </c>
      <c r="F848" s="9">
        <v>14</v>
      </c>
      <c r="G848" s="9">
        <v>169</v>
      </c>
      <c r="H848" s="5" t="s">
        <v>21</v>
      </c>
      <c r="I848" s="5" t="s">
        <v>2150</v>
      </c>
      <c r="J848" s="12" t="str">
        <f>HYPERLINK("https://www.boe.es/gazeta/dias/1801/02/17/pdfs/GMD-1801-14.pdf#page=4","Abrir facsímil")</f>
        <v>Abrir facsímil</v>
      </c>
      <c r="K848" s="15" t="s">
        <v>23</v>
      </c>
    </row>
    <row r="849" spans="1:11" ht="42" customHeight="1">
      <c r="A849" s="4" t="s">
        <v>2133</v>
      </c>
      <c r="B849" s="5" t="s">
        <v>2134</v>
      </c>
      <c r="C849" s="5" t="s">
        <v>75</v>
      </c>
      <c r="D849" s="5" t="s">
        <v>76</v>
      </c>
      <c r="E849" s="5" t="s">
        <v>1015</v>
      </c>
      <c r="F849" s="9">
        <v>15</v>
      </c>
      <c r="G849" s="9">
        <v>184</v>
      </c>
      <c r="H849" s="5" t="s">
        <v>21</v>
      </c>
      <c r="I849" s="5" t="s">
        <v>2151</v>
      </c>
      <c r="J849" s="12" t="str">
        <f>HYPERLINK("https://www.boe.es/gazeta/dias/1801/02/20/pdfs/GMD-1801-15.pdf#page=3","Abrir facsímil")</f>
        <v>Abrir facsímil</v>
      </c>
      <c r="K849" s="15" t="s">
        <v>23</v>
      </c>
    </row>
    <row r="850" spans="1:11" ht="42" customHeight="1">
      <c r="A850" s="4" t="s">
        <v>2133</v>
      </c>
      <c r="B850" s="5" t="s">
        <v>2134</v>
      </c>
      <c r="C850" s="5" t="s">
        <v>75</v>
      </c>
      <c r="D850" s="5" t="s">
        <v>76</v>
      </c>
      <c r="E850" s="5" t="s">
        <v>1015</v>
      </c>
      <c r="F850" s="9">
        <v>15</v>
      </c>
      <c r="G850" s="9">
        <v>186</v>
      </c>
      <c r="H850" s="5" t="s">
        <v>21</v>
      </c>
      <c r="I850" s="5" t="s">
        <v>2152</v>
      </c>
      <c r="J850" s="12" t="str">
        <f>HYPERLINK("https://www.boe.es/gazeta/dias/1801/02/20/pdfs/GMD-1801-15.pdf#page=5","Abrir facsímil")</f>
        <v>Abrir facsímil</v>
      </c>
      <c r="K850" s="15" t="s">
        <v>23</v>
      </c>
    </row>
    <row r="851" spans="1:11" ht="42" customHeight="1">
      <c r="A851" s="4" t="s">
        <v>2133</v>
      </c>
      <c r="B851" s="5" t="s">
        <v>2134</v>
      </c>
      <c r="C851" s="5" t="s">
        <v>32</v>
      </c>
      <c r="D851" s="5" t="s">
        <v>33</v>
      </c>
      <c r="E851" s="5" t="s">
        <v>128</v>
      </c>
      <c r="F851" s="9">
        <v>17</v>
      </c>
      <c r="G851" s="9">
        <v>207</v>
      </c>
      <c r="H851" s="5" t="s">
        <v>21</v>
      </c>
      <c r="I851" s="5" t="s">
        <v>2153</v>
      </c>
      <c r="J851" s="12" t="str">
        <f>HYPERLINK("https://www.boe.es/gazeta/dias/1801/02/27/pdfs/GMD-1801-17.pdf#page=2","Abrir facsímil")</f>
        <v>Abrir facsímil</v>
      </c>
      <c r="K851" s="15" t="s">
        <v>23</v>
      </c>
    </row>
    <row r="852" spans="1:11" ht="42" customHeight="1">
      <c r="A852" s="4" t="s">
        <v>2133</v>
      </c>
      <c r="B852" s="5" t="s">
        <v>2134</v>
      </c>
      <c r="C852" s="5" t="s">
        <v>75</v>
      </c>
      <c r="D852" s="5" t="s">
        <v>76</v>
      </c>
      <c r="E852" s="5" t="s">
        <v>128</v>
      </c>
      <c r="F852" s="9">
        <v>17</v>
      </c>
      <c r="G852" s="9">
        <v>209</v>
      </c>
      <c r="H852" s="5" t="s">
        <v>21</v>
      </c>
      <c r="I852" s="5" t="s">
        <v>2154</v>
      </c>
      <c r="J852" s="12" t="str">
        <f>HYPERLINK("https://www.boe.es/gazeta/dias/1801/02/27/pdfs/GMD-1801-17.pdf#page=4","Abrir facsímil")</f>
        <v>Abrir facsímil</v>
      </c>
      <c r="K852" s="15" t="s">
        <v>23</v>
      </c>
    </row>
    <row r="853" spans="1:11" ht="42" customHeight="1">
      <c r="A853" s="4" t="s">
        <v>2133</v>
      </c>
      <c r="B853" s="5" t="s">
        <v>2134</v>
      </c>
      <c r="C853" s="5" t="s">
        <v>69</v>
      </c>
      <c r="D853" s="5" t="s">
        <v>19</v>
      </c>
      <c r="E853" s="5" t="s">
        <v>128</v>
      </c>
      <c r="F853" s="9">
        <v>17</v>
      </c>
      <c r="G853" s="9">
        <v>213</v>
      </c>
      <c r="H853" s="5" t="s">
        <v>21</v>
      </c>
      <c r="I853" s="5" t="s">
        <v>2155</v>
      </c>
      <c r="J853" s="12" t="str">
        <f>HYPERLINK("https://www.boe.es/gazeta/dias/1801/02/27/pdfs/GMD-1801-17.pdf#page=8","Abrir facsímil")</f>
        <v>Abrir facsímil</v>
      </c>
      <c r="K853" s="15" t="s">
        <v>23</v>
      </c>
    </row>
    <row r="854" spans="1:11" ht="42" customHeight="1">
      <c r="A854" s="4" t="s">
        <v>2133</v>
      </c>
      <c r="B854" s="5" t="s">
        <v>2134</v>
      </c>
      <c r="C854" s="5" t="s">
        <v>32</v>
      </c>
      <c r="D854" s="5" t="s">
        <v>33</v>
      </c>
      <c r="E854" s="5" t="s">
        <v>292</v>
      </c>
      <c r="F854" s="9">
        <v>25</v>
      </c>
      <c r="G854" s="9">
        <v>324</v>
      </c>
      <c r="H854" s="5" t="s">
        <v>21</v>
      </c>
      <c r="I854" s="5" t="s">
        <v>2156</v>
      </c>
      <c r="J854" s="12" t="str">
        <f>HYPERLINK("https://www.boe.es/gazeta/dias/1801/03/27/pdfs/GMD-1801-25.pdf#page=3","Abrir facsímil")</f>
        <v>Abrir facsímil</v>
      </c>
      <c r="K854" s="15" t="s">
        <v>23</v>
      </c>
    </row>
    <row r="855" spans="1:11" ht="42" customHeight="1">
      <c r="A855" s="4" t="s">
        <v>2133</v>
      </c>
      <c r="B855" s="5" t="s">
        <v>2134</v>
      </c>
      <c r="C855" s="5" t="s">
        <v>32</v>
      </c>
      <c r="D855" s="5" t="s">
        <v>33</v>
      </c>
      <c r="E855" s="5" t="s">
        <v>219</v>
      </c>
      <c r="F855" s="9">
        <v>26</v>
      </c>
      <c r="G855" s="9">
        <v>339</v>
      </c>
      <c r="H855" s="5" t="s">
        <v>21</v>
      </c>
      <c r="I855" s="5" t="s">
        <v>2157</v>
      </c>
      <c r="J855" s="12" t="str">
        <f>HYPERLINK("https://www.boe.es/gazeta/dias/1801/03/31/pdfs/GMD-1801-26.pdf#page=3","Abrir facsímil")</f>
        <v>Abrir facsímil</v>
      </c>
      <c r="K855" s="15" t="s">
        <v>23</v>
      </c>
    </row>
    <row r="856" spans="1:11" ht="42" customHeight="1">
      <c r="A856" s="4" t="s">
        <v>2133</v>
      </c>
      <c r="B856" s="5" t="s">
        <v>2134</v>
      </c>
      <c r="C856" s="5" t="s">
        <v>69</v>
      </c>
      <c r="D856" s="5" t="s">
        <v>19</v>
      </c>
      <c r="E856" s="5" t="s">
        <v>50</v>
      </c>
      <c r="F856" s="9">
        <v>29</v>
      </c>
      <c r="G856" s="9">
        <v>375</v>
      </c>
      <c r="H856" s="5" t="s">
        <v>21</v>
      </c>
      <c r="I856" s="5" t="s">
        <v>2158</v>
      </c>
      <c r="J856" s="12" t="str">
        <f>HYPERLINK("https://www.boe.es/gazeta/dias/1801/04/10/pdfs/GMD-1801-29.pdf#page=3","Abrir facsímil")</f>
        <v>Abrir facsímil</v>
      </c>
      <c r="K856" s="15" t="s">
        <v>23</v>
      </c>
    </row>
    <row r="857" spans="1:11" ht="42" customHeight="1">
      <c r="A857" s="4" t="s">
        <v>2133</v>
      </c>
      <c r="B857" s="5" t="s">
        <v>2134</v>
      </c>
      <c r="C857" s="5" t="s">
        <v>75</v>
      </c>
      <c r="D857" s="5" t="s">
        <v>76</v>
      </c>
      <c r="E857" s="5" t="s">
        <v>99</v>
      </c>
      <c r="F857" s="9">
        <v>32</v>
      </c>
      <c r="G857" s="9">
        <v>407</v>
      </c>
      <c r="H857" s="5" t="s">
        <v>21</v>
      </c>
      <c r="I857" s="5" t="s">
        <v>2159</v>
      </c>
      <c r="J857" s="12" t="str">
        <f>HYPERLINK("https://www.boe.es/gazeta/dias/1801/04/21/pdfs/GMD-1801-32.pdf#page=3","Abrir facsímil")</f>
        <v>Abrir facsímil</v>
      </c>
      <c r="K857" s="15" t="s">
        <v>23</v>
      </c>
    </row>
    <row r="858" spans="1:11" ht="42" customHeight="1">
      <c r="A858" s="4" t="s">
        <v>2133</v>
      </c>
      <c r="B858" s="5" t="s">
        <v>2134</v>
      </c>
      <c r="C858" s="5" t="s">
        <v>75</v>
      </c>
      <c r="D858" s="5" t="s">
        <v>76</v>
      </c>
      <c r="E858" s="5" t="s">
        <v>141</v>
      </c>
      <c r="F858" s="9">
        <v>33</v>
      </c>
      <c r="G858" s="9">
        <v>419</v>
      </c>
      <c r="H858" s="5" t="s">
        <v>21</v>
      </c>
      <c r="I858" s="5" t="s">
        <v>2160</v>
      </c>
      <c r="J858" s="12" t="str">
        <f>HYPERLINK("https://www.boe.es/gazeta/dias/1801/04/24/pdfs/GMD-1801-33.pdf#page=3","Abrir facsímil")</f>
        <v>Abrir facsímil</v>
      </c>
      <c r="K858" s="15" t="s">
        <v>23</v>
      </c>
    </row>
    <row r="859" spans="1:11" ht="42" customHeight="1">
      <c r="A859" s="4" t="s">
        <v>2133</v>
      </c>
      <c r="B859" s="5" t="s">
        <v>2134</v>
      </c>
      <c r="C859" s="5" t="s">
        <v>26</v>
      </c>
      <c r="D859" s="5" t="s">
        <v>27</v>
      </c>
      <c r="E859" s="5" t="s">
        <v>143</v>
      </c>
      <c r="F859" s="9">
        <v>34</v>
      </c>
      <c r="G859" s="9">
        <v>431</v>
      </c>
      <c r="H859" s="5" t="s">
        <v>21</v>
      </c>
      <c r="I859" s="5" t="s">
        <v>2161</v>
      </c>
      <c r="J859" s="12" t="str">
        <f>HYPERLINK("https://www.boe.es/gazeta/dias/1801/04/28/pdfs/GMD-1801-34.pdf#page=3","Abrir facsímil")</f>
        <v>Abrir facsímil</v>
      </c>
      <c r="K859" s="15" t="s">
        <v>23</v>
      </c>
    </row>
    <row r="860" spans="1:11" ht="42" customHeight="1">
      <c r="A860" s="4" t="s">
        <v>2133</v>
      </c>
      <c r="B860" s="5" t="s">
        <v>2134</v>
      </c>
      <c r="C860" s="5" t="s">
        <v>38</v>
      </c>
      <c r="D860" s="5" t="s">
        <v>39</v>
      </c>
      <c r="E860" s="5" t="s">
        <v>143</v>
      </c>
      <c r="F860" s="9">
        <v>34</v>
      </c>
      <c r="G860" s="9">
        <v>435</v>
      </c>
      <c r="H860" s="5" t="s">
        <v>21</v>
      </c>
      <c r="I860" s="5" t="s">
        <v>2162</v>
      </c>
      <c r="J860" s="12" t="str">
        <f>HYPERLINK("https://www.boe.es/gazeta/dias/1801/04/28/pdfs/GMD-1801-34.pdf#page=7","Abrir facsímil")</f>
        <v>Abrir facsímil</v>
      </c>
      <c r="K860" s="15" t="s">
        <v>23</v>
      </c>
    </row>
    <row r="861" spans="1:11" ht="42" customHeight="1">
      <c r="A861" s="4" t="s">
        <v>2133</v>
      </c>
      <c r="B861" s="5" t="s">
        <v>2134</v>
      </c>
      <c r="C861" s="5" t="s">
        <v>32</v>
      </c>
      <c r="D861" s="5" t="s">
        <v>33</v>
      </c>
      <c r="E861" s="5" t="s">
        <v>448</v>
      </c>
      <c r="F861" s="9">
        <v>35</v>
      </c>
      <c r="G861" s="9">
        <v>447</v>
      </c>
      <c r="H861" s="5" t="s">
        <v>21</v>
      </c>
      <c r="I861" s="5" t="s">
        <v>2163</v>
      </c>
      <c r="J861" s="12" t="str">
        <f>HYPERLINK("https://www.boe.es/gazeta/dias/1801/05/01/pdfs/GMD-1801-35.pdf#page=3","Abrir facsímil")</f>
        <v>Abrir facsímil</v>
      </c>
      <c r="K861" s="15" t="s">
        <v>23</v>
      </c>
    </row>
    <row r="862" spans="1:11" ht="42" customHeight="1">
      <c r="A862" s="4" t="s">
        <v>2133</v>
      </c>
      <c r="B862" s="5" t="s">
        <v>2134</v>
      </c>
      <c r="C862" s="5" t="s">
        <v>75</v>
      </c>
      <c r="D862" s="5" t="s">
        <v>76</v>
      </c>
      <c r="E862" s="5" t="s">
        <v>34</v>
      </c>
      <c r="F862" s="9">
        <v>38</v>
      </c>
      <c r="G862" s="9">
        <v>489</v>
      </c>
      <c r="H862" s="5" t="s">
        <v>21</v>
      </c>
      <c r="I862" s="5" t="s">
        <v>2164</v>
      </c>
      <c r="J862" s="12" t="str">
        <f>HYPERLINK("https://www.boe.es/gazeta/dias/1801/05/12/pdfs/GMD-1801-38.pdf#page=5","Abrir facsímil")</f>
        <v>Abrir facsímil</v>
      </c>
      <c r="K862" s="15" t="s">
        <v>23</v>
      </c>
    </row>
    <row r="863" spans="1:11" ht="42" customHeight="1">
      <c r="A863" s="4" t="s">
        <v>2133</v>
      </c>
      <c r="B863" s="5" t="s">
        <v>2134</v>
      </c>
      <c r="C863" s="5" t="s">
        <v>32</v>
      </c>
      <c r="D863" s="5" t="s">
        <v>33</v>
      </c>
      <c r="E863" s="5" t="s">
        <v>313</v>
      </c>
      <c r="F863" s="9">
        <v>39</v>
      </c>
      <c r="G863" s="9">
        <v>499</v>
      </c>
      <c r="H863" s="5" t="s">
        <v>21</v>
      </c>
      <c r="I863" s="5" t="s">
        <v>2165</v>
      </c>
      <c r="J863" s="12" t="str">
        <f>HYPERLINK("https://www.boe.es/gazeta/dias/1801/05/15/pdfs/GMD-1801-39.pdf#page=3","Abrir facsímil")</f>
        <v>Abrir facsímil</v>
      </c>
      <c r="K863" s="15" t="s">
        <v>23</v>
      </c>
    </row>
    <row r="864" spans="1:11" ht="42" customHeight="1">
      <c r="A864" s="4" t="s">
        <v>2133</v>
      </c>
      <c r="B864" s="5" t="s">
        <v>2134</v>
      </c>
      <c r="C864" s="5" t="s">
        <v>32</v>
      </c>
      <c r="D864" s="5" t="s">
        <v>33</v>
      </c>
      <c r="E864" s="5" t="s">
        <v>352</v>
      </c>
      <c r="F864" s="9">
        <v>43</v>
      </c>
      <c r="G864" s="9">
        <v>531</v>
      </c>
      <c r="H864" s="5" t="s">
        <v>21</v>
      </c>
      <c r="I864" s="5" t="s">
        <v>2166</v>
      </c>
      <c r="J864" s="12" t="str">
        <f>HYPERLINK("https://www.boe.es/gazeta/dias/1801/05/26/pdfs/GMD-1801-43.pdf#page=3","Abrir facsímil")</f>
        <v>Abrir facsímil</v>
      </c>
      <c r="K864" s="15" t="s">
        <v>23</v>
      </c>
    </row>
    <row r="865" spans="1:11" ht="42" customHeight="1">
      <c r="A865" s="4" t="s">
        <v>2133</v>
      </c>
      <c r="B865" s="5" t="s">
        <v>2134</v>
      </c>
      <c r="C865" s="5" t="s">
        <v>75</v>
      </c>
      <c r="D865" s="5" t="s">
        <v>76</v>
      </c>
      <c r="E865" s="5" t="s">
        <v>153</v>
      </c>
      <c r="F865" s="9">
        <v>48</v>
      </c>
      <c r="G865" s="9">
        <v>580</v>
      </c>
      <c r="H865" s="5" t="s">
        <v>21</v>
      </c>
      <c r="I865" s="5" t="s">
        <v>2167</v>
      </c>
      <c r="J865" s="12" t="str">
        <f>HYPERLINK("https://www.boe.es/gazeta/dias/1801/06/05/pdfs/GMD-1801-48.pdf#page=2","Abrir facsímil")</f>
        <v>Abrir facsímil</v>
      </c>
      <c r="K865" s="15" t="s">
        <v>23</v>
      </c>
    </row>
    <row r="866" spans="1:11" ht="42" customHeight="1">
      <c r="A866" s="4" t="s">
        <v>2133</v>
      </c>
      <c r="B866" s="5" t="s">
        <v>2134</v>
      </c>
      <c r="C866" s="5" t="s">
        <v>38</v>
      </c>
      <c r="D866" s="5" t="s">
        <v>39</v>
      </c>
      <c r="E866" s="5" t="s">
        <v>155</v>
      </c>
      <c r="F866" s="9">
        <v>50</v>
      </c>
      <c r="G866" s="9">
        <v>591</v>
      </c>
      <c r="H866" s="5" t="s">
        <v>21</v>
      </c>
      <c r="I866" s="5" t="s">
        <v>2168</v>
      </c>
      <c r="J866" s="12" t="str">
        <f>HYPERLINK("https://www.boe.es/gazeta/dias/1801/06/09/pdfs/GMD-1801-50.pdf#page=3","Abrir facsímil")</f>
        <v>Abrir facsímil</v>
      </c>
      <c r="K866" s="15" t="s">
        <v>23</v>
      </c>
    </row>
    <row r="867" spans="1:11" ht="42" customHeight="1">
      <c r="A867" s="4" t="s">
        <v>2133</v>
      </c>
      <c r="B867" s="5" t="s">
        <v>2134</v>
      </c>
      <c r="C867" s="5" t="s">
        <v>75</v>
      </c>
      <c r="D867" s="5" t="s">
        <v>76</v>
      </c>
      <c r="E867" s="5" t="s">
        <v>66</v>
      </c>
      <c r="F867" s="9">
        <v>52</v>
      </c>
      <c r="G867" s="9">
        <v>603</v>
      </c>
      <c r="H867" s="5" t="s">
        <v>21</v>
      </c>
      <c r="I867" s="5" t="s">
        <v>2169</v>
      </c>
      <c r="J867" s="12" t="str">
        <f>HYPERLINK("https://www.boe.es/gazeta/dias/1801/06/12/pdfs/GMD-1801-52.pdf#page=2","Abrir facsímil")</f>
        <v>Abrir facsímil</v>
      </c>
      <c r="K867" s="15" t="s">
        <v>23</v>
      </c>
    </row>
    <row r="868" spans="1:11" ht="42" customHeight="1">
      <c r="A868" s="4" t="s">
        <v>2133</v>
      </c>
      <c r="B868" s="5" t="s">
        <v>2134</v>
      </c>
      <c r="C868" s="5" t="s">
        <v>32</v>
      </c>
      <c r="D868" s="5" t="s">
        <v>33</v>
      </c>
      <c r="E868" s="5" t="s">
        <v>161</v>
      </c>
      <c r="F868" s="9">
        <v>58</v>
      </c>
      <c r="G868" s="9">
        <v>658</v>
      </c>
      <c r="H868" s="5" t="s">
        <v>21</v>
      </c>
      <c r="I868" s="5" t="s">
        <v>2170</v>
      </c>
      <c r="J868" s="12" t="str">
        <f>HYPERLINK("https://www.boe.es/gazeta/dias/1801/06/19/pdfs/GMD-1801-58.pdf#page=3","Abrir facsímil")</f>
        <v>Abrir facsímil</v>
      </c>
      <c r="K868" s="15" t="s">
        <v>23</v>
      </c>
    </row>
    <row r="869" spans="1:11" ht="42" customHeight="1">
      <c r="A869" s="4" t="s">
        <v>2133</v>
      </c>
      <c r="B869" s="5" t="s">
        <v>2134</v>
      </c>
      <c r="C869" s="5" t="s">
        <v>32</v>
      </c>
      <c r="D869" s="5" t="s">
        <v>33</v>
      </c>
      <c r="E869" s="5" t="s">
        <v>161</v>
      </c>
      <c r="F869" s="9">
        <v>58</v>
      </c>
      <c r="G869" s="9">
        <v>659</v>
      </c>
      <c r="H869" s="5" t="s">
        <v>21</v>
      </c>
      <c r="I869" s="5" t="s">
        <v>2171</v>
      </c>
      <c r="J869" s="12" t="str">
        <f>HYPERLINK("https://www.boe.es/gazeta/dias/1801/06/19/pdfs/GMD-1801-58.pdf#page=4","Abrir facsímil")</f>
        <v>Abrir facsímil</v>
      </c>
      <c r="K869" s="15" t="s">
        <v>23</v>
      </c>
    </row>
    <row r="870" spans="1:11" ht="42" customHeight="1">
      <c r="A870" s="4" t="s">
        <v>2133</v>
      </c>
      <c r="B870" s="5" t="s">
        <v>2134</v>
      </c>
      <c r="C870" s="5" t="s">
        <v>75</v>
      </c>
      <c r="D870" s="5" t="s">
        <v>76</v>
      </c>
      <c r="E870" s="5" t="s">
        <v>165</v>
      </c>
      <c r="F870" s="9">
        <v>59</v>
      </c>
      <c r="G870" s="9">
        <v>670</v>
      </c>
      <c r="H870" s="5" t="s">
        <v>21</v>
      </c>
      <c r="I870" s="5" t="s">
        <v>2172</v>
      </c>
      <c r="J870" s="12" t="str">
        <f>HYPERLINK("https://www.boe.es/gazeta/dias/1801/06/23/pdfs/GMD-1801-59.pdf#page=3","Abrir facsímil")</f>
        <v>Abrir facsímil</v>
      </c>
      <c r="K870" s="15" t="s">
        <v>23</v>
      </c>
    </row>
    <row r="871" spans="1:11" ht="42" customHeight="1">
      <c r="A871" s="4" t="s">
        <v>2133</v>
      </c>
      <c r="B871" s="5" t="s">
        <v>2134</v>
      </c>
      <c r="C871" s="5" t="s">
        <v>38</v>
      </c>
      <c r="D871" s="5" t="s">
        <v>39</v>
      </c>
      <c r="E871" s="5" t="s">
        <v>72</v>
      </c>
      <c r="F871" s="9">
        <v>60</v>
      </c>
      <c r="G871" s="9">
        <v>682</v>
      </c>
      <c r="H871" s="5" t="s">
        <v>21</v>
      </c>
      <c r="I871" s="5" t="s">
        <v>2173</v>
      </c>
      <c r="J871" s="12" t="str">
        <f>HYPERLINK("https://www.boe.es/gazeta/dias/1801/06/26/pdfs/GMD-1801-60.pdf#page=3","Abrir facsímil")</f>
        <v>Abrir facsímil</v>
      </c>
      <c r="K871" s="15" t="s">
        <v>23</v>
      </c>
    </row>
    <row r="872" spans="1:11" ht="42" customHeight="1">
      <c r="A872" s="4" t="s">
        <v>2133</v>
      </c>
      <c r="B872" s="5" t="s">
        <v>2134</v>
      </c>
      <c r="C872" s="5" t="s">
        <v>38</v>
      </c>
      <c r="D872" s="5" t="s">
        <v>39</v>
      </c>
      <c r="E872" s="5" t="s">
        <v>417</v>
      </c>
      <c r="F872" s="9">
        <v>64</v>
      </c>
      <c r="G872" s="9">
        <v>722</v>
      </c>
      <c r="H872" s="5" t="s">
        <v>21</v>
      </c>
      <c r="I872" s="5" t="s">
        <v>2174</v>
      </c>
      <c r="J872" s="12" t="str">
        <f>HYPERLINK("https://www.boe.es/gazeta/dias/1801/07/07/pdfs/GMD-1801-64.pdf#page=3","Abrir facsímil")</f>
        <v>Abrir facsímil</v>
      </c>
      <c r="K872" s="15" t="s">
        <v>23</v>
      </c>
    </row>
    <row r="873" spans="1:11" ht="42" customHeight="1">
      <c r="A873" s="4" t="s">
        <v>2133</v>
      </c>
      <c r="B873" s="5" t="s">
        <v>2134</v>
      </c>
      <c r="C873" s="5" t="s">
        <v>75</v>
      </c>
      <c r="D873" s="5" t="s">
        <v>76</v>
      </c>
      <c r="E873" s="5" t="s">
        <v>251</v>
      </c>
      <c r="F873" s="9">
        <v>66</v>
      </c>
      <c r="G873" s="9">
        <v>737</v>
      </c>
      <c r="H873" s="5" t="s">
        <v>21</v>
      </c>
      <c r="I873" s="5" t="s">
        <v>2175</v>
      </c>
      <c r="J873" s="12" t="str">
        <f>HYPERLINK("https://www.boe.es/gazeta/dias/1801/07/10/pdfs/GMD-1801-66.pdf#page=2","Abrir facsímil")</f>
        <v>Abrir facsímil</v>
      </c>
      <c r="K873" s="15" t="s">
        <v>23</v>
      </c>
    </row>
    <row r="874" spans="1:11" ht="42" customHeight="1">
      <c r="A874" s="4" t="s">
        <v>2133</v>
      </c>
      <c r="B874" s="5" t="s">
        <v>2134</v>
      </c>
      <c r="C874" s="5" t="s">
        <v>75</v>
      </c>
      <c r="D874" s="5" t="s">
        <v>76</v>
      </c>
      <c r="E874" s="5" t="s">
        <v>702</v>
      </c>
      <c r="F874" s="9">
        <v>69</v>
      </c>
      <c r="G874" s="9">
        <v>760</v>
      </c>
      <c r="H874" s="5" t="s">
        <v>21</v>
      </c>
      <c r="I874" s="5" t="s">
        <v>2176</v>
      </c>
      <c r="J874" s="12" t="str">
        <f>HYPERLINK("https://www.boe.es/gazeta/dias/1801/07/14/pdfs/GMD-1801-69.pdf#page=5","Abrir facsímil")</f>
        <v>Abrir facsímil</v>
      </c>
      <c r="K874" s="15" t="s">
        <v>23</v>
      </c>
    </row>
    <row r="875" spans="1:11" ht="42" customHeight="1">
      <c r="A875" s="4" t="s">
        <v>2133</v>
      </c>
      <c r="B875" s="5" t="s">
        <v>2134</v>
      </c>
      <c r="C875" s="5" t="s">
        <v>26</v>
      </c>
      <c r="D875" s="5" t="s">
        <v>27</v>
      </c>
      <c r="E875" s="5" t="s">
        <v>169</v>
      </c>
      <c r="F875" s="9">
        <v>70</v>
      </c>
      <c r="G875" s="9">
        <v>770</v>
      </c>
      <c r="H875" s="5" t="s">
        <v>21</v>
      </c>
      <c r="I875" s="5" t="s">
        <v>2177</v>
      </c>
      <c r="J875" s="12" t="str">
        <f>HYPERLINK("https://www.boe.es/gazeta/dias/1801/07/17/pdfs/GMD-1801-70.pdf#page=3","Abrir facsímil")</f>
        <v>Abrir facsímil</v>
      </c>
      <c r="K875" s="15" t="s">
        <v>23</v>
      </c>
    </row>
    <row r="876" spans="1:11" ht="42" customHeight="1">
      <c r="A876" s="4" t="s">
        <v>2133</v>
      </c>
      <c r="B876" s="5" t="s">
        <v>2134</v>
      </c>
      <c r="C876" s="5" t="s">
        <v>32</v>
      </c>
      <c r="D876" s="5" t="s">
        <v>33</v>
      </c>
      <c r="E876" s="5" t="s">
        <v>215</v>
      </c>
      <c r="F876" s="9">
        <v>71</v>
      </c>
      <c r="G876" s="9">
        <v>781</v>
      </c>
      <c r="H876" s="5" t="s">
        <v>21</v>
      </c>
      <c r="I876" s="5" t="s">
        <v>2178</v>
      </c>
      <c r="J876" s="12" t="str">
        <f>HYPERLINK("https://www.boe.es/gazeta/dias/1801/07/21/pdfs/GMD-1801-71.pdf#page=2","Abrir facsímil")</f>
        <v>Abrir facsímil</v>
      </c>
      <c r="K876" s="15" t="s">
        <v>23</v>
      </c>
    </row>
    <row r="877" spans="1:11" ht="42" customHeight="1">
      <c r="A877" s="4" t="s">
        <v>2133</v>
      </c>
      <c r="B877" s="5" t="s">
        <v>2134</v>
      </c>
      <c r="C877" s="5" t="s">
        <v>75</v>
      </c>
      <c r="D877" s="5" t="s">
        <v>76</v>
      </c>
      <c r="E877" s="5" t="s">
        <v>254</v>
      </c>
      <c r="F877" s="9">
        <v>73</v>
      </c>
      <c r="G877" s="9">
        <v>810</v>
      </c>
      <c r="H877" s="5" t="s">
        <v>21</v>
      </c>
      <c r="I877" s="5" t="s">
        <v>2179</v>
      </c>
      <c r="J877" s="12" t="str">
        <f>HYPERLINK("https://www.boe.es/gazeta/dias/1801/07/28/pdfs/GMD-1801-73.pdf#page=3","Abrir facsímil")</f>
        <v>Abrir facsímil</v>
      </c>
      <c r="K877" s="15" t="s">
        <v>23</v>
      </c>
    </row>
    <row r="878" spans="1:11" ht="42" customHeight="1">
      <c r="A878" s="4" t="s">
        <v>2133</v>
      </c>
      <c r="B878" s="5" t="s">
        <v>2134</v>
      </c>
      <c r="C878" s="5" t="s">
        <v>75</v>
      </c>
      <c r="D878" s="5" t="s">
        <v>76</v>
      </c>
      <c r="E878" s="5" t="s">
        <v>223</v>
      </c>
      <c r="F878" s="9">
        <v>74</v>
      </c>
      <c r="G878" s="9">
        <v>822</v>
      </c>
      <c r="H878" s="5" t="s">
        <v>21</v>
      </c>
      <c r="I878" s="5" t="s">
        <v>2180</v>
      </c>
      <c r="J878" s="12" t="str">
        <f>HYPERLINK("https://www.boe.es/gazeta/dias/1801/07/31/pdfs/GMD-1801-74.pdf#page=3","Abrir facsímil")</f>
        <v>Abrir facsímil</v>
      </c>
      <c r="K878" s="15" t="s">
        <v>23</v>
      </c>
    </row>
    <row r="879" spans="1:11" ht="42" customHeight="1">
      <c r="A879" s="4" t="s">
        <v>2133</v>
      </c>
      <c r="B879" s="5" t="s">
        <v>2134</v>
      </c>
      <c r="C879" s="5" t="s">
        <v>38</v>
      </c>
      <c r="D879" s="5" t="s">
        <v>39</v>
      </c>
      <c r="E879" s="5" t="s">
        <v>82</v>
      </c>
      <c r="F879" s="9">
        <v>75</v>
      </c>
      <c r="G879" s="9">
        <v>834</v>
      </c>
      <c r="H879" s="5" t="s">
        <v>21</v>
      </c>
      <c r="I879" s="5" t="s">
        <v>2181</v>
      </c>
      <c r="J879" s="12" t="str">
        <f>HYPERLINK("https://www.boe.es/gazeta/dias/1801/08/04/pdfs/GMD-1801-75.pdf#page=3","Abrir facsímil")</f>
        <v>Abrir facsímil</v>
      </c>
      <c r="K879" s="15" t="s">
        <v>23</v>
      </c>
    </row>
    <row r="880" spans="1:11" ht="42" customHeight="1">
      <c r="A880" s="4" t="s">
        <v>2133</v>
      </c>
      <c r="B880" s="5" t="s">
        <v>2134</v>
      </c>
      <c r="C880" s="5" t="s">
        <v>32</v>
      </c>
      <c r="D880" s="5" t="s">
        <v>33</v>
      </c>
      <c r="E880" s="5" t="s">
        <v>28</v>
      </c>
      <c r="F880" s="9">
        <v>77</v>
      </c>
      <c r="G880" s="9">
        <v>861</v>
      </c>
      <c r="H880" s="5" t="s">
        <v>21</v>
      </c>
      <c r="I880" s="5" t="s">
        <v>2182</v>
      </c>
      <c r="J880" s="12" t="str">
        <f>HYPERLINK("https://www.boe.es/gazeta/dias/1801/08/11/pdfs/GMD-1801-77.pdf#page=6","Abrir facsímil")</f>
        <v>Abrir facsímil</v>
      </c>
      <c r="K880" s="15" t="s">
        <v>23</v>
      </c>
    </row>
    <row r="881" spans="1:11" ht="42" customHeight="1">
      <c r="A881" s="4" t="s">
        <v>2133</v>
      </c>
      <c r="B881" s="5" t="s">
        <v>2134</v>
      </c>
      <c r="C881" s="5" t="s">
        <v>75</v>
      </c>
      <c r="D881" s="5" t="s">
        <v>76</v>
      </c>
      <c r="E881" s="5" t="s">
        <v>764</v>
      </c>
      <c r="F881" s="9">
        <v>80</v>
      </c>
      <c r="G881" s="9">
        <v>895</v>
      </c>
      <c r="H881" s="5" t="s">
        <v>21</v>
      </c>
      <c r="I881" s="5" t="s">
        <v>2183</v>
      </c>
      <c r="J881" s="12" t="str">
        <f>HYPERLINK("https://www.boe.es/gazeta/dias/1801/08/21/pdfs/GMD-1801-80.pdf#page=4","Abrir facsímil")</f>
        <v>Abrir facsímil</v>
      </c>
      <c r="K881" s="15" t="s">
        <v>23</v>
      </c>
    </row>
    <row r="882" spans="1:11" ht="42" customHeight="1">
      <c r="A882" s="4" t="s">
        <v>2133</v>
      </c>
      <c r="B882" s="5" t="s">
        <v>2134</v>
      </c>
      <c r="C882" s="5" t="s">
        <v>75</v>
      </c>
      <c r="D882" s="5" t="s">
        <v>76</v>
      </c>
      <c r="E882" s="5" t="s">
        <v>338</v>
      </c>
      <c r="F882" s="9">
        <v>83</v>
      </c>
      <c r="G882" s="9">
        <v>927</v>
      </c>
      <c r="H882" s="5" t="s">
        <v>21</v>
      </c>
      <c r="I882" s="5" t="s">
        <v>2184</v>
      </c>
      <c r="J882" s="12" t="str">
        <f>HYPERLINK("https://www.boe.es/gazeta/dias/1801/09/01/pdfs/GMD-1801-83.pdf#page=2","Abrir facsímil")</f>
        <v>Abrir facsímil</v>
      </c>
      <c r="K882" s="15" t="s">
        <v>23</v>
      </c>
    </row>
    <row r="883" spans="1:11" ht="42" customHeight="1">
      <c r="A883" s="4" t="s">
        <v>2133</v>
      </c>
      <c r="B883" s="5" t="s">
        <v>2134</v>
      </c>
      <c r="C883" s="5" t="s">
        <v>75</v>
      </c>
      <c r="D883" s="5" t="s">
        <v>76</v>
      </c>
      <c r="E883" s="5" t="s">
        <v>2185</v>
      </c>
      <c r="F883" s="9">
        <v>84</v>
      </c>
      <c r="G883" s="9">
        <v>939</v>
      </c>
      <c r="H883" s="5" t="s">
        <v>21</v>
      </c>
      <c r="I883" s="5" t="s">
        <v>2186</v>
      </c>
      <c r="J883" s="12" t="str">
        <f>HYPERLINK("https://www.boe.es/gazeta/dias/1801/09/04/pdfs/GMD-1801-84.pdf#page=2","Abrir facsímil")</f>
        <v>Abrir facsímil</v>
      </c>
      <c r="K883" s="15" t="s">
        <v>23</v>
      </c>
    </row>
    <row r="884" spans="1:11" ht="42" customHeight="1">
      <c r="A884" s="4" t="s">
        <v>2133</v>
      </c>
      <c r="B884" s="5" t="s">
        <v>2134</v>
      </c>
      <c r="C884" s="5" t="s">
        <v>75</v>
      </c>
      <c r="D884" s="5" t="s">
        <v>76</v>
      </c>
      <c r="E884" s="5" t="s">
        <v>366</v>
      </c>
      <c r="F884" s="9">
        <v>86</v>
      </c>
      <c r="G884" s="9">
        <v>951</v>
      </c>
      <c r="H884" s="5" t="s">
        <v>21</v>
      </c>
      <c r="I884" s="5" t="s">
        <v>2187</v>
      </c>
      <c r="J884" s="12" t="str">
        <f>HYPERLINK("https://www.boe.es/gazeta/dias/1801/09/08/pdfs/GMD-1801-86.pdf#page=2","Abrir facsímil")</f>
        <v>Abrir facsímil</v>
      </c>
      <c r="K884" s="15" t="s">
        <v>23</v>
      </c>
    </row>
    <row r="885" spans="1:11" ht="42" customHeight="1">
      <c r="A885" s="4" t="s">
        <v>2133</v>
      </c>
      <c r="B885" s="5" t="s">
        <v>2134</v>
      </c>
      <c r="C885" s="5" t="s">
        <v>32</v>
      </c>
      <c r="D885" s="5" t="s">
        <v>33</v>
      </c>
      <c r="E885" s="5" t="s">
        <v>211</v>
      </c>
      <c r="F885" s="9">
        <v>87</v>
      </c>
      <c r="G885" s="9">
        <v>960</v>
      </c>
      <c r="H885" s="5" t="s">
        <v>21</v>
      </c>
      <c r="I885" s="5" t="s">
        <v>2188</v>
      </c>
      <c r="J885" s="12" t="str">
        <f>HYPERLINK("https://www.boe.es/gazeta/dias/1801/09/11/pdfs/GMD-1801-87.pdf#page=3","Abrir facsímil")</f>
        <v>Abrir facsímil</v>
      </c>
      <c r="K885" s="15" t="s">
        <v>23</v>
      </c>
    </row>
    <row r="886" spans="1:11" ht="42" customHeight="1">
      <c r="A886" s="4" t="s">
        <v>2133</v>
      </c>
      <c r="B886" s="5" t="s">
        <v>2134</v>
      </c>
      <c r="C886" s="5" t="s">
        <v>75</v>
      </c>
      <c r="D886" s="5" t="s">
        <v>76</v>
      </c>
      <c r="E886" s="5" t="s">
        <v>919</v>
      </c>
      <c r="F886" s="9">
        <v>91</v>
      </c>
      <c r="G886" s="9">
        <v>999</v>
      </c>
      <c r="H886" s="5" t="s">
        <v>21</v>
      </c>
      <c r="I886" s="5" t="s">
        <v>2189</v>
      </c>
      <c r="J886" s="12" t="str">
        <f>HYPERLINK("https://www.boe.es/gazeta/dias/1801/09/22/pdfs/GMD-1801-91.pdf#page=2","Abrir facsímil")</f>
        <v>Abrir facsímil</v>
      </c>
      <c r="K886" s="15" t="s">
        <v>23</v>
      </c>
    </row>
    <row r="887" spans="1:11" ht="42" customHeight="1">
      <c r="A887" s="4" t="s">
        <v>2133</v>
      </c>
      <c r="B887" s="5" t="s">
        <v>2134</v>
      </c>
      <c r="C887" s="5" t="s">
        <v>32</v>
      </c>
      <c r="D887" s="5" t="s">
        <v>33</v>
      </c>
      <c r="E887" s="5" t="s">
        <v>77</v>
      </c>
      <c r="F887" s="9">
        <v>93</v>
      </c>
      <c r="G887" s="9">
        <v>1016</v>
      </c>
      <c r="H887" s="5" t="s">
        <v>21</v>
      </c>
      <c r="I887" s="5" t="s">
        <v>2190</v>
      </c>
      <c r="J887" s="12" t="str">
        <f>HYPERLINK("https://www.boe.es/gazeta/dias/1801/09/29/pdfs/GMD-1801-93.pdf#page=3","Abrir facsímil")</f>
        <v>Abrir facsímil</v>
      </c>
      <c r="K887" s="15" t="s">
        <v>23</v>
      </c>
    </row>
    <row r="888" spans="1:11" ht="42" customHeight="1">
      <c r="A888" s="4" t="s">
        <v>2133</v>
      </c>
      <c r="B888" s="5" t="s">
        <v>2134</v>
      </c>
      <c r="C888" s="5" t="s">
        <v>75</v>
      </c>
      <c r="D888" s="5" t="s">
        <v>76</v>
      </c>
      <c r="E888" s="5" t="s">
        <v>505</v>
      </c>
      <c r="F888" s="9">
        <v>94</v>
      </c>
      <c r="G888" s="9">
        <v>1027</v>
      </c>
      <c r="H888" s="5" t="s">
        <v>21</v>
      </c>
      <c r="I888" s="5" t="s">
        <v>2191</v>
      </c>
      <c r="J888" s="12" t="str">
        <f>HYPERLINK("https://www.boe.es/gazeta/dias/1801/10/02/pdfs/GMD-1801-94.pdf#page=3","Abrir facsímil")</f>
        <v>Abrir facsímil</v>
      </c>
      <c r="K888" s="15" t="s">
        <v>23</v>
      </c>
    </row>
    <row r="889" spans="1:11" ht="42" customHeight="1">
      <c r="A889" s="4" t="s">
        <v>2133</v>
      </c>
      <c r="B889" s="5" t="s">
        <v>2134</v>
      </c>
      <c r="C889" s="5" t="s">
        <v>38</v>
      </c>
      <c r="D889" s="5" t="s">
        <v>39</v>
      </c>
      <c r="E889" s="5" t="s">
        <v>505</v>
      </c>
      <c r="F889" s="9">
        <v>94</v>
      </c>
      <c r="G889" s="9">
        <v>1028</v>
      </c>
      <c r="H889" s="5" t="s">
        <v>21</v>
      </c>
      <c r="I889" s="5" t="s">
        <v>2192</v>
      </c>
      <c r="J889" s="12" t="str">
        <f>HYPERLINK("https://www.boe.es/gazeta/dias/1801/10/02/pdfs/GMD-1801-94.pdf#page=4","Abrir facsímil")</f>
        <v>Abrir facsímil</v>
      </c>
      <c r="K889" s="15" t="s">
        <v>23</v>
      </c>
    </row>
    <row r="890" spans="1:11" ht="42" customHeight="1">
      <c r="A890" s="4" t="s">
        <v>2133</v>
      </c>
      <c r="B890" s="5" t="s">
        <v>2134</v>
      </c>
      <c r="C890" s="5" t="s">
        <v>38</v>
      </c>
      <c r="D890" s="5" t="s">
        <v>39</v>
      </c>
      <c r="E890" s="5" t="s">
        <v>505</v>
      </c>
      <c r="F890" s="9">
        <v>94</v>
      </c>
      <c r="G890" s="9">
        <v>1029</v>
      </c>
      <c r="H890" s="5" t="s">
        <v>21</v>
      </c>
      <c r="I890" s="5" t="s">
        <v>2193</v>
      </c>
      <c r="J890" s="12" t="str">
        <f>HYPERLINK("https://www.boe.es/gazeta/dias/1801/10/02/pdfs/GMD-1801-94.pdf#page=5","Abrir facsímil")</f>
        <v>Abrir facsímil</v>
      </c>
      <c r="K890" s="15" t="s">
        <v>23</v>
      </c>
    </row>
    <row r="891" spans="1:11" ht="42" customHeight="1">
      <c r="A891" s="4" t="s">
        <v>2133</v>
      </c>
      <c r="B891" s="5" t="s">
        <v>2134</v>
      </c>
      <c r="C891" s="5" t="s">
        <v>38</v>
      </c>
      <c r="D891" s="5" t="s">
        <v>39</v>
      </c>
      <c r="E891" s="5" t="s">
        <v>258</v>
      </c>
      <c r="F891" s="9">
        <v>96</v>
      </c>
      <c r="G891" s="9">
        <v>1051</v>
      </c>
      <c r="H891" s="5" t="s">
        <v>21</v>
      </c>
      <c r="I891" s="5" t="s">
        <v>2194</v>
      </c>
      <c r="J891" s="12" t="str">
        <f>HYPERLINK("https://www.boe.es/gazeta/dias/1801/10/09/pdfs/GMD-1801-96.pdf#page=7","Abrir facsímil")</f>
        <v>Abrir facsímil</v>
      </c>
      <c r="K891" s="15" t="s">
        <v>23</v>
      </c>
    </row>
    <row r="892" spans="1:11" ht="42" customHeight="1">
      <c r="A892" s="4" t="s">
        <v>2133</v>
      </c>
      <c r="B892" s="5" t="s">
        <v>2134</v>
      </c>
      <c r="C892" s="5" t="s">
        <v>75</v>
      </c>
      <c r="D892" s="5" t="s">
        <v>76</v>
      </c>
      <c r="E892" s="5" t="s">
        <v>735</v>
      </c>
      <c r="F892" s="9">
        <v>97</v>
      </c>
      <c r="G892" s="9">
        <v>1058</v>
      </c>
      <c r="H892" s="5" t="s">
        <v>21</v>
      </c>
      <c r="I892" s="5" t="s">
        <v>2195</v>
      </c>
      <c r="J892" s="12" t="str">
        <f>HYPERLINK("https://www.boe.es/gazeta/dias/1801/10/13/pdfs/GMD-1801-97.pdf#page=2","Abrir facsímil")</f>
        <v>Abrir facsímil</v>
      </c>
      <c r="K892" s="15" t="s">
        <v>23</v>
      </c>
    </row>
    <row r="893" spans="1:11" ht="42" customHeight="1">
      <c r="A893" s="4" t="s">
        <v>2133</v>
      </c>
      <c r="B893" s="5" t="s">
        <v>2134</v>
      </c>
      <c r="C893" s="5" t="s">
        <v>32</v>
      </c>
      <c r="D893" s="5" t="s">
        <v>33</v>
      </c>
      <c r="E893" s="5" t="s">
        <v>712</v>
      </c>
      <c r="F893" s="9">
        <v>105</v>
      </c>
      <c r="G893" s="9">
        <v>1150</v>
      </c>
      <c r="H893" s="5" t="s">
        <v>21</v>
      </c>
      <c r="I893" s="5" t="s">
        <v>2196</v>
      </c>
      <c r="J893" s="12" t="str">
        <f>HYPERLINK("https://www.boe.es/gazeta/dias/1801/11/10/pdfs/GMD-1801-105.pdf#page=3","Abrir facsímil")</f>
        <v>Abrir facsímil</v>
      </c>
      <c r="K893" s="15" t="s">
        <v>23</v>
      </c>
    </row>
    <row r="894" spans="1:11" ht="42" customHeight="1">
      <c r="A894" s="4" t="s">
        <v>2133</v>
      </c>
      <c r="B894" s="5" t="s">
        <v>2134</v>
      </c>
      <c r="C894" s="5" t="s">
        <v>75</v>
      </c>
      <c r="D894" s="5" t="s">
        <v>76</v>
      </c>
      <c r="E894" s="5" t="s">
        <v>1939</v>
      </c>
      <c r="F894" s="9">
        <v>107</v>
      </c>
      <c r="G894" s="9">
        <v>1173</v>
      </c>
      <c r="H894" s="5" t="s">
        <v>21</v>
      </c>
      <c r="I894" s="5" t="s">
        <v>2197</v>
      </c>
      <c r="J894" s="12" t="str">
        <f>HYPERLINK("https://www.boe.es/gazeta/dias/1801/11/17/pdfs/GMD-1801-107.pdf#page=2","Abrir facsímil")</f>
        <v>Abrir facsímil</v>
      </c>
      <c r="K894" s="15" t="s">
        <v>23</v>
      </c>
    </row>
    <row r="895" spans="1:11" ht="42" customHeight="1">
      <c r="A895" s="4" t="s">
        <v>2133</v>
      </c>
      <c r="B895" s="5" t="s">
        <v>2134</v>
      </c>
      <c r="C895" s="5" t="s">
        <v>75</v>
      </c>
      <c r="D895" s="5" t="s">
        <v>76</v>
      </c>
      <c r="E895" s="5" t="s">
        <v>262</v>
      </c>
      <c r="F895" s="9">
        <v>109</v>
      </c>
      <c r="G895" s="9">
        <v>1202</v>
      </c>
      <c r="H895" s="5" t="s">
        <v>21</v>
      </c>
      <c r="I895" s="5" t="s">
        <v>2198</v>
      </c>
      <c r="J895" s="12" t="str">
        <f>HYPERLINK("https://www.boe.es/gazeta/dias/1801/11/24/pdfs/GMD-1801-109.pdf#page=7","Abrir facsímil")</f>
        <v>Abrir facsímil</v>
      </c>
      <c r="K895" s="15" t="s">
        <v>23</v>
      </c>
    </row>
    <row r="896" spans="1:11" ht="42" customHeight="1">
      <c r="A896" s="4" t="s">
        <v>2133</v>
      </c>
      <c r="B896" s="5" t="s">
        <v>2134</v>
      </c>
      <c r="C896" s="5" t="s">
        <v>75</v>
      </c>
      <c r="D896" s="5" t="s">
        <v>76</v>
      </c>
      <c r="E896" s="5" t="s">
        <v>501</v>
      </c>
      <c r="F896" s="9">
        <v>115</v>
      </c>
      <c r="G896" s="9">
        <v>1252</v>
      </c>
      <c r="H896" s="5" t="s">
        <v>21</v>
      </c>
      <c r="I896" s="5" t="s">
        <v>2199</v>
      </c>
      <c r="J896" s="12" t="str">
        <f>HYPERLINK("https://www.boe.es/gazeta/dias/1801/12/15/pdfs/GMD-1801-115.pdf#page=2","Abrir facsímil")</f>
        <v>Abrir facsímil</v>
      </c>
      <c r="K896" s="15" t="s">
        <v>23</v>
      </c>
    </row>
    <row r="897" spans="1:11" ht="42" customHeight="1">
      <c r="A897" s="4" t="s">
        <v>2133</v>
      </c>
      <c r="B897" s="5" t="s">
        <v>2134</v>
      </c>
      <c r="C897" s="5" t="s">
        <v>32</v>
      </c>
      <c r="D897" s="5" t="s">
        <v>33</v>
      </c>
      <c r="E897" s="5" t="s">
        <v>309</v>
      </c>
      <c r="F897" s="9">
        <v>118</v>
      </c>
      <c r="G897" s="9">
        <v>1287</v>
      </c>
      <c r="H897" s="5" t="s">
        <v>21</v>
      </c>
      <c r="I897" s="5" t="s">
        <v>2200</v>
      </c>
      <c r="J897" s="12" t="str">
        <f>HYPERLINK("https://www.boe.es/gazeta/dias/1801/12/25/pdfs/GMD-1801-118.pdf#page=2","Abrir facsímil")</f>
        <v>Abrir facsímil</v>
      </c>
      <c r="K897" s="15" t="s">
        <v>23</v>
      </c>
    </row>
    <row r="898" spans="1:11" ht="42" customHeight="1">
      <c r="A898" s="4" t="s">
        <v>2201</v>
      </c>
      <c r="B898" s="5" t="s">
        <v>2202</v>
      </c>
      <c r="C898" s="5" t="s">
        <v>32</v>
      </c>
      <c r="D898" s="5" t="s">
        <v>33</v>
      </c>
      <c r="E898" s="5" t="s">
        <v>462</v>
      </c>
      <c r="F898" s="9">
        <v>5</v>
      </c>
      <c r="G898" s="9">
        <v>52</v>
      </c>
      <c r="H898" s="5" t="s">
        <v>21</v>
      </c>
      <c r="I898" s="5" t="s">
        <v>2203</v>
      </c>
      <c r="J898" s="12" t="str">
        <f>HYPERLINK("https://www.boe.es/gazeta/dias/1801/01/16/pdfs/GMD-1801-5.pdf#page=4","Abrir facsímil")</f>
        <v>Abrir facsímil</v>
      </c>
      <c r="K898" s="15" t="s">
        <v>23</v>
      </c>
    </row>
    <row r="899" spans="1:11" ht="42" customHeight="1">
      <c r="A899" s="4" t="s">
        <v>2201</v>
      </c>
      <c r="B899" s="5" t="s">
        <v>2202</v>
      </c>
      <c r="C899" s="5" t="s">
        <v>32</v>
      </c>
      <c r="D899" s="5" t="s">
        <v>33</v>
      </c>
      <c r="E899" s="5" t="s">
        <v>124</v>
      </c>
      <c r="F899" s="9">
        <v>12</v>
      </c>
      <c r="G899" s="9">
        <v>145</v>
      </c>
      <c r="H899" s="5" t="s">
        <v>21</v>
      </c>
      <c r="I899" s="5" t="s">
        <v>2204</v>
      </c>
      <c r="J899" s="12" t="str">
        <f>HYPERLINK("https://www.boe.es/gazeta/dias/1801/02/10/pdfs/GMD-1801-12.pdf#page=6","Abrir facsímil")</f>
        <v>Abrir facsímil</v>
      </c>
      <c r="K899" s="15" t="s">
        <v>23</v>
      </c>
    </row>
    <row r="900" spans="1:11" ht="42" customHeight="1">
      <c r="A900" s="4" t="s">
        <v>2201</v>
      </c>
      <c r="B900" s="5" t="s">
        <v>2202</v>
      </c>
      <c r="C900" s="5" t="s">
        <v>75</v>
      </c>
      <c r="D900" s="5" t="s">
        <v>76</v>
      </c>
      <c r="E900" s="5" t="s">
        <v>141</v>
      </c>
      <c r="F900" s="9">
        <v>33</v>
      </c>
      <c r="G900" s="9">
        <v>418</v>
      </c>
      <c r="H900" s="5" t="s">
        <v>21</v>
      </c>
      <c r="I900" s="5" t="s">
        <v>2205</v>
      </c>
      <c r="J900" s="12" t="str">
        <f>HYPERLINK("https://www.boe.es/gazeta/dias/1801/04/24/pdfs/GMD-1801-33.pdf#page=2","Abrir facsímil")</f>
        <v>Abrir facsímil</v>
      </c>
      <c r="K900" s="15" t="s">
        <v>23</v>
      </c>
    </row>
    <row r="901" spans="1:11" ht="42" customHeight="1">
      <c r="A901" s="4" t="s">
        <v>2201</v>
      </c>
      <c r="B901" s="5" t="s">
        <v>2202</v>
      </c>
      <c r="C901" s="5" t="s">
        <v>75</v>
      </c>
      <c r="D901" s="5" t="s">
        <v>76</v>
      </c>
      <c r="E901" s="5" t="s">
        <v>153</v>
      </c>
      <c r="F901" s="9">
        <v>48</v>
      </c>
      <c r="G901" s="9">
        <v>581</v>
      </c>
      <c r="H901" s="5" t="s">
        <v>21</v>
      </c>
      <c r="I901" s="5" t="s">
        <v>2206</v>
      </c>
      <c r="J901" s="12" t="str">
        <f>HYPERLINK("https://www.boe.es/gazeta/dias/1801/06/05/pdfs/GMD-1801-48.pdf#page=3","Abrir facsímil")</f>
        <v>Abrir facsímil</v>
      </c>
      <c r="K901" s="15" t="s">
        <v>23</v>
      </c>
    </row>
    <row r="902" spans="1:11" ht="42" customHeight="1">
      <c r="A902" s="4" t="s">
        <v>2201</v>
      </c>
      <c r="B902" s="5" t="s">
        <v>2202</v>
      </c>
      <c r="C902" s="5" t="s">
        <v>75</v>
      </c>
      <c r="D902" s="5" t="s">
        <v>76</v>
      </c>
      <c r="E902" s="5" t="s">
        <v>615</v>
      </c>
      <c r="F902" s="9">
        <v>72</v>
      </c>
      <c r="G902" s="9">
        <v>798</v>
      </c>
      <c r="H902" s="5" t="s">
        <v>21</v>
      </c>
      <c r="I902" s="5" t="s">
        <v>2207</v>
      </c>
      <c r="J902" s="12" t="str">
        <f>HYPERLINK("https://www.boe.es/gazeta/dias/1801/07/24/pdfs/GMD-1801-72.pdf#page=3","Abrir facsímil")</f>
        <v>Abrir facsímil</v>
      </c>
      <c r="K902" s="15" t="s">
        <v>23</v>
      </c>
    </row>
    <row r="903" spans="1:11" ht="42" customHeight="1">
      <c r="A903" s="4" t="s">
        <v>2208</v>
      </c>
      <c r="B903" s="5" t="s">
        <v>2208</v>
      </c>
      <c r="C903" s="5" t="s">
        <v>32</v>
      </c>
      <c r="D903" s="5" t="s">
        <v>33</v>
      </c>
      <c r="E903" s="5" t="s">
        <v>179</v>
      </c>
      <c r="F903" s="9">
        <v>11</v>
      </c>
      <c r="G903" s="9">
        <v>137</v>
      </c>
      <c r="H903" s="5" t="s">
        <v>21</v>
      </c>
      <c r="I903" s="5" t="s">
        <v>2209</v>
      </c>
      <c r="J903" s="12" t="str">
        <f>HYPERLINK("https://www.boe.es/gazeta/dias/1801/02/06/pdfs/GMD-1801-11.pdf#page=10","Abrir facsímil")</f>
        <v>Abrir facsímil</v>
      </c>
      <c r="K903" s="15" t="s">
        <v>23</v>
      </c>
    </row>
    <row r="904" spans="1:11" ht="42" customHeight="1">
      <c r="A904" s="4" t="s">
        <v>2210</v>
      </c>
      <c r="B904" s="5" t="s">
        <v>2211</v>
      </c>
      <c r="C904" s="5" t="s">
        <v>26</v>
      </c>
      <c r="D904" s="5" t="s">
        <v>27</v>
      </c>
      <c r="E904" s="5" t="s">
        <v>501</v>
      </c>
      <c r="F904" s="9">
        <v>115</v>
      </c>
      <c r="G904" s="9" t="s">
        <v>502</v>
      </c>
      <c r="H904" s="5" t="s">
        <v>21</v>
      </c>
      <c r="I904" s="5" t="s">
        <v>2212</v>
      </c>
      <c r="J904" s="12" t="str">
        <f>HYPERLINK("https://www.boe.es/gazeta/dias/1801/12/15/pdfs/GMD-C-1801-115.pdf#page=8","Abrir facsímil")</f>
        <v>Abrir facsímil</v>
      </c>
      <c r="K904" s="15" t="s">
        <v>23</v>
      </c>
    </row>
    <row r="905" spans="1:11" ht="42" customHeight="1">
      <c r="A905" s="4" t="s">
        <v>2213</v>
      </c>
      <c r="B905" s="5" t="s">
        <v>2214</v>
      </c>
      <c r="C905" s="5" t="s">
        <v>32</v>
      </c>
      <c r="D905" s="5" t="s">
        <v>33</v>
      </c>
      <c r="E905" s="5" t="s">
        <v>120</v>
      </c>
      <c r="F905" s="9">
        <v>7</v>
      </c>
      <c r="G905" s="9">
        <v>84</v>
      </c>
      <c r="H905" s="5" t="s">
        <v>21</v>
      </c>
      <c r="I905" s="5" t="s">
        <v>2215</v>
      </c>
      <c r="J905" s="12" t="str">
        <f>HYPERLINK("https://www.boe.es/gazeta/dias/1801/01/23/pdfs/GMD-1801-7.pdf#page=8","Abrir facsímil")</f>
        <v>Abrir facsímil</v>
      </c>
      <c r="K905" s="15" t="s">
        <v>23</v>
      </c>
    </row>
    <row r="906" spans="1:11" ht="42" customHeight="1">
      <c r="A906" s="4" t="s">
        <v>2216</v>
      </c>
      <c r="B906" s="5" t="s">
        <v>2217</v>
      </c>
      <c r="C906" s="5" t="s">
        <v>69</v>
      </c>
      <c r="D906" s="5" t="s">
        <v>19</v>
      </c>
      <c r="E906" s="5" t="s">
        <v>112</v>
      </c>
      <c r="F906" s="9">
        <v>114</v>
      </c>
      <c r="G906" s="9">
        <v>1249</v>
      </c>
      <c r="H906" s="5" t="s">
        <v>21</v>
      </c>
      <c r="I906" s="5" t="s">
        <v>2218</v>
      </c>
      <c r="J906" s="12" t="str">
        <f>HYPERLINK("https://www.boe.es/gazeta/dias/1801/12/11/pdfs/GMD-1801-114.pdf#page=11","Abrir facsímil")</f>
        <v>Abrir facsímil</v>
      </c>
      <c r="K906" s="15" t="s">
        <v>23</v>
      </c>
    </row>
    <row r="907" spans="1:11" ht="42" customHeight="1">
      <c r="A907" s="4" t="s">
        <v>2219</v>
      </c>
      <c r="B907" s="5" t="s">
        <v>2220</v>
      </c>
      <c r="C907" s="5" t="s">
        <v>69</v>
      </c>
      <c r="D907" s="5" t="s">
        <v>19</v>
      </c>
      <c r="E907" s="5" t="s">
        <v>99</v>
      </c>
      <c r="F907" s="9">
        <v>32</v>
      </c>
      <c r="G907" s="9">
        <v>413</v>
      </c>
      <c r="H907" s="5" t="s">
        <v>21</v>
      </c>
      <c r="I907" s="5" t="s">
        <v>2221</v>
      </c>
      <c r="J907" s="12" t="str">
        <f>HYPERLINK("https://www.boe.es/gazeta/dias/1801/04/21/pdfs/GMD-1801-32.pdf#page=9","Abrir facsímil")</f>
        <v>Abrir facsímil</v>
      </c>
      <c r="K907" s="15" t="s">
        <v>23</v>
      </c>
    </row>
    <row r="908" spans="1:11" ht="42" customHeight="1">
      <c r="A908" s="4" t="s">
        <v>2222</v>
      </c>
      <c r="B908" s="5" t="s">
        <v>2223</v>
      </c>
      <c r="C908" s="5" t="s">
        <v>32</v>
      </c>
      <c r="D908" s="5" t="s">
        <v>33</v>
      </c>
      <c r="E908" s="5" t="s">
        <v>151</v>
      </c>
      <c r="F908" s="9" t="s">
        <v>1483</v>
      </c>
      <c r="G908" s="9">
        <v>566</v>
      </c>
      <c r="H908" s="5" t="s">
        <v>21</v>
      </c>
      <c r="I908" s="5" t="s">
        <v>2224</v>
      </c>
      <c r="J908" s="12" t="str">
        <f>HYPERLINK("https://www.boe.es/gazeta/dias/1801/06/02/pdfs/GMD-1801-46E.pdf#page=2","Abrir facsímil")</f>
        <v>Abrir facsímil</v>
      </c>
      <c r="K908" s="15" t="s">
        <v>23</v>
      </c>
    </row>
    <row r="909" spans="1:11" ht="42" customHeight="1">
      <c r="A909" s="4" t="s">
        <v>2222</v>
      </c>
      <c r="B909" s="5" t="s">
        <v>2223</v>
      </c>
      <c r="C909" s="5" t="s">
        <v>32</v>
      </c>
      <c r="D909" s="5" t="s">
        <v>33</v>
      </c>
      <c r="E909" s="5" t="s">
        <v>2225</v>
      </c>
      <c r="F909" s="9" t="s">
        <v>2226</v>
      </c>
      <c r="G909" s="9">
        <v>574</v>
      </c>
      <c r="H909" s="5" t="s">
        <v>21</v>
      </c>
      <c r="I909" s="5" t="s">
        <v>2227</v>
      </c>
      <c r="J909" s="12" t="str">
        <f>HYPERLINK("https://www.boe.es/gazeta/dias/1801/06/03/pdfs/GMD-1801-47E.pdf#page=4","Abrir facsímil")</f>
        <v>Abrir facsímil</v>
      </c>
      <c r="K909" s="15" t="s">
        <v>23</v>
      </c>
    </row>
    <row r="910" spans="1:11" ht="42" customHeight="1">
      <c r="A910" s="4" t="s">
        <v>2222</v>
      </c>
      <c r="B910" s="5" t="s">
        <v>2223</v>
      </c>
      <c r="C910" s="5" t="s">
        <v>32</v>
      </c>
      <c r="D910" s="5" t="s">
        <v>33</v>
      </c>
      <c r="E910" s="5" t="s">
        <v>266</v>
      </c>
      <c r="F910" s="9">
        <v>119</v>
      </c>
      <c r="G910" s="9">
        <v>1303</v>
      </c>
      <c r="H910" s="5" t="s">
        <v>21</v>
      </c>
      <c r="I910" s="5" t="s">
        <v>2228</v>
      </c>
      <c r="J910" s="12" t="str">
        <f>HYPERLINK("https://www.boe.es/gazeta/dias/1801/12/29/pdfs/GMD-1801-119.pdf#page=7","Abrir facsímil")</f>
        <v>Abrir facsímil</v>
      </c>
      <c r="K910" s="15" t="s">
        <v>23</v>
      </c>
    </row>
    <row r="911" spans="1:11" ht="42" customHeight="1">
      <c r="A911" s="4" t="s">
        <v>2229</v>
      </c>
      <c r="B911" s="5" t="s">
        <v>2230</v>
      </c>
      <c r="C911" s="5" t="s">
        <v>26</v>
      </c>
      <c r="D911" s="5" t="s">
        <v>27</v>
      </c>
      <c r="E911" s="5" t="s">
        <v>48</v>
      </c>
      <c r="F911" s="9">
        <v>20</v>
      </c>
      <c r="G911" s="9">
        <v>267</v>
      </c>
      <c r="H911" s="5" t="s">
        <v>21</v>
      </c>
      <c r="I911" s="5" t="s">
        <v>2231</v>
      </c>
      <c r="J911" s="12" t="str">
        <f>HYPERLINK("https://www.boe.es/gazeta/dias/1801/03/10/pdfs/GMD-1801-20.pdf#page=12","Abrir facsímil")</f>
        <v>Abrir facsímil</v>
      </c>
      <c r="K911" s="15" t="s">
        <v>23</v>
      </c>
    </row>
    <row r="912" spans="1:11" ht="42" customHeight="1">
      <c r="A912" s="4" t="s">
        <v>2229</v>
      </c>
      <c r="B912" s="5" t="s">
        <v>2230</v>
      </c>
      <c r="C912" s="5" t="s">
        <v>26</v>
      </c>
      <c r="D912" s="5" t="s">
        <v>27</v>
      </c>
      <c r="E912" s="5" t="s">
        <v>135</v>
      </c>
      <c r="F912" s="9">
        <v>24</v>
      </c>
      <c r="G912" s="9">
        <v>319</v>
      </c>
      <c r="H912" s="5" t="s">
        <v>21</v>
      </c>
      <c r="I912" s="5" t="s">
        <v>2232</v>
      </c>
      <c r="J912" s="12" t="str">
        <f>HYPERLINK("https://www.boe.es/gazeta/dias/1801/03/24/pdfs/GMD-1801-24.pdf#page=10","Abrir facsímil")</f>
        <v>Abrir facsímil</v>
      </c>
      <c r="K912" s="15" t="s">
        <v>23</v>
      </c>
    </row>
    <row r="913" spans="1:11" ht="42" customHeight="1">
      <c r="A913" s="4" t="s">
        <v>2233</v>
      </c>
      <c r="B913" s="5" t="s">
        <v>2234</v>
      </c>
      <c r="C913" s="5" t="s">
        <v>18</v>
      </c>
      <c r="D913" s="5" t="s">
        <v>19</v>
      </c>
      <c r="E913" s="5" t="s">
        <v>186</v>
      </c>
      <c r="F913" s="9">
        <v>21</v>
      </c>
      <c r="G913" s="9">
        <v>282</v>
      </c>
      <c r="H913" s="5" t="s">
        <v>21</v>
      </c>
      <c r="I913" s="5" t="s">
        <v>2235</v>
      </c>
      <c r="J913" s="12" t="str">
        <f>HYPERLINK("https://www.boe.es/gazeta/dias/1801/03/13/pdfs/GMD-1801-21.pdf#page=11","Abrir facsímil")</f>
        <v>Abrir facsímil</v>
      </c>
      <c r="K913" s="15" t="s">
        <v>23</v>
      </c>
    </row>
    <row r="914" spans="1:11" ht="42" customHeight="1">
      <c r="A914" s="4" t="s">
        <v>2233</v>
      </c>
      <c r="B914" s="5" t="s">
        <v>2234</v>
      </c>
      <c r="C914" s="5" t="s">
        <v>18</v>
      </c>
      <c r="D914" s="5" t="s">
        <v>19</v>
      </c>
      <c r="E914" s="5" t="s">
        <v>143</v>
      </c>
      <c r="F914" s="9">
        <v>34</v>
      </c>
      <c r="G914" s="9">
        <v>441</v>
      </c>
      <c r="H914" s="5" t="s">
        <v>21</v>
      </c>
      <c r="I914" s="5" t="s">
        <v>2236</v>
      </c>
      <c r="J914" s="12" t="str">
        <f>HYPERLINK("https://www.boe.es/gazeta/dias/1801/04/28/pdfs/GMD-C-1801-34.pdf#page=1","Abrir facsímil")</f>
        <v>Abrir facsímil</v>
      </c>
      <c r="K914" s="15" t="s">
        <v>23</v>
      </c>
    </row>
    <row r="915" spans="1:11" ht="42" customHeight="1">
      <c r="A915" s="4" t="s">
        <v>2233</v>
      </c>
      <c r="B915" s="5" t="s">
        <v>2234</v>
      </c>
      <c r="C915" s="5" t="s">
        <v>18</v>
      </c>
      <c r="D915" s="5" t="s">
        <v>19</v>
      </c>
      <c r="E915" s="5" t="s">
        <v>2237</v>
      </c>
      <c r="F915" s="9">
        <v>82</v>
      </c>
      <c r="G915" s="9">
        <v>918</v>
      </c>
      <c r="H915" s="5" t="s">
        <v>21</v>
      </c>
      <c r="I915" s="5" t="s">
        <v>2238</v>
      </c>
      <c r="J915" s="12" t="str">
        <f>HYPERLINK("https://www.boe.es/gazeta/dias/1801/08/28/pdfs/GMD-1801-82.pdf#page=7","Abrir facsímil")</f>
        <v>Abrir facsímil</v>
      </c>
      <c r="K915" s="15" t="s">
        <v>23</v>
      </c>
    </row>
    <row r="916" spans="1:11" ht="42" customHeight="1">
      <c r="A916" s="4" t="s">
        <v>2233</v>
      </c>
      <c r="B916" s="5" t="s">
        <v>2234</v>
      </c>
      <c r="C916" s="5" t="s">
        <v>38</v>
      </c>
      <c r="D916" s="5" t="s">
        <v>39</v>
      </c>
      <c r="E916" s="5" t="s">
        <v>505</v>
      </c>
      <c r="F916" s="9">
        <v>94</v>
      </c>
      <c r="G916" s="9">
        <v>1034</v>
      </c>
      <c r="H916" s="5" t="s">
        <v>21</v>
      </c>
      <c r="I916" s="5" t="s">
        <v>2239</v>
      </c>
      <c r="J916" s="12" t="str">
        <f>HYPERLINK("https://www.boe.es/gazeta/dias/1801/10/02/pdfs/GMD-1801-94.pdf#page=10","Abrir facsímil")</f>
        <v>Abrir facsímil</v>
      </c>
      <c r="K916" s="15" t="s">
        <v>23</v>
      </c>
    </row>
    <row r="917" spans="1:11" ht="42" customHeight="1">
      <c r="A917" s="4" t="s">
        <v>2240</v>
      </c>
      <c r="B917" s="5" t="s">
        <v>2241</v>
      </c>
      <c r="C917" s="5" t="s">
        <v>80</v>
      </c>
      <c r="D917" s="5" t="s">
        <v>81</v>
      </c>
      <c r="E917" s="5" t="s">
        <v>289</v>
      </c>
      <c r="F917" s="9">
        <v>40</v>
      </c>
      <c r="G917" s="9" t="s">
        <v>668</v>
      </c>
      <c r="H917" s="5" t="s">
        <v>21</v>
      </c>
      <c r="I917" s="5" t="s">
        <v>2242</v>
      </c>
      <c r="J917" s="12" t="str">
        <f>HYPERLINK("https://www.boe.es/gazeta/dias/1801/05/19/pdfs/GMD-C-1801-40.pdf#page=1","Abrir facsímil")</f>
        <v>Abrir facsímil</v>
      </c>
      <c r="K917" s="15" t="s">
        <v>23</v>
      </c>
    </row>
    <row r="918" spans="1:11" ht="42" customHeight="1">
      <c r="A918" s="4" t="s">
        <v>2243</v>
      </c>
      <c r="B918" s="5" t="s">
        <v>2244</v>
      </c>
      <c r="C918" s="5" t="s">
        <v>32</v>
      </c>
      <c r="D918" s="5" t="s">
        <v>33</v>
      </c>
      <c r="E918" s="5" t="s">
        <v>171</v>
      </c>
      <c r="F918" s="9">
        <v>76</v>
      </c>
      <c r="G918" s="9">
        <v>853</v>
      </c>
      <c r="H918" s="5" t="s">
        <v>21</v>
      </c>
      <c r="I918" s="5" t="s">
        <v>2245</v>
      </c>
      <c r="J918" s="12" t="str">
        <f>HYPERLINK("https://www.boe.es/gazeta/dias/1801/08/07/pdfs/GMD-1801-76.pdf#page=10","Abrir facsímil")</f>
        <v>Abrir facsímil</v>
      </c>
      <c r="K918" s="15" t="s">
        <v>23</v>
      </c>
    </row>
    <row r="919" spans="1:11" ht="42" customHeight="1">
      <c r="A919" s="4" t="s">
        <v>2246</v>
      </c>
      <c r="B919" s="5" t="s">
        <v>2247</v>
      </c>
      <c r="C919" s="5" t="s">
        <v>32</v>
      </c>
      <c r="D919" s="5" t="s">
        <v>33</v>
      </c>
      <c r="E919" s="5" t="s">
        <v>223</v>
      </c>
      <c r="F919" s="9">
        <v>74</v>
      </c>
      <c r="G919" s="9">
        <v>827</v>
      </c>
      <c r="H919" s="5" t="s">
        <v>21</v>
      </c>
      <c r="I919" s="5" t="s">
        <v>2248</v>
      </c>
      <c r="J919" s="12" t="str">
        <f>HYPERLINK("https://www.boe.es/gazeta/dias/1801/07/31/pdfs/GMD-1801-74.pdf#page=8","Abrir facsímil")</f>
        <v>Abrir facsímil</v>
      </c>
      <c r="K919" s="15" t="s">
        <v>23</v>
      </c>
    </row>
    <row r="920" spans="1:11" ht="42" customHeight="1">
      <c r="A920" s="4" t="s">
        <v>2249</v>
      </c>
      <c r="B920" s="5" t="s">
        <v>2250</v>
      </c>
      <c r="C920" s="5" t="s">
        <v>38</v>
      </c>
      <c r="D920" s="5" t="s">
        <v>39</v>
      </c>
      <c r="E920" s="5" t="s">
        <v>480</v>
      </c>
      <c r="F920" s="9">
        <v>10</v>
      </c>
      <c r="G920" s="9">
        <v>124</v>
      </c>
      <c r="H920" s="5" t="s">
        <v>21</v>
      </c>
      <c r="I920" s="5" t="s">
        <v>2251</v>
      </c>
      <c r="J920" s="12" t="str">
        <f>HYPERLINK("https://www.boe.es/gazeta/dias/1801/02/03/pdfs/GMD-1801-10.pdf#page=9","Abrir facsímil")</f>
        <v>Abrir facsímil</v>
      </c>
      <c r="K920" s="15" t="s">
        <v>23</v>
      </c>
    </row>
    <row r="921" spans="1:11" ht="42" customHeight="1">
      <c r="A921" s="4" t="s">
        <v>2252</v>
      </c>
      <c r="B921" s="5" t="s">
        <v>2253</v>
      </c>
      <c r="C921" s="5" t="s">
        <v>80</v>
      </c>
      <c r="D921" s="5" t="s">
        <v>81</v>
      </c>
      <c r="E921" s="5" t="s">
        <v>82</v>
      </c>
      <c r="F921" s="9">
        <v>75</v>
      </c>
      <c r="G921" s="9" t="s">
        <v>668</v>
      </c>
      <c r="H921" s="5" t="s">
        <v>21</v>
      </c>
      <c r="I921" s="5" t="s">
        <v>2254</v>
      </c>
      <c r="J921" s="12" t="str">
        <f>HYPERLINK("https://www.boe.es/gazeta/dias/1801/08/04/pdfs/GMD-C-1801-75.pdf#page=1","Abrir facsímil")</f>
        <v>Abrir facsímil</v>
      </c>
      <c r="K921" s="15" t="s">
        <v>23</v>
      </c>
    </row>
    <row r="922" spans="1:11" ht="42" customHeight="1">
      <c r="A922" s="4" t="s">
        <v>2255</v>
      </c>
      <c r="B922" s="5" t="s">
        <v>2255</v>
      </c>
      <c r="C922" s="5" t="s">
        <v>69</v>
      </c>
      <c r="D922" s="5" t="s">
        <v>19</v>
      </c>
      <c r="E922" s="5" t="s">
        <v>359</v>
      </c>
      <c r="F922" s="9">
        <v>101</v>
      </c>
      <c r="G922" s="9">
        <v>1110</v>
      </c>
      <c r="H922" s="5" t="s">
        <v>21</v>
      </c>
      <c r="I922" s="5" t="s">
        <v>2256</v>
      </c>
      <c r="J922" s="12" t="str">
        <f>HYPERLINK("https://www.boe.es/gazeta/dias/1801/10/27/pdfs/GMD-1801-101.pdf#page=3","Abrir facsímil")</f>
        <v>Abrir facsímil</v>
      </c>
      <c r="K922" s="15" t="s">
        <v>23</v>
      </c>
    </row>
    <row r="923" spans="1:11" ht="42" customHeight="1">
      <c r="A923" s="4" t="s">
        <v>2257</v>
      </c>
      <c r="B923" s="5" t="s">
        <v>2258</v>
      </c>
      <c r="C923" s="5" t="s">
        <v>80</v>
      </c>
      <c r="D923" s="5" t="s">
        <v>81</v>
      </c>
      <c r="E923" s="5" t="s">
        <v>289</v>
      </c>
      <c r="F923" s="9">
        <v>40</v>
      </c>
      <c r="G923" s="9" t="s">
        <v>517</v>
      </c>
      <c r="H923" s="5" t="s">
        <v>21</v>
      </c>
      <c r="I923" s="5" t="s">
        <v>2259</v>
      </c>
      <c r="J923" s="12" t="str">
        <f>HYPERLINK("https://www.boe.es/gazeta/dias/1801/05/19/pdfs/GMD-C-1801-40.pdf#page=7","Abrir facsímil")</f>
        <v>Abrir facsímil</v>
      </c>
      <c r="K923" s="15" t="s">
        <v>23</v>
      </c>
    </row>
    <row r="924" spans="1:11" ht="42" customHeight="1">
      <c r="A924" s="4" t="s">
        <v>2260</v>
      </c>
      <c r="B924" s="5" t="s">
        <v>2261</v>
      </c>
      <c r="C924" s="5" t="s">
        <v>26</v>
      </c>
      <c r="D924" s="5" t="s">
        <v>27</v>
      </c>
      <c r="E924" s="5" t="s">
        <v>501</v>
      </c>
      <c r="F924" s="9">
        <v>115</v>
      </c>
      <c r="G924" s="9" t="s">
        <v>502</v>
      </c>
      <c r="H924" s="5" t="s">
        <v>21</v>
      </c>
      <c r="I924" s="5" t="s">
        <v>2262</v>
      </c>
      <c r="J924" s="12" t="str">
        <f>HYPERLINK("https://www.boe.es/gazeta/dias/1801/12/15/pdfs/GMD-C-1801-115.pdf#page=8","Abrir facsímil")</f>
        <v>Abrir facsímil</v>
      </c>
      <c r="K924" s="15" t="s">
        <v>23</v>
      </c>
    </row>
    <row r="925" spans="1:11" ht="42" customHeight="1">
      <c r="A925" s="4" t="s">
        <v>2263</v>
      </c>
      <c r="B925" s="5" t="s">
        <v>2264</v>
      </c>
      <c r="C925" s="5" t="s">
        <v>69</v>
      </c>
      <c r="D925" s="5" t="s">
        <v>19</v>
      </c>
      <c r="E925" s="5" t="s">
        <v>112</v>
      </c>
      <c r="F925" s="9">
        <v>114</v>
      </c>
      <c r="G925" s="9">
        <v>1247</v>
      </c>
      <c r="H925" s="5" t="s">
        <v>21</v>
      </c>
      <c r="I925" s="5" t="s">
        <v>2265</v>
      </c>
      <c r="J925" s="12" t="str">
        <f>HYPERLINK("https://www.boe.es/gazeta/dias/1801/12/11/pdfs/GMD-1801-114.pdf#page=9","Abrir facsímil")</f>
        <v>Abrir facsímil</v>
      </c>
      <c r="K925" s="15" t="s">
        <v>23</v>
      </c>
    </row>
    <row r="926" spans="1:11" ht="42" customHeight="1">
      <c r="A926" s="4" t="s">
        <v>2266</v>
      </c>
      <c r="B926" s="5" t="s">
        <v>2267</v>
      </c>
      <c r="C926" s="5" t="s">
        <v>32</v>
      </c>
      <c r="D926" s="5" t="s">
        <v>33</v>
      </c>
      <c r="E926" s="5" t="s">
        <v>55</v>
      </c>
      <c r="F926" s="9">
        <v>104</v>
      </c>
      <c r="G926" s="9">
        <v>1145</v>
      </c>
      <c r="H926" s="5" t="s">
        <v>21</v>
      </c>
      <c r="I926" s="5" t="s">
        <v>2268</v>
      </c>
      <c r="J926" s="12" t="str">
        <f>HYPERLINK("https://www.boe.es/gazeta/dias/1801/11/06/pdfs/GMD-1801-104.pdf#page=6","Abrir facsímil")</f>
        <v>Abrir facsímil</v>
      </c>
      <c r="K926" s="15" t="s">
        <v>23</v>
      </c>
    </row>
    <row r="927" spans="1:11" ht="42" customHeight="1">
      <c r="A927" s="4" t="s">
        <v>2269</v>
      </c>
      <c r="B927" s="5" t="s">
        <v>2270</v>
      </c>
      <c r="C927" s="5" t="s">
        <v>32</v>
      </c>
      <c r="D927" s="5" t="s">
        <v>33</v>
      </c>
      <c r="E927" s="5" t="s">
        <v>378</v>
      </c>
      <c r="F927" s="9">
        <v>23</v>
      </c>
      <c r="G927" s="9">
        <v>306</v>
      </c>
      <c r="H927" s="5" t="s">
        <v>21</v>
      </c>
      <c r="I927" s="5" t="s">
        <v>2271</v>
      </c>
      <c r="J927" s="12" t="str">
        <f>HYPERLINK("https://www.boe.es/gazeta/dias/1801/03/20/pdfs/GMD-1801-23.pdf#page=9","Abrir facsímil")</f>
        <v>Abrir facsímil</v>
      </c>
      <c r="K927" s="15" t="s">
        <v>23</v>
      </c>
    </row>
    <row r="928" spans="1:11" ht="42" customHeight="1">
      <c r="A928" s="4" t="s">
        <v>2272</v>
      </c>
      <c r="B928" s="5" t="s">
        <v>2273</v>
      </c>
      <c r="C928" s="5" t="s">
        <v>32</v>
      </c>
      <c r="D928" s="5" t="s">
        <v>33</v>
      </c>
      <c r="E928" s="5" t="s">
        <v>44</v>
      </c>
      <c r="F928" s="9">
        <v>117</v>
      </c>
      <c r="G928" s="9">
        <v>1282</v>
      </c>
      <c r="H928" s="5" t="s">
        <v>21</v>
      </c>
      <c r="I928" s="5" t="s">
        <v>2274</v>
      </c>
      <c r="J928" s="12" t="str">
        <f>HYPERLINK("https://www.boe.es/gazeta/dias/1801/12/22/pdfs/GMD-1801-117.pdf#page=9","Abrir facsímil")</f>
        <v>Abrir facsímil</v>
      </c>
      <c r="K928" s="15" t="s">
        <v>23</v>
      </c>
    </row>
    <row r="929" spans="1:11" ht="42" customHeight="1">
      <c r="A929" s="4" t="s">
        <v>2275</v>
      </c>
      <c r="B929" s="5" t="s">
        <v>2276</v>
      </c>
      <c r="C929" s="5" t="s">
        <v>80</v>
      </c>
      <c r="D929" s="5" t="s">
        <v>81</v>
      </c>
      <c r="E929" s="5" t="s">
        <v>82</v>
      </c>
      <c r="F929" s="9">
        <v>75</v>
      </c>
      <c r="G929" s="9" t="s">
        <v>996</v>
      </c>
      <c r="H929" s="5" t="s">
        <v>21</v>
      </c>
      <c r="I929" s="5" t="s">
        <v>2277</v>
      </c>
      <c r="J929" s="12" t="str">
        <f>HYPERLINK("https://www.boe.es/gazeta/dias/1801/08/04/pdfs/GMD-C-1801-75.pdf#page=6","Abrir facsímil")</f>
        <v>Abrir facsímil</v>
      </c>
      <c r="K929" s="15" t="s">
        <v>23</v>
      </c>
    </row>
    <row r="930" spans="1:11" ht="42" customHeight="1">
      <c r="A930" s="4" t="s">
        <v>2278</v>
      </c>
      <c r="B930" s="5" t="s">
        <v>2279</v>
      </c>
      <c r="C930" s="5" t="s">
        <v>38</v>
      </c>
      <c r="D930" s="5" t="s">
        <v>39</v>
      </c>
      <c r="E930" s="5" t="s">
        <v>72</v>
      </c>
      <c r="F930" s="9">
        <v>60</v>
      </c>
      <c r="G930" s="9">
        <v>684</v>
      </c>
      <c r="H930" s="5" t="s">
        <v>21</v>
      </c>
      <c r="I930" s="5" t="s">
        <v>2280</v>
      </c>
      <c r="J930" s="12" t="str">
        <f>HYPERLINK("https://www.boe.es/gazeta/dias/1801/06/26/pdfs/GMD-1801-60.pdf#page=5","Abrir facsímil")</f>
        <v>Abrir facsímil</v>
      </c>
      <c r="K930" s="15" t="s">
        <v>23</v>
      </c>
    </row>
    <row r="931" spans="1:11" ht="42" customHeight="1">
      <c r="A931" s="4" t="s">
        <v>2281</v>
      </c>
      <c r="B931" s="5" t="s">
        <v>2282</v>
      </c>
      <c r="C931" s="5" t="s">
        <v>32</v>
      </c>
      <c r="D931" s="5" t="s">
        <v>33</v>
      </c>
      <c r="E931" s="5" t="s">
        <v>55</v>
      </c>
      <c r="F931" s="9">
        <v>104</v>
      </c>
      <c r="G931" s="9">
        <v>1146</v>
      </c>
      <c r="H931" s="5" t="s">
        <v>21</v>
      </c>
      <c r="I931" s="5" t="s">
        <v>2283</v>
      </c>
      <c r="J931" s="12" t="str">
        <f>HYPERLINK("https://www.boe.es/gazeta/dias/1801/11/06/pdfs/GMD-1801-104.pdf#page=7","Abrir facsímil")</f>
        <v>Abrir facsímil</v>
      </c>
      <c r="K931" s="15" t="s">
        <v>23</v>
      </c>
    </row>
    <row r="932" spans="1:11" ht="42" customHeight="1">
      <c r="A932" s="4" t="s">
        <v>2284</v>
      </c>
      <c r="B932" s="5" t="s">
        <v>2285</v>
      </c>
      <c r="C932" s="5" t="s">
        <v>32</v>
      </c>
      <c r="D932" s="5" t="s">
        <v>33</v>
      </c>
      <c r="E932" s="5" t="s">
        <v>120</v>
      </c>
      <c r="F932" s="9">
        <v>7</v>
      </c>
      <c r="G932" s="9">
        <v>84</v>
      </c>
      <c r="H932" s="5" t="s">
        <v>21</v>
      </c>
      <c r="I932" s="5" t="s">
        <v>2286</v>
      </c>
      <c r="J932" s="12" t="str">
        <f>HYPERLINK("https://www.boe.es/gazeta/dias/1801/01/23/pdfs/GMD-1801-7.pdf#page=8","Abrir facsímil")</f>
        <v>Abrir facsímil</v>
      </c>
      <c r="K932" s="15" t="s">
        <v>23</v>
      </c>
    </row>
    <row r="933" spans="1:11" ht="42" customHeight="1">
      <c r="A933" s="4" t="s">
        <v>2287</v>
      </c>
      <c r="B933" s="5" t="s">
        <v>2287</v>
      </c>
      <c r="C933" s="5" t="s">
        <v>75</v>
      </c>
      <c r="D933" s="5" t="s">
        <v>76</v>
      </c>
      <c r="E933" s="5" t="s">
        <v>151</v>
      </c>
      <c r="F933" s="9">
        <v>45</v>
      </c>
      <c r="G933" s="9">
        <v>560</v>
      </c>
      <c r="H933" s="5" t="s">
        <v>21</v>
      </c>
      <c r="I933" s="5" t="s">
        <v>2288</v>
      </c>
      <c r="J933" s="12" t="str">
        <f>HYPERLINK("https://www.boe.es/gazeta/dias/1801/06/02/pdfs/GMD-1801-45.pdf#page=8","Abrir facsímil")</f>
        <v>Abrir facsímil</v>
      </c>
      <c r="K933" s="15" t="s">
        <v>23</v>
      </c>
    </row>
    <row r="934" spans="1:11" ht="42" customHeight="1">
      <c r="A934" s="4" t="s">
        <v>2289</v>
      </c>
      <c r="B934" s="5" t="s">
        <v>2290</v>
      </c>
      <c r="C934" s="5" t="s">
        <v>32</v>
      </c>
      <c r="D934" s="5" t="s">
        <v>33</v>
      </c>
      <c r="E934" s="5" t="s">
        <v>262</v>
      </c>
      <c r="F934" s="9">
        <v>109</v>
      </c>
      <c r="G934" s="9">
        <v>1204</v>
      </c>
      <c r="H934" s="5" t="s">
        <v>21</v>
      </c>
      <c r="I934" s="5" t="s">
        <v>2291</v>
      </c>
      <c r="J934" s="12" t="str">
        <f>HYPERLINK("https://www.boe.es/gazeta/dias/1801/11/24/pdfs/GMD-1801-109.pdf#page=9","Abrir facsímil")</f>
        <v>Abrir facsímil</v>
      </c>
      <c r="K934" s="15" t="s">
        <v>23</v>
      </c>
    </row>
    <row r="935" spans="1:11" ht="42" customHeight="1">
      <c r="A935" s="4" t="s">
        <v>2292</v>
      </c>
      <c r="B935" s="5" t="s">
        <v>2293</v>
      </c>
      <c r="C935" s="5" t="s">
        <v>32</v>
      </c>
      <c r="D935" s="5" t="s">
        <v>33</v>
      </c>
      <c r="E935" s="5" t="s">
        <v>120</v>
      </c>
      <c r="F935" s="9">
        <v>7</v>
      </c>
      <c r="G935" s="9">
        <v>85</v>
      </c>
      <c r="H935" s="5" t="s">
        <v>21</v>
      </c>
      <c r="I935" s="5" t="s">
        <v>2294</v>
      </c>
      <c r="J935" s="12" t="str">
        <f>HYPERLINK("https://www.boe.es/gazeta/dias/1801/01/23/pdfs/GMD-1801-7.pdf#page=9","Abrir facsímil")</f>
        <v>Abrir facsímil</v>
      </c>
      <c r="K935" s="15" t="s">
        <v>23</v>
      </c>
    </row>
    <row r="936" spans="1:11" ht="42" customHeight="1">
      <c r="A936" s="4" t="s">
        <v>2295</v>
      </c>
      <c r="B936" s="5" t="s">
        <v>2296</v>
      </c>
      <c r="C936" s="5" t="s">
        <v>32</v>
      </c>
      <c r="D936" s="5" t="s">
        <v>33</v>
      </c>
      <c r="E936" s="5" t="s">
        <v>122</v>
      </c>
      <c r="F936" s="9">
        <v>8</v>
      </c>
      <c r="G936" s="9">
        <v>97</v>
      </c>
      <c r="H936" s="5" t="s">
        <v>21</v>
      </c>
      <c r="I936" s="5" t="s">
        <v>2297</v>
      </c>
      <c r="J936" s="12" t="str">
        <f>HYPERLINK("https://www.boe.es/gazeta/dias/1801/01/27/pdfs/GMD-1801-8.pdf#page=9","Abrir facsímil")</f>
        <v>Abrir facsímil</v>
      </c>
      <c r="K936" s="15" t="s">
        <v>23</v>
      </c>
    </row>
    <row r="937" spans="1:11" ht="42" customHeight="1">
      <c r="A937" s="4" t="s">
        <v>2298</v>
      </c>
      <c r="B937" s="5" t="s">
        <v>2299</v>
      </c>
      <c r="C937" s="5" t="s">
        <v>32</v>
      </c>
      <c r="D937" s="5" t="s">
        <v>33</v>
      </c>
      <c r="E937" s="5" t="s">
        <v>99</v>
      </c>
      <c r="F937" s="9">
        <v>32</v>
      </c>
      <c r="G937" s="9">
        <v>414</v>
      </c>
      <c r="H937" s="5" t="s">
        <v>21</v>
      </c>
      <c r="I937" s="5" t="s">
        <v>2300</v>
      </c>
      <c r="J937" s="12" t="str">
        <f>HYPERLINK("https://www.boe.es/gazeta/dias/1801/04/21/pdfs/GMD-1801-32.pdf#page=10","Abrir facsímil")</f>
        <v>Abrir facsímil</v>
      </c>
      <c r="K937" s="15" t="s">
        <v>23</v>
      </c>
    </row>
    <row r="938" spans="1:11" ht="42" customHeight="1">
      <c r="A938" s="4" t="s">
        <v>2301</v>
      </c>
      <c r="B938" s="5" t="s">
        <v>2302</v>
      </c>
      <c r="C938" s="5" t="s">
        <v>32</v>
      </c>
      <c r="D938" s="5" t="s">
        <v>33</v>
      </c>
      <c r="E938" s="5" t="s">
        <v>77</v>
      </c>
      <c r="F938" s="9">
        <v>93</v>
      </c>
      <c r="G938" s="9">
        <v>1020</v>
      </c>
      <c r="H938" s="5" t="s">
        <v>21</v>
      </c>
      <c r="I938" s="5" t="s">
        <v>2303</v>
      </c>
      <c r="J938" s="12" t="str">
        <f>HYPERLINK("https://www.boe.es/gazeta/dias/1801/09/29/pdfs/GMD-1801-93.pdf#page=7","Abrir facsímil")</f>
        <v>Abrir facsímil</v>
      </c>
      <c r="K938" s="15" t="s">
        <v>23</v>
      </c>
    </row>
    <row r="939" spans="1:11" ht="42" customHeight="1">
      <c r="A939" s="4" t="s">
        <v>2301</v>
      </c>
      <c r="B939" s="5" t="s">
        <v>2302</v>
      </c>
      <c r="C939" s="5" t="s">
        <v>69</v>
      </c>
      <c r="D939" s="5" t="s">
        <v>19</v>
      </c>
      <c r="E939" s="5" t="s">
        <v>309</v>
      </c>
      <c r="F939" s="9">
        <v>118</v>
      </c>
      <c r="G939" s="9">
        <v>1292</v>
      </c>
      <c r="H939" s="5" t="s">
        <v>21</v>
      </c>
      <c r="I939" s="5" t="s">
        <v>2304</v>
      </c>
      <c r="J939" s="12" t="str">
        <f>HYPERLINK("https://www.boe.es/gazeta/dias/1801/12/25/pdfs/GMD-1801-118.pdf#page=7","Abrir facsímil")</f>
        <v>Abrir facsímil</v>
      </c>
      <c r="K939" s="15" t="s">
        <v>23</v>
      </c>
    </row>
    <row r="940" spans="1:11" ht="42" customHeight="1">
      <c r="A940" s="4" t="s">
        <v>2305</v>
      </c>
      <c r="B940" s="5" t="s">
        <v>2306</v>
      </c>
      <c r="C940" s="5" t="s">
        <v>18</v>
      </c>
      <c r="D940" s="5" t="s">
        <v>19</v>
      </c>
      <c r="E940" s="5" t="s">
        <v>615</v>
      </c>
      <c r="F940" s="9">
        <v>72</v>
      </c>
      <c r="G940" s="9">
        <v>805</v>
      </c>
      <c r="H940" s="5" t="s">
        <v>21</v>
      </c>
      <c r="I940" s="5" t="s">
        <v>2307</v>
      </c>
      <c r="J940" s="12" t="str">
        <f>HYPERLINK("https://www.boe.es/gazeta/dias/1801/07/24/pdfs/GMD-1801-72.pdf#page=10","Abrir facsímil")</f>
        <v>Abrir facsímil</v>
      </c>
      <c r="K940" s="15" t="s">
        <v>23</v>
      </c>
    </row>
    <row r="941" spans="1:11" ht="42" customHeight="1">
      <c r="A941" s="4" t="s">
        <v>2305</v>
      </c>
      <c r="B941" s="5" t="s">
        <v>2306</v>
      </c>
      <c r="C941" s="5" t="s">
        <v>18</v>
      </c>
      <c r="D941" s="5" t="s">
        <v>19</v>
      </c>
      <c r="E941" s="5" t="s">
        <v>194</v>
      </c>
      <c r="F941" s="9">
        <v>92</v>
      </c>
      <c r="G941" s="9">
        <v>1012</v>
      </c>
      <c r="H941" s="5" t="s">
        <v>21</v>
      </c>
      <c r="I941" s="5" t="s">
        <v>2308</v>
      </c>
      <c r="J941" s="12" t="str">
        <f>HYPERLINK("https://www.boe.es/gazeta/dias/1801/09/25/pdfs/GMD-1801-92.pdf#page=7","Abrir facsímil")</f>
        <v>Abrir facsímil</v>
      </c>
      <c r="K941" s="15" t="s">
        <v>23</v>
      </c>
    </row>
    <row r="942" spans="1:11" ht="42" customHeight="1">
      <c r="A942" s="4" t="s">
        <v>2309</v>
      </c>
      <c r="B942" s="5" t="s">
        <v>2310</v>
      </c>
      <c r="C942" s="5" t="s">
        <v>32</v>
      </c>
      <c r="D942" s="5" t="s">
        <v>33</v>
      </c>
      <c r="E942" s="5" t="s">
        <v>313</v>
      </c>
      <c r="F942" s="9">
        <v>39</v>
      </c>
      <c r="G942" s="9">
        <v>505</v>
      </c>
      <c r="H942" s="5" t="s">
        <v>21</v>
      </c>
      <c r="I942" s="5" t="s">
        <v>2311</v>
      </c>
      <c r="J942" s="12" t="str">
        <f>HYPERLINK("https://www.boe.es/gazeta/dias/1801/05/15/pdfs/GMD-1801-39.pdf#page=9","Abrir facsímil")</f>
        <v>Abrir facsímil</v>
      </c>
      <c r="K942" s="15" t="s">
        <v>23</v>
      </c>
    </row>
    <row r="943" spans="1:11" ht="42" customHeight="1">
      <c r="A943" s="4" t="s">
        <v>2312</v>
      </c>
      <c r="B943" s="5" t="s">
        <v>2313</v>
      </c>
      <c r="C943" s="5" t="s">
        <v>32</v>
      </c>
      <c r="D943" s="5" t="s">
        <v>33</v>
      </c>
      <c r="E943" s="5" t="s">
        <v>145</v>
      </c>
      <c r="F943" s="9">
        <v>36</v>
      </c>
      <c r="G943" s="9">
        <v>468</v>
      </c>
      <c r="H943" s="5" t="s">
        <v>21</v>
      </c>
      <c r="I943" s="5" t="s">
        <v>2314</v>
      </c>
      <c r="J943" s="12" t="str">
        <f>HYPERLINK("https://www.boe.es/gazeta/dias/1801/05/05/pdfs/GMD-1801-36.pdf#page=12","Abrir facsímil")</f>
        <v>Abrir facsímil</v>
      </c>
      <c r="K943" s="15" t="s">
        <v>23</v>
      </c>
    </row>
    <row r="944" spans="1:11" ht="42" customHeight="1">
      <c r="A944" s="4" t="s">
        <v>2315</v>
      </c>
      <c r="B944" s="5" t="s">
        <v>2316</v>
      </c>
      <c r="C944" s="5" t="s">
        <v>69</v>
      </c>
      <c r="D944" s="5" t="s">
        <v>19</v>
      </c>
      <c r="E944" s="5" t="s">
        <v>465</v>
      </c>
      <c r="F944" s="9">
        <v>4</v>
      </c>
      <c r="G944" s="9">
        <v>46</v>
      </c>
      <c r="H944" s="5" t="s">
        <v>21</v>
      </c>
      <c r="I944" s="5" t="s">
        <v>2317</v>
      </c>
      <c r="J944" s="12" t="str">
        <f>HYPERLINK("https://www.boe.es/gazeta/dias/1801/01/13/pdfs/GMD-1801-4.pdf#page=10","Abrir facsímil")</f>
        <v>Abrir facsímil</v>
      </c>
      <c r="K944" s="15" t="s">
        <v>23</v>
      </c>
    </row>
    <row r="945" spans="1:11" ht="42" customHeight="1">
      <c r="A945" s="4" t="s">
        <v>2318</v>
      </c>
      <c r="B945" s="5" t="s">
        <v>2319</v>
      </c>
      <c r="C945" s="5" t="s">
        <v>32</v>
      </c>
      <c r="D945" s="5" t="s">
        <v>33</v>
      </c>
      <c r="E945" s="5" t="s">
        <v>55</v>
      </c>
      <c r="F945" s="9">
        <v>104</v>
      </c>
      <c r="G945" s="9">
        <v>1145</v>
      </c>
      <c r="H945" s="5" t="s">
        <v>21</v>
      </c>
      <c r="I945" s="5" t="s">
        <v>2320</v>
      </c>
      <c r="J945" s="12" t="str">
        <f>HYPERLINK("https://www.boe.es/gazeta/dias/1801/11/06/pdfs/GMD-1801-104.pdf#page=6","Abrir facsímil")</f>
        <v>Abrir facsímil</v>
      </c>
      <c r="K945" s="15" t="s">
        <v>23</v>
      </c>
    </row>
    <row r="946" spans="1:11" ht="42" customHeight="1">
      <c r="A946" s="4" t="s">
        <v>2321</v>
      </c>
      <c r="B946" s="5" t="s">
        <v>2322</v>
      </c>
      <c r="C946" s="5" t="s">
        <v>80</v>
      </c>
      <c r="D946" s="5" t="s">
        <v>81</v>
      </c>
      <c r="E946" s="5" t="s">
        <v>82</v>
      </c>
      <c r="F946" s="9">
        <v>75</v>
      </c>
      <c r="G946" s="9" t="s">
        <v>996</v>
      </c>
      <c r="H946" s="5" t="s">
        <v>21</v>
      </c>
      <c r="I946" s="5" t="s">
        <v>2323</v>
      </c>
      <c r="J946" s="12" t="str">
        <f>HYPERLINK("https://www.boe.es/gazeta/dias/1801/08/04/pdfs/GMD-C-1801-75.pdf#page=6","Abrir facsímil")</f>
        <v>Abrir facsímil</v>
      </c>
      <c r="K946" s="15" t="s">
        <v>23</v>
      </c>
    </row>
    <row r="947" spans="1:11" ht="42" customHeight="1">
      <c r="A947" s="4" t="s">
        <v>2324</v>
      </c>
      <c r="B947" s="5" t="s">
        <v>2325</v>
      </c>
      <c r="C947" s="5" t="s">
        <v>80</v>
      </c>
      <c r="D947" s="5" t="s">
        <v>81</v>
      </c>
      <c r="E947" s="5" t="s">
        <v>82</v>
      </c>
      <c r="F947" s="9">
        <v>75</v>
      </c>
      <c r="G947" s="9" t="s">
        <v>996</v>
      </c>
      <c r="H947" s="5" t="s">
        <v>21</v>
      </c>
      <c r="I947" s="5" t="s">
        <v>2326</v>
      </c>
      <c r="J947" s="12" t="str">
        <f>HYPERLINK("https://www.boe.es/gazeta/dias/1801/08/04/pdfs/GMD-C-1801-75.pdf#page=6","Abrir facsímil")</f>
        <v>Abrir facsímil</v>
      </c>
      <c r="K947" s="15" t="s">
        <v>23</v>
      </c>
    </row>
    <row r="948" spans="1:11" ht="42" customHeight="1">
      <c r="A948" s="4" t="s">
        <v>2327</v>
      </c>
      <c r="B948" s="5" t="s">
        <v>2328</v>
      </c>
      <c r="C948" s="5" t="s">
        <v>38</v>
      </c>
      <c r="D948" s="5" t="s">
        <v>39</v>
      </c>
      <c r="E948" s="5" t="s">
        <v>90</v>
      </c>
      <c r="F948" s="9">
        <v>1</v>
      </c>
      <c r="G948" s="9">
        <v>9</v>
      </c>
      <c r="H948" s="5" t="s">
        <v>21</v>
      </c>
      <c r="I948" s="5" t="s">
        <v>2329</v>
      </c>
      <c r="J948" s="12" t="str">
        <f>HYPERLINK("https://www.boe.es/gazeta/dias/1801/01/02/pdfs/GMD-1801-1.pdf#page=9","Abrir facsímil")</f>
        <v>Abrir facsímil</v>
      </c>
      <c r="K948" s="15" t="s">
        <v>23</v>
      </c>
    </row>
    <row r="949" spans="1:11" ht="42" customHeight="1">
      <c r="A949" s="4" t="s">
        <v>2330</v>
      </c>
      <c r="B949" s="5" t="s">
        <v>2331</v>
      </c>
      <c r="C949" s="5" t="s">
        <v>32</v>
      </c>
      <c r="D949" s="5" t="s">
        <v>33</v>
      </c>
      <c r="E949" s="5" t="s">
        <v>781</v>
      </c>
      <c r="F949" s="9">
        <v>14</v>
      </c>
      <c r="G949" s="9">
        <v>173</v>
      </c>
      <c r="H949" s="5" t="s">
        <v>21</v>
      </c>
      <c r="I949" s="5" t="s">
        <v>2332</v>
      </c>
      <c r="J949" s="12" t="str">
        <f>HYPERLINK("https://www.boe.es/gazeta/dias/1801/02/17/pdfs/GMD-1801-14.pdf#page=8","Abrir facsímil")</f>
        <v>Abrir facsímil</v>
      </c>
      <c r="K949" s="15" t="s">
        <v>23</v>
      </c>
    </row>
    <row r="950" spans="1:11" ht="42" customHeight="1">
      <c r="A950" s="4" t="s">
        <v>2333</v>
      </c>
      <c r="B950" s="5" t="s">
        <v>2334</v>
      </c>
      <c r="C950" s="5" t="s">
        <v>38</v>
      </c>
      <c r="D950" s="5" t="s">
        <v>39</v>
      </c>
      <c r="E950" s="5" t="s">
        <v>505</v>
      </c>
      <c r="F950" s="9">
        <v>94</v>
      </c>
      <c r="G950" s="9">
        <v>1033</v>
      </c>
      <c r="H950" s="5" t="s">
        <v>21</v>
      </c>
      <c r="I950" s="5" t="s">
        <v>2335</v>
      </c>
      <c r="J950" s="12" t="str">
        <f>HYPERLINK("https://www.boe.es/gazeta/dias/1801/10/02/pdfs/GMD-1801-94.pdf#page=9","Abrir facsímil")</f>
        <v>Abrir facsímil</v>
      </c>
      <c r="K950" s="15" t="s">
        <v>23</v>
      </c>
    </row>
    <row r="951" spans="1:11" ht="42" customHeight="1">
      <c r="A951" s="4" t="s">
        <v>2336</v>
      </c>
      <c r="B951" s="5" t="s">
        <v>2336</v>
      </c>
      <c r="C951" s="5" t="s">
        <v>32</v>
      </c>
      <c r="D951" s="5" t="s">
        <v>33</v>
      </c>
      <c r="E951" s="5" t="s">
        <v>165</v>
      </c>
      <c r="F951" s="9">
        <v>59</v>
      </c>
      <c r="G951" s="9">
        <v>676</v>
      </c>
      <c r="H951" s="5" t="s">
        <v>21</v>
      </c>
      <c r="I951" s="5" t="s">
        <v>2337</v>
      </c>
      <c r="J951" s="12" t="str">
        <f>HYPERLINK("https://www.boe.es/gazeta/dias/1801/06/23/pdfs/GMD-1801-59.pdf#page=9","Abrir facsímil")</f>
        <v>Abrir facsímil</v>
      </c>
      <c r="K951" s="15" t="s">
        <v>23</v>
      </c>
    </row>
    <row r="952" spans="1:11" ht="42" customHeight="1">
      <c r="A952" s="4" t="s">
        <v>2338</v>
      </c>
      <c r="B952" s="5" t="s">
        <v>2338</v>
      </c>
      <c r="C952" s="5" t="s">
        <v>1481</v>
      </c>
      <c r="D952" s="5" t="s">
        <v>1482</v>
      </c>
      <c r="E952" s="5" t="s">
        <v>2339</v>
      </c>
      <c r="F952" s="9" t="s">
        <v>2340</v>
      </c>
      <c r="G952" s="9">
        <v>617</v>
      </c>
      <c r="H952" s="5" t="s">
        <v>21</v>
      </c>
      <c r="I952" s="5" t="s">
        <v>2341</v>
      </c>
      <c r="J952" s="12" t="str">
        <f>HYPERLINK("https://www.boe.es/gazeta/dias/1801/06/15/pdfs/GMD-1801-54E.pdf#page=1","Abrir facsímil")</f>
        <v>Abrir facsímil</v>
      </c>
      <c r="K952" s="15" t="s">
        <v>23</v>
      </c>
    </row>
    <row r="953" spans="1:11" ht="42" customHeight="1">
      <c r="A953" s="4" t="s">
        <v>2342</v>
      </c>
      <c r="B953" s="5" t="s">
        <v>2342</v>
      </c>
      <c r="C953" s="5" t="s">
        <v>26</v>
      </c>
      <c r="D953" s="5" t="s">
        <v>27</v>
      </c>
      <c r="E953" s="5" t="s">
        <v>219</v>
      </c>
      <c r="F953" s="9">
        <v>26</v>
      </c>
      <c r="G953" s="9">
        <v>347</v>
      </c>
      <c r="H953" s="5" t="s">
        <v>21</v>
      </c>
      <c r="I953" s="5" t="s">
        <v>2343</v>
      </c>
      <c r="J953" s="12" t="str">
        <f>HYPERLINK("https://www.boe.es/gazeta/dias/1801/03/31/pdfs/GMD-1801-26.pdf#page=11","Abrir facsímil")</f>
        <v>Abrir facsímil</v>
      </c>
      <c r="K953" s="15" t="s">
        <v>23</v>
      </c>
    </row>
    <row r="954" spans="1:11" ht="42" customHeight="1">
      <c r="A954" s="4" t="s">
        <v>2344</v>
      </c>
      <c r="B954" s="5" t="s">
        <v>2344</v>
      </c>
      <c r="C954" s="5" t="s">
        <v>18</v>
      </c>
      <c r="D954" s="5" t="s">
        <v>19</v>
      </c>
      <c r="E954" s="5" t="s">
        <v>165</v>
      </c>
      <c r="F954" s="9">
        <v>59</v>
      </c>
      <c r="G954" s="9">
        <v>678</v>
      </c>
      <c r="H954" s="5" t="s">
        <v>21</v>
      </c>
      <c r="I954" s="5" t="s">
        <v>2345</v>
      </c>
      <c r="J954" s="12" t="str">
        <f>HYPERLINK("https://www.boe.es/gazeta/dias/1801/06/23/pdfs/GMD-1801-59.pdf#page=11","Abrir facsímil")</f>
        <v>Abrir facsímil</v>
      </c>
      <c r="K954" s="15" t="s">
        <v>23</v>
      </c>
    </row>
    <row r="955" spans="1:11" ht="42" customHeight="1">
      <c r="A955" s="4" t="s">
        <v>2344</v>
      </c>
      <c r="B955" s="5" t="s">
        <v>2344</v>
      </c>
      <c r="C955" s="5" t="s">
        <v>32</v>
      </c>
      <c r="D955" s="5" t="s">
        <v>33</v>
      </c>
      <c r="E955" s="5" t="s">
        <v>40</v>
      </c>
      <c r="F955" s="9">
        <v>63</v>
      </c>
      <c r="G955" s="9">
        <v>714</v>
      </c>
      <c r="H955" s="5" t="s">
        <v>21</v>
      </c>
      <c r="I955" s="5" t="s">
        <v>2346</v>
      </c>
      <c r="J955" s="12" t="str">
        <f>HYPERLINK("https://www.boe.es/gazeta/dias/1801/07/03/pdfs/GMD-1801-63.pdf#page=11","Abrir facsímil")</f>
        <v>Abrir facsímil</v>
      </c>
      <c r="K955" s="15" t="s">
        <v>23</v>
      </c>
    </row>
    <row r="956" spans="1:11" ht="42" customHeight="1">
      <c r="A956" s="4" t="s">
        <v>2344</v>
      </c>
      <c r="B956" s="5" t="s">
        <v>2344</v>
      </c>
      <c r="C956" s="5" t="s">
        <v>38</v>
      </c>
      <c r="D956" s="5" t="s">
        <v>39</v>
      </c>
      <c r="E956" s="5" t="s">
        <v>1939</v>
      </c>
      <c r="F956" s="9">
        <v>107</v>
      </c>
      <c r="G956" s="9">
        <v>1181</v>
      </c>
      <c r="H956" s="5" t="s">
        <v>21</v>
      </c>
      <c r="I956" s="5" t="s">
        <v>2347</v>
      </c>
      <c r="J956" s="12" t="str">
        <f>HYPERLINK("https://www.boe.es/gazeta/dias/1801/11/17/pdfs/GMD-1801-107.pdf#page=10","Abrir facsímil")</f>
        <v>Abrir facsímil</v>
      </c>
      <c r="K956" s="15" t="s">
        <v>23</v>
      </c>
    </row>
    <row r="957" spans="1:11" ht="42" customHeight="1">
      <c r="A957" s="4" t="s">
        <v>2348</v>
      </c>
      <c r="B957" s="5" t="s">
        <v>2349</v>
      </c>
      <c r="C957" s="5" t="s">
        <v>38</v>
      </c>
      <c r="D957" s="5" t="s">
        <v>39</v>
      </c>
      <c r="E957" s="5" t="s">
        <v>702</v>
      </c>
      <c r="F957" s="9">
        <v>69</v>
      </c>
      <c r="G957" s="9">
        <v>764</v>
      </c>
      <c r="H957" s="5" t="s">
        <v>21</v>
      </c>
      <c r="I957" s="5" t="s">
        <v>2350</v>
      </c>
      <c r="J957" s="12" t="str">
        <f>HYPERLINK("https://www.boe.es/gazeta/dias/1801/07/14/pdfs/GMD-1801-69.pdf#page=9","Abrir facsímil")</f>
        <v>Abrir facsímil</v>
      </c>
      <c r="K957" s="15" t="s">
        <v>23</v>
      </c>
    </row>
    <row r="958" spans="1:11" ht="42" customHeight="1">
      <c r="A958" s="4" t="s">
        <v>2348</v>
      </c>
      <c r="B958" s="5" t="s">
        <v>2349</v>
      </c>
      <c r="C958" s="5" t="s">
        <v>515</v>
      </c>
      <c r="D958" s="5" t="s">
        <v>516</v>
      </c>
      <c r="E958" s="5" t="s">
        <v>751</v>
      </c>
      <c r="F958" s="9">
        <v>106</v>
      </c>
      <c r="G958" s="9">
        <v>1169</v>
      </c>
      <c r="H958" s="5" t="s">
        <v>21</v>
      </c>
      <c r="I958" s="5" t="s">
        <v>2351</v>
      </c>
      <c r="J958" s="12" t="str">
        <f>HYPERLINK("https://www.boe.es/gazeta/dias/1801/11/13/pdfs/GMD-C-1801-106.pdf#page=2","Abrir facsímil")</f>
        <v>Abrir facsímil</v>
      </c>
      <c r="K958" s="15" t="s">
        <v>23</v>
      </c>
    </row>
    <row r="959" spans="1:11" ht="42" customHeight="1">
      <c r="A959" s="4" t="s">
        <v>2348</v>
      </c>
      <c r="B959" s="5" t="s">
        <v>2349</v>
      </c>
      <c r="C959" s="5" t="s">
        <v>75</v>
      </c>
      <c r="D959" s="5" t="s">
        <v>76</v>
      </c>
      <c r="E959" s="5" t="s">
        <v>1939</v>
      </c>
      <c r="F959" s="9">
        <v>107</v>
      </c>
      <c r="G959" s="9">
        <v>1180</v>
      </c>
      <c r="H959" s="5" t="s">
        <v>21</v>
      </c>
      <c r="I959" s="5" t="s">
        <v>2352</v>
      </c>
      <c r="J959" s="12" t="str">
        <f>HYPERLINK("https://www.boe.es/gazeta/dias/1801/11/17/pdfs/GMD-1801-107.pdf#page=9","Abrir facsímil")</f>
        <v>Abrir facsímil</v>
      </c>
      <c r="K959" s="15" t="s">
        <v>23</v>
      </c>
    </row>
    <row r="960" spans="1:11" ht="42" customHeight="1">
      <c r="A960" s="4" t="s">
        <v>2348</v>
      </c>
      <c r="B960" s="5" t="s">
        <v>2349</v>
      </c>
      <c r="C960" s="5" t="s">
        <v>38</v>
      </c>
      <c r="D960" s="5" t="s">
        <v>39</v>
      </c>
      <c r="E960" s="5" t="s">
        <v>1058</v>
      </c>
      <c r="F960" s="9">
        <v>108</v>
      </c>
      <c r="G960" s="9">
        <v>1193</v>
      </c>
      <c r="H960" s="5" t="s">
        <v>21</v>
      </c>
      <c r="I960" s="5" t="s">
        <v>2353</v>
      </c>
      <c r="J960" s="12" t="str">
        <f>HYPERLINK("https://www.boe.es/gazeta/dias/1801/11/20/pdfs/GMD-1801-108.pdf#page=10","Abrir facsímil")</f>
        <v>Abrir facsímil</v>
      </c>
      <c r="K960" s="15" t="s">
        <v>23</v>
      </c>
    </row>
    <row r="961" spans="1:11" ht="42" customHeight="1">
      <c r="A961" s="4" t="s">
        <v>2354</v>
      </c>
      <c r="B961" s="5" t="s">
        <v>2355</v>
      </c>
      <c r="C961" s="5" t="s">
        <v>32</v>
      </c>
      <c r="D961" s="5" t="s">
        <v>33</v>
      </c>
      <c r="E961" s="5" t="s">
        <v>256</v>
      </c>
      <c r="F961" s="9">
        <v>78</v>
      </c>
      <c r="G961" s="9">
        <v>881</v>
      </c>
      <c r="H961" s="5" t="s">
        <v>21</v>
      </c>
      <c r="I961" s="5" t="s">
        <v>2356</v>
      </c>
      <c r="J961" s="12" t="str">
        <f>HYPERLINK("https://www.boe.es/gazeta/dias/1801/08/14/pdfs/GMD-1801-78.pdf#page=10","Abrir facsímil")</f>
        <v>Abrir facsímil</v>
      </c>
      <c r="K961" s="15" t="s">
        <v>23</v>
      </c>
    </row>
    <row r="962" spans="1:11" ht="42" customHeight="1">
      <c r="A962" s="4" t="s">
        <v>2357</v>
      </c>
      <c r="B962" s="5" t="s">
        <v>2358</v>
      </c>
      <c r="C962" s="5" t="s">
        <v>75</v>
      </c>
      <c r="D962" s="5" t="s">
        <v>76</v>
      </c>
      <c r="E962" s="5" t="s">
        <v>190</v>
      </c>
      <c r="F962" s="9">
        <v>16</v>
      </c>
      <c r="G962" s="9">
        <v>198</v>
      </c>
      <c r="H962" s="5" t="s">
        <v>21</v>
      </c>
      <c r="I962" s="5" t="s">
        <v>2359</v>
      </c>
      <c r="J962" s="12" t="str">
        <f>HYPERLINK("https://www.boe.es/gazeta/dias/1801/02/24/pdfs/GMD-1801-16.pdf#page=5","Abrir facsímil")</f>
        <v>Abrir facsímil</v>
      </c>
      <c r="K962" s="15" t="s">
        <v>23</v>
      </c>
    </row>
    <row r="963" spans="1:11" ht="42" customHeight="1">
      <c r="A963" s="4" t="s">
        <v>2360</v>
      </c>
      <c r="B963" s="5" t="s">
        <v>2360</v>
      </c>
      <c r="C963" s="5" t="s">
        <v>75</v>
      </c>
      <c r="D963" s="5" t="s">
        <v>76</v>
      </c>
      <c r="E963" s="5" t="s">
        <v>501</v>
      </c>
      <c r="F963" s="9">
        <v>115</v>
      </c>
      <c r="G963" s="9">
        <v>1252</v>
      </c>
      <c r="H963" s="5" t="s">
        <v>21</v>
      </c>
      <c r="I963" s="5" t="s">
        <v>2361</v>
      </c>
      <c r="J963" s="12" t="str">
        <f>HYPERLINK("https://www.boe.es/gazeta/dias/1801/12/15/pdfs/GMD-1801-115.pdf#page=2","Abrir facsímil")</f>
        <v>Abrir facsímil</v>
      </c>
      <c r="K963" s="15" t="s">
        <v>23</v>
      </c>
    </row>
    <row r="964" spans="1:11" ht="42" customHeight="1">
      <c r="A964" s="4" t="s">
        <v>2362</v>
      </c>
      <c r="B964" s="5" t="s">
        <v>2363</v>
      </c>
      <c r="C964" s="5" t="s">
        <v>32</v>
      </c>
      <c r="D964" s="5" t="s">
        <v>33</v>
      </c>
      <c r="E964" s="5" t="s">
        <v>70</v>
      </c>
      <c r="F964" s="9">
        <v>2</v>
      </c>
      <c r="G964" s="9">
        <v>21</v>
      </c>
      <c r="H964" s="5" t="s">
        <v>21</v>
      </c>
      <c r="I964" s="5" t="s">
        <v>2364</v>
      </c>
      <c r="J964" s="12" t="str">
        <f>HYPERLINK("https://www.boe.es/gazeta/dias/1801/01/06/pdfs/GMD-1801-2.pdf#page=9","Abrir facsímil")</f>
        <v>Abrir facsímil</v>
      </c>
      <c r="K964" s="15" t="s">
        <v>23</v>
      </c>
    </row>
    <row r="965" spans="1:11" ht="42" customHeight="1">
      <c r="A965" s="4" t="s">
        <v>2365</v>
      </c>
      <c r="B965" s="5" t="s">
        <v>2366</v>
      </c>
      <c r="C965" s="5" t="s">
        <v>80</v>
      </c>
      <c r="D965" s="5" t="s">
        <v>81</v>
      </c>
      <c r="E965" s="5" t="s">
        <v>82</v>
      </c>
      <c r="F965" s="9">
        <v>75</v>
      </c>
      <c r="G965" s="9" t="s">
        <v>305</v>
      </c>
      <c r="H965" s="5" t="s">
        <v>21</v>
      </c>
      <c r="I965" s="5" t="s">
        <v>2367</v>
      </c>
      <c r="J965" s="12" t="str">
        <f>HYPERLINK("https://www.boe.es/gazeta/dias/1801/08/04/pdfs/GMD-C-1801-75.pdf#page=4","Abrir facsímil")</f>
        <v>Abrir facsímil</v>
      </c>
      <c r="K965" s="15" t="s">
        <v>23</v>
      </c>
    </row>
    <row r="966" spans="1:11" ht="42" customHeight="1">
      <c r="A966" s="4" t="s">
        <v>2368</v>
      </c>
      <c r="B966" s="5" t="s">
        <v>2369</v>
      </c>
      <c r="C966" s="5" t="s">
        <v>38</v>
      </c>
      <c r="D966" s="5" t="s">
        <v>39</v>
      </c>
      <c r="E966" s="5" t="s">
        <v>120</v>
      </c>
      <c r="F966" s="9">
        <v>7</v>
      </c>
      <c r="G966" s="9">
        <v>87</v>
      </c>
      <c r="H966" s="5" t="s">
        <v>21</v>
      </c>
      <c r="I966" s="5" t="s">
        <v>2370</v>
      </c>
      <c r="J966" s="12" t="str">
        <f>HYPERLINK("https://www.boe.es/gazeta/dias/1801/01/23/pdfs/GMD-1801-7.pdf#page=11","Abrir facsímil")</f>
        <v>Abrir facsímil</v>
      </c>
      <c r="K966" s="15" t="s">
        <v>23</v>
      </c>
    </row>
    <row r="967" spans="1:11" ht="42" customHeight="1">
      <c r="A967" s="4" t="s">
        <v>2371</v>
      </c>
      <c r="B967" s="5" t="s">
        <v>2372</v>
      </c>
      <c r="C967" s="5" t="s">
        <v>32</v>
      </c>
      <c r="D967" s="5" t="s">
        <v>33</v>
      </c>
      <c r="E967" s="5" t="s">
        <v>781</v>
      </c>
      <c r="F967" s="9">
        <v>14</v>
      </c>
      <c r="G967" s="9">
        <v>173</v>
      </c>
      <c r="H967" s="5" t="s">
        <v>21</v>
      </c>
      <c r="I967" s="5" t="s">
        <v>2373</v>
      </c>
      <c r="J967" s="12" t="str">
        <f>HYPERLINK("https://www.boe.es/gazeta/dias/1801/02/17/pdfs/GMD-1801-14.pdf#page=8","Abrir facsímil")</f>
        <v>Abrir facsímil</v>
      </c>
      <c r="K967" s="15" t="s">
        <v>23</v>
      </c>
    </row>
    <row r="968" spans="1:11" ht="42" customHeight="1">
      <c r="A968" s="4" t="s">
        <v>2374</v>
      </c>
      <c r="B968" s="5" t="s">
        <v>2375</v>
      </c>
      <c r="C968" s="5" t="s">
        <v>32</v>
      </c>
      <c r="D968" s="5" t="s">
        <v>33</v>
      </c>
      <c r="E968" s="5" t="s">
        <v>55</v>
      </c>
      <c r="F968" s="9">
        <v>104</v>
      </c>
      <c r="G968" s="9">
        <v>1145</v>
      </c>
      <c r="H968" s="5" t="s">
        <v>21</v>
      </c>
      <c r="I968" s="5" t="s">
        <v>2376</v>
      </c>
      <c r="J968" s="12" t="str">
        <f>HYPERLINK("https://www.boe.es/gazeta/dias/1801/11/06/pdfs/GMD-1801-104.pdf#page=6","Abrir facsímil")</f>
        <v>Abrir facsímil</v>
      </c>
      <c r="K968" s="15" t="s">
        <v>23</v>
      </c>
    </row>
    <row r="969" spans="1:11" ht="42" customHeight="1">
      <c r="A969" s="4" t="s">
        <v>2377</v>
      </c>
      <c r="B969" s="5" t="s">
        <v>2378</v>
      </c>
      <c r="C969" s="5" t="s">
        <v>32</v>
      </c>
      <c r="D969" s="5" t="s">
        <v>33</v>
      </c>
      <c r="E969" s="5" t="s">
        <v>122</v>
      </c>
      <c r="F969" s="9">
        <v>8</v>
      </c>
      <c r="G969" s="9">
        <v>97</v>
      </c>
      <c r="H969" s="5" t="s">
        <v>21</v>
      </c>
      <c r="I969" s="5" t="s">
        <v>2379</v>
      </c>
      <c r="J969" s="12" t="str">
        <f>HYPERLINK("https://www.boe.es/gazeta/dias/1801/01/27/pdfs/GMD-1801-8.pdf#page=9","Abrir facsímil")</f>
        <v>Abrir facsímil</v>
      </c>
      <c r="K969" s="15" t="s">
        <v>23</v>
      </c>
    </row>
    <row r="970" spans="1:11" ht="42" customHeight="1">
      <c r="A970" s="4" t="s">
        <v>2380</v>
      </c>
      <c r="B970" s="5" t="s">
        <v>2381</v>
      </c>
      <c r="C970" s="5" t="s">
        <v>26</v>
      </c>
      <c r="D970" s="5" t="s">
        <v>27</v>
      </c>
      <c r="E970" s="5" t="s">
        <v>888</v>
      </c>
      <c r="F970" s="9">
        <v>103</v>
      </c>
      <c r="G970" s="9">
        <v>1139</v>
      </c>
      <c r="H970" s="5" t="s">
        <v>21</v>
      </c>
      <c r="I970" s="5" t="s">
        <v>2382</v>
      </c>
      <c r="J970" s="12" t="str">
        <f>HYPERLINK("https://www.boe.es/gazeta/dias/1801/11/03/pdfs/GMD-1801-103.pdf#page=12","Abrir facsímil")</f>
        <v>Abrir facsímil</v>
      </c>
      <c r="K970" s="15" t="s">
        <v>23</v>
      </c>
    </row>
    <row r="971" spans="1:11" ht="42" customHeight="1">
      <c r="A971" s="4" t="s">
        <v>2383</v>
      </c>
      <c r="B971" s="5" t="s">
        <v>2384</v>
      </c>
      <c r="C971" s="5" t="s">
        <v>1481</v>
      </c>
      <c r="D971" s="5" t="s">
        <v>1482</v>
      </c>
      <c r="E971" s="5" t="s">
        <v>2225</v>
      </c>
      <c r="F971" s="9" t="s">
        <v>2226</v>
      </c>
      <c r="G971" s="9">
        <v>572</v>
      </c>
      <c r="H971" s="5" t="s">
        <v>21</v>
      </c>
      <c r="I971" s="5" t="s">
        <v>2385</v>
      </c>
      <c r="J971" s="12" t="str">
        <f>HYPERLINK("https://www.boe.es/gazeta/dias/1801/06/03/pdfs/GMD-1801-47E.pdf#page=2","Abrir facsímil")</f>
        <v>Abrir facsímil</v>
      </c>
      <c r="K971" s="15" t="s">
        <v>23</v>
      </c>
    </row>
    <row r="972" spans="1:11" ht="42" customHeight="1">
      <c r="A972" s="4" t="s">
        <v>2386</v>
      </c>
      <c r="B972" s="5" t="s">
        <v>2387</v>
      </c>
      <c r="C972" s="5" t="s">
        <v>32</v>
      </c>
      <c r="D972" s="5" t="s">
        <v>33</v>
      </c>
      <c r="E972" s="5" t="s">
        <v>465</v>
      </c>
      <c r="F972" s="9">
        <v>4</v>
      </c>
      <c r="G972" s="9">
        <v>46</v>
      </c>
      <c r="H972" s="5" t="s">
        <v>21</v>
      </c>
      <c r="I972" s="5" t="s">
        <v>2388</v>
      </c>
      <c r="J972" s="12" t="str">
        <f>HYPERLINK("https://www.boe.es/gazeta/dias/1801/01/13/pdfs/GMD-1801-4.pdf#page=10","Abrir facsímil")</f>
        <v>Abrir facsímil</v>
      </c>
      <c r="K972" s="15" t="s">
        <v>23</v>
      </c>
    </row>
    <row r="973" spans="1:11" ht="42" customHeight="1">
      <c r="A973" s="4" t="s">
        <v>2389</v>
      </c>
      <c r="B973" s="5" t="s">
        <v>2390</v>
      </c>
      <c r="C973" s="5" t="s">
        <v>80</v>
      </c>
      <c r="D973" s="5" t="s">
        <v>81</v>
      </c>
      <c r="E973" s="5" t="s">
        <v>82</v>
      </c>
      <c r="F973" s="9">
        <v>75</v>
      </c>
      <c r="G973" s="9" t="s">
        <v>299</v>
      </c>
      <c r="H973" s="5" t="s">
        <v>21</v>
      </c>
      <c r="I973" s="5" t="s">
        <v>2391</v>
      </c>
      <c r="J973" s="12" t="str">
        <f>HYPERLINK("https://www.boe.es/gazeta/dias/1801/08/04/pdfs/GMD-C-1801-75.pdf#page=5","Abrir facsímil")</f>
        <v>Abrir facsímil</v>
      </c>
      <c r="K973" s="15" t="s">
        <v>23</v>
      </c>
    </row>
    <row r="974" spans="1:11" ht="42" customHeight="1">
      <c r="A974" s="4" t="s">
        <v>2392</v>
      </c>
      <c r="B974" s="5" t="s">
        <v>2393</v>
      </c>
      <c r="C974" s="5" t="s">
        <v>32</v>
      </c>
      <c r="D974" s="5" t="s">
        <v>33</v>
      </c>
      <c r="E974" s="5" t="s">
        <v>131</v>
      </c>
      <c r="F974" s="9">
        <v>22</v>
      </c>
      <c r="G974" s="9">
        <v>289</v>
      </c>
      <c r="H974" s="5" t="s">
        <v>21</v>
      </c>
      <c r="I974" s="5" t="s">
        <v>2394</v>
      </c>
      <c r="J974" s="12" t="str">
        <f>HYPERLINK("https://www.boe.es/gazeta/dias/1801/03/17/pdfs/GMD-1801-22.pdf#page=6","Abrir facsímil")</f>
        <v>Abrir facsímil</v>
      </c>
      <c r="K974" s="15" t="s">
        <v>23</v>
      </c>
    </row>
    <row r="975" spans="1:11" ht="42" customHeight="1">
      <c r="A975" s="4" t="s">
        <v>2395</v>
      </c>
      <c r="B975" s="5" t="s">
        <v>2396</v>
      </c>
      <c r="C975" s="5" t="s">
        <v>32</v>
      </c>
      <c r="D975" s="5" t="s">
        <v>33</v>
      </c>
      <c r="E975" s="5" t="s">
        <v>751</v>
      </c>
      <c r="F975" s="9">
        <v>106</v>
      </c>
      <c r="G975" s="9">
        <v>1165</v>
      </c>
      <c r="H975" s="5" t="s">
        <v>21</v>
      </c>
      <c r="I975" s="5" t="s">
        <v>2397</v>
      </c>
      <c r="J975" s="12" t="str">
        <f>HYPERLINK("https://www.boe.es/gazeta/dias/1801/11/13/pdfs/GMD-1801-106.pdf#page=6","Abrir facsímil")</f>
        <v>Abrir facsímil</v>
      </c>
      <c r="K975" s="15" t="s">
        <v>23</v>
      </c>
    </row>
    <row r="976" spans="1:11" ht="42" customHeight="1">
      <c r="A976" s="4" t="s">
        <v>2398</v>
      </c>
      <c r="B976" s="5" t="s">
        <v>2399</v>
      </c>
      <c r="C976" s="5" t="s">
        <v>26</v>
      </c>
      <c r="D976" s="5" t="s">
        <v>27</v>
      </c>
      <c r="E976" s="5" t="s">
        <v>131</v>
      </c>
      <c r="F976" s="9">
        <v>22</v>
      </c>
      <c r="G976" s="9">
        <v>286</v>
      </c>
      <c r="H976" s="5" t="s">
        <v>21</v>
      </c>
      <c r="I976" s="5" t="s">
        <v>2400</v>
      </c>
      <c r="J976" s="12" t="str">
        <f>HYPERLINK("https://www.boe.es/gazeta/dias/1801/03/17/pdfs/GMD-1801-22.pdf#page=3","Abrir facsímil")</f>
        <v>Abrir facsímil</v>
      </c>
      <c r="K976" s="15" t="s">
        <v>23</v>
      </c>
    </row>
    <row r="977" spans="1:11" ht="42" customHeight="1">
      <c r="A977" s="4" t="s">
        <v>2401</v>
      </c>
      <c r="B977" s="5" t="s">
        <v>2402</v>
      </c>
      <c r="C977" s="5" t="s">
        <v>32</v>
      </c>
      <c r="D977" s="5" t="s">
        <v>33</v>
      </c>
      <c r="E977" s="5" t="s">
        <v>292</v>
      </c>
      <c r="F977" s="9">
        <v>25</v>
      </c>
      <c r="G977" s="9">
        <v>332</v>
      </c>
      <c r="H977" s="5" t="s">
        <v>21</v>
      </c>
      <c r="I977" s="5" t="s">
        <v>2403</v>
      </c>
      <c r="J977" s="12" t="str">
        <f>HYPERLINK("https://www.boe.es/gazeta/dias/1801/03/27/pdfs/GMD-1801-25.pdf#page=11","Abrir facsímil")</f>
        <v>Abrir facsímil</v>
      </c>
      <c r="K977" s="15" t="s">
        <v>23</v>
      </c>
    </row>
    <row r="978" spans="1:11" ht="42" customHeight="1">
      <c r="A978" s="4" t="s">
        <v>2404</v>
      </c>
      <c r="B978" s="5" t="s">
        <v>2405</v>
      </c>
      <c r="C978" s="5" t="s">
        <v>32</v>
      </c>
      <c r="D978" s="5" t="s">
        <v>33</v>
      </c>
      <c r="E978" s="5" t="s">
        <v>453</v>
      </c>
      <c r="F978" s="9">
        <v>100</v>
      </c>
      <c r="G978" s="9">
        <v>1101</v>
      </c>
      <c r="H978" s="5" t="s">
        <v>21</v>
      </c>
      <c r="I978" s="5" t="s">
        <v>2406</v>
      </c>
      <c r="J978" s="12" t="str">
        <f>HYPERLINK("https://www.boe.es/gazeta/dias/1801/10/23/pdfs/GMD-1801-100.pdf#page=10","Abrir facsímil")</f>
        <v>Abrir facsímil</v>
      </c>
      <c r="K978" s="15" t="s">
        <v>23</v>
      </c>
    </row>
    <row r="979" spans="1:11" ht="42" customHeight="1">
      <c r="A979" s="4" t="s">
        <v>2407</v>
      </c>
      <c r="B979" s="5" t="s">
        <v>2408</v>
      </c>
      <c r="C979" s="5" t="s">
        <v>32</v>
      </c>
      <c r="D979" s="5" t="s">
        <v>33</v>
      </c>
      <c r="E979" s="5" t="s">
        <v>1939</v>
      </c>
      <c r="F979" s="9">
        <v>107</v>
      </c>
      <c r="G979" s="9">
        <v>1178</v>
      </c>
      <c r="H979" s="5" t="s">
        <v>21</v>
      </c>
      <c r="I979" s="5" t="s">
        <v>2409</v>
      </c>
      <c r="J979" s="12" t="str">
        <f>HYPERLINK("https://www.boe.es/gazeta/dias/1801/11/17/pdfs/GMD-1801-107.pdf#page=7","Abrir facsímil")</f>
        <v>Abrir facsímil</v>
      </c>
      <c r="K979" s="15" t="s">
        <v>23</v>
      </c>
    </row>
    <row r="980" spans="1:11" ht="42" customHeight="1">
      <c r="A980" s="4" t="s">
        <v>2410</v>
      </c>
      <c r="B980" s="5" t="s">
        <v>2411</v>
      </c>
      <c r="C980" s="5" t="s">
        <v>69</v>
      </c>
      <c r="D980" s="5" t="s">
        <v>19</v>
      </c>
      <c r="E980" s="5" t="s">
        <v>275</v>
      </c>
      <c r="F980" s="9">
        <v>9</v>
      </c>
      <c r="G980" s="9">
        <v>112</v>
      </c>
      <c r="H980" s="5" t="s">
        <v>21</v>
      </c>
      <c r="I980" s="5" t="s">
        <v>2412</v>
      </c>
      <c r="J980" s="12" t="str">
        <f>HYPERLINK("https://www.boe.es/gazeta/dias/1801/01/30/pdfs/GMD-1801-9.pdf#page=9","Abrir facsímil")</f>
        <v>Abrir facsímil</v>
      </c>
      <c r="K980" s="15" t="s">
        <v>23</v>
      </c>
    </row>
    <row r="981" spans="1:11" ht="42" customHeight="1">
      <c r="A981" s="4" t="s">
        <v>2413</v>
      </c>
      <c r="B981" s="5" t="s">
        <v>2413</v>
      </c>
      <c r="C981" s="5" t="s">
        <v>18</v>
      </c>
      <c r="D981" s="5" t="s">
        <v>19</v>
      </c>
      <c r="E981" s="5" t="s">
        <v>97</v>
      </c>
      <c r="F981" s="9">
        <v>31</v>
      </c>
      <c r="G981" s="9">
        <v>404</v>
      </c>
      <c r="H981" s="5" t="s">
        <v>21</v>
      </c>
      <c r="I981" s="5" t="s">
        <v>2414</v>
      </c>
      <c r="J981" s="12" t="str">
        <f>HYPERLINK("https://www.boe.es/gazeta/dias/1801/04/17/pdfs/GMD-1801-31.pdf#page=8","Abrir facsímil")</f>
        <v>Abrir facsímil</v>
      </c>
      <c r="K981" s="15" t="s">
        <v>23</v>
      </c>
    </row>
    <row r="982" spans="1:11" ht="42" customHeight="1">
      <c r="A982" s="4" t="s">
        <v>2415</v>
      </c>
      <c r="B982" s="5" t="s">
        <v>2415</v>
      </c>
      <c r="C982" s="5" t="s">
        <v>38</v>
      </c>
      <c r="D982" s="5" t="s">
        <v>39</v>
      </c>
      <c r="E982" s="5" t="s">
        <v>131</v>
      </c>
      <c r="F982" s="9">
        <v>22</v>
      </c>
      <c r="G982" s="9">
        <v>293</v>
      </c>
      <c r="H982" s="5" t="s">
        <v>21</v>
      </c>
      <c r="I982" s="5" t="s">
        <v>2416</v>
      </c>
      <c r="J982" s="12" t="str">
        <f>HYPERLINK("https://www.boe.es/gazeta/dias/1801/03/17/pdfs/GMD-1801-22.pdf#page=10","Abrir facsímil")</f>
        <v>Abrir facsímil</v>
      </c>
      <c r="K982" s="15" t="s">
        <v>23</v>
      </c>
    </row>
    <row r="983" spans="1:11" ht="42" customHeight="1">
      <c r="A983" s="4" t="s">
        <v>2417</v>
      </c>
      <c r="B983" s="5" t="s">
        <v>2417</v>
      </c>
      <c r="C983" s="5" t="s">
        <v>32</v>
      </c>
      <c r="D983" s="5" t="s">
        <v>33</v>
      </c>
      <c r="E983" s="5" t="s">
        <v>501</v>
      </c>
      <c r="F983" s="9">
        <v>115</v>
      </c>
      <c r="G983" s="9">
        <v>1257</v>
      </c>
      <c r="H983" s="5" t="s">
        <v>21</v>
      </c>
      <c r="I983" s="5" t="s">
        <v>2418</v>
      </c>
      <c r="J983" s="12" t="str">
        <f>HYPERLINK("https://www.boe.es/gazeta/dias/1801/12/15/pdfs/GMD-1801-115.pdf#page=7","Abrir facsímil")</f>
        <v>Abrir facsímil</v>
      </c>
      <c r="K983" s="15" t="s">
        <v>23</v>
      </c>
    </row>
    <row r="984" spans="1:11" ht="42" customHeight="1">
      <c r="A984" s="4" t="s">
        <v>2419</v>
      </c>
      <c r="B984" s="5" t="s">
        <v>2419</v>
      </c>
      <c r="C984" s="5" t="s">
        <v>38</v>
      </c>
      <c r="D984" s="5" t="s">
        <v>39</v>
      </c>
      <c r="E984" s="5" t="s">
        <v>55</v>
      </c>
      <c r="F984" s="9">
        <v>104</v>
      </c>
      <c r="G984" s="9">
        <v>1146</v>
      </c>
      <c r="H984" s="5" t="s">
        <v>21</v>
      </c>
      <c r="I984" s="5" t="s">
        <v>2420</v>
      </c>
      <c r="J984" s="12" t="str">
        <f>HYPERLINK("https://www.boe.es/gazeta/dias/1801/11/06/pdfs/GMD-1801-104.pdf#page=7","Abrir facsímil")</f>
        <v>Abrir facsímil</v>
      </c>
      <c r="K984" s="15" t="s">
        <v>23</v>
      </c>
    </row>
    <row r="985" spans="1:11" ht="42" customHeight="1">
      <c r="A985" s="4" t="s">
        <v>2421</v>
      </c>
      <c r="B985" s="5" t="s">
        <v>2421</v>
      </c>
      <c r="C985" s="5" t="s">
        <v>38</v>
      </c>
      <c r="D985" s="5" t="s">
        <v>39</v>
      </c>
      <c r="E985" s="5" t="s">
        <v>640</v>
      </c>
      <c r="F985" s="9">
        <v>81</v>
      </c>
      <c r="G985" s="9">
        <v>910</v>
      </c>
      <c r="H985" s="5" t="s">
        <v>21</v>
      </c>
      <c r="I985" s="5" t="s">
        <v>2422</v>
      </c>
      <c r="J985" s="12" t="str">
        <f>HYPERLINK("https://www.boe.es/gazeta/dias/1801/08/25/pdfs/GMD-1801-81.pdf#page=7","Abrir facsímil")</f>
        <v>Abrir facsímil</v>
      </c>
      <c r="K985" s="15" t="s">
        <v>23</v>
      </c>
    </row>
    <row r="986" spans="1:11" ht="42" customHeight="1">
      <c r="A986" s="4" t="s">
        <v>2423</v>
      </c>
      <c r="B986" s="5" t="s">
        <v>2423</v>
      </c>
      <c r="C986" s="5" t="s">
        <v>69</v>
      </c>
      <c r="D986" s="5" t="s">
        <v>19</v>
      </c>
      <c r="E986" s="5" t="s">
        <v>171</v>
      </c>
      <c r="F986" s="9">
        <v>76</v>
      </c>
      <c r="G986" s="9">
        <v>855</v>
      </c>
      <c r="H986" s="5" t="s">
        <v>21</v>
      </c>
      <c r="I986" s="5" t="s">
        <v>2424</v>
      </c>
      <c r="J986" s="12" t="str">
        <f>HYPERLINK("https://www.boe.es/gazeta/dias/1801/08/07/pdfs/GMD-1801-76.pdf#page=12","Abrir facsímil")</f>
        <v>Abrir facsímil</v>
      </c>
      <c r="K986" s="15" t="s">
        <v>23</v>
      </c>
    </row>
    <row r="987" spans="1:11" ht="42" customHeight="1">
      <c r="A987" s="4" t="s">
        <v>2425</v>
      </c>
      <c r="B987" s="5" t="s">
        <v>2425</v>
      </c>
      <c r="C987" s="5" t="s">
        <v>75</v>
      </c>
      <c r="D987" s="5" t="s">
        <v>76</v>
      </c>
      <c r="E987" s="5" t="s">
        <v>328</v>
      </c>
      <c r="F987" s="9">
        <v>89</v>
      </c>
      <c r="G987" s="9">
        <v>979</v>
      </c>
      <c r="H987" s="5" t="s">
        <v>21</v>
      </c>
      <c r="I987" s="5" t="s">
        <v>2426</v>
      </c>
      <c r="J987" s="12" t="str">
        <f>HYPERLINK("https://www.boe.es/gazeta/dias/1801/09/15/pdfs/GMD-1801-89.pdf#page=6","Abrir facsímil")</f>
        <v>Abrir facsímil</v>
      </c>
      <c r="K987" s="15" t="s">
        <v>23</v>
      </c>
    </row>
    <row r="988" spans="1:11" ht="42" customHeight="1">
      <c r="A988" s="4" t="s">
        <v>2427</v>
      </c>
      <c r="B988" s="5" t="s">
        <v>2427</v>
      </c>
      <c r="C988" s="5" t="s">
        <v>75</v>
      </c>
      <c r="D988" s="5" t="s">
        <v>76</v>
      </c>
      <c r="E988" s="5" t="s">
        <v>924</v>
      </c>
      <c r="F988" s="9">
        <v>90</v>
      </c>
      <c r="G988" s="9">
        <v>990</v>
      </c>
      <c r="H988" s="5" t="s">
        <v>21</v>
      </c>
      <c r="I988" s="5" t="s">
        <v>2428</v>
      </c>
      <c r="J988" s="12" t="str">
        <f>HYPERLINK("https://www.boe.es/gazeta/dias/1801/09/18/pdfs/GMD-1801-90.pdf#page=5","Abrir facsímil")</f>
        <v>Abrir facsímil</v>
      </c>
      <c r="K988" s="15" t="s">
        <v>23</v>
      </c>
    </row>
    <row r="989" spans="1:11" ht="42" customHeight="1">
      <c r="A989" s="4" t="s">
        <v>2429</v>
      </c>
      <c r="B989" s="5" t="s">
        <v>2429</v>
      </c>
      <c r="C989" s="5" t="s">
        <v>38</v>
      </c>
      <c r="D989" s="5" t="s">
        <v>39</v>
      </c>
      <c r="E989" s="5" t="s">
        <v>2430</v>
      </c>
      <c r="F989" s="9">
        <v>27</v>
      </c>
      <c r="G989" s="9">
        <v>354</v>
      </c>
      <c r="H989" s="5" t="s">
        <v>21</v>
      </c>
      <c r="I989" s="5" t="s">
        <v>2431</v>
      </c>
      <c r="J989" s="12" t="str">
        <f>HYPERLINK("https://www.boe.es/gazeta/dias/1801/04/03/pdfs/GMD-1801-27.pdf#page=6","Abrir facsímil")</f>
        <v>Abrir facsímil</v>
      </c>
      <c r="K989" s="15" t="s">
        <v>23</v>
      </c>
    </row>
    <row r="990" spans="1:11" ht="42" customHeight="1">
      <c r="A990" s="4" t="s">
        <v>2432</v>
      </c>
      <c r="B990" s="5" t="s">
        <v>2432</v>
      </c>
      <c r="C990" s="5" t="s">
        <v>75</v>
      </c>
      <c r="D990" s="5" t="s">
        <v>76</v>
      </c>
      <c r="E990" s="5" t="s">
        <v>448</v>
      </c>
      <c r="F990" s="9">
        <v>35</v>
      </c>
      <c r="G990" s="9">
        <v>447</v>
      </c>
      <c r="H990" s="5" t="s">
        <v>21</v>
      </c>
      <c r="I990" s="5" t="s">
        <v>2433</v>
      </c>
      <c r="J990" s="12" t="str">
        <f>HYPERLINK("https://www.boe.es/gazeta/dias/1801/05/01/pdfs/GMD-1801-35.pdf#page=3","Abrir facsímil")</f>
        <v>Abrir facsímil</v>
      </c>
      <c r="K990" s="15" t="s">
        <v>23</v>
      </c>
    </row>
    <row r="991" spans="1:11" ht="42" customHeight="1">
      <c r="A991" s="4" t="s">
        <v>2434</v>
      </c>
      <c r="B991" s="5" t="s">
        <v>2434</v>
      </c>
      <c r="C991" s="5" t="s">
        <v>75</v>
      </c>
      <c r="D991" s="5" t="s">
        <v>76</v>
      </c>
      <c r="E991" s="5" t="s">
        <v>194</v>
      </c>
      <c r="F991" s="9">
        <v>92</v>
      </c>
      <c r="G991" s="9">
        <v>1007</v>
      </c>
      <c r="H991" s="5" t="s">
        <v>21</v>
      </c>
      <c r="I991" s="5" t="s">
        <v>2435</v>
      </c>
      <c r="J991" s="12" t="str">
        <f>HYPERLINK("https://www.boe.es/gazeta/dias/1801/09/25/pdfs/GMD-1801-92.pdf#page=2","Abrir facsímil")</f>
        <v>Abrir facsímil</v>
      </c>
      <c r="K991" s="15" t="s">
        <v>23</v>
      </c>
    </row>
    <row r="992" spans="1:11" ht="42" customHeight="1">
      <c r="A992" s="4" t="s">
        <v>2436</v>
      </c>
      <c r="B992" s="5" t="s">
        <v>2436</v>
      </c>
      <c r="C992" s="5" t="s">
        <v>75</v>
      </c>
      <c r="D992" s="5" t="s">
        <v>76</v>
      </c>
      <c r="E992" s="5" t="s">
        <v>359</v>
      </c>
      <c r="F992" s="9">
        <v>101</v>
      </c>
      <c r="G992" s="9">
        <v>1109</v>
      </c>
      <c r="H992" s="5" t="s">
        <v>21</v>
      </c>
      <c r="I992" s="5" t="s">
        <v>2437</v>
      </c>
      <c r="J992" s="12" t="str">
        <f>HYPERLINK("https://www.boe.es/gazeta/dias/1801/10/27/pdfs/GMD-1801-101.pdf#page=2","Abrir facsímil")</f>
        <v>Abrir facsímil</v>
      </c>
      <c r="K992" s="15" t="s">
        <v>23</v>
      </c>
    </row>
    <row r="993" spans="1:11" ht="42" customHeight="1">
      <c r="A993" s="4" t="s">
        <v>2438</v>
      </c>
      <c r="B993" s="5" t="s">
        <v>2438</v>
      </c>
      <c r="C993" s="5" t="s">
        <v>75</v>
      </c>
      <c r="D993" s="5" t="s">
        <v>76</v>
      </c>
      <c r="E993" s="5" t="s">
        <v>1015</v>
      </c>
      <c r="F993" s="9">
        <v>15</v>
      </c>
      <c r="G993" s="9">
        <v>187</v>
      </c>
      <c r="H993" s="5" t="s">
        <v>21</v>
      </c>
      <c r="I993" s="5" t="s">
        <v>2439</v>
      </c>
      <c r="J993" s="12" t="str">
        <f>HYPERLINK("https://www.boe.es/gazeta/dias/1801/02/20/pdfs/GMD-1801-15.pdf#page=6","Abrir facsímil")</f>
        <v>Abrir facsímil</v>
      </c>
      <c r="K993" s="15" t="s">
        <v>23</v>
      </c>
    </row>
    <row r="994" spans="1:11" ht="42" customHeight="1">
      <c r="A994" s="4" t="s">
        <v>2440</v>
      </c>
      <c r="B994" s="5" t="s">
        <v>2440</v>
      </c>
      <c r="C994" s="5" t="s">
        <v>75</v>
      </c>
      <c r="D994" s="5" t="s">
        <v>76</v>
      </c>
      <c r="E994" s="5" t="s">
        <v>1015</v>
      </c>
      <c r="F994" s="9">
        <v>15</v>
      </c>
      <c r="G994" s="9">
        <v>182</v>
      </c>
      <c r="H994" s="5" t="s">
        <v>21</v>
      </c>
      <c r="I994" s="5" t="s">
        <v>2441</v>
      </c>
      <c r="J994" s="12" t="str">
        <f>HYPERLINK("https://www.boe.es/gazeta/dias/1801/02/20/pdfs/GMD-1801-15.pdf#page=1","Abrir facsímil")</f>
        <v>Abrir facsímil</v>
      </c>
      <c r="K994" s="15" t="s">
        <v>23</v>
      </c>
    </row>
    <row r="995" spans="1:11" ht="42" customHeight="1">
      <c r="A995" s="4" t="s">
        <v>2442</v>
      </c>
      <c r="B995" s="5" t="s">
        <v>2442</v>
      </c>
      <c r="C995" s="5" t="s">
        <v>26</v>
      </c>
      <c r="D995" s="5" t="s">
        <v>27</v>
      </c>
      <c r="E995" s="5" t="s">
        <v>317</v>
      </c>
      <c r="F995" s="9">
        <v>102</v>
      </c>
      <c r="G995" s="9">
        <v>1117</v>
      </c>
      <c r="H995" s="5" t="s">
        <v>21</v>
      </c>
      <c r="I995" s="5" t="s">
        <v>2443</v>
      </c>
      <c r="J995" s="12" t="str">
        <f>HYPERLINK("https://www.boe.es/gazeta/dias/1801/10/30/pdfs/GMD-1801-102.pdf#page=2","Abrir facsímil")</f>
        <v>Abrir facsímil</v>
      </c>
      <c r="K995" s="15" t="s">
        <v>23</v>
      </c>
    </row>
    <row r="996" spans="1:11" ht="42" customHeight="1">
      <c r="A996" s="4" t="s">
        <v>2444</v>
      </c>
      <c r="B996" s="5" t="s">
        <v>2444</v>
      </c>
      <c r="C996" s="5" t="s">
        <v>75</v>
      </c>
      <c r="D996" s="5" t="s">
        <v>76</v>
      </c>
      <c r="E996" s="5" t="s">
        <v>321</v>
      </c>
      <c r="F996" s="9">
        <v>3</v>
      </c>
      <c r="G996" s="9">
        <v>31</v>
      </c>
      <c r="H996" s="5" t="s">
        <v>21</v>
      </c>
      <c r="I996" s="5" t="s">
        <v>2445</v>
      </c>
      <c r="J996" s="12" t="str">
        <f>HYPERLINK("https://www.boe.es/gazeta/dias/1801/01/09/pdfs/GMD-1801-3.pdf#page=7","Abrir facsímil")</f>
        <v>Abrir facsímil</v>
      </c>
      <c r="K996" s="15" t="s">
        <v>23</v>
      </c>
    </row>
    <row r="997" spans="1:11" ht="42" customHeight="1">
      <c r="A997" s="4" t="s">
        <v>2446</v>
      </c>
      <c r="B997" s="5" t="s">
        <v>2446</v>
      </c>
      <c r="C997" s="5" t="s">
        <v>75</v>
      </c>
      <c r="D997" s="5" t="s">
        <v>76</v>
      </c>
      <c r="E997" s="5" t="s">
        <v>135</v>
      </c>
      <c r="F997" s="9">
        <v>24</v>
      </c>
      <c r="G997" s="9">
        <v>311</v>
      </c>
      <c r="H997" s="5" t="s">
        <v>21</v>
      </c>
      <c r="I997" s="5" t="s">
        <v>2447</v>
      </c>
      <c r="J997" s="12" t="str">
        <f>HYPERLINK("https://www.boe.es/gazeta/dias/1801/03/24/pdfs/GMD-1801-24.pdf#page=2","Abrir facsímil")</f>
        <v>Abrir facsímil</v>
      </c>
      <c r="K997" s="15" t="s">
        <v>23</v>
      </c>
    </row>
    <row r="998" spans="1:11" ht="42" customHeight="1">
      <c r="A998" s="4" t="s">
        <v>2448</v>
      </c>
      <c r="B998" s="5" t="s">
        <v>2448</v>
      </c>
      <c r="C998" s="5" t="s">
        <v>75</v>
      </c>
      <c r="D998" s="5" t="s">
        <v>76</v>
      </c>
      <c r="E998" s="5" t="s">
        <v>352</v>
      </c>
      <c r="F998" s="9">
        <v>43</v>
      </c>
      <c r="G998" s="9">
        <v>530</v>
      </c>
      <c r="H998" s="5" t="s">
        <v>21</v>
      </c>
      <c r="I998" s="5" t="s">
        <v>2449</v>
      </c>
      <c r="J998" s="12" t="str">
        <f>HYPERLINK("https://www.boe.es/gazeta/dias/1801/05/26/pdfs/GMD-1801-43.pdf#page=2","Abrir facsímil")</f>
        <v>Abrir facsímil</v>
      </c>
      <c r="K998" s="15" t="s">
        <v>23</v>
      </c>
    </row>
    <row r="999" spans="1:11" ht="42" customHeight="1">
      <c r="A999" s="4" t="s">
        <v>2450</v>
      </c>
      <c r="B999" s="5" t="s">
        <v>2450</v>
      </c>
      <c r="C999" s="5" t="s">
        <v>75</v>
      </c>
      <c r="D999" s="5" t="s">
        <v>76</v>
      </c>
      <c r="E999" s="5" t="s">
        <v>251</v>
      </c>
      <c r="F999" s="9">
        <v>66</v>
      </c>
      <c r="G999" s="9">
        <v>737</v>
      </c>
      <c r="H999" s="5" t="s">
        <v>21</v>
      </c>
      <c r="I999" s="5" t="s">
        <v>2451</v>
      </c>
      <c r="J999" s="12" t="str">
        <f>HYPERLINK("https://www.boe.es/gazeta/dias/1801/07/10/pdfs/GMD-1801-66.pdf#page=2","Abrir facsímil")</f>
        <v>Abrir facsímil</v>
      </c>
      <c r="K999" s="15" t="s">
        <v>23</v>
      </c>
    </row>
    <row r="1000" spans="1:11" ht="42" customHeight="1">
      <c r="A1000" s="4" t="s">
        <v>2452</v>
      </c>
      <c r="B1000" s="5" t="s">
        <v>2452</v>
      </c>
      <c r="C1000" s="5" t="s">
        <v>38</v>
      </c>
      <c r="D1000" s="5" t="s">
        <v>39</v>
      </c>
      <c r="E1000" s="5" t="s">
        <v>143</v>
      </c>
      <c r="F1000" s="9">
        <v>34</v>
      </c>
      <c r="G1000" s="9">
        <v>431</v>
      </c>
      <c r="H1000" s="5" t="s">
        <v>21</v>
      </c>
      <c r="I1000" s="5" t="s">
        <v>2453</v>
      </c>
      <c r="J1000" s="12" t="str">
        <f>HYPERLINK("https://www.boe.es/gazeta/dias/1801/04/28/pdfs/GMD-1801-34.pdf#page=3","Abrir facsímil")</f>
        <v>Abrir facsímil</v>
      </c>
      <c r="K1000" s="15" t="s">
        <v>23</v>
      </c>
    </row>
    <row r="1001" spans="1:11" ht="42" customHeight="1">
      <c r="A1001" s="4" t="s">
        <v>2454</v>
      </c>
      <c r="B1001" s="5" t="s">
        <v>2455</v>
      </c>
      <c r="C1001" s="5" t="s">
        <v>80</v>
      </c>
      <c r="D1001" s="5" t="s">
        <v>81</v>
      </c>
      <c r="E1001" s="5" t="s">
        <v>82</v>
      </c>
      <c r="F1001" s="9">
        <v>75</v>
      </c>
      <c r="G1001" s="9" t="s">
        <v>86</v>
      </c>
      <c r="H1001" s="5" t="s">
        <v>21</v>
      </c>
      <c r="I1001" s="5" t="s">
        <v>2456</v>
      </c>
      <c r="J1001" s="12" t="str">
        <f>HYPERLINK("https://www.boe.es/gazeta/dias/1801/08/04/pdfs/GMD-C-1801-75.pdf#page=3","Abrir facsímil")</f>
        <v>Abrir facsímil</v>
      </c>
      <c r="K1001" s="15" t="s">
        <v>23</v>
      </c>
    </row>
    <row r="1002" spans="1:11" ht="42" customHeight="1">
      <c r="A1002" s="4" t="s">
        <v>2457</v>
      </c>
      <c r="B1002" s="5" t="s">
        <v>2458</v>
      </c>
      <c r="C1002" s="5" t="s">
        <v>75</v>
      </c>
      <c r="D1002" s="5" t="s">
        <v>76</v>
      </c>
      <c r="E1002" s="5" t="s">
        <v>256</v>
      </c>
      <c r="F1002" s="9">
        <v>78</v>
      </c>
      <c r="G1002" s="9">
        <v>875</v>
      </c>
      <c r="H1002" s="5" t="s">
        <v>21</v>
      </c>
      <c r="I1002" s="5" t="s">
        <v>2459</v>
      </c>
      <c r="J1002" s="12" t="str">
        <f>HYPERLINK("https://www.boe.es/gazeta/dias/1801/08/14/pdfs/GMD-1801-78.pdf#page=4","Abrir facsímil")</f>
        <v>Abrir facsímil</v>
      </c>
      <c r="K1002" s="15" t="s">
        <v>23</v>
      </c>
    </row>
    <row r="1003" spans="1:11" ht="42" customHeight="1">
      <c r="A1003" s="4" t="s">
        <v>2460</v>
      </c>
      <c r="B1003" s="5" t="s">
        <v>2461</v>
      </c>
      <c r="C1003" s="5" t="s">
        <v>80</v>
      </c>
      <c r="D1003" s="5" t="s">
        <v>81</v>
      </c>
      <c r="E1003" s="5" t="s">
        <v>82</v>
      </c>
      <c r="F1003" s="9">
        <v>75</v>
      </c>
      <c r="G1003" s="9" t="s">
        <v>517</v>
      </c>
      <c r="H1003" s="5" t="s">
        <v>21</v>
      </c>
      <c r="I1003" s="5" t="s">
        <v>2462</v>
      </c>
      <c r="J1003" s="12" t="str">
        <f>HYPERLINK("https://www.boe.es/gazeta/dias/1801/08/04/pdfs/GMD-C-1801-75.pdf#page=7","Abrir facsímil")</f>
        <v>Abrir facsímil</v>
      </c>
      <c r="K1003" s="15" t="s">
        <v>23</v>
      </c>
    </row>
    <row r="1004" spans="1:11" ht="42" customHeight="1">
      <c r="A1004" s="4" t="s">
        <v>2463</v>
      </c>
      <c r="B1004" s="5" t="s">
        <v>2464</v>
      </c>
      <c r="C1004" s="5" t="s">
        <v>38</v>
      </c>
      <c r="D1004" s="5" t="s">
        <v>39</v>
      </c>
      <c r="E1004" s="5" t="s">
        <v>165</v>
      </c>
      <c r="F1004" s="9">
        <v>59</v>
      </c>
      <c r="G1004" s="9">
        <v>677</v>
      </c>
      <c r="H1004" s="5" t="s">
        <v>21</v>
      </c>
      <c r="I1004" s="5" t="s">
        <v>2465</v>
      </c>
      <c r="J1004" s="12" t="str">
        <f>HYPERLINK("https://www.boe.es/gazeta/dias/1801/06/23/pdfs/GMD-1801-59.pdf#page=10","Abrir facsímil")</f>
        <v>Abrir facsímil</v>
      </c>
      <c r="K1004" s="15" t="s">
        <v>23</v>
      </c>
    </row>
    <row r="1005" spans="1:11" ht="42" customHeight="1">
      <c r="A1005" s="4" t="s">
        <v>2463</v>
      </c>
      <c r="B1005" s="5" t="s">
        <v>2464</v>
      </c>
      <c r="C1005" s="5" t="s">
        <v>26</v>
      </c>
      <c r="D1005" s="5" t="s">
        <v>27</v>
      </c>
      <c r="E1005" s="5" t="s">
        <v>888</v>
      </c>
      <c r="F1005" s="9">
        <v>103</v>
      </c>
      <c r="G1005" s="9">
        <v>1136</v>
      </c>
      <c r="H1005" s="5" t="s">
        <v>21</v>
      </c>
      <c r="I1005" s="5" t="s">
        <v>2466</v>
      </c>
      <c r="J1005" s="12" t="str">
        <f>HYPERLINK("https://www.boe.es/gazeta/dias/1801/11/03/pdfs/GMD-1801-103.pdf#page=9","Abrir facsímil")</f>
        <v>Abrir facsímil</v>
      </c>
      <c r="K1005" s="15" t="s">
        <v>23</v>
      </c>
    </row>
    <row r="1006" spans="1:11" ht="42" customHeight="1">
      <c r="A1006" s="4" t="s">
        <v>2463</v>
      </c>
      <c r="B1006" s="5" t="s">
        <v>2464</v>
      </c>
      <c r="C1006" s="5" t="s">
        <v>26</v>
      </c>
      <c r="D1006" s="5" t="s">
        <v>27</v>
      </c>
      <c r="E1006" s="5" t="s">
        <v>501</v>
      </c>
      <c r="F1006" s="9">
        <v>115</v>
      </c>
      <c r="G1006" s="9" t="s">
        <v>83</v>
      </c>
      <c r="H1006" s="5" t="s">
        <v>21</v>
      </c>
      <c r="I1006" s="5" t="s">
        <v>2467</v>
      </c>
      <c r="J1006" s="12" t="str">
        <f>HYPERLINK("https://www.boe.es/gazeta/dias/1801/12/15/pdfs/GMD-C-1801-115.pdf#page=2","Abrir facsímil")</f>
        <v>Abrir facsímil</v>
      </c>
      <c r="K1006" s="15" t="s">
        <v>23</v>
      </c>
    </row>
    <row r="1007" spans="1:11" ht="42" customHeight="1">
      <c r="A1007" s="4" t="s">
        <v>2468</v>
      </c>
      <c r="B1007" s="5" t="s">
        <v>2469</v>
      </c>
      <c r="C1007" s="5" t="s">
        <v>32</v>
      </c>
      <c r="D1007" s="5" t="s">
        <v>33</v>
      </c>
      <c r="E1007" s="5" t="s">
        <v>171</v>
      </c>
      <c r="F1007" s="9">
        <v>76</v>
      </c>
      <c r="G1007" s="9">
        <v>853</v>
      </c>
      <c r="H1007" s="5" t="s">
        <v>21</v>
      </c>
      <c r="I1007" s="5" t="s">
        <v>2470</v>
      </c>
      <c r="J1007" s="12" t="str">
        <f>HYPERLINK("https://www.boe.es/gazeta/dias/1801/08/07/pdfs/GMD-1801-76.pdf#page=10","Abrir facsímil")</f>
        <v>Abrir facsímil</v>
      </c>
      <c r="K1007" s="15" t="s">
        <v>23</v>
      </c>
    </row>
    <row r="1008" spans="1:11" ht="42" customHeight="1">
      <c r="A1008" s="4" t="s">
        <v>2471</v>
      </c>
      <c r="B1008" s="5" t="s">
        <v>2471</v>
      </c>
      <c r="C1008" s="5" t="s">
        <v>515</v>
      </c>
      <c r="D1008" s="5" t="s">
        <v>516</v>
      </c>
      <c r="E1008" s="5" t="s">
        <v>501</v>
      </c>
      <c r="F1008" s="9">
        <v>115</v>
      </c>
      <c r="G1008" s="9" t="s">
        <v>299</v>
      </c>
      <c r="H1008" s="5" t="s">
        <v>21</v>
      </c>
      <c r="I1008" s="5" t="s">
        <v>2472</v>
      </c>
      <c r="J1008" s="12" t="str">
        <f>HYPERLINK("https://www.boe.es/gazeta/dias/1801/12/15/pdfs/GMD-C-1801-115.pdf#page=5","Abrir facsímil")</f>
        <v>Abrir facsímil</v>
      </c>
      <c r="K1008" s="15" t="s">
        <v>23</v>
      </c>
    </row>
    <row r="1009" spans="1:11" ht="42" customHeight="1">
      <c r="A1009" s="4" t="s">
        <v>2473</v>
      </c>
      <c r="B1009" s="5" t="s">
        <v>2473</v>
      </c>
      <c r="C1009" s="5" t="s">
        <v>38</v>
      </c>
      <c r="D1009" s="5" t="s">
        <v>39</v>
      </c>
      <c r="E1009" s="5" t="s">
        <v>378</v>
      </c>
      <c r="F1009" s="9">
        <v>23</v>
      </c>
      <c r="G1009" s="9">
        <v>303</v>
      </c>
      <c r="H1009" s="5" t="s">
        <v>21</v>
      </c>
      <c r="I1009" s="5" t="s">
        <v>2474</v>
      </c>
      <c r="J1009" s="12" t="str">
        <f>HYPERLINK("https://www.boe.es/gazeta/dias/1801/03/20/pdfs/GMD-1801-23.pdf#page=6","Abrir facsímil")</f>
        <v>Abrir facsímil</v>
      </c>
      <c r="K1009" s="15" t="s">
        <v>23</v>
      </c>
    </row>
    <row r="1010" spans="1:11" ht="42" customHeight="1">
      <c r="A1010" s="4" t="s">
        <v>2475</v>
      </c>
      <c r="B1010" s="5" t="s">
        <v>2476</v>
      </c>
      <c r="C1010" s="5" t="s">
        <v>75</v>
      </c>
      <c r="D1010" s="5" t="s">
        <v>76</v>
      </c>
      <c r="E1010" s="5" t="s">
        <v>94</v>
      </c>
      <c r="F1010" s="9">
        <v>19</v>
      </c>
      <c r="G1010" s="9">
        <v>245</v>
      </c>
      <c r="H1010" s="5" t="s">
        <v>21</v>
      </c>
      <c r="I1010" s="5" t="s">
        <v>2477</v>
      </c>
      <c r="J1010" s="12" t="str">
        <f>HYPERLINK("https://www.boe.es/gazeta/dias/1801/03/06/pdfs/GMD-1801-19.pdf#page=10","Abrir facsímil")</f>
        <v>Abrir facsímil</v>
      </c>
      <c r="K1010" s="15" t="s">
        <v>23</v>
      </c>
    </row>
    <row r="1011" spans="1:11" ht="42" customHeight="1">
      <c r="A1011" s="4" t="s">
        <v>2478</v>
      </c>
      <c r="B1011" s="5" t="s">
        <v>2479</v>
      </c>
      <c r="C1011" s="5" t="s">
        <v>26</v>
      </c>
      <c r="D1011" s="5" t="s">
        <v>27</v>
      </c>
      <c r="E1011" s="5" t="s">
        <v>186</v>
      </c>
      <c r="F1011" s="9">
        <v>21</v>
      </c>
      <c r="G1011" s="9">
        <v>282</v>
      </c>
      <c r="H1011" s="5" t="s">
        <v>21</v>
      </c>
      <c r="I1011" s="5" t="s">
        <v>2480</v>
      </c>
      <c r="J1011" s="12" t="str">
        <f>HYPERLINK("https://www.boe.es/gazeta/dias/1801/03/13/pdfs/GMD-1801-21.pdf#page=11","Abrir facsímil")</f>
        <v>Abrir facsímil</v>
      </c>
      <c r="K1011" s="15" t="s">
        <v>23</v>
      </c>
    </row>
    <row r="1012" spans="1:11" ht="42" customHeight="1">
      <c r="A1012" s="4" t="s">
        <v>2481</v>
      </c>
      <c r="B1012" s="5" t="s">
        <v>2482</v>
      </c>
      <c r="C1012" s="5" t="s">
        <v>18</v>
      </c>
      <c r="D1012" s="5" t="s">
        <v>19</v>
      </c>
      <c r="E1012" s="5" t="s">
        <v>77</v>
      </c>
      <c r="F1012" s="9">
        <v>93</v>
      </c>
      <c r="G1012" s="9">
        <v>1020</v>
      </c>
      <c r="H1012" s="5" t="s">
        <v>21</v>
      </c>
      <c r="I1012" s="5" t="s">
        <v>2483</v>
      </c>
      <c r="J1012" s="12" t="str">
        <f>HYPERLINK("https://www.boe.es/gazeta/dias/1801/09/29/pdfs/GMD-1801-93.pdf#page=7","Abrir facsímil")</f>
        <v>Abrir facsímil</v>
      </c>
      <c r="K1012" s="15" t="s">
        <v>23</v>
      </c>
    </row>
    <row r="1013" spans="1:11" ht="42" customHeight="1">
      <c r="A1013" s="4" t="s">
        <v>2484</v>
      </c>
      <c r="B1013" s="5" t="s">
        <v>2484</v>
      </c>
      <c r="C1013" s="5" t="s">
        <v>32</v>
      </c>
      <c r="D1013" s="5" t="s">
        <v>33</v>
      </c>
      <c r="E1013" s="5" t="s">
        <v>165</v>
      </c>
      <c r="F1013" s="9">
        <v>59</v>
      </c>
      <c r="G1013" s="9">
        <v>676</v>
      </c>
      <c r="H1013" s="5" t="s">
        <v>21</v>
      </c>
      <c r="I1013" s="5" t="s">
        <v>2485</v>
      </c>
      <c r="J1013" s="12" t="str">
        <f>HYPERLINK("https://www.boe.es/gazeta/dias/1801/06/23/pdfs/GMD-1801-59.pdf#page=9","Abrir facsímil")</f>
        <v>Abrir facsímil</v>
      </c>
      <c r="K1013" s="15" t="s">
        <v>23</v>
      </c>
    </row>
    <row r="1014" spans="1:11" ht="42" customHeight="1">
      <c r="A1014" s="4" t="s">
        <v>2486</v>
      </c>
      <c r="B1014" s="5" t="s">
        <v>2487</v>
      </c>
      <c r="C1014" s="5" t="s">
        <v>32</v>
      </c>
      <c r="D1014" s="5" t="s">
        <v>33</v>
      </c>
      <c r="E1014" s="5" t="s">
        <v>640</v>
      </c>
      <c r="F1014" s="9">
        <v>81</v>
      </c>
      <c r="G1014" s="9">
        <v>909</v>
      </c>
      <c r="H1014" s="5" t="s">
        <v>21</v>
      </c>
      <c r="I1014" s="5" t="s">
        <v>2488</v>
      </c>
      <c r="J1014" s="12" t="str">
        <f>HYPERLINK("https://www.boe.es/gazeta/dias/1801/08/25/pdfs/GMD-1801-81.pdf#page=6","Abrir facsímil")</f>
        <v>Abrir facsímil</v>
      </c>
      <c r="K1014" s="15" t="s">
        <v>23</v>
      </c>
    </row>
    <row r="1015" spans="1:11" ht="42" customHeight="1">
      <c r="A1015" s="4" t="s">
        <v>2489</v>
      </c>
      <c r="B1015" s="5" t="s">
        <v>2489</v>
      </c>
      <c r="C1015" s="5" t="s">
        <v>32</v>
      </c>
      <c r="D1015" s="5" t="s">
        <v>33</v>
      </c>
      <c r="E1015" s="5" t="s">
        <v>201</v>
      </c>
      <c r="F1015" s="9">
        <v>79</v>
      </c>
      <c r="G1015" s="9">
        <v>888</v>
      </c>
      <c r="H1015" s="5" t="s">
        <v>21</v>
      </c>
      <c r="I1015" s="5" t="s">
        <v>2490</v>
      </c>
      <c r="J1015" s="12" t="str">
        <f>HYPERLINK("https://www.boe.es/gazeta/dias/1801/08/18/pdfs/GMD-1801-79.pdf#page=5","Abrir facsímil")</f>
        <v>Abrir facsímil</v>
      </c>
      <c r="K1015" s="15" t="s">
        <v>23</v>
      </c>
    </row>
    <row r="1016" spans="1:11" ht="42" customHeight="1">
      <c r="A1016" s="4" t="s">
        <v>2491</v>
      </c>
      <c r="B1016" s="5" t="s">
        <v>2491</v>
      </c>
      <c r="C1016" s="5" t="s">
        <v>32</v>
      </c>
      <c r="D1016" s="5" t="s">
        <v>33</v>
      </c>
      <c r="E1016" s="5" t="s">
        <v>141</v>
      </c>
      <c r="F1016" s="9">
        <v>33</v>
      </c>
      <c r="G1016" s="9">
        <v>425</v>
      </c>
      <c r="H1016" s="5" t="s">
        <v>21</v>
      </c>
      <c r="I1016" s="5" t="s">
        <v>2492</v>
      </c>
      <c r="J1016" s="12" t="str">
        <f>HYPERLINK("https://www.boe.es/gazeta/dias/1801/04/24/pdfs/GMD-1801-33.pdf#page=9","Abrir facsímil")</f>
        <v>Abrir facsímil</v>
      </c>
      <c r="K1016" s="15" t="s">
        <v>23</v>
      </c>
    </row>
    <row r="1017" spans="1:11" ht="42" customHeight="1">
      <c r="A1017" s="4" t="s">
        <v>2493</v>
      </c>
      <c r="B1017" s="5" t="s">
        <v>2494</v>
      </c>
      <c r="C1017" s="5" t="s">
        <v>26</v>
      </c>
      <c r="D1017" s="5" t="s">
        <v>27</v>
      </c>
      <c r="E1017" s="5" t="s">
        <v>28</v>
      </c>
      <c r="F1017" s="9">
        <v>77</v>
      </c>
      <c r="G1017" s="9">
        <v>864</v>
      </c>
      <c r="H1017" s="5" t="s">
        <v>21</v>
      </c>
      <c r="I1017" s="5" t="s">
        <v>2495</v>
      </c>
      <c r="J1017" s="12" t="str">
        <f>HYPERLINK("https://www.boe.es/gazeta/dias/1801/08/11/pdfs/GMD-1801-77.pdf#page=9","Abrir facsímil")</f>
        <v>Abrir facsímil</v>
      </c>
      <c r="K1017" s="15" t="s">
        <v>23</v>
      </c>
    </row>
    <row r="1018" spans="1:11" ht="42" customHeight="1">
      <c r="A1018" s="4" t="s">
        <v>2496</v>
      </c>
      <c r="B1018" s="5" t="s">
        <v>2496</v>
      </c>
      <c r="C1018" s="5" t="s">
        <v>32</v>
      </c>
      <c r="D1018" s="5" t="s">
        <v>33</v>
      </c>
      <c r="E1018" s="5" t="s">
        <v>366</v>
      </c>
      <c r="F1018" s="9">
        <v>86</v>
      </c>
      <c r="G1018" s="9">
        <v>954</v>
      </c>
      <c r="H1018" s="5" t="s">
        <v>21</v>
      </c>
      <c r="I1018" s="5" t="s">
        <v>2497</v>
      </c>
      <c r="J1018" s="12" t="str">
        <f>HYPERLINK("https://www.boe.es/gazeta/dias/1801/09/08/pdfs/GMD-1801-86.pdf#page=5","Abrir facsímil")</f>
        <v>Abrir facsímil</v>
      </c>
      <c r="K1018" s="15" t="s">
        <v>23</v>
      </c>
    </row>
    <row r="1019" spans="1:11" ht="42" customHeight="1">
      <c r="A1019" s="4" t="s">
        <v>2498</v>
      </c>
      <c r="B1019" s="5" t="s">
        <v>2499</v>
      </c>
      <c r="C1019" s="5" t="s">
        <v>32</v>
      </c>
      <c r="D1019" s="5" t="s">
        <v>33</v>
      </c>
      <c r="E1019" s="5" t="s">
        <v>781</v>
      </c>
      <c r="F1019" s="9">
        <v>14</v>
      </c>
      <c r="G1019" s="9">
        <v>173</v>
      </c>
      <c r="H1019" s="5" t="s">
        <v>21</v>
      </c>
      <c r="I1019" s="5" t="s">
        <v>2500</v>
      </c>
      <c r="J1019" s="12" t="str">
        <f>HYPERLINK("https://www.boe.es/gazeta/dias/1801/02/17/pdfs/GMD-1801-14.pdf#page=8","Abrir facsímil")</f>
        <v>Abrir facsímil</v>
      </c>
      <c r="K1019" s="15" t="s">
        <v>23</v>
      </c>
    </row>
    <row r="1020" spans="1:11" ht="42" customHeight="1">
      <c r="A1020" s="4" t="s">
        <v>2501</v>
      </c>
      <c r="B1020" s="5" t="s">
        <v>2501</v>
      </c>
      <c r="C1020" s="5" t="s">
        <v>69</v>
      </c>
      <c r="D1020" s="5" t="s">
        <v>19</v>
      </c>
      <c r="E1020" s="5" t="s">
        <v>266</v>
      </c>
      <c r="F1020" s="9">
        <v>119</v>
      </c>
      <c r="G1020" s="9">
        <v>1304</v>
      </c>
      <c r="H1020" s="5" t="s">
        <v>21</v>
      </c>
      <c r="I1020" s="5" t="s">
        <v>2502</v>
      </c>
      <c r="J1020" s="12" t="str">
        <f>HYPERLINK("https://www.boe.es/gazeta/dias/1801/12/29/pdfs/GMD-1801-119.pdf#page=8","Abrir facsímil")</f>
        <v>Abrir facsímil</v>
      </c>
      <c r="K1020" s="15" t="s">
        <v>23</v>
      </c>
    </row>
    <row r="1021" spans="1:11" ht="42" customHeight="1">
      <c r="A1021" s="4" t="s">
        <v>2503</v>
      </c>
      <c r="B1021" s="5" t="s">
        <v>2504</v>
      </c>
      <c r="C1021" s="5" t="s">
        <v>32</v>
      </c>
      <c r="D1021" s="5" t="s">
        <v>33</v>
      </c>
      <c r="E1021" s="5" t="s">
        <v>131</v>
      </c>
      <c r="F1021" s="9">
        <v>22</v>
      </c>
      <c r="G1021" s="9">
        <v>289</v>
      </c>
      <c r="H1021" s="5" t="s">
        <v>21</v>
      </c>
      <c r="I1021" s="5" t="s">
        <v>2505</v>
      </c>
      <c r="J1021" s="12" t="str">
        <f>HYPERLINK("https://www.boe.es/gazeta/dias/1801/03/17/pdfs/GMD-1801-22.pdf#page=6","Abrir facsímil")</f>
        <v>Abrir facsímil</v>
      </c>
      <c r="K1021" s="15" t="s">
        <v>23</v>
      </c>
    </row>
    <row r="1022" spans="1:11" ht="42" customHeight="1">
      <c r="A1022" s="4" t="s">
        <v>2506</v>
      </c>
      <c r="B1022" s="5" t="s">
        <v>2507</v>
      </c>
      <c r="C1022" s="5" t="s">
        <v>32</v>
      </c>
      <c r="D1022" s="5" t="s">
        <v>33</v>
      </c>
      <c r="E1022" s="5" t="s">
        <v>275</v>
      </c>
      <c r="F1022" s="9">
        <v>9</v>
      </c>
      <c r="G1022" s="9">
        <v>112</v>
      </c>
      <c r="H1022" s="5" t="s">
        <v>21</v>
      </c>
      <c r="I1022" s="5" t="s">
        <v>2508</v>
      </c>
      <c r="J1022" s="12" t="str">
        <f>HYPERLINK("https://www.boe.es/gazeta/dias/1801/01/30/pdfs/GMD-1801-9.pdf#page=9","Abrir facsímil")</f>
        <v>Abrir facsímil</v>
      </c>
      <c r="K1022" s="15" t="s">
        <v>23</v>
      </c>
    </row>
    <row r="1023" spans="1:11" ht="42" customHeight="1">
      <c r="A1023" s="4" t="s">
        <v>2506</v>
      </c>
      <c r="B1023" s="5" t="s">
        <v>2507</v>
      </c>
      <c r="C1023" s="5" t="s">
        <v>32</v>
      </c>
      <c r="D1023" s="5" t="s">
        <v>33</v>
      </c>
      <c r="E1023" s="5" t="s">
        <v>171</v>
      </c>
      <c r="F1023" s="9">
        <v>76</v>
      </c>
      <c r="G1023" s="9">
        <v>852</v>
      </c>
      <c r="H1023" s="5" t="s">
        <v>21</v>
      </c>
      <c r="I1023" s="5" t="s">
        <v>2509</v>
      </c>
      <c r="J1023" s="12" t="str">
        <f>HYPERLINK("https://www.boe.es/gazeta/dias/1801/08/07/pdfs/GMD-1801-76.pdf#page=9","Abrir facsímil")</f>
        <v>Abrir facsímil</v>
      </c>
      <c r="K1023" s="15" t="s">
        <v>23</v>
      </c>
    </row>
    <row r="1024" spans="1:11" ht="42" customHeight="1">
      <c r="A1024" s="4" t="s">
        <v>2510</v>
      </c>
      <c r="B1024" s="5" t="s">
        <v>2511</v>
      </c>
      <c r="C1024" s="5" t="s">
        <v>38</v>
      </c>
      <c r="D1024" s="5" t="s">
        <v>39</v>
      </c>
      <c r="E1024" s="5" t="s">
        <v>90</v>
      </c>
      <c r="F1024" s="9">
        <v>1</v>
      </c>
      <c r="G1024" s="9">
        <v>9</v>
      </c>
      <c r="H1024" s="5" t="s">
        <v>21</v>
      </c>
      <c r="I1024" s="5" t="s">
        <v>2512</v>
      </c>
      <c r="J1024" s="12" t="str">
        <f>HYPERLINK("https://www.boe.es/gazeta/dias/1801/01/02/pdfs/GMD-1801-1.pdf#page=9","Abrir facsímil")</f>
        <v>Abrir facsímil</v>
      </c>
      <c r="K1024" s="15" t="s">
        <v>23</v>
      </c>
    </row>
    <row r="1025" spans="1:11" ht="42" customHeight="1">
      <c r="A1025" s="4" t="s">
        <v>2510</v>
      </c>
      <c r="B1025" s="5" t="s">
        <v>2511</v>
      </c>
      <c r="C1025" s="5" t="s">
        <v>32</v>
      </c>
      <c r="D1025" s="5" t="s">
        <v>33</v>
      </c>
      <c r="E1025" s="5" t="s">
        <v>275</v>
      </c>
      <c r="F1025" s="9">
        <v>9</v>
      </c>
      <c r="G1025" s="9">
        <v>112</v>
      </c>
      <c r="H1025" s="5" t="s">
        <v>21</v>
      </c>
      <c r="I1025" s="5" t="s">
        <v>2513</v>
      </c>
      <c r="J1025" s="12" t="str">
        <f>HYPERLINK("https://www.boe.es/gazeta/dias/1801/01/30/pdfs/GMD-1801-9.pdf#page=9","Abrir facsímil")</f>
        <v>Abrir facsímil</v>
      </c>
      <c r="K1025" s="15" t="s">
        <v>23</v>
      </c>
    </row>
    <row r="1026" spans="1:11" ht="42" customHeight="1">
      <c r="A1026" s="4" t="s">
        <v>2510</v>
      </c>
      <c r="B1026" s="5" t="s">
        <v>2511</v>
      </c>
      <c r="C1026" s="5" t="s">
        <v>32</v>
      </c>
      <c r="D1026" s="5" t="s">
        <v>33</v>
      </c>
      <c r="E1026" s="5" t="s">
        <v>219</v>
      </c>
      <c r="F1026" s="9">
        <v>26</v>
      </c>
      <c r="G1026" s="9">
        <v>346</v>
      </c>
      <c r="H1026" s="5" t="s">
        <v>21</v>
      </c>
      <c r="I1026" s="5" t="s">
        <v>2514</v>
      </c>
      <c r="J1026" s="12" t="str">
        <f>HYPERLINK("https://www.boe.es/gazeta/dias/1801/03/31/pdfs/GMD-1801-26.pdf#page=10","Abrir facsímil")</f>
        <v>Abrir facsímil</v>
      </c>
      <c r="K1026" s="15" t="s">
        <v>23</v>
      </c>
    </row>
    <row r="1027" spans="1:11" ht="42" customHeight="1">
      <c r="A1027" s="4" t="s">
        <v>2515</v>
      </c>
      <c r="B1027" s="5" t="s">
        <v>2516</v>
      </c>
      <c r="C1027" s="5" t="s">
        <v>69</v>
      </c>
      <c r="D1027" s="5" t="s">
        <v>19</v>
      </c>
      <c r="E1027" s="5" t="s">
        <v>1058</v>
      </c>
      <c r="F1027" s="9">
        <v>108</v>
      </c>
      <c r="G1027" s="9">
        <v>1191</v>
      </c>
      <c r="H1027" s="5" t="s">
        <v>21</v>
      </c>
      <c r="I1027" s="5" t="s">
        <v>2517</v>
      </c>
      <c r="J1027" s="12" t="str">
        <f>HYPERLINK("https://www.boe.es/gazeta/dias/1801/11/20/pdfs/GMD-1801-108.pdf#page=8","Abrir facsímil")</f>
        <v>Abrir facsímil</v>
      </c>
      <c r="K1027" s="15" t="s">
        <v>23</v>
      </c>
    </row>
    <row r="1028" spans="1:11" ht="42" customHeight="1">
      <c r="A1028" s="4" t="s">
        <v>2518</v>
      </c>
      <c r="B1028" s="5" t="s">
        <v>2519</v>
      </c>
      <c r="C1028" s="5" t="s">
        <v>69</v>
      </c>
      <c r="D1028" s="5" t="s">
        <v>19</v>
      </c>
      <c r="E1028" s="5" t="s">
        <v>338</v>
      </c>
      <c r="F1028" s="9">
        <v>83</v>
      </c>
      <c r="G1028" s="9">
        <v>933</v>
      </c>
      <c r="H1028" s="5" t="s">
        <v>21</v>
      </c>
      <c r="I1028" s="5" t="s">
        <v>2520</v>
      </c>
      <c r="J1028" s="12" t="str">
        <f>HYPERLINK("https://www.boe.es/gazeta/dias/1801/09/01/pdfs/GMD-1801-83.pdf#page=8","Abrir facsímil")</f>
        <v>Abrir facsímil</v>
      </c>
      <c r="K1028" s="15" t="s">
        <v>23</v>
      </c>
    </row>
    <row r="1029" spans="1:11" ht="42" customHeight="1">
      <c r="A1029" s="4" t="s">
        <v>2521</v>
      </c>
      <c r="B1029" s="5" t="s">
        <v>2522</v>
      </c>
      <c r="C1029" s="5" t="s">
        <v>32</v>
      </c>
      <c r="D1029" s="5" t="s">
        <v>33</v>
      </c>
      <c r="E1029" s="5" t="s">
        <v>465</v>
      </c>
      <c r="F1029" s="9">
        <v>4</v>
      </c>
      <c r="G1029" s="9">
        <v>46</v>
      </c>
      <c r="H1029" s="5" t="s">
        <v>21</v>
      </c>
      <c r="I1029" s="5" t="s">
        <v>2523</v>
      </c>
      <c r="J1029" s="12" t="str">
        <f>HYPERLINK("https://www.boe.es/gazeta/dias/1801/01/13/pdfs/GMD-1801-4.pdf#page=10","Abrir facsímil")</f>
        <v>Abrir facsímil</v>
      </c>
      <c r="K1029" s="15" t="s">
        <v>23</v>
      </c>
    </row>
    <row r="1030" spans="1:11" ht="42" customHeight="1">
      <c r="A1030" s="4" t="s">
        <v>2524</v>
      </c>
      <c r="B1030" s="5" t="s">
        <v>2525</v>
      </c>
      <c r="C1030" s="5" t="s">
        <v>32</v>
      </c>
      <c r="D1030" s="5" t="s">
        <v>33</v>
      </c>
      <c r="E1030" s="5" t="s">
        <v>924</v>
      </c>
      <c r="F1030" s="9">
        <v>90</v>
      </c>
      <c r="G1030" s="9">
        <v>992</v>
      </c>
      <c r="H1030" s="5" t="s">
        <v>21</v>
      </c>
      <c r="I1030" s="5" t="s">
        <v>2526</v>
      </c>
      <c r="J1030" s="12" t="str">
        <f>HYPERLINK("https://www.boe.es/gazeta/dias/1801/09/18/pdfs/GMD-1801-90.pdf#page=7","Abrir facsímil")</f>
        <v>Abrir facsímil</v>
      </c>
      <c r="K1030" s="15" t="s">
        <v>23</v>
      </c>
    </row>
    <row r="1031" spans="1:11" ht="42" customHeight="1">
      <c r="A1031" s="4" t="s">
        <v>2527</v>
      </c>
      <c r="B1031" s="5" t="s">
        <v>2528</v>
      </c>
      <c r="C1031" s="5" t="s">
        <v>32</v>
      </c>
      <c r="D1031" s="5" t="s">
        <v>33</v>
      </c>
      <c r="E1031" s="5" t="s">
        <v>338</v>
      </c>
      <c r="F1031" s="9">
        <v>83</v>
      </c>
      <c r="G1031" s="9">
        <v>931</v>
      </c>
      <c r="H1031" s="5" t="s">
        <v>21</v>
      </c>
      <c r="I1031" s="5" t="s">
        <v>2529</v>
      </c>
      <c r="J1031" s="12" t="str">
        <f>HYPERLINK("https://www.boe.es/gazeta/dias/1801/09/01/pdfs/GMD-1801-83.pdf#page=6","Abrir facsímil")</f>
        <v>Abrir facsímil</v>
      </c>
      <c r="K1031" s="15" t="s">
        <v>23</v>
      </c>
    </row>
    <row r="1032" spans="1:11" ht="42" customHeight="1">
      <c r="A1032" s="4" t="s">
        <v>2527</v>
      </c>
      <c r="B1032" s="5" t="s">
        <v>2528</v>
      </c>
      <c r="C1032" s="5" t="s">
        <v>32</v>
      </c>
      <c r="D1032" s="5" t="s">
        <v>33</v>
      </c>
      <c r="E1032" s="5" t="s">
        <v>2185</v>
      </c>
      <c r="F1032" s="9">
        <v>84</v>
      </c>
      <c r="G1032" s="9">
        <v>940</v>
      </c>
      <c r="H1032" s="5" t="s">
        <v>21</v>
      </c>
      <c r="I1032" s="5" t="s">
        <v>2530</v>
      </c>
      <c r="J1032" s="12" t="str">
        <f>HYPERLINK("https://www.boe.es/gazeta/dias/1801/09/04/pdfs/GMD-1801-84.pdf#page=3","Abrir facsímil")</f>
        <v>Abrir facsímil</v>
      </c>
      <c r="K1032" s="15" t="s">
        <v>23</v>
      </c>
    </row>
    <row r="1033" spans="1:11" ht="42" customHeight="1">
      <c r="A1033" s="4" t="s">
        <v>2531</v>
      </c>
      <c r="B1033" s="5" t="s">
        <v>2531</v>
      </c>
      <c r="C1033" s="5" t="s">
        <v>32</v>
      </c>
      <c r="D1033" s="5" t="s">
        <v>33</v>
      </c>
      <c r="E1033" s="5" t="s">
        <v>99</v>
      </c>
      <c r="F1033" s="9">
        <v>32</v>
      </c>
      <c r="G1033" s="9">
        <v>416</v>
      </c>
      <c r="H1033" s="5" t="s">
        <v>21</v>
      </c>
      <c r="I1033" s="5" t="s">
        <v>2532</v>
      </c>
      <c r="J1033" s="12" t="str">
        <f>HYPERLINK("https://www.boe.es/gazeta/dias/1801/04/21/pdfs/GMD-1801-32.pdf#page=12","Abrir facsímil")</f>
        <v>Abrir facsímil</v>
      </c>
      <c r="K1033" s="15" t="s">
        <v>23</v>
      </c>
    </row>
    <row r="1034" spans="1:11" ht="42" customHeight="1">
      <c r="A1034" s="4" t="s">
        <v>2533</v>
      </c>
      <c r="B1034" s="5" t="s">
        <v>2534</v>
      </c>
      <c r="C1034" s="5" t="s">
        <v>32</v>
      </c>
      <c r="D1034" s="5" t="s">
        <v>33</v>
      </c>
      <c r="E1034" s="5" t="s">
        <v>153</v>
      </c>
      <c r="F1034" s="9">
        <v>48</v>
      </c>
      <c r="G1034" s="9">
        <v>579</v>
      </c>
      <c r="H1034" s="5" t="s">
        <v>21</v>
      </c>
      <c r="I1034" s="5" t="s">
        <v>2535</v>
      </c>
      <c r="J1034" s="12" t="str">
        <f>HYPERLINK("https://www.boe.es/gazeta/dias/1801/06/05/pdfs/GMD-1801-48.pdf#page=1","Abrir facsímil")</f>
        <v>Abrir facsímil</v>
      </c>
      <c r="K1034" s="15" t="s">
        <v>23</v>
      </c>
    </row>
    <row r="1035" spans="1:11" ht="42" customHeight="1">
      <c r="A1035" s="4" t="s">
        <v>2536</v>
      </c>
      <c r="B1035" s="5" t="s">
        <v>2536</v>
      </c>
      <c r="C1035" s="5" t="s">
        <v>75</v>
      </c>
      <c r="D1035" s="5" t="s">
        <v>76</v>
      </c>
      <c r="E1035" s="5" t="s">
        <v>77</v>
      </c>
      <c r="F1035" s="9">
        <v>93</v>
      </c>
      <c r="G1035" s="9">
        <v>1016</v>
      </c>
      <c r="H1035" s="5" t="s">
        <v>21</v>
      </c>
      <c r="I1035" s="5" t="s">
        <v>2537</v>
      </c>
      <c r="J1035" s="12" t="str">
        <f>HYPERLINK("https://www.boe.es/gazeta/dias/1801/09/29/pdfs/GMD-1801-93.pdf#page=3","Abrir facsímil")</f>
        <v>Abrir facsímil</v>
      </c>
      <c r="K1035" s="15" t="s">
        <v>23</v>
      </c>
    </row>
    <row r="1036" spans="1:11" ht="42" customHeight="1">
      <c r="A1036" s="4" t="s">
        <v>2538</v>
      </c>
      <c r="B1036" s="5" t="s">
        <v>2539</v>
      </c>
      <c r="C1036" s="5" t="s">
        <v>32</v>
      </c>
      <c r="D1036" s="5" t="s">
        <v>33</v>
      </c>
      <c r="E1036" s="5" t="s">
        <v>48</v>
      </c>
      <c r="F1036" s="9">
        <v>20</v>
      </c>
      <c r="G1036" s="9">
        <v>265</v>
      </c>
      <c r="H1036" s="5" t="s">
        <v>21</v>
      </c>
      <c r="I1036" s="5" t="s">
        <v>2540</v>
      </c>
      <c r="J1036" s="12" t="str">
        <f>HYPERLINK("https://www.boe.es/gazeta/dias/1801/03/10/pdfs/GMD-1801-20.pdf#page=10","Abrir facsímil")</f>
        <v>Abrir facsímil</v>
      </c>
      <c r="K1036" s="15" t="s">
        <v>23</v>
      </c>
    </row>
    <row r="1037" spans="1:11" ht="42" customHeight="1">
      <c r="A1037" s="4" t="s">
        <v>2541</v>
      </c>
      <c r="B1037" s="5" t="s">
        <v>2542</v>
      </c>
      <c r="C1037" s="5" t="s">
        <v>32</v>
      </c>
      <c r="D1037" s="5" t="s">
        <v>33</v>
      </c>
      <c r="E1037" s="5" t="s">
        <v>70</v>
      </c>
      <c r="F1037" s="9">
        <v>2</v>
      </c>
      <c r="G1037" s="9">
        <v>21</v>
      </c>
      <c r="H1037" s="5" t="s">
        <v>21</v>
      </c>
      <c r="I1037" s="5" t="s">
        <v>2543</v>
      </c>
      <c r="J1037" s="12" t="str">
        <f>HYPERLINK("https://www.boe.es/gazeta/dias/1801/01/06/pdfs/GMD-1801-2.pdf#page=9","Abrir facsímil")</f>
        <v>Abrir facsímil</v>
      </c>
      <c r="K1037" s="15" t="s">
        <v>23</v>
      </c>
    </row>
    <row r="1038" spans="1:11" ht="42" customHeight="1">
      <c r="A1038" s="4" t="s">
        <v>2544</v>
      </c>
      <c r="B1038" s="5" t="s">
        <v>2545</v>
      </c>
      <c r="C1038" s="5" t="s">
        <v>38</v>
      </c>
      <c r="D1038" s="5" t="s">
        <v>39</v>
      </c>
      <c r="E1038" s="5" t="s">
        <v>70</v>
      </c>
      <c r="F1038" s="9">
        <v>2</v>
      </c>
      <c r="G1038" s="9">
        <v>21</v>
      </c>
      <c r="H1038" s="5" t="s">
        <v>21</v>
      </c>
      <c r="I1038" s="5" t="s">
        <v>2546</v>
      </c>
      <c r="J1038" s="12" t="str">
        <f>HYPERLINK("https://www.boe.es/gazeta/dias/1801/01/06/pdfs/GMD-1801-2.pdf#page=9","Abrir facsímil")</f>
        <v>Abrir facsímil</v>
      </c>
      <c r="K1038" s="15" t="s">
        <v>23</v>
      </c>
    </row>
    <row r="1039" spans="1:11" ht="42" customHeight="1">
      <c r="A1039" s="4" t="s">
        <v>2544</v>
      </c>
      <c r="B1039" s="5" t="s">
        <v>2545</v>
      </c>
      <c r="C1039" s="5" t="s">
        <v>38</v>
      </c>
      <c r="D1039" s="5" t="s">
        <v>39</v>
      </c>
      <c r="E1039" s="5" t="s">
        <v>223</v>
      </c>
      <c r="F1039" s="9">
        <v>74</v>
      </c>
      <c r="G1039" s="9">
        <v>828</v>
      </c>
      <c r="H1039" s="5" t="s">
        <v>21</v>
      </c>
      <c r="I1039" s="5" t="s">
        <v>2547</v>
      </c>
      <c r="J1039" s="12" t="str">
        <f>HYPERLINK("https://www.boe.es/gazeta/dias/1801/07/31/pdfs/GMD-1801-74.pdf#page=9","Abrir facsímil")</f>
        <v>Abrir facsímil</v>
      </c>
      <c r="K1039" s="15" t="s">
        <v>23</v>
      </c>
    </row>
    <row r="1040" spans="1:11" ht="42" customHeight="1">
      <c r="A1040" s="4" t="s">
        <v>2548</v>
      </c>
      <c r="B1040" s="5" t="s">
        <v>2548</v>
      </c>
      <c r="C1040" s="5" t="s">
        <v>38</v>
      </c>
      <c r="D1040" s="5" t="s">
        <v>39</v>
      </c>
      <c r="E1040" s="5" t="s">
        <v>194</v>
      </c>
      <c r="F1040" s="9">
        <v>92</v>
      </c>
      <c r="G1040" s="9">
        <v>1012</v>
      </c>
      <c r="H1040" s="5" t="s">
        <v>21</v>
      </c>
      <c r="I1040" s="5" t="s">
        <v>2549</v>
      </c>
      <c r="J1040" s="12" t="str">
        <f>HYPERLINK("https://www.boe.es/gazeta/dias/1801/09/25/pdfs/GMD-1801-92.pdf#page=7","Abrir facsímil")</f>
        <v>Abrir facsímil</v>
      </c>
      <c r="K1040" s="15" t="s">
        <v>23</v>
      </c>
    </row>
    <row r="1041" spans="1:11" ht="42" customHeight="1">
      <c r="A1041" s="4" t="s">
        <v>2550</v>
      </c>
      <c r="B1041" s="5" t="s">
        <v>2551</v>
      </c>
      <c r="C1041" s="5" t="s">
        <v>32</v>
      </c>
      <c r="D1041" s="5" t="s">
        <v>33</v>
      </c>
      <c r="E1041" s="5" t="s">
        <v>165</v>
      </c>
      <c r="F1041" s="9">
        <v>59</v>
      </c>
      <c r="G1041" s="9">
        <v>678</v>
      </c>
      <c r="H1041" s="5" t="s">
        <v>21</v>
      </c>
      <c r="I1041" s="5" t="s">
        <v>2552</v>
      </c>
      <c r="J1041" s="12" t="str">
        <f>HYPERLINK("https://www.boe.es/gazeta/dias/1801/06/23/pdfs/GMD-1801-59.pdf#page=11","Abrir facsímil")</f>
        <v>Abrir facsímil</v>
      </c>
      <c r="K1041" s="15" t="s">
        <v>23</v>
      </c>
    </row>
    <row r="1042" spans="1:11" ht="42" customHeight="1">
      <c r="A1042" s="4" t="s">
        <v>2553</v>
      </c>
      <c r="B1042" s="5" t="s">
        <v>2554</v>
      </c>
      <c r="C1042" s="5" t="s">
        <v>38</v>
      </c>
      <c r="D1042" s="5" t="s">
        <v>39</v>
      </c>
      <c r="E1042" s="5" t="s">
        <v>135</v>
      </c>
      <c r="F1042" s="9">
        <v>24</v>
      </c>
      <c r="G1042" s="9">
        <v>318</v>
      </c>
      <c r="H1042" s="5" t="s">
        <v>21</v>
      </c>
      <c r="I1042" s="5" t="s">
        <v>2555</v>
      </c>
      <c r="J1042" s="12" t="str">
        <f>HYPERLINK("https://www.boe.es/gazeta/dias/1801/03/24/pdfs/GMD-1801-24.pdf#page=9","Abrir facsímil")</f>
        <v>Abrir facsímil</v>
      </c>
      <c r="K1042" s="15" t="s">
        <v>23</v>
      </c>
    </row>
    <row r="1043" spans="1:11" ht="42" customHeight="1">
      <c r="A1043" s="4" t="s">
        <v>2556</v>
      </c>
      <c r="B1043" s="5" t="s">
        <v>2557</v>
      </c>
      <c r="C1043" s="5" t="s">
        <v>38</v>
      </c>
      <c r="D1043" s="5" t="s">
        <v>39</v>
      </c>
      <c r="E1043" s="5" t="s">
        <v>135</v>
      </c>
      <c r="F1043" s="9">
        <v>24</v>
      </c>
      <c r="G1043" s="9">
        <v>318</v>
      </c>
      <c r="H1043" s="5" t="s">
        <v>21</v>
      </c>
      <c r="I1043" s="5" t="s">
        <v>2558</v>
      </c>
      <c r="J1043" s="12" t="str">
        <f>HYPERLINK("https://www.boe.es/gazeta/dias/1801/03/24/pdfs/GMD-1801-24.pdf#page=9","Abrir facsímil")</f>
        <v>Abrir facsímil</v>
      </c>
      <c r="K1043" s="15" t="s">
        <v>23</v>
      </c>
    </row>
    <row r="1044" spans="1:11" ht="42" customHeight="1">
      <c r="A1044" s="4" t="s">
        <v>2559</v>
      </c>
      <c r="B1044" s="5" t="s">
        <v>2560</v>
      </c>
      <c r="C1044" s="5" t="s">
        <v>69</v>
      </c>
      <c r="D1044" s="5" t="s">
        <v>19</v>
      </c>
      <c r="E1044" s="5" t="s">
        <v>781</v>
      </c>
      <c r="F1044" s="9">
        <v>14</v>
      </c>
      <c r="G1044" s="9">
        <v>174</v>
      </c>
      <c r="H1044" s="5" t="s">
        <v>21</v>
      </c>
      <c r="I1044" s="5" t="s">
        <v>2561</v>
      </c>
      <c r="J1044" s="12" t="str">
        <f>HYPERLINK("https://www.boe.es/gazeta/dias/1801/02/17/pdfs/GMD-1801-14.pdf#page=9","Abrir facsímil")</f>
        <v>Abrir facsímil</v>
      </c>
      <c r="K1044" s="15" t="s">
        <v>23</v>
      </c>
    </row>
    <row r="1045" spans="1:11" ht="42" customHeight="1">
      <c r="A1045" s="4" t="s">
        <v>2562</v>
      </c>
      <c r="B1045" s="5" t="s">
        <v>2563</v>
      </c>
      <c r="C1045" s="5" t="s">
        <v>32</v>
      </c>
      <c r="D1045" s="5" t="s">
        <v>33</v>
      </c>
      <c r="E1045" s="5" t="s">
        <v>1015</v>
      </c>
      <c r="F1045" s="9">
        <v>15</v>
      </c>
      <c r="G1045" s="9">
        <v>187</v>
      </c>
      <c r="H1045" s="5" t="s">
        <v>21</v>
      </c>
      <c r="I1045" s="5" t="s">
        <v>2564</v>
      </c>
      <c r="J1045" s="12" t="str">
        <f>HYPERLINK("https://www.boe.es/gazeta/dias/1801/02/20/pdfs/GMD-1801-15.pdf#page=6","Abrir facsímil")</f>
        <v>Abrir facsímil</v>
      </c>
      <c r="K1045" s="15" t="s">
        <v>23</v>
      </c>
    </row>
    <row r="1046" spans="1:11" ht="42" customHeight="1">
      <c r="A1046" s="4" t="s">
        <v>2565</v>
      </c>
      <c r="B1046" s="5" t="s">
        <v>2566</v>
      </c>
      <c r="C1046" s="5" t="s">
        <v>32</v>
      </c>
      <c r="D1046" s="5" t="s">
        <v>33</v>
      </c>
      <c r="E1046" s="5" t="s">
        <v>1436</v>
      </c>
      <c r="F1046" s="9">
        <v>95</v>
      </c>
      <c r="G1046" s="9">
        <v>1038</v>
      </c>
      <c r="H1046" s="5" t="s">
        <v>21</v>
      </c>
      <c r="I1046" s="5" t="s">
        <v>2567</v>
      </c>
      <c r="J1046" s="12" t="str">
        <f>HYPERLINK("https://www.boe.es/gazeta/dias/1801/10/06/pdfs/GMD-1801-95.pdf#page=2","Abrir facsímil")</f>
        <v>Abrir facsímil</v>
      </c>
      <c r="K1046" s="15" t="s">
        <v>23</v>
      </c>
    </row>
    <row r="1047" spans="1:11" ht="42" customHeight="1">
      <c r="A1047" s="4" t="s">
        <v>2568</v>
      </c>
      <c r="B1047" s="5" t="s">
        <v>2569</v>
      </c>
      <c r="C1047" s="5" t="s">
        <v>32</v>
      </c>
      <c r="D1047" s="5" t="s">
        <v>33</v>
      </c>
      <c r="E1047" s="5" t="s">
        <v>2237</v>
      </c>
      <c r="F1047" s="9">
        <v>82</v>
      </c>
      <c r="G1047" s="9">
        <v>914</v>
      </c>
      <c r="H1047" s="5" t="s">
        <v>21</v>
      </c>
      <c r="I1047" s="5" t="s">
        <v>2570</v>
      </c>
      <c r="J1047" s="12" t="str">
        <f>HYPERLINK("https://www.boe.es/gazeta/dias/1801/08/28/pdfs/GMD-1801-82.pdf#page=3","Abrir facsímil")</f>
        <v>Abrir facsímil</v>
      </c>
      <c r="K1047" s="15" t="s">
        <v>23</v>
      </c>
    </row>
    <row r="1048" spans="1:11" ht="42" customHeight="1">
      <c r="A1048" s="4" t="s">
        <v>2571</v>
      </c>
      <c r="B1048" s="5" t="s">
        <v>2572</v>
      </c>
      <c r="C1048" s="5" t="s">
        <v>32</v>
      </c>
      <c r="D1048" s="5" t="s">
        <v>33</v>
      </c>
      <c r="E1048" s="5" t="s">
        <v>712</v>
      </c>
      <c r="F1048" s="9">
        <v>105</v>
      </c>
      <c r="G1048" s="9">
        <v>1155</v>
      </c>
      <c r="H1048" s="5" t="s">
        <v>21</v>
      </c>
      <c r="I1048" s="5" t="s">
        <v>2573</v>
      </c>
      <c r="J1048" s="12" t="str">
        <f>HYPERLINK("https://www.boe.es/gazeta/dias/1801/11/10/pdfs/GMD-1801-105.pdf#page=8","Abrir facsímil")</f>
        <v>Abrir facsímil</v>
      </c>
      <c r="K1048" s="15" t="s">
        <v>23</v>
      </c>
    </row>
    <row r="1049" spans="1:11" ht="42" customHeight="1">
      <c r="A1049" s="4" t="s">
        <v>2574</v>
      </c>
      <c r="B1049" s="5" t="s">
        <v>2575</v>
      </c>
      <c r="C1049" s="5" t="s">
        <v>32</v>
      </c>
      <c r="D1049" s="5" t="s">
        <v>33</v>
      </c>
      <c r="E1049" s="5" t="s">
        <v>34</v>
      </c>
      <c r="F1049" s="9">
        <v>38</v>
      </c>
      <c r="G1049" s="9">
        <v>494</v>
      </c>
      <c r="H1049" s="5" t="s">
        <v>21</v>
      </c>
      <c r="I1049" s="5" t="s">
        <v>2576</v>
      </c>
      <c r="J1049" s="12" t="str">
        <f>HYPERLINK("https://www.boe.es/gazeta/dias/1801/05/12/pdfs/GMD-1801-38.pdf#page=10","Abrir facsímil")</f>
        <v>Abrir facsímil</v>
      </c>
      <c r="K1049" s="15" t="s">
        <v>23</v>
      </c>
    </row>
    <row r="1050" spans="1:11" ht="42" customHeight="1">
      <c r="A1050" s="4" t="s">
        <v>2577</v>
      </c>
      <c r="B1050" s="5" t="s">
        <v>2578</v>
      </c>
      <c r="C1050" s="5" t="s">
        <v>69</v>
      </c>
      <c r="D1050" s="5" t="s">
        <v>19</v>
      </c>
      <c r="E1050" s="5" t="s">
        <v>292</v>
      </c>
      <c r="F1050" s="9">
        <v>25</v>
      </c>
      <c r="G1050" s="9">
        <v>331</v>
      </c>
      <c r="H1050" s="5" t="s">
        <v>21</v>
      </c>
      <c r="I1050" s="5" t="s">
        <v>2579</v>
      </c>
      <c r="J1050" s="12" t="str">
        <f>HYPERLINK("https://www.boe.es/gazeta/dias/1801/03/27/pdfs/GMD-1801-25.pdf#page=10","Abrir facsímil")</f>
        <v>Abrir facsímil</v>
      </c>
      <c r="K1050" s="15" t="s">
        <v>23</v>
      </c>
    </row>
    <row r="1051" spans="1:11" ht="42" customHeight="1">
      <c r="A1051" s="4" t="s">
        <v>2580</v>
      </c>
      <c r="B1051" s="5" t="s">
        <v>2580</v>
      </c>
      <c r="C1051" s="5" t="s">
        <v>69</v>
      </c>
      <c r="D1051" s="5" t="s">
        <v>19</v>
      </c>
      <c r="E1051" s="5" t="s">
        <v>349</v>
      </c>
      <c r="F1051" s="9">
        <v>112</v>
      </c>
      <c r="G1051" s="9">
        <v>1226</v>
      </c>
      <c r="H1051" s="5" t="s">
        <v>21</v>
      </c>
      <c r="I1051" s="5" t="s">
        <v>2581</v>
      </c>
      <c r="J1051" s="12" t="str">
        <f>HYPERLINK("https://www.boe.es/gazeta/dias/1801/12/04/pdfs/GMD-1801-112.pdf#page=7","Abrir facsímil")</f>
        <v>Abrir facsímil</v>
      </c>
      <c r="K1051" s="15" t="s">
        <v>23</v>
      </c>
    </row>
    <row r="1052" spans="1:11" ht="42" customHeight="1">
      <c r="A1052" s="4" t="s">
        <v>2582</v>
      </c>
      <c r="B1052" s="5" t="s">
        <v>2583</v>
      </c>
      <c r="C1052" s="5" t="s">
        <v>32</v>
      </c>
      <c r="D1052" s="5" t="s">
        <v>33</v>
      </c>
      <c r="E1052" s="5" t="s">
        <v>90</v>
      </c>
      <c r="F1052" s="9">
        <v>1</v>
      </c>
      <c r="G1052" s="9">
        <v>9</v>
      </c>
      <c r="H1052" s="5" t="s">
        <v>21</v>
      </c>
      <c r="I1052" s="5" t="s">
        <v>2584</v>
      </c>
      <c r="J1052" s="12" t="str">
        <f>HYPERLINK("https://www.boe.es/gazeta/dias/1801/01/02/pdfs/GMD-1801-1.pdf#page=9","Abrir facsímil")</f>
        <v>Abrir facsímil</v>
      </c>
      <c r="K1052" s="15" t="s">
        <v>23</v>
      </c>
    </row>
    <row r="1053" spans="1:11" ht="42" customHeight="1">
      <c r="A1053" s="4" t="s">
        <v>2585</v>
      </c>
      <c r="B1053" s="5" t="s">
        <v>2586</v>
      </c>
      <c r="C1053" s="5" t="s">
        <v>38</v>
      </c>
      <c r="D1053" s="5" t="s">
        <v>39</v>
      </c>
      <c r="E1053" s="5" t="s">
        <v>751</v>
      </c>
      <c r="F1053" s="9">
        <v>106</v>
      </c>
      <c r="G1053" s="9">
        <v>1160</v>
      </c>
      <c r="H1053" s="5" t="s">
        <v>21</v>
      </c>
      <c r="I1053" s="5" t="s">
        <v>2587</v>
      </c>
      <c r="J1053" s="12" t="str">
        <f>HYPERLINK("https://www.boe.es/gazeta/dias/1801/11/13/pdfs/GMD-1801-106.pdf#page=1","Abrir facsímil")</f>
        <v>Abrir facsímil</v>
      </c>
      <c r="K1053" s="15" t="s">
        <v>23</v>
      </c>
    </row>
    <row r="1054" spans="1:11" ht="42" customHeight="1">
      <c r="A1054" s="4" t="s">
        <v>2588</v>
      </c>
      <c r="B1054" s="5" t="s">
        <v>2589</v>
      </c>
      <c r="C1054" s="5" t="s">
        <v>18</v>
      </c>
      <c r="D1054" s="5" t="s">
        <v>19</v>
      </c>
      <c r="E1054" s="5" t="s">
        <v>62</v>
      </c>
      <c r="F1054" s="9">
        <v>6</v>
      </c>
      <c r="G1054" s="9">
        <v>69</v>
      </c>
      <c r="H1054" s="5" t="s">
        <v>21</v>
      </c>
      <c r="I1054" s="5" t="s">
        <v>2590</v>
      </c>
      <c r="J1054" s="12" t="str">
        <f>HYPERLINK("https://www.boe.es/gazeta/dias/1801/01/20/pdfs/GMD-1801-6.pdf#page=5","Abrir facsímil")</f>
        <v>Abrir facsímil</v>
      </c>
      <c r="K1054" s="15" t="s">
        <v>23</v>
      </c>
    </row>
    <row r="1055" spans="1:11" ht="42" customHeight="1">
      <c r="A1055" s="4" t="s">
        <v>2591</v>
      </c>
      <c r="B1055" s="5" t="s">
        <v>2592</v>
      </c>
      <c r="C1055" s="5" t="s">
        <v>32</v>
      </c>
      <c r="D1055" s="5" t="s">
        <v>33</v>
      </c>
      <c r="E1055" s="5" t="s">
        <v>122</v>
      </c>
      <c r="F1055" s="9">
        <v>8</v>
      </c>
      <c r="G1055" s="9">
        <v>97</v>
      </c>
      <c r="H1055" s="5" t="s">
        <v>21</v>
      </c>
      <c r="I1055" s="5" t="s">
        <v>2593</v>
      </c>
      <c r="J1055" s="12" t="str">
        <f>HYPERLINK("https://www.boe.es/gazeta/dias/1801/01/27/pdfs/GMD-1801-8.pdf#page=9","Abrir facsímil")</f>
        <v>Abrir facsímil</v>
      </c>
      <c r="K1055" s="15" t="s">
        <v>23</v>
      </c>
    </row>
    <row r="1056" spans="1:11" ht="42" customHeight="1">
      <c r="A1056" s="4" t="s">
        <v>2594</v>
      </c>
      <c r="B1056" s="5" t="s">
        <v>2594</v>
      </c>
      <c r="C1056" s="5" t="s">
        <v>32</v>
      </c>
      <c r="D1056" s="5" t="s">
        <v>33</v>
      </c>
      <c r="E1056" s="5" t="s">
        <v>186</v>
      </c>
      <c r="F1056" s="9">
        <v>21</v>
      </c>
      <c r="G1056" s="9">
        <v>281</v>
      </c>
      <c r="H1056" s="5" t="s">
        <v>21</v>
      </c>
      <c r="I1056" s="5" t="s">
        <v>2595</v>
      </c>
      <c r="J1056" s="12" t="str">
        <f>HYPERLINK("https://www.boe.es/gazeta/dias/1801/03/13/pdfs/GMD-1801-21.pdf#page=10","Abrir facsímil")</f>
        <v>Abrir facsímil</v>
      </c>
      <c r="K1056" s="15" t="s">
        <v>23</v>
      </c>
    </row>
    <row r="1057" spans="1:11" ht="42" customHeight="1">
      <c r="A1057" s="4" t="s">
        <v>2594</v>
      </c>
      <c r="B1057" s="5" t="s">
        <v>2594</v>
      </c>
      <c r="C1057" s="5" t="s">
        <v>26</v>
      </c>
      <c r="D1057" s="5" t="s">
        <v>27</v>
      </c>
      <c r="E1057" s="5" t="s">
        <v>501</v>
      </c>
      <c r="F1057" s="9">
        <v>115</v>
      </c>
      <c r="G1057" s="9" t="s">
        <v>86</v>
      </c>
      <c r="H1057" s="5" t="s">
        <v>21</v>
      </c>
      <c r="I1057" s="5" t="s">
        <v>2596</v>
      </c>
      <c r="J1057" s="12" t="str">
        <f>HYPERLINK("https://www.boe.es/gazeta/dias/1801/12/15/pdfs/GMD-C-1801-115.pdf#page=3","Abrir facsímil")</f>
        <v>Abrir facsímil</v>
      </c>
      <c r="K1057" s="15" t="s">
        <v>23</v>
      </c>
    </row>
    <row r="1058" spans="1:11" ht="42" customHeight="1">
      <c r="A1058" s="4" t="s">
        <v>2597</v>
      </c>
      <c r="B1058" s="5" t="s">
        <v>2598</v>
      </c>
      <c r="C1058" s="5" t="s">
        <v>32</v>
      </c>
      <c r="D1058" s="5" t="s">
        <v>33</v>
      </c>
      <c r="E1058" s="5" t="s">
        <v>480</v>
      </c>
      <c r="F1058" s="9">
        <v>10</v>
      </c>
      <c r="G1058" s="9">
        <v>123</v>
      </c>
      <c r="H1058" s="5" t="s">
        <v>21</v>
      </c>
      <c r="I1058" s="5" t="s">
        <v>2599</v>
      </c>
      <c r="J1058" s="12" t="str">
        <f>HYPERLINK("https://www.boe.es/gazeta/dias/1801/02/03/pdfs/GMD-1801-10.pdf#page=8","Abrir facsímil")</f>
        <v>Abrir facsímil</v>
      </c>
      <c r="K1058" s="15" t="s">
        <v>23</v>
      </c>
    </row>
    <row r="1059" spans="1:11" ht="42" customHeight="1">
      <c r="A1059" s="4" t="s">
        <v>2600</v>
      </c>
      <c r="B1059" s="5" t="s">
        <v>2600</v>
      </c>
      <c r="C1059" s="5" t="s">
        <v>18</v>
      </c>
      <c r="D1059" s="5" t="s">
        <v>19</v>
      </c>
      <c r="E1059" s="5" t="s">
        <v>97</v>
      </c>
      <c r="F1059" s="9">
        <v>31</v>
      </c>
      <c r="G1059" s="9">
        <v>404</v>
      </c>
      <c r="H1059" s="5" t="s">
        <v>21</v>
      </c>
      <c r="I1059" s="5" t="s">
        <v>2601</v>
      </c>
      <c r="J1059" s="12" t="str">
        <f>HYPERLINK("https://www.boe.es/gazeta/dias/1801/04/17/pdfs/GMD-1801-31.pdf#page=8","Abrir facsímil")</f>
        <v>Abrir facsímil</v>
      </c>
      <c r="K1059" s="15" t="s">
        <v>23</v>
      </c>
    </row>
    <row r="1060" spans="1:11" ht="42" customHeight="1">
      <c r="A1060" s="4" t="s">
        <v>2602</v>
      </c>
      <c r="B1060" s="5" t="s">
        <v>2602</v>
      </c>
      <c r="C1060" s="5" t="s">
        <v>32</v>
      </c>
      <c r="D1060" s="5" t="s">
        <v>33</v>
      </c>
      <c r="E1060" s="5" t="s">
        <v>465</v>
      </c>
      <c r="F1060" s="9">
        <v>4</v>
      </c>
      <c r="G1060" s="9">
        <v>46</v>
      </c>
      <c r="H1060" s="5" t="s">
        <v>21</v>
      </c>
      <c r="I1060" s="5" t="s">
        <v>2603</v>
      </c>
      <c r="J1060" s="12" t="str">
        <f>HYPERLINK("https://www.boe.es/gazeta/dias/1801/01/13/pdfs/GMD-1801-4.pdf#page=10","Abrir facsímil")</f>
        <v>Abrir facsímil</v>
      </c>
      <c r="K1060" s="15" t="s">
        <v>23</v>
      </c>
    </row>
    <row r="1061" spans="1:11" ht="42" customHeight="1">
      <c r="A1061" s="4" t="s">
        <v>2604</v>
      </c>
      <c r="B1061" s="5" t="s">
        <v>2604</v>
      </c>
      <c r="C1061" s="5" t="s">
        <v>69</v>
      </c>
      <c r="D1061" s="5" t="s">
        <v>19</v>
      </c>
      <c r="E1061" s="5" t="s">
        <v>275</v>
      </c>
      <c r="F1061" s="9">
        <v>9</v>
      </c>
      <c r="G1061" s="9">
        <v>112</v>
      </c>
      <c r="H1061" s="5" t="s">
        <v>21</v>
      </c>
      <c r="I1061" s="5" t="s">
        <v>2605</v>
      </c>
      <c r="J1061" s="12" t="str">
        <f>HYPERLINK("https://www.boe.es/gazeta/dias/1801/01/30/pdfs/GMD-1801-9.pdf#page=9","Abrir facsímil")</f>
        <v>Abrir facsímil</v>
      </c>
      <c r="K1061" s="15" t="s">
        <v>23</v>
      </c>
    </row>
    <row r="1062" spans="1:11" ht="42" customHeight="1">
      <c r="A1062" s="4" t="s">
        <v>2606</v>
      </c>
      <c r="B1062" s="5" t="s">
        <v>2607</v>
      </c>
      <c r="C1062" s="5" t="s">
        <v>18</v>
      </c>
      <c r="D1062" s="5" t="s">
        <v>19</v>
      </c>
      <c r="E1062" s="5" t="s">
        <v>190</v>
      </c>
      <c r="F1062" s="9">
        <v>16</v>
      </c>
      <c r="G1062" s="9">
        <v>202</v>
      </c>
      <c r="H1062" s="5" t="s">
        <v>21</v>
      </c>
      <c r="I1062" s="5" t="s">
        <v>2608</v>
      </c>
      <c r="J1062" s="12" t="str">
        <f>HYPERLINK("https://www.boe.es/gazeta/dias/1801/02/24/pdfs/GMD-1801-16.pdf#page=9","Abrir facsímil")</f>
        <v>Abrir facsímil</v>
      </c>
      <c r="K1062" s="15" t="s">
        <v>23</v>
      </c>
    </row>
    <row r="1063" spans="1:11" ht="42" customHeight="1">
      <c r="A1063" s="4" t="s">
        <v>2609</v>
      </c>
      <c r="B1063" s="5" t="s">
        <v>2610</v>
      </c>
      <c r="C1063" s="5" t="s">
        <v>26</v>
      </c>
      <c r="D1063" s="5" t="s">
        <v>27</v>
      </c>
      <c r="E1063" s="5" t="s">
        <v>101</v>
      </c>
      <c r="F1063" s="9">
        <v>41</v>
      </c>
      <c r="G1063" s="9">
        <v>524</v>
      </c>
      <c r="H1063" s="5" t="s">
        <v>21</v>
      </c>
      <c r="I1063" s="5" t="s">
        <v>2611</v>
      </c>
      <c r="J1063" s="12" t="str">
        <f>HYPERLINK("https://www.boe.es/gazeta/dias/1801/05/22/pdfs/GMD-1801-41.pdf#page=8","Abrir facsímil")</f>
        <v>Abrir facsímil</v>
      </c>
      <c r="K1063" s="15" t="s">
        <v>23</v>
      </c>
    </row>
    <row r="1064" spans="1:11" ht="42" customHeight="1">
      <c r="A1064" s="4" t="s">
        <v>2612</v>
      </c>
      <c r="B1064" s="5" t="s">
        <v>2613</v>
      </c>
      <c r="C1064" s="5" t="s">
        <v>75</v>
      </c>
      <c r="D1064" s="5" t="s">
        <v>76</v>
      </c>
      <c r="E1064" s="5" t="s">
        <v>448</v>
      </c>
      <c r="F1064" s="9">
        <v>35</v>
      </c>
      <c r="G1064" s="9">
        <v>449</v>
      </c>
      <c r="H1064" s="5" t="s">
        <v>21</v>
      </c>
      <c r="I1064" s="5" t="s">
        <v>2614</v>
      </c>
      <c r="J1064" s="12" t="str">
        <f>HYPERLINK("https://www.boe.es/gazeta/dias/1801/05/01/pdfs/GMD-1801-35.pdf#page=5","Abrir facsímil")</f>
        <v>Abrir facsímil</v>
      </c>
      <c r="K1064" s="15" t="s">
        <v>23</v>
      </c>
    </row>
    <row r="1065" spans="1:11" ht="42" customHeight="1">
      <c r="A1065" s="4" t="s">
        <v>2615</v>
      </c>
      <c r="B1065" s="5" t="s">
        <v>2616</v>
      </c>
      <c r="C1065" s="5" t="s">
        <v>80</v>
      </c>
      <c r="D1065" s="5" t="s">
        <v>81</v>
      </c>
      <c r="E1065" s="5" t="s">
        <v>289</v>
      </c>
      <c r="F1065" s="9">
        <v>40</v>
      </c>
      <c r="G1065" s="9" t="s">
        <v>83</v>
      </c>
      <c r="H1065" s="5" t="s">
        <v>21</v>
      </c>
      <c r="I1065" s="5" t="s">
        <v>2617</v>
      </c>
      <c r="J1065" s="12" t="str">
        <f>HYPERLINK("https://www.boe.es/gazeta/dias/1801/05/19/pdfs/GMD-C-1801-40.pdf#page=2","Abrir facsímil")</f>
        <v>Abrir facsímil</v>
      </c>
      <c r="K1065" s="15" t="s">
        <v>23</v>
      </c>
    </row>
    <row r="1066" spans="1:11" ht="42" customHeight="1">
      <c r="A1066" s="4" t="s">
        <v>2618</v>
      </c>
      <c r="B1066" s="5" t="s">
        <v>2619</v>
      </c>
      <c r="C1066" s="5" t="s">
        <v>80</v>
      </c>
      <c r="D1066" s="5" t="s">
        <v>81</v>
      </c>
      <c r="E1066" s="5" t="s">
        <v>289</v>
      </c>
      <c r="F1066" s="9">
        <v>40</v>
      </c>
      <c r="G1066" s="9" t="s">
        <v>86</v>
      </c>
      <c r="H1066" s="5" t="s">
        <v>21</v>
      </c>
      <c r="I1066" s="5" t="s">
        <v>2620</v>
      </c>
      <c r="J1066" s="12" t="str">
        <f>HYPERLINK("https://www.boe.es/gazeta/dias/1801/05/19/pdfs/GMD-C-1801-40.pdf#page=3","Abrir facsímil")</f>
        <v>Abrir facsímil</v>
      </c>
      <c r="K1066" s="15" t="s">
        <v>23</v>
      </c>
    </row>
    <row r="1067" spans="1:11" ht="42" customHeight="1">
      <c r="A1067" s="4" t="s">
        <v>2621</v>
      </c>
      <c r="B1067" s="5" t="s">
        <v>2621</v>
      </c>
      <c r="C1067" s="5" t="s">
        <v>80</v>
      </c>
      <c r="D1067" s="5" t="s">
        <v>81</v>
      </c>
      <c r="E1067" s="5" t="s">
        <v>289</v>
      </c>
      <c r="F1067" s="9">
        <v>40</v>
      </c>
      <c r="G1067" s="9" t="s">
        <v>299</v>
      </c>
      <c r="H1067" s="5" t="s">
        <v>21</v>
      </c>
      <c r="I1067" s="5" t="s">
        <v>2622</v>
      </c>
      <c r="J1067" s="12" t="str">
        <f>HYPERLINK("https://www.boe.es/gazeta/dias/1801/05/19/pdfs/GMD-C-1801-40.pdf#page=5","Abrir facsímil")</f>
        <v>Abrir facsímil</v>
      </c>
      <c r="K1067" s="15" t="s">
        <v>23</v>
      </c>
    </row>
    <row r="1068" spans="1:11" ht="42" customHeight="1">
      <c r="A1068" s="4" t="s">
        <v>2623</v>
      </c>
      <c r="B1068" s="5" t="s">
        <v>2623</v>
      </c>
      <c r="C1068" s="5" t="s">
        <v>32</v>
      </c>
      <c r="D1068" s="5" t="s">
        <v>33</v>
      </c>
      <c r="E1068" s="5" t="s">
        <v>313</v>
      </c>
      <c r="F1068" s="9">
        <v>39</v>
      </c>
      <c r="G1068" s="9">
        <v>505</v>
      </c>
      <c r="H1068" s="5" t="s">
        <v>21</v>
      </c>
      <c r="I1068" s="5" t="s">
        <v>2624</v>
      </c>
      <c r="J1068" s="12" t="str">
        <f>HYPERLINK("https://www.boe.es/gazeta/dias/1801/05/15/pdfs/GMD-1801-39.pdf#page=9","Abrir facsímil")</f>
        <v>Abrir facsímil</v>
      </c>
      <c r="K1068" s="15" t="s">
        <v>23</v>
      </c>
    </row>
    <row r="1069" spans="1:11" ht="42" customHeight="1">
      <c r="A1069" s="4" t="s">
        <v>2625</v>
      </c>
      <c r="B1069" s="5" t="s">
        <v>2625</v>
      </c>
      <c r="C1069" s="5" t="s">
        <v>32</v>
      </c>
      <c r="D1069" s="5" t="s">
        <v>33</v>
      </c>
      <c r="E1069" s="5" t="s">
        <v>186</v>
      </c>
      <c r="F1069" s="9">
        <v>21</v>
      </c>
      <c r="G1069" s="9">
        <v>280</v>
      </c>
      <c r="H1069" s="5" t="s">
        <v>21</v>
      </c>
      <c r="I1069" s="5" t="s">
        <v>2626</v>
      </c>
      <c r="J1069" s="12" t="str">
        <f>HYPERLINK("https://www.boe.es/gazeta/dias/1801/03/13/pdfs/GMD-1801-21.pdf#page=9","Abrir facsímil")</f>
        <v>Abrir facsímil</v>
      </c>
      <c r="K1069" s="15" t="s">
        <v>23</v>
      </c>
    </row>
    <row r="1070" spans="1:11" ht="42" customHeight="1">
      <c r="A1070" s="4" t="s">
        <v>2627</v>
      </c>
      <c r="B1070" s="5" t="s">
        <v>2627</v>
      </c>
      <c r="C1070" s="5" t="s">
        <v>32</v>
      </c>
      <c r="D1070" s="5" t="s">
        <v>33</v>
      </c>
      <c r="E1070" s="5" t="s">
        <v>120</v>
      </c>
      <c r="F1070" s="9">
        <v>7</v>
      </c>
      <c r="G1070" s="9">
        <v>84</v>
      </c>
      <c r="H1070" s="5" t="s">
        <v>21</v>
      </c>
      <c r="I1070" s="5" t="s">
        <v>2628</v>
      </c>
      <c r="J1070" s="12" t="str">
        <f>HYPERLINK("https://www.boe.es/gazeta/dias/1801/01/23/pdfs/GMD-1801-7.pdf#page=8","Abrir facsímil")</f>
        <v>Abrir facsímil</v>
      </c>
      <c r="K1070" s="15" t="s">
        <v>23</v>
      </c>
    </row>
    <row r="1071" spans="1:11" ht="42" customHeight="1">
      <c r="A1071" s="4" t="s">
        <v>2629</v>
      </c>
      <c r="B1071" s="5" t="s">
        <v>2630</v>
      </c>
      <c r="C1071" s="5" t="s">
        <v>75</v>
      </c>
      <c r="D1071" s="5" t="s">
        <v>76</v>
      </c>
      <c r="E1071" s="5" t="s">
        <v>120</v>
      </c>
      <c r="F1071" s="9">
        <v>7</v>
      </c>
      <c r="G1071" s="9">
        <v>79</v>
      </c>
      <c r="H1071" s="5" t="s">
        <v>21</v>
      </c>
      <c r="I1071" s="5" t="s">
        <v>2631</v>
      </c>
      <c r="J1071" s="12" t="str">
        <f>HYPERLINK("https://www.boe.es/gazeta/dias/1801/01/23/pdfs/GMD-1801-7.pdf#page=3","Abrir facsímil")</f>
        <v>Abrir facsímil</v>
      </c>
      <c r="K1071" s="15" t="s">
        <v>23</v>
      </c>
    </row>
    <row r="1072" spans="1:11" ht="42" customHeight="1">
      <c r="A1072" s="4" t="s">
        <v>2629</v>
      </c>
      <c r="B1072" s="5" t="s">
        <v>2630</v>
      </c>
      <c r="C1072" s="5" t="s">
        <v>38</v>
      </c>
      <c r="D1072" s="5" t="s">
        <v>39</v>
      </c>
      <c r="E1072" s="5" t="s">
        <v>453</v>
      </c>
      <c r="F1072" s="9">
        <v>100</v>
      </c>
      <c r="G1072" s="9">
        <v>1095</v>
      </c>
      <c r="H1072" s="5" t="s">
        <v>21</v>
      </c>
      <c r="I1072" s="5" t="s">
        <v>2632</v>
      </c>
      <c r="J1072" s="12" t="str">
        <f>HYPERLINK("https://www.boe.es/gazeta/dias/1801/10/23/pdfs/GMD-1801-100.pdf#page=4","Abrir facsímil")</f>
        <v>Abrir facsímil</v>
      </c>
      <c r="K1072" s="15" t="s">
        <v>23</v>
      </c>
    </row>
    <row r="1073" spans="1:11" ht="42" customHeight="1">
      <c r="A1073" s="4" t="s">
        <v>2629</v>
      </c>
      <c r="B1073" s="5" t="s">
        <v>2630</v>
      </c>
      <c r="C1073" s="5" t="s">
        <v>32</v>
      </c>
      <c r="D1073" s="5" t="s">
        <v>33</v>
      </c>
      <c r="E1073" s="5" t="s">
        <v>751</v>
      </c>
      <c r="F1073" s="9">
        <v>106</v>
      </c>
      <c r="G1073" s="9">
        <v>1161</v>
      </c>
      <c r="H1073" s="5" t="s">
        <v>21</v>
      </c>
      <c r="I1073" s="5" t="s">
        <v>2633</v>
      </c>
      <c r="J1073" s="12" t="str">
        <f>HYPERLINK("https://www.boe.es/gazeta/dias/1801/11/13/pdfs/GMD-1801-106.pdf#page=2","Abrir facsímil")</f>
        <v>Abrir facsímil</v>
      </c>
      <c r="K1073" s="15" t="s">
        <v>23</v>
      </c>
    </row>
    <row r="1074" spans="1:11" ht="42" customHeight="1">
      <c r="A1074" s="4" t="s">
        <v>2629</v>
      </c>
      <c r="B1074" s="5" t="s">
        <v>2630</v>
      </c>
      <c r="C1074" s="5" t="s">
        <v>75</v>
      </c>
      <c r="D1074" s="5" t="s">
        <v>76</v>
      </c>
      <c r="E1074" s="5" t="s">
        <v>44</v>
      </c>
      <c r="F1074" s="9">
        <v>117</v>
      </c>
      <c r="G1074" s="9">
        <v>1275</v>
      </c>
      <c r="H1074" s="5" t="s">
        <v>21</v>
      </c>
      <c r="I1074" s="5" t="s">
        <v>2634</v>
      </c>
      <c r="J1074" s="12" t="str">
        <f>HYPERLINK("https://www.boe.es/gazeta/dias/1801/12/22/pdfs/GMD-1801-117.pdf#page=2","Abrir facsímil")</f>
        <v>Abrir facsímil</v>
      </c>
      <c r="K1074" s="15" t="s">
        <v>23</v>
      </c>
    </row>
    <row r="1075" spans="1:11" ht="42" customHeight="1">
      <c r="A1075" s="4" t="s">
        <v>2635</v>
      </c>
      <c r="B1075" s="5" t="s">
        <v>2636</v>
      </c>
      <c r="C1075" s="5" t="s">
        <v>75</v>
      </c>
      <c r="D1075" s="5" t="s">
        <v>76</v>
      </c>
      <c r="E1075" s="5" t="s">
        <v>122</v>
      </c>
      <c r="F1075" s="9">
        <v>8</v>
      </c>
      <c r="G1075" s="9">
        <v>92</v>
      </c>
      <c r="H1075" s="5" t="s">
        <v>21</v>
      </c>
      <c r="I1075" s="5" t="s">
        <v>2637</v>
      </c>
      <c r="J1075" s="12" t="str">
        <f>HYPERLINK("https://www.boe.es/gazeta/dias/1801/01/27/pdfs/GMD-1801-8.pdf#page=4","Abrir facsímil")</f>
        <v>Abrir facsímil</v>
      </c>
      <c r="K1075" s="15" t="s">
        <v>23</v>
      </c>
    </row>
    <row r="1076" spans="1:11" ht="42" customHeight="1">
      <c r="A1076" s="4" t="s">
        <v>2635</v>
      </c>
      <c r="B1076" s="5" t="s">
        <v>2636</v>
      </c>
      <c r="C1076" s="5" t="s">
        <v>32</v>
      </c>
      <c r="D1076" s="5" t="s">
        <v>33</v>
      </c>
      <c r="E1076" s="5" t="s">
        <v>781</v>
      </c>
      <c r="F1076" s="9">
        <v>14</v>
      </c>
      <c r="G1076" s="9">
        <v>168</v>
      </c>
      <c r="H1076" s="5" t="s">
        <v>21</v>
      </c>
      <c r="I1076" s="5" t="s">
        <v>2638</v>
      </c>
      <c r="J1076" s="12" t="str">
        <f>HYPERLINK("https://www.boe.es/gazeta/dias/1801/02/17/pdfs/GMD-1801-14.pdf#page=3","Abrir facsímil")</f>
        <v>Abrir facsímil</v>
      </c>
      <c r="K1076" s="15" t="s">
        <v>23</v>
      </c>
    </row>
    <row r="1077" spans="1:11" ht="42" customHeight="1">
      <c r="A1077" s="4" t="s">
        <v>2635</v>
      </c>
      <c r="B1077" s="5" t="s">
        <v>2636</v>
      </c>
      <c r="C1077" s="5" t="s">
        <v>75</v>
      </c>
      <c r="D1077" s="5" t="s">
        <v>76</v>
      </c>
      <c r="E1077" s="5" t="s">
        <v>161</v>
      </c>
      <c r="F1077" s="9">
        <v>58</v>
      </c>
      <c r="G1077" s="9">
        <v>657</v>
      </c>
      <c r="H1077" s="5" t="s">
        <v>21</v>
      </c>
      <c r="I1077" s="5" t="s">
        <v>2639</v>
      </c>
      <c r="J1077" s="12" t="str">
        <f>HYPERLINK("https://www.boe.es/gazeta/dias/1801/06/19/pdfs/GMD-1801-58.pdf#page=2","Abrir facsímil")</f>
        <v>Abrir facsímil</v>
      </c>
      <c r="K1077" s="15" t="s">
        <v>23</v>
      </c>
    </row>
    <row r="1078" spans="1:11" ht="42" customHeight="1">
      <c r="A1078" s="4" t="s">
        <v>2640</v>
      </c>
      <c r="B1078" s="5" t="s">
        <v>2640</v>
      </c>
      <c r="C1078" s="5" t="s">
        <v>75</v>
      </c>
      <c r="D1078" s="5" t="s">
        <v>76</v>
      </c>
      <c r="E1078" s="5" t="s">
        <v>317</v>
      </c>
      <c r="F1078" s="9">
        <v>102</v>
      </c>
      <c r="G1078" s="9">
        <v>1119</v>
      </c>
      <c r="H1078" s="5" t="s">
        <v>21</v>
      </c>
      <c r="I1078" s="5" t="s">
        <v>2641</v>
      </c>
      <c r="J1078" s="12" t="str">
        <f>HYPERLINK("https://www.boe.es/gazeta/dias/1801/10/30/pdfs/GMD-1801-102.pdf#page=4","Abrir facsímil")</f>
        <v>Abrir facsímil</v>
      </c>
      <c r="K1078" s="15" t="s">
        <v>23</v>
      </c>
    </row>
    <row r="1079" spans="1:11" ht="42" customHeight="1">
      <c r="A1079" s="4" t="s">
        <v>2642</v>
      </c>
      <c r="B1079" s="5" t="s">
        <v>2642</v>
      </c>
      <c r="C1079" s="5" t="s">
        <v>75</v>
      </c>
      <c r="D1079" s="5" t="s">
        <v>76</v>
      </c>
      <c r="E1079" s="5" t="s">
        <v>712</v>
      </c>
      <c r="F1079" s="9">
        <v>105</v>
      </c>
      <c r="G1079" s="9">
        <v>1154</v>
      </c>
      <c r="H1079" s="5" t="s">
        <v>21</v>
      </c>
      <c r="I1079" s="5" t="s">
        <v>2643</v>
      </c>
      <c r="J1079" s="12" t="str">
        <f>HYPERLINK("https://www.boe.es/gazeta/dias/1801/11/10/pdfs/GMD-1801-105.pdf#page=7","Abrir facsímil")</f>
        <v>Abrir facsímil</v>
      </c>
      <c r="K1079" s="15" t="s">
        <v>23</v>
      </c>
    </row>
    <row r="1080" spans="1:11" ht="42" customHeight="1">
      <c r="A1080" s="4" t="s">
        <v>2644</v>
      </c>
      <c r="B1080" s="5" t="s">
        <v>2644</v>
      </c>
      <c r="C1080" s="5" t="s">
        <v>38</v>
      </c>
      <c r="D1080" s="5" t="s">
        <v>39</v>
      </c>
      <c r="E1080" s="5" t="s">
        <v>615</v>
      </c>
      <c r="F1080" s="9">
        <v>72</v>
      </c>
      <c r="G1080" s="9">
        <v>801</v>
      </c>
      <c r="H1080" s="5" t="s">
        <v>21</v>
      </c>
      <c r="I1080" s="5" t="s">
        <v>2645</v>
      </c>
      <c r="J1080" s="12" t="str">
        <f>HYPERLINK("https://www.boe.es/gazeta/dias/1801/07/24/pdfs/GMD-1801-72.pdf#page=6","Abrir facsímil")</f>
        <v>Abrir facsímil</v>
      </c>
      <c r="K1080" s="15" t="s">
        <v>23</v>
      </c>
    </row>
    <row r="1081" spans="1:11" ht="42" customHeight="1">
      <c r="A1081" s="4" t="s">
        <v>2646</v>
      </c>
      <c r="B1081" s="5" t="s">
        <v>2646</v>
      </c>
      <c r="C1081" s="5" t="s">
        <v>38</v>
      </c>
      <c r="D1081" s="5" t="s">
        <v>39</v>
      </c>
      <c r="E1081" s="5" t="s">
        <v>781</v>
      </c>
      <c r="F1081" s="9">
        <v>14</v>
      </c>
      <c r="G1081" s="9">
        <v>172</v>
      </c>
      <c r="H1081" s="5" t="s">
        <v>21</v>
      </c>
      <c r="I1081" s="5" t="s">
        <v>2647</v>
      </c>
      <c r="J1081" s="12" t="str">
        <f>HYPERLINK("https://www.boe.es/gazeta/dias/1801/02/17/pdfs/GMD-1801-14.pdf#page=7","Abrir facsímil")</f>
        <v>Abrir facsímil</v>
      </c>
      <c r="K1081" s="15" t="s">
        <v>23</v>
      </c>
    </row>
    <row r="1082" spans="1:11" ht="42" customHeight="1">
      <c r="A1082" s="4" t="s">
        <v>2646</v>
      </c>
      <c r="B1082" s="5" t="s">
        <v>2646</v>
      </c>
      <c r="C1082" s="5" t="s">
        <v>75</v>
      </c>
      <c r="D1082" s="5" t="s">
        <v>76</v>
      </c>
      <c r="E1082" s="5" t="s">
        <v>101</v>
      </c>
      <c r="F1082" s="9">
        <v>41</v>
      </c>
      <c r="G1082" s="9">
        <v>520</v>
      </c>
      <c r="H1082" s="5" t="s">
        <v>21</v>
      </c>
      <c r="I1082" s="5" t="s">
        <v>2648</v>
      </c>
      <c r="J1082" s="12" t="str">
        <f>HYPERLINK("https://www.boe.es/gazeta/dias/1801/05/22/pdfs/GMD-1801-41.pdf#page=4","Abrir facsímil")</f>
        <v>Abrir facsímil</v>
      </c>
      <c r="K1082" s="15" t="s">
        <v>23</v>
      </c>
    </row>
    <row r="1083" spans="1:11" ht="42" customHeight="1">
      <c r="A1083" s="4" t="s">
        <v>2646</v>
      </c>
      <c r="B1083" s="5" t="s">
        <v>2646</v>
      </c>
      <c r="C1083" s="5" t="s">
        <v>75</v>
      </c>
      <c r="D1083" s="5" t="s">
        <v>76</v>
      </c>
      <c r="E1083" s="5" t="s">
        <v>165</v>
      </c>
      <c r="F1083" s="9">
        <v>59</v>
      </c>
      <c r="G1083" s="9">
        <v>672</v>
      </c>
      <c r="H1083" s="5" t="s">
        <v>21</v>
      </c>
      <c r="I1083" s="5" t="s">
        <v>2649</v>
      </c>
      <c r="J1083" s="12" t="str">
        <f>HYPERLINK("https://www.boe.es/gazeta/dias/1801/06/23/pdfs/GMD-1801-59.pdf#page=5","Abrir facsímil")</f>
        <v>Abrir facsímil</v>
      </c>
      <c r="K1083" s="15" t="s">
        <v>23</v>
      </c>
    </row>
    <row r="1084" spans="1:11" ht="42" customHeight="1">
      <c r="A1084" s="4" t="s">
        <v>2646</v>
      </c>
      <c r="B1084" s="5" t="s">
        <v>2646</v>
      </c>
      <c r="C1084" s="5" t="s">
        <v>69</v>
      </c>
      <c r="D1084" s="5" t="s">
        <v>19</v>
      </c>
      <c r="E1084" s="5" t="s">
        <v>40</v>
      </c>
      <c r="F1084" s="9">
        <v>63</v>
      </c>
      <c r="G1084" s="9">
        <v>710</v>
      </c>
      <c r="H1084" s="5" t="s">
        <v>21</v>
      </c>
      <c r="I1084" s="5" t="s">
        <v>2650</v>
      </c>
      <c r="J1084" s="12" t="str">
        <f>HYPERLINK("https://www.boe.es/gazeta/dias/1801/07/03/pdfs/GMD-1801-63.pdf#page=7","Abrir facsímil")</f>
        <v>Abrir facsímil</v>
      </c>
      <c r="K1084" s="15" t="s">
        <v>23</v>
      </c>
    </row>
    <row r="1085" spans="1:11" ht="42" customHeight="1">
      <c r="A1085" s="4" t="s">
        <v>2646</v>
      </c>
      <c r="B1085" s="5" t="s">
        <v>2646</v>
      </c>
      <c r="C1085" s="5" t="s">
        <v>38</v>
      </c>
      <c r="D1085" s="5" t="s">
        <v>39</v>
      </c>
      <c r="E1085" s="5" t="s">
        <v>417</v>
      </c>
      <c r="F1085" s="9">
        <v>64</v>
      </c>
      <c r="G1085" s="9">
        <v>726</v>
      </c>
      <c r="H1085" s="5" t="s">
        <v>21</v>
      </c>
      <c r="I1085" s="5" t="s">
        <v>2651</v>
      </c>
      <c r="J1085" s="12" t="str">
        <f>HYPERLINK("https://www.boe.es/gazeta/dias/1801/07/07/pdfs/GMD-1801-64.pdf#page=7","Abrir facsímil")</f>
        <v>Abrir facsímil</v>
      </c>
      <c r="K1085" s="15" t="s">
        <v>23</v>
      </c>
    </row>
    <row r="1086" spans="1:11" ht="42" customHeight="1">
      <c r="A1086" s="4" t="s">
        <v>2652</v>
      </c>
      <c r="B1086" s="5" t="s">
        <v>2652</v>
      </c>
      <c r="C1086" s="5" t="s">
        <v>32</v>
      </c>
      <c r="D1086" s="5" t="s">
        <v>33</v>
      </c>
      <c r="E1086" s="5" t="s">
        <v>141</v>
      </c>
      <c r="F1086" s="9">
        <v>33</v>
      </c>
      <c r="G1086" s="9">
        <v>424</v>
      </c>
      <c r="H1086" s="5" t="s">
        <v>21</v>
      </c>
      <c r="I1086" s="5" t="s">
        <v>2653</v>
      </c>
      <c r="J1086" s="12" t="str">
        <f>HYPERLINK("https://www.boe.es/gazeta/dias/1801/04/24/pdfs/GMD-1801-33.pdf#page=8","Abrir facsímil")</f>
        <v>Abrir facsímil</v>
      </c>
      <c r="K1086" s="15" t="s">
        <v>23</v>
      </c>
    </row>
    <row r="1087" spans="1:11" ht="42" customHeight="1">
      <c r="A1087" s="4" t="s">
        <v>2654</v>
      </c>
      <c r="B1087" s="5" t="s">
        <v>2654</v>
      </c>
      <c r="C1087" s="5" t="s">
        <v>38</v>
      </c>
      <c r="D1087" s="5" t="s">
        <v>39</v>
      </c>
      <c r="E1087" s="5" t="s">
        <v>317</v>
      </c>
      <c r="F1087" s="9">
        <v>102</v>
      </c>
      <c r="G1087" s="9">
        <v>1123</v>
      </c>
      <c r="H1087" s="5" t="s">
        <v>21</v>
      </c>
      <c r="I1087" s="5" t="s">
        <v>2655</v>
      </c>
      <c r="J1087" s="12" t="str">
        <f>HYPERLINK("https://www.boe.es/gazeta/dias/1801/10/30/pdfs/GMD-1801-102.pdf#page=8","Abrir facsímil")</f>
        <v>Abrir facsímil</v>
      </c>
      <c r="K1087" s="15" t="s">
        <v>23</v>
      </c>
    </row>
    <row r="1088" spans="1:11" ht="42" customHeight="1">
      <c r="A1088" s="4" t="s">
        <v>2656</v>
      </c>
      <c r="B1088" s="5" t="s">
        <v>2656</v>
      </c>
      <c r="C1088" s="5" t="s">
        <v>38</v>
      </c>
      <c r="D1088" s="5" t="s">
        <v>39</v>
      </c>
      <c r="E1088" s="5" t="s">
        <v>309</v>
      </c>
      <c r="F1088" s="9">
        <v>118</v>
      </c>
      <c r="G1088" s="9">
        <v>1288</v>
      </c>
      <c r="H1088" s="5" t="s">
        <v>21</v>
      </c>
      <c r="I1088" s="5" t="s">
        <v>2657</v>
      </c>
      <c r="J1088" s="12" t="str">
        <f>HYPERLINK("https://www.boe.es/gazeta/dias/1801/12/25/pdfs/GMD-1801-118.pdf#page=3","Abrir facsímil")</f>
        <v>Abrir facsímil</v>
      </c>
      <c r="K1088" s="15" t="s">
        <v>23</v>
      </c>
    </row>
    <row r="1089" spans="1:11" ht="42" customHeight="1">
      <c r="A1089" s="4" t="s">
        <v>2656</v>
      </c>
      <c r="B1089" s="5" t="s">
        <v>2656</v>
      </c>
      <c r="C1089" s="5" t="s">
        <v>26</v>
      </c>
      <c r="D1089" s="5" t="s">
        <v>27</v>
      </c>
      <c r="E1089" s="5" t="s">
        <v>266</v>
      </c>
      <c r="F1089" s="9">
        <v>119</v>
      </c>
      <c r="G1089" s="9">
        <v>1300</v>
      </c>
      <c r="H1089" s="5" t="s">
        <v>21</v>
      </c>
      <c r="I1089" s="5" t="s">
        <v>2658</v>
      </c>
      <c r="J1089" s="12" t="str">
        <f>HYPERLINK("https://www.boe.es/gazeta/dias/1801/12/29/pdfs/GMD-1801-119.pdf#page=4","Abrir facsímil")</f>
        <v>Abrir facsímil</v>
      </c>
      <c r="K1089" s="15" t="s">
        <v>23</v>
      </c>
    </row>
    <row r="1090" spans="1:11" ht="42" customHeight="1">
      <c r="A1090" s="4" t="s">
        <v>2659</v>
      </c>
      <c r="B1090" s="5" t="s">
        <v>2659</v>
      </c>
      <c r="C1090" s="5" t="s">
        <v>26</v>
      </c>
      <c r="D1090" s="5" t="s">
        <v>27</v>
      </c>
      <c r="E1090" s="5" t="s">
        <v>105</v>
      </c>
      <c r="F1090" s="9">
        <v>44</v>
      </c>
      <c r="G1090" s="9">
        <v>551</v>
      </c>
      <c r="H1090" s="5" t="s">
        <v>21</v>
      </c>
      <c r="I1090" s="5" t="s">
        <v>2660</v>
      </c>
      <c r="J1090" s="12" t="str">
        <f>HYPERLINK("https://www.boe.es/gazeta/dias/1801/05/29/pdfs/GMD-1801-44.pdf#page=11","Abrir facsímil")</f>
        <v>Abrir facsímil</v>
      </c>
      <c r="K1090" s="15" t="s">
        <v>23</v>
      </c>
    </row>
    <row r="1091" spans="1:11" ht="42" customHeight="1">
      <c r="A1091" s="4" t="s">
        <v>2661</v>
      </c>
      <c r="B1091" s="5" t="s">
        <v>2661</v>
      </c>
      <c r="C1091" s="5" t="s">
        <v>38</v>
      </c>
      <c r="D1091" s="5" t="s">
        <v>39</v>
      </c>
      <c r="E1091" s="5" t="s">
        <v>72</v>
      </c>
      <c r="F1091" s="9">
        <v>60</v>
      </c>
      <c r="G1091" s="9">
        <v>683</v>
      </c>
      <c r="H1091" s="5" t="s">
        <v>21</v>
      </c>
      <c r="I1091" s="5" t="s">
        <v>2662</v>
      </c>
      <c r="J1091" s="12" t="str">
        <f>HYPERLINK("https://www.boe.es/gazeta/dias/1801/06/26/pdfs/GMD-1801-60.pdf#page=4","Abrir facsímil")</f>
        <v>Abrir facsímil</v>
      </c>
      <c r="K1091" s="15" t="s">
        <v>23</v>
      </c>
    </row>
    <row r="1092" spans="1:11" ht="42" customHeight="1">
      <c r="A1092" s="4" t="s">
        <v>2661</v>
      </c>
      <c r="B1092" s="5" t="s">
        <v>2661</v>
      </c>
      <c r="C1092" s="5" t="s">
        <v>32</v>
      </c>
      <c r="D1092" s="5" t="s">
        <v>33</v>
      </c>
      <c r="E1092" s="5" t="s">
        <v>764</v>
      </c>
      <c r="F1092" s="9">
        <v>80</v>
      </c>
      <c r="G1092" s="9">
        <v>895</v>
      </c>
      <c r="H1092" s="5" t="s">
        <v>21</v>
      </c>
      <c r="I1092" s="5" t="s">
        <v>2663</v>
      </c>
      <c r="J1092" s="12" t="str">
        <f>HYPERLINK("https://www.boe.es/gazeta/dias/1801/08/21/pdfs/GMD-1801-80.pdf#page=4","Abrir facsímil")</f>
        <v>Abrir facsímil</v>
      </c>
      <c r="K1092" s="15" t="s">
        <v>23</v>
      </c>
    </row>
    <row r="1093" spans="1:11" ht="42" customHeight="1">
      <c r="A1093" s="4" t="s">
        <v>2661</v>
      </c>
      <c r="B1093" s="5" t="s">
        <v>2661</v>
      </c>
      <c r="C1093" s="5" t="s">
        <v>75</v>
      </c>
      <c r="D1093" s="5" t="s">
        <v>76</v>
      </c>
      <c r="E1093" s="5" t="s">
        <v>2237</v>
      </c>
      <c r="F1093" s="9">
        <v>82</v>
      </c>
      <c r="G1093" s="9">
        <v>913</v>
      </c>
      <c r="H1093" s="5" t="s">
        <v>21</v>
      </c>
      <c r="I1093" s="5" t="s">
        <v>2664</v>
      </c>
      <c r="J1093" s="12" t="str">
        <f>HYPERLINK("https://www.boe.es/gazeta/dias/1801/08/28/pdfs/GMD-1801-82.pdf#page=2","Abrir facsímil")</f>
        <v>Abrir facsímil</v>
      </c>
      <c r="K1093" s="15" t="s">
        <v>23</v>
      </c>
    </row>
    <row r="1094" spans="1:11" ht="42" customHeight="1">
      <c r="A1094" s="4" t="s">
        <v>2661</v>
      </c>
      <c r="B1094" s="5" t="s">
        <v>2661</v>
      </c>
      <c r="C1094" s="5" t="s">
        <v>75</v>
      </c>
      <c r="D1094" s="5" t="s">
        <v>76</v>
      </c>
      <c r="E1094" s="5" t="s">
        <v>338</v>
      </c>
      <c r="F1094" s="9">
        <v>83</v>
      </c>
      <c r="G1094" s="9">
        <v>929</v>
      </c>
      <c r="H1094" s="5" t="s">
        <v>21</v>
      </c>
      <c r="I1094" s="5" t="s">
        <v>2665</v>
      </c>
      <c r="J1094" s="12" t="str">
        <f>HYPERLINK("https://www.boe.es/gazeta/dias/1801/09/01/pdfs/GMD-1801-83.pdf#page=4","Abrir facsímil")</f>
        <v>Abrir facsímil</v>
      </c>
      <c r="K1094" s="15" t="s">
        <v>23</v>
      </c>
    </row>
    <row r="1095" spans="1:11" ht="42" customHeight="1">
      <c r="A1095" s="4" t="s">
        <v>2661</v>
      </c>
      <c r="B1095" s="5" t="s">
        <v>2661</v>
      </c>
      <c r="C1095" s="5" t="s">
        <v>32</v>
      </c>
      <c r="D1095" s="5" t="s">
        <v>33</v>
      </c>
      <c r="E1095" s="5" t="s">
        <v>712</v>
      </c>
      <c r="F1095" s="9">
        <v>105</v>
      </c>
      <c r="G1095" s="9">
        <v>1150</v>
      </c>
      <c r="H1095" s="5" t="s">
        <v>21</v>
      </c>
      <c r="I1095" s="5" t="s">
        <v>2666</v>
      </c>
      <c r="J1095" s="12" t="str">
        <f>HYPERLINK("https://www.boe.es/gazeta/dias/1801/11/10/pdfs/GMD-1801-105.pdf#page=3","Abrir facsímil")</f>
        <v>Abrir facsímil</v>
      </c>
      <c r="K1095" s="15" t="s">
        <v>23</v>
      </c>
    </row>
    <row r="1096" spans="1:11" ht="42" customHeight="1">
      <c r="A1096" s="4" t="s">
        <v>2667</v>
      </c>
      <c r="B1096" s="5" t="s">
        <v>2667</v>
      </c>
      <c r="C1096" s="5" t="s">
        <v>75</v>
      </c>
      <c r="D1096" s="5" t="s">
        <v>76</v>
      </c>
      <c r="E1096" s="5" t="s">
        <v>2237</v>
      </c>
      <c r="F1096" s="9">
        <v>82</v>
      </c>
      <c r="G1096" s="9">
        <v>913</v>
      </c>
      <c r="H1096" s="5" t="s">
        <v>21</v>
      </c>
      <c r="I1096" s="5" t="s">
        <v>2668</v>
      </c>
      <c r="J1096" s="12" t="str">
        <f>HYPERLINK("https://www.boe.es/gazeta/dias/1801/08/28/pdfs/GMD-1801-82.pdf#page=2","Abrir facsímil")</f>
        <v>Abrir facsímil</v>
      </c>
      <c r="K1096" s="15" t="s">
        <v>23</v>
      </c>
    </row>
    <row r="1097" spans="1:11" ht="42" customHeight="1">
      <c r="A1097" s="4" t="s">
        <v>2669</v>
      </c>
      <c r="B1097" s="5" t="s">
        <v>2669</v>
      </c>
      <c r="C1097" s="5" t="s">
        <v>38</v>
      </c>
      <c r="D1097" s="5" t="s">
        <v>39</v>
      </c>
      <c r="E1097" s="5" t="s">
        <v>141</v>
      </c>
      <c r="F1097" s="9">
        <v>33</v>
      </c>
      <c r="G1097" s="9">
        <v>425</v>
      </c>
      <c r="H1097" s="5" t="s">
        <v>21</v>
      </c>
      <c r="I1097" s="5" t="s">
        <v>2670</v>
      </c>
      <c r="J1097" s="12" t="str">
        <f>HYPERLINK("https://www.boe.es/gazeta/dias/1801/04/24/pdfs/GMD-1801-33.pdf#page=9","Abrir facsímil")</f>
        <v>Abrir facsímil</v>
      </c>
      <c r="K1097" s="15" t="s">
        <v>23</v>
      </c>
    </row>
    <row r="1098" spans="1:11" ht="42" customHeight="1">
      <c r="A1098" s="4" t="s">
        <v>2671</v>
      </c>
      <c r="B1098" s="5" t="s">
        <v>2671</v>
      </c>
      <c r="C1098" s="5" t="s">
        <v>75</v>
      </c>
      <c r="D1098" s="5" t="s">
        <v>76</v>
      </c>
      <c r="E1098" s="5" t="s">
        <v>328</v>
      </c>
      <c r="F1098" s="9">
        <v>89</v>
      </c>
      <c r="G1098" s="9">
        <v>978</v>
      </c>
      <c r="H1098" s="5" t="s">
        <v>21</v>
      </c>
      <c r="I1098" s="5" t="s">
        <v>2672</v>
      </c>
      <c r="J1098" s="12" t="str">
        <f>HYPERLINK("https://www.boe.es/gazeta/dias/1801/09/15/pdfs/GMD-1801-89.pdf#page=5","Abrir facsímil")</f>
        <v>Abrir facsímil</v>
      </c>
      <c r="K1098" s="15" t="s">
        <v>23</v>
      </c>
    </row>
    <row r="1099" spans="1:11" ht="42" customHeight="1">
      <c r="A1099" s="4" t="s">
        <v>2673</v>
      </c>
      <c r="B1099" s="5" t="s">
        <v>2673</v>
      </c>
      <c r="C1099" s="5" t="s">
        <v>32</v>
      </c>
      <c r="D1099" s="5" t="s">
        <v>33</v>
      </c>
      <c r="E1099" s="5" t="s">
        <v>453</v>
      </c>
      <c r="F1099" s="9">
        <v>100</v>
      </c>
      <c r="G1099" s="9">
        <v>1098</v>
      </c>
      <c r="H1099" s="5" t="s">
        <v>21</v>
      </c>
      <c r="I1099" s="5" t="s">
        <v>2674</v>
      </c>
      <c r="J1099" s="12" t="str">
        <f>HYPERLINK("https://www.boe.es/gazeta/dias/1801/10/23/pdfs/GMD-1801-100.pdf#page=7","Abrir facsímil")</f>
        <v>Abrir facsímil</v>
      </c>
      <c r="K1099" s="15" t="s">
        <v>23</v>
      </c>
    </row>
    <row r="1100" spans="1:11" ht="42" customHeight="1">
      <c r="A1100" s="4" t="s">
        <v>2675</v>
      </c>
      <c r="B1100" s="5" t="s">
        <v>2675</v>
      </c>
      <c r="C1100" s="5" t="s">
        <v>32</v>
      </c>
      <c r="D1100" s="5" t="s">
        <v>33</v>
      </c>
      <c r="E1100" s="5" t="s">
        <v>256</v>
      </c>
      <c r="F1100" s="9">
        <v>78</v>
      </c>
      <c r="G1100" s="9">
        <v>878</v>
      </c>
      <c r="H1100" s="5" t="s">
        <v>21</v>
      </c>
      <c r="I1100" s="5" t="s">
        <v>2676</v>
      </c>
      <c r="J1100" s="12" t="str">
        <f>HYPERLINK("https://www.boe.es/gazeta/dias/1801/08/14/pdfs/GMD-1801-78.pdf#page=7","Abrir facsímil")</f>
        <v>Abrir facsímil</v>
      </c>
      <c r="K1100" s="15" t="s">
        <v>23</v>
      </c>
    </row>
    <row r="1101" spans="1:11" ht="42" customHeight="1">
      <c r="A1101" s="4" t="s">
        <v>2675</v>
      </c>
      <c r="B1101" s="5" t="s">
        <v>2675</v>
      </c>
      <c r="C1101" s="5" t="s">
        <v>38</v>
      </c>
      <c r="D1101" s="5" t="s">
        <v>39</v>
      </c>
      <c r="E1101" s="5" t="s">
        <v>2237</v>
      </c>
      <c r="F1101" s="9">
        <v>82</v>
      </c>
      <c r="G1101" s="9">
        <v>917</v>
      </c>
      <c r="H1101" s="5" t="s">
        <v>21</v>
      </c>
      <c r="I1101" s="5" t="s">
        <v>2677</v>
      </c>
      <c r="J1101" s="12" t="str">
        <f>HYPERLINK("https://www.boe.es/gazeta/dias/1801/08/28/pdfs/GMD-1801-82.pdf#page=6","Abrir facsímil")</f>
        <v>Abrir facsímil</v>
      </c>
      <c r="K1101" s="15" t="s">
        <v>23</v>
      </c>
    </row>
    <row r="1102" spans="1:11" ht="42" customHeight="1">
      <c r="A1102" s="4" t="s">
        <v>2678</v>
      </c>
      <c r="B1102" s="5" t="s">
        <v>2678</v>
      </c>
      <c r="C1102" s="5" t="s">
        <v>32</v>
      </c>
      <c r="D1102" s="5" t="s">
        <v>33</v>
      </c>
      <c r="E1102" s="5" t="s">
        <v>501</v>
      </c>
      <c r="F1102" s="9">
        <v>115</v>
      </c>
      <c r="G1102" s="9">
        <v>1254</v>
      </c>
      <c r="H1102" s="5" t="s">
        <v>21</v>
      </c>
      <c r="I1102" s="5" t="s">
        <v>2679</v>
      </c>
      <c r="J1102" s="12" t="str">
        <f>HYPERLINK("https://www.boe.es/gazeta/dias/1801/12/15/pdfs/GMD-1801-115.pdf#page=4","Abrir facsímil")</f>
        <v>Abrir facsímil</v>
      </c>
      <c r="K1102" s="15" t="s">
        <v>23</v>
      </c>
    </row>
    <row r="1103" spans="1:11" ht="42" customHeight="1">
      <c r="A1103" s="4" t="s">
        <v>2680</v>
      </c>
      <c r="B1103" s="5" t="s">
        <v>2680</v>
      </c>
      <c r="C1103" s="5" t="s">
        <v>32</v>
      </c>
      <c r="D1103" s="5" t="s">
        <v>33</v>
      </c>
      <c r="E1103" s="5" t="s">
        <v>1085</v>
      </c>
      <c r="F1103" s="9">
        <v>99</v>
      </c>
      <c r="G1103" s="9">
        <v>1087</v>
      </c>
      <c r="H1103" s="5" t="s">
        <v>21</v>
      </c>
      <c r="I1103" s="5" t="s">
        <v>2681</v>
      </c>
      <c r="J1103" s="12" t="str">
        <f>HYPERLINK("https://www.boe.es/gazeta/dias/1801/10/20/pdfs/GMD-1801-99.pdf#page=4","Abrir facsímil")</f>
        <v>Abrir facsímil</v>
      </c>
      <c r="K1103" s="15" t="s">
        <v>23</v>
      </c>
    </row>
    <row r="1104" spans="1:11" ht="42" customHeight="1">
      <c r="A1104" s="4" t="s">
        <v>2682</v>
      </c>
      <c r="B1104" s="5" t="s">
        <v>2682</v>
      </c>
      <c r="C1104" s="5" t="s">
        <v>26</v>
      </c>
      <c r="D1104" s="5" t="s">
        <v>27</v>
      </c>
      <c r="E1104" s="5" t="s">
        <v>158</v>
      </c>
      <c r="F1104" s="9">
        <v>55</v>
      </c>
      <c r="G1104" s="9">
        <v>631</v>
      </c>
      <c r="H1104" s="5" t="s">
        <v>21</v>
      </c>
      <c r="I1104" s="5" t="s">
        <v>2683</v>
      </c>
      <c r="J1104" s="12" t="str">
        <f>HYPERLINK("https://www.boe.es/gazeta/dias/1801/06/16/pdfs/GMD-1801-55.pdf#page=7","Abrir facsímil")</f>
        <v>Abrir facsímil</v>
      </c>
      <c r="K1104" s="15" t="s">
        <v>23</v>
      </c>
    </row>
    <row r="1105" spans="1:11" ht="42" customHeight="1">
      <c r="A1105" s="4" t="s">
        <v>2684</v>
      </c>
      <c r="B1105" s="5" t="s">
        <v>2684</v>
      </c>
      <c r="C1105" s="5" t="s">
        <v>75</v>
      </c>
      <c r="D1105" s="5" t="s">
        <v>76</v>
      </c>
      <c r="E1105" s="5" t="s">
        <v>190</v>
      </c>
      <c r="F1105" s="9">
        <v>16</v>
      </c>
      <c r="G1105" s="9">
        <v>195</v>
      </c>
      <c r="H1105" s="5" t="s">
        <v>21</v>
      </c>
      <c r="I1105" s="5" t="s">
        <v>2685</v>
      </c>
      <c r="J1105" s="12" t="str">
        <f>HYPERLINK("https://www.boe.es/gazeta/dias/1801/02/24/pdfs/GMD-1801-16.pdf#page=2","Abrir facsímil")</f>
        <v>Abrir facsímil</v>
      </c>
      <c r="K1105" s="15" t="s">
        <v>23</v>
      </c>
    </row>
    <row r="1106" spans="1:11" ht="42" customHeight="1">
      <c r="A1106" s="4" t="s">
        <v>2686</v>
      </c>
      <c r="B1106" s="5" t="s">
        <v>2686</v>
      </c>
      <c r="C1106" s="5" t="s">
        <v>32</v>
      </c>
      <c r="D1106" s="5" t="s">
        <v>33</v>
      </c>
      <c r="E1106" s="5" t="s">
        <v>137</v>
      </c>
      <c r="F1106" s="9">
        <v>30</v>
      </c>
      <c r="G1106" s="9">
        <v>392</v>
      </c>
      <c r="H1106" s="5" t="s">
        <v>21</v>
      </c>
      <c r="I1106" s="5" t="s">
        <v>2687</v>
      </c>
      <c r="J1106" s="12" t="str">
        <f>HYPERLINK("https://www.boe.es/gazeta/dias/1801/04/14/pdfs/GMD-1801-30.pdf#page=8","Abrir facsímil")</f>
        <v>Abrir facsímil</v>
      </c>
      <c r="K1106" s="15" t="s">
        <v>23</v>
      </c>
    </row>
    <row r="1107" spans="1:11" ht="42" customHeight="1">
      <c r="A1107" s="4" t="s">
        <v>2688</v>
      </c>
      <c r="B1107" s="5" t="s">
        <v>2688</v>
      </c>
      <c r="C1107" s="5" t="s">
        <v>32</v>
      </c>
      <c r="D1107" s="5" t="s">
        <v>33</v>
      </c>
      <c r="E1107" s="5" t="s">
        <v>105</v>
      </c>
      <c r="F1107" s="9">
        <v>44</v>
      </c>
      <c r="G1107" s="9">
        <v>543</v>
      </c>
      <c r="H1107" s="5" t="s">
        <v>21</v>
      </c>
      <c r="I1107" s="5" t="s">
        <v>2689</v>
      </c>
      <c r="J1107" s="12" t="str">
        <f>HYPERLINK("https://www.boe.es/gazeta/dias/1801/05/29/pdfs/GMD-1801-44.pdf#page=3","Abrir facsímil")</f>
        <v>Abrir facsímil</v>
      </c>
      <c r="K1107" s="15" t="s">
        <v>23</v>
      </c>
    </row>
    <row r="1108" spans="1:11" ht="42" customHeight="1">
      <c r="A1108" s="4" t="s">
        <v>2690</v>
      </c>
      <c r="B1108" s="5" t="s">
        <v>2690</v>
      </c>
      <c r="C1108" s="5" t="s">
        <v>75</v>
      </c>
      <c r="D1108" s="5" t="s">
        <v>76</v>
      </c>
      <c r="E1108" s="5" t="s">
        <v>137</v>
      </c>
      <c r="F1108" s="9">
        <v>30</v>
      </c>
      <c r="G1108" s="9">
        <v>385</v>
      </c>
      <c r="H1108" s="5" t="s">
        <v>21</v>
      </c>
      <c r="I1108" s="5" t="s">
        <v>2691</v>
      </c>
      <c r="J1108" s="12" t="str">
        <f>HYPERLINK("https://www.boe.es/gazeta/dias/1801/04/14/pdfs/GMD-1801-30.pdf#page=1","Abrir facsímil")</f>
        <v>Abrir facsímil</v>
      </c>
      <c r="K1108" s="15" t="s">
        <v>23</v>
      </c>
    </row>
    <row r="1109" spans="1:11" ht="42" customHeight="1">
      <c r="A1109" s="4" t="s">
        <v>2690</v>
      </c>
      <c r="B1109" s="5" t="s">
        <v>2690</v>
      </c>
      <c r="C1109" s="5" t="s">
        <v>32</v>
      </c>
      <c r="D1109" s="5" t="s">
        <v>33</v>
      </c>
      <c r="E1109" s="5" t="s">
        <v>40</v>
      </c>
      <c r="F1109" s="9">
        <v>63</v>
      </c>
      <c r="G1109" s="9">
        <v>705</v>
      </c>
      <c r="H1109" s="5" t="s">
        <v>21</v>
      </c>
      <c r="I1109" s="5" t="s">
        <v>2692</v>
      </c>
      <c r="J1109" s="12" t="str">
        <f>HYPERLINK("https://www.boe.es/gazeta/dias/1801/07/03/pdfs/GMD-1801-63.pdf#page=2","Abrir facsímil")</f>
        <v>Abrir facsímil</v>
      </c>
      <c r="K1109" s="15" t="s">
        <v>23</v>
      </c>
    </row>
    <row r="1110" spans="1:11" ht="42" customHeight="1">
      <c r="A1110" s="4" t="s">
        <v>2690</v>
      </c>
      <c r="B1110" s="5" t="s">
        <v>2690</v>
      </c>
      <c r="C1110" s="5" t="s">
        <v>75</v>
      </c>
      <c r="D1110" s="5" t="s">
        <v>76</v>
      </c>
      <c r="E1110" s="5" t="s">
        <v>366</v>
      </c>
      <c r="F1110" s="9">
        <v>86</v>
      </c>
      <c r="G1110" s="9">
        <v>951</v>
      </c>
      <c r="H1110" s="5" t="s">
        <v>21</v>
      </c>
      <c r="I1110" s="5" t="s">
        <v>2693</v>
      </c>
      <c r="J1110" s="12" t="str">
        <f>HYPERLINK("https://www.boe.es/gazeta/dias/1801/09/08/pdfs/GMD-1801-86.pdf#page=2","Abrir facsímil")</f>
        <v>Abrir facsímil</v>
      </c>
      <c r="K1110" s="15" t="s">
        <v>23</v>
      </c>
    </row>
    <row r="1111" spans="1:11" ht="42" customHeight="1">
      <c r="A1111" s="4" t="s">
        <v>2694</v>
      </c>
      <c r="B1111" s="5" t="s">
        <v>2694</v>
      </c>
      <c r="C1111" s="5" t="s">
        <v>75</v>
      </c>
      <c r="D1111" s="5" t="s">
        <v>76</v>
      </c>
      <c r="E1111" s="5" t="s">
        <v>194</v>
      </c>
      <c r="F1111" s="9">
        <v>92</v>
      </c>
      <c r="G1111" s="9">
        <v>1006</v>
      </c>
      <c r="H1111" s="5" t="s">
        <v>21</v>
      </c>
      <c r="I1111" s="5" t="s">
        <v>2695</v>
      </c>
      <c r="J1111" s="12" t="str">
        <f>HYPERLINK("https://www.boe.es/gazeta/dias/1801/09/25/pdfs/GMD-1801-92.pdf#page=1","Abrir facsímil")</f>
        <v>Abrir facsímil</v>
      </c>
      <c r="K1111" s="15" t="s">
        <v>23</v>
      </c>
    </row>
    <row r="1112" spans="1:11" ht="42" customHeight="1">
      <c r="A1112" s="4" t="s">
        <v>2690</v>
      </c>
      <c r="B1112" s="5" t="s">
        <v>2690</v>
      </c>
      <c r="C1112" s="5" t="s">
        <v>75</v>
      </c>
      <c r="D1112" s="5" t="s">
        <v>76</v>
      </c>
      <c r="E1112" s="5" t="s">
        <v>505</v>
      </c>
      <c r="F1112" s="9">
        <v>94</v>
      </c>
      <c r="G1112" s="9">
        <v>1025</v>
      </c>
      <c r="H1112" s="5" t="s">
        <v>21</v>
      </c>
      <c r="I1112" s="5" t="s">
        <v>2696</v>
      </c>
      <c r="J1112" s="12" t="str">
        <f>HYPERLINK("https://www.boe.es/gazeta/dias/1801/10/02/pdfs/GMD-1801-94.pdf#page=1","Abrir facsímil")</f>
        <v>Abrir facsímil</v>
      </c>
      <c r="K1112" s="15" t="s">
        <v>23</v>
      </c>
    </row>
    <row r="1113" spans="1:11" ht="42" customHeight="1">
      <c r="A1113" s="4" t="s">
        <v>2690</v>
      </c>
      <c r="B1113" s="5" t="s">
        <v>2690</v>
      </c>
      <c r="C1113" s="5" t="s">
        <v>75</v>
      </c>
      <c r="D1113" s="5" t="s">
        <v>76</v>
      </c>
      <c r="E1113" s="5" t="s">
        <v>266</v>
      </c>
      <c r="F1113" s="9">
        <v>119</v>
      </c>
      <c r="G1113" s="9">
        <v>1297</v>
      </c>
      <c r="H1113" s="5" t="s">
        <v>21</v>
      </c>
      <c r="I1113" s="5" t="s">
        <v>2697</v>
      </c>
      <c r="J1113" s="12" t="str">
        <f>HYPERLINK("https://www.boe.es/gazeta/dias/1801/12/29/pdfs/GMD-1801-119.pdf#page=1","Abrir facsímil")</f>
        <v>Abrir facsímil</v>
      </c>
      <c r="K1113" s="15" t="s">
        <v>23</v>
      </c>
    </row>
    <row r="1114" spans="1:11" ht="42" customHeight="1">
      <c r="A1114" s="4" t="s">
        <v>2698</v>
      </c>
      <c r="B1114" s="5" t="s">
        <v>2698</v>
      </c>
      <c r="C1114" s="5" t="s">
        <v>75</v>
      </c>
      <c r="D1114" s="5" t="s">
        <v>76</v>
      </c>
      <c r="E1114" s="5" t="s">
        <v>256</v>
      </c>
      <c r="F1114" s="9">
        <v>78</v>
      </c>
      <c r="G1114" s="9">
        <v>879</v>
      </c>
      <c r="H1114" s="5" t="s">
        <v>21</v>
      </c>
      <c r="I1114" s="5" t="s">
        <v>2699</v>
      </c>
      <c r="J1114" s="12" t="str">
        <f>HYPERLINK("https://www.boe.es/gazeta/dias/1801/08/14/pdfs/GMD-1801-78.pdf#page=8","Abrir facsímil")</f>
        <v>Abrir facsímil</v>
      </c>
      <c r="K1114" s="15" t="s">
        <v>23</v>
      </c>
    </row>
    <row r="1115" spans="1:11" ht="42" customHeight="1">
      <c r="A1115" s="4" t="s">
        <v>2700</v>
      </c>
      <c r="B1115" s="5" t="s">
        <v>2700</v>
      </c>
      <c r="C1115" s="5" t="s">
        <v>75</v>
      </c>
      <c r="D1115" s="5" t="s">
        <v>76</v>
      </c>
      <c r="E1115" s="5" t="s">
        <v>888</v>
      </c>
      <c r="F1115" s="9">
        <v>103</v>
      </c>
      <c r="G1115" s="9">
        <v>1134</v>
      </c>
      <c r="H1115" s="5" t="s">
        <v>21</v>
      </c>
      <c r="I1115" s="5" t="s">
        <v>2701</v>
      </c>
      <c r="J1115" s="12" t="str">
        <f>HYPERLINK("https://www.boe.es/gazeta/dias/1801/11/03/pdfs/GMD-1801-103.pdf#page=7","Abrir facsímil")</f>
        <v>Abrir facsímil</v>
      </c>
      <c r="K1115" s="15" t="s">
        <v>23</v>
      </c>
    </row>
    <row r="1116" spans="1:11" ht="42" customHeight="1">
      <c r="A1116" s="4" t="s">
        <v>2702</v>
      </c>
      <c r="B1116" s="5" t="s">
        <v>2702</v>
      </c>
      <c r="C1116" s="5" t="s">
        <v>26</v>
      </c>
      <c r="D1116" s="5" t="s">
        <v>27</v>
      </c>
      <c r="E1116" s="5" t="s">
        <v>317</v>
      </c>
      <c r="F1116" s="9">
        <v>102</v>
      </c>
      <c r="G1116" s="9">
        <v>1123</v>
      </c>
      <c r="H1116" s="5" t="s">
        <v>21</v>
      </c>
      <c r="I1116" s="5" t="s">
        <v>2703</v>
      </c>
      <c r="J1116" s="12" t="str">
        <f>HYPERLINK("https://www.boe.es/gazeta/dias/1801/10/30/pdfs/GMD-1801-102.pdf#page=8","Abrir facsímil")</f>
        <v>Abrir facsímil</v>
      </c>
      <c r="K1116" s="15" t="s">
        <v>23</v>
      </c>
    </row>
    <row r="1117" spans="1:11" ht="42" customHeight="1">
      <c r="A1117" s="4" t="s">
        <v>2704</v>
      </c>
      <c r="B1117" s="5" t="s">
        <v>2704</v>
      </c>
      <c r="C1117" s="5" t="s">
        <v>32</v>
      </c>
      <c r="D1117" s="5" t="s">
        <v>33</v>
      </c>
      <c r="E1117" s="5" t="s">
        <v>313</v>
      </c>
      <c r="F1117" s="9">
        <v>39</v>
      </c>
      <c r="G1117" s="9">
        <v>502</v>
      </c>
      <c r="H1117" s="5" t="s">
        <v>21</v>
      </c>
      <c r="I1117" s="5" t="s">
        <v>2705</v>
      </c>
      <c r="J1117" s="12" t="str">
        <f>HYPERLINK("https://www.boe.es/gazeta/dias/1801/05/15/pdfs/GMD-1801-39.pdf#page=6","Abrir facsímil")</f>
        <v>Abrir facsímil</v>
      </c>
      <c r="K1117" s="15" t="s">
        <v>23</v>
      </c>
    </row>
    <row r="1118" spans="1:11" ht="42" customHeight="1">
      <c r="A1118" s="4" t="s">
        <v>2706</v>
      </c>
      <c r="B1118" s="5" t="s">
        <v>2706</v>
      </c>
      <c r="C1118" s="5" t="s">
        <v>75</v>
      </c>
      <c r="D1118" s="5" t="s">
        <v>76</v>
      </c>
      <c r="E1118" s="5" t="s">
        <v>712</v>
      </c>
      <c r="F1118" s="9">
        <v>105</v>
      </c>
      <c r="G1118" s="9">
        <v>1148</v>
      </c>
      <c r="H1118" s="5" t="s">
        <v>21</v>
      </c>
      <c r="I1118" s="5" t="s">
        <v>2707</v>
      </c>
      <c r="J1118" s="12" t="str">
        <f>HYPERLINK("https://www.boe.es/gazeta/dias/1801/11/10/pdfs/GMD-1801-105.pdf#page=1","Abrir facsímil")</f>
        <v>Abrir facsímil</v>
      </c>
      <c r="K1118" s="15" t="s">
        <v>23</v>
      </c>
    </row>
    <row r="1119" spans="1:11" ht="42" customHeight="1">
      <c r="A1119" s="4" t="s">
        <v>2708</v>
      </c>
      <c r="B1119" s="5" t="s">
        <v>2708</v>
      </c>
      <c r="C1119" s="5" t="s">
        <v>38</v>
      </c>
      <c r="D1119" s="5" t="s">
        <v>39</v>
      </c>
      <c r="E1119" s="5" t="s">
        <v>352</v>
      </c>
      <c r="F1119" s="9">
        <v>43</v>
      </c>
      <c r="G1119" s="9">
        <v>534</v>
      </c>
      <c r="H1119" s="5" t="s">
        <v>21</v>
      </c>
      <c r="I1119" s="5" t="s">
        <v>2709</v>
      </c>
      <c r="J1119" s="12" t="str">
        <f>HYPERLINK("https://www.boe.es/gazeta/dias/1801/05/26/pdfs/GMD-1801-43.pdf#page=6","Abrir facsímil")</f>
        <v>Abrir facsímil</v>
      </c>
      <c r="K1119" s="15" t="s">
        <v>23</v>
      </c>
    </row>
    <row r="1120" spans="1:11" ht="42" customHeight="1">
      <c r="A1120" s="4" t="s">
        <v>2710</v>
      </c>
      <c r="B1120" s="5" t="s">
        <v>2710</v>
      </c>
      <c r="C1120" s="5" t="s">
        <v>75</v>
      </c>
      <c r="D1120" s="5" t="s">
        <v>76</v>
      </c>
      <c r="E1120" s="5" t="s">
        <v>702</v>
      </c>
      <c r="F1120" s="9">
        <v>69</v>
      </c>
      <c r="G1120" s="9">
        <v>761</v>
      </c>
      <c r="H1120" s="5" t="s">
        <v>21</v>
      </c>
      <c r="I1120" s="5" t="s">
        <v>2711</v>
      </c>
      <c r="J1120" s="12" t="str">
        <f>HYPERLINK("https://www.boe.es/gazeta/dias/1801/07/14/pdfs/GMD-1801-69.pdf#page=6","Abrir facsímil")</f>
        <v>Abrir facsímil</v>
      </c>
      <c r="K1120" s="15" t="s">
        <v>23</v>
      </c>
    </row>
    <row r="1121" spans="1:11" ht="42" customHeight="1">
      <c r="A1121" s="4" t="s">
        <v>2710</v>
      </c>
      <c r="B1121" s="5" t="s">
        <v>2710</v>
      </c>
      <c r="C1121" s="5" t="s">
        <v>38</v>
      </c>
      <c r="D1121" s="5" t="s">
        <v>39</v>
      </c>
      <c r="E1121" s="5" t="s">
        <v>171</v>
      </c>
      <c r="F1121" s="9">
        <v>76</v>
      </c>
      <c r="G1121" s="9">
        <v>849</v>
      </c>
      <c r="H1121" s="5" t="s">
        <v>21</v>
      </c>
      <c r="I1121" s="5" t="s">
        <v>2712</v>
      </c>
      <c r="J1121" s="12" t="str">
        <f>HYPERLINK("https://www.boe.es/gazeta/dias/1801/08/07/pdfs/GMD-1801-76.pdf#page=6","Abrir facsímil")</f>
        <v>Abrir facsímil</v>
      </c>
      <c r="K1121" s="15" t="s">
        <v>23</v>
      </c>
    </row>
    <row r="1122" spans="1:11" ht="42" customHeight="1">
      <c r="A1122" s="4" t="s">
        <v>2710</v>
      </c>
      <c r="B1122" s="5" t="s">
        <v>2710</v>
      </c>
      <c r="C1122" s="5" t="s">
        <v>32</v>
      </c>
      <c r="D1122" s="5" t="s">
        <v>33</v>
      </c>
      <c r="E1122" s="5" t="s">
        <v>28</v>
      </c>
      <c r="F1122" s="9">
        <v>77</v>
      </c>
      <c r="G1122" s="9">
        <v>862</v>
      </c>
      <c r="H1122" s="5" t="s">
        <v>21</v>
      </c>
      <c r="I1122" s="5" t="s">
        <v>2713</v>
      </c>
      <c r="J1122" s="12" t="str">
        <f>HYPERLINK("https://www.boe.es/gazeta/dias/1801/08/11/pdfs/GMD-1801-77.pdf#page=7","Abrir facsímil")</f>
        <v>Abrir facsímil</v>
      </c>
      <c r="K1122" s="15" t="s">
        <v>23</v>
      </c>
    </row>
    <row r="1123" spans="1:11" ht="42" customHeight="1">
      <c r="A1123" s="4" t="s">
        <v>2710</v>
      </c>
      <c r="B1123" s="5" t="s">
        <v>2710</v>
      </c>
      <c r="C1123" s="5" t="s">
        <v>75</v>
      </c>
      <c r="D1123" s="5" t="s">
        <v>76</v>
      </c>
      <c r="E1123" s="5" t="s">
        <v>924</v>
      </c>
      <c r="F1123" s="9">
        <v>90</v>
      </c>
      <c r="G1123" s="9">
        <v>990</v>
      </c>
      <c r="H1123" s="5" t="s">
        <v>21</v>
      </c>
      <c r="I1123" s="5" t="s">
        <v>2714</v>
      </c>
      <c r="J1123" s="12" t="str">
        <f>HYPERLINK("https://www.boe.es/gazeta/dias/1801/09/18/pdfs/GMD-1801-90.pdf#page=5","Abrir facsímil")</f>
        <v>Abrir facsímil</v>
      </c>
      <c r="K1123" s="15" t="s">
        <v>23</v>
      </c>
    </row>
    <row r="1124" spans="1:11" ht="42" customHeight="1">
      <c r="A1124" s="4" t="s">
        <v>2715</v>
      </c>
      <c r="B1124" s="5" t="s">
        <v>2715</v>
      </c>
      <c r="C1124" s="5" t="s">
        <v>18</v>
      </c>
      <c r="D1124" s="5" t="s">
        <v>19</v>
      </c>
      <c r="E1124" s="5" t="s">
        <v>165</v>
      </c>
      <c r="F1124" s="9">
        <v>59</v>
      </c>
      <c r="G1124" s="9">
        <v>675</v>
      </c>
      <c r="H1124" s="5" t="s">
        <v>21</v>
      </c>
      <c r="I1124" s="5" t="s">
        <v>2716</v>
      </c>
      <c r="J1124" s="12" t="str">
        <f>HYPERLINK("https://www.boe.es/gazeta/dias/1801/06/23/pdfs/GMD-1801-59.pdf#page=8","Abrir facsímil")</f>
        <v>Abrir facsímil</v>
      </c>
      <c r="K1124" s="15" t="s">
        <v>23</v>
      </c>
    </row>
    <row r="1125" spans="1:11" ht="42" customHeight="1">
      <c r="A1125" s="4" t="s">
        <v>2717</v>
      </c>
      <c r="B1125" s="5" t="s">
        <v>2717</v>
      </c>
      <c r="C1125" s="5" t="s">
        <v>38</v>
      </c>
      <c r="D1125" s="5" t="s">
        <v>39</v>
      </c>
      <c r="E1125" s="5" t="s">
        <v>258</v>
      </c>
      <c r="F1125" s="9">
        <v>96</v>
      </c>
      <c r="G1125" s="9">
        <v>1052</v>
      </c>
      <c r="H1125" s="5" t="s">
        <v>21</v>
      </c>
      <c r="I1125" s="5" t="s">
        <v>2718</v>
      </c>
      <c r="J1125" s="12" t="str">
        <f>HYPERLINK("https://www.boe.es/gazeta/dias/1801/10/09/pdfs/GMD-1801-96.pdf#page=8","Abrir facsímil")</f>
        <v>Abrir facsímil</v>
      </c>
      <c r="K1125" s="15" t="s">
        <v>23</v>
      </c>
    </row>
    <row r="1126" spans="1:11" ht="42" customHeight="1">
      <c r="A1126" s="4" t="s">
        <v>2719</v>
      </c>
      <c r="B1126" s="5" t="s">
        <v>2719</v>
      </c>
      <c r="C1126" s="5" t="s">
        <v>75</v>
      </c>
      <c r="D1126" s="5" t="s">
        <v>76</v>
      </c>
      <c r="E1126" s="5" t="s">
        <v>77</v>
      </c>
      <c r="F1126" s="9">
        <v>93</v>
      </c>
      <c r="G1126" s="9">
        <v>1016</v>
      </c>
      <c r="H1126" s="5" t="s">
        <v>21</v>
      </c>
      <c r="I1126" s="5" t="s">
        <v>2720</v>
      </c>
      <c r="J1126" s="12" t="str">
        <f>HYPERLINK("https://www.boe.es/gazeta/dias/1801/09/29/pdfs/GMD-1801-93.pdf#page=3","Abrir facsímil")</f>
        <v>Abrir facsímil</v>
      </c>
      <c r="K1126" s="15" t="s">
        <v>23</v>
      </c>
    </row>
    <row r="1127" spans="1:11" ht="42" customHeight="1">
      <c r="A1127" s="4" t="s">
        <v>2721</v>
      </c>
      <c r="B1127" s="5" t="s">
        <v>2721</v>
      </c>
      <c r="C1127" s="5" t="s">
        <v>18</v>
      </c>
      <c r="D1127" s="5" t="s">
        <v>19</v>
      </c>
      <c r="E1127" s="5" t="s">
        <v>924</v>
      </c>
      <c r="F1127" s="9">
        <v>90</v>
      </c>
      <c r="G1127" s="9">
        <v>991</v>
      </c>
      <c r="H1127" s="5" t="s">
        <v>21</v>
      </c>
      <c r="I1127" s="5" t="s">
        <v>2722</v>
      </c>
      <c r="J1127" s="12" t="str">
        <f>HYPERLINK("https://www.boe.es/gazeta/dias/1801/09/18/pdfs/GMD-1801-90.pdf#page=6","Abrir facsímil")</f>
        <v>Abrir facsímil</v>
      </c>
      <c r="K1127" s="15" t="s">
        <v>23</v>
      </c>
    </row>
    <row r="1128" spans="1:11" ht="42" customHeight="1">
      <c r="A1128" s="4" t="s">
        <v>2723</v>
      </c>
      <c r="B1128" s="5" t="s">
        <v>2723</v>
      </c>
      <c r="C1128" s="5" t="s">
        <v>32</v>
      </c>
      <c r="D1128" s="5" t="s">
        <v>33</v>
      </c>
      <c r="E1128" s="5" t="s">
        <v>143</v>
      </c>
      <c r="F1128" s="9">
        <v>34</v>
      </c>
      <c r="G1128" s="9">
        <v>435</v>
      </c>
      <c r="H1128" s="5" t="s">
        <v>21</v>
      </c>
      <c r="I1128" s="5" t="s">
        <v>2724</v>
      </c>
      <c r="J1128" s="12" t="str">
        <f>HYPERLINK("https://www.boe.es/gazeta/dias/1801/04/28/pdfs/GMD-1801-34.pdf#page=7","Abrir facsímil")</f>
        <v>Abrir facsímil</v>
      </c>
      <c r="K1128" s="15" t="s">
        <v>23</v>
      </c>
    </row>
    <row r="1129" spans="1:11" ht="42" customHeight="1">
      <c r="A1129" s="4" t="s">
        <v>2725</v>
      </c>
      <c r="B1129" s="5" t="s">
        <v>2725</v>
      </c>
      <c r="C1129" s="5" t="s">
        <v>32</v>
      </c>
      <c r="D1129" s="5" t="s">
        <v>33</v>
      </c>
      <c r="E1129" s="5" t="s">
        <v>55</v>
      </c>
      <c r="F1129" s="9">
        <v>104</v>
      </c>
      <c r="G1129" s="9">
        <v>1143</v>
      </c>
      <c r="H1129" s="5" t="s">
        <v>21</v>
      </c>
      <c r="I1129" s="5" t="s">
        <v>2726</v>
      </c>
      <c r="J1129" s="12" t="str">
        <f>HYPERLINK("https://www.boe.es/gazeta/dias/1801/11/06/pdfs/GMD-1801-104.pdf#page=4","Abrir facsímil")</f>
        <v>Abrir facsímil</v>
      </c>
      <c r="K1129" s="15" t="s">
        <v>23</v>
      </c>
    </row>
    <row r="1130" spans="1:11" ht="42" customHeight="1">
      <c r="A1130" s="4" t="s">
        <v>2727</v>
      </c>
      <c r="B1130" s="5" t="s">
        <v>2727</v>
      </c>
      <c r="C1130" s="5" t="s">
        <v>75</v>
      </c>
      <c r="D1130" s="5" t="s">
        <v>76</v>
      </c>
      <c r="E1130" s="5" t="s">
        <v>712</v>
      </c>
      <c r="F1130" s="9">
        <v>105</v>
      </c>
      <c r="G1130" s="9">
        <v>1153</v>
      </c>
      <c r="H1130" s="5" t="s">
        <v>21</v>
      </c>
      <c r="I1130" s="5" t="s">
        <v>2728</v>
      </c>
      <c r="J1130" s="12" t="str">
        <f>HYPERLINK("https://www.boe.es/gazeta/dias/1801/11/10/pdfs/GMD-1801-105.pdf#page=6","Abrir facsímil")</f>
        <v>Abrir facsímil</v>
      </c>
      <c r="K1130" s="15" t="s">
        <v>23</v>
      </c>
    </row>
    <row r="1131" spans="1:11" ht="42" customHeight="1">
      <c r="A1131" s="4" t="s">
        <v>2729</v>
      </c>
      <c r="B1131" s="5" t="s">
        <v>2729</v>
      </c>
      <c r="C1131" s="5" t="s">
        <v>75</v>
      </c>
      <c r="D1131" s="5" t="s">
        <v>76</v>
      </c>
      <c r="E1131" s="5" t="s">
        <v>1939</v>
      </c>
      <c r="F1131" s="9">
        <v>107</v>
      </c>
      <c r="G1131" s="9">
        <v>1177</v>
      </c>
      <c r="H1131" s="5" t="s">
        <v>21</v>
      </c>
      <c r="I1131" s="5" t="s">
        <v>2730</v>
      </c>
      <c r="J1131" s="12" t="str">
        <f>HYPERLINK("https://www.boe.es/gazeta/dias/1801/11/17/pdfs/GMD-1801-107.pdf#page=6","Abrir facsímil")</f>
        <v>Abrir facsímil</v>
      </c>
      <c r="K1131" s="15" t="s">
        <v>23</v>
      </c>
    </row>
    <row r="1132" spans="1:11" ht="42" customHeight="1">
      <c r="A1132" s="4" t="s">
        <v>2729</v>
      </c>
      <c r="B1132" s="5" t="s">
        <v>2729</v>
      </c>
      <c r="C1132" s="5" t="s">
        <v>32</v>
      </c>
      <c r="D1132" s="5" t="s">
        <v>33</v>
      </c>
      <c r="E1132" s="5" t="s">
        <v>264</v>
      </c>
      <c r="F1132" s="9">
        <v>111</v>
      </c>
      <c r="G1132" s="9">
        <v>1217</v>
      </c>
      <c r="H1132" s="5" t="s">
        <v>21</v>
      </c>
      <c r="I1132" s="5" t="s">
        <v>2731</v>
      </c>
      <c r="J1132" s="12" t="str">
        <f>HYPERLINK("https://www.boe.es/gazeta/dias/1801/12/01/pdfs/GMD-1801-111.pdf#page=6","Abrir facsímil")</f>
        <v>Abrir facsímil</v>
      </c>
      <c r="K1132" s="15" t="s">
        <v>23</v>
      </c>
    </row>
    <row r="1133" spans="1:11" ht="42" customHeight="1">
      <c r="A1133" s="4" t="s">
        <v>2732</v>
      </c>
      <c r="B1133" s="5" t="s">
        <v>2732</v>
      </c>
      <c r="C1133" s="5" t="s">
        <v>75</v>
      </c>
      <c r="D1133" s="5" t="s">
        <v>76</v>
      </c>
      <c r="E1133" s="5" t="s">
        <v>1085</v>
      </c>
      <c r="F1133" s="9">
        <v>99</v>
      </c>
      <c r="G1133" s="9">
        <v>1085</v>
      </c>
      <c r="H1133" s="5" t="s">
        <v>21</v>
      </c>
      <c r="I1133" s="5" t="s">
        <v>2733</v>
      </c>
      <c r="J1133" s="12" t="str">
        <f>HYPERLINK("https://www.boe.es/gazeta/dias/1801/10/20/pdfs/GMD-1801-99.pdf#page=2","Abrir facsímil")</f>
        <v>Abrir facsímil</v>
      </c>
      <c r="K1133" s="15" t="s">
        <v>23</v>
      </c>
    </row>
    <row r="1134" spans="1:11" ht="42" customHeight="1">
      <c r="A1134" s="4" t="s">
        <v>2732</v>
      </c>
      <c r="B1134" s="5" t="s">
        <v>2732</v>
      </c>
      <c r="C1134" s="5" t="s">
        <v>26</v>
      </c>
      <c r="D1134" s="5" t="s">
        <v>27</v>
      </c>
      <c r="E1134" s="5" t="s">
        <v>453</v>
      </c>
      <c r="F1134" s="9">
        <v>100</v>
      </c>
      <c r="G1134" s="9">
        <v>1093</v>
      </c>
      <c r="H1134" s="5" t="s">
        <v>21</v>
      </c>
      <c r="I1134" s="5" t="s">
        <v>2734</v>
      </c>
      <c r="J1134" s="12" t="str">
        <f>HYPERLINK("https://www.boe.es/gazeta/dias/1801/10/23/pdfs/GMD-1801-100.pdf#page=2","Abrir facsímil")</f>
        <v>Abrir facsímil</v>
      </c>
      <c r="K1134" s="15" t="s">
        <v>23</v>
      </c>
    </row>
    <row r="1135" spans="1:11" ht="42" customHeight="1">
      <c r="A1135" s="4" t="s">
        <v>2735</v>
      </c>
      <c r="B1135" s="5" t="s">
        <v>2735</v>
      </c>
      <c r="C1135" s="5" t="s">
        <v>32</v>
      </c>
      <c r="D1135" s="5" t="s">
        <v>33</v>
      </c>
      <c r="E1135" s="5" t="s">
        <v>256</v>
      </c>
      <c r="F1135" s="9">
        <v>78</v>
      </c>
      <c r="G1135" s="9">
        <v>878</v>
      </c>
      <c r="H1135" s="5" t="s">
        <v>21</v>
      </c>
      <c r="I1135" s="5" t="s">
        <v>2736</v>
      </c>
      <c r="J1135" s="12" t="str">
        <f>HYPERLINK("https://www.boe.es/gazeta/dias/1801/08/14/pdfs/GMD-1801-78.pdf#page=7","Abrir facsímil")</f>
        <v>Abrir facsímil</v>
      </c>
      <c r="K1135" s="15" t="s">
        <v>23</v>
      </c>
    </row>
    <row r="1136" spans="1:11" ht="42" customHeight="1">
      <c r="A1136" s="4" t="s">
        <v>2735</v>
      </c>
      <c r="B1136" s="5" t="s">
        <v>2735</v>
      </c>
      <c r="C1136" s="5" t="s">
        <v>75</v>
      </c>
      <c r="D1136" s="5" t="s">
        <v>76</v>
      </c>
      <c r="E1136" s="5" t="s">
        <v>262</v>
      </c>
      <c r="F1136" s="9">
        <v>109</v>
      </c>
      <c r="G1136" s="9">
        <v>1197</v>
      </c>
      <c r="H1136" s="5" t="s">
        <v>21</v>
      </c>
      <c r="I1136" s="5" t="s">
        <v>2737</v>
      </c>
      <c r="J1136" s="12" t="str">
        <f>HYPERLINK("https://www.boe.es/gazeta/dias/1801/11/24/pdfs/GMD-1801-109.pdf#page=2","Abrir facsímil")</f>
        <v>Abrir facsímil</v>
      </c>
      <c r="K1136" s="15" t="s">
        <v>23</v>
      </c>
    </row>
    <row r="1137" spans="1:11" ht="42" customHeight="1">
      <c r="A1137" s="4" t="s">
        <v>2738</v>
      </c>
      <c r="B1137" s="5" t="s">
        <v>2738</v>
      </c>
      <c r="C1137" s="5" t="s">
        <v>38</v>
      </c>
      <c r="D1137" s="5" t="s">
        <v>39</v>
      </c>
      <c r="E1137" s="5" t="s">
        <v>72</v>
      </c>
      <c r="F1137" s="9">
        <v>60</v>
      </c>
      <c r="G1137" s="9">
        <v>687</v>
      </c>
      <c r="H1137" s="5" t="s">
        <v>21</v>
      </c>
      <c r="I1137" s="5" t="s">
        <v>2739</v>
      </c>
      <c r="J1137" s="12" t="str">
        <f>HYPERLINK("https://www.boe.es/gazeta/dias/1801/06/26/pdfs/GMD-1801-60.pdf#page=8","Abrir facsímil")</f>
        <v>Abrir facsímil</v>
      </c>
      <c r="K1137" s="15" t="s">
        <v>23</v>
      </c>
    </row>
    <row r="1138" spans="1:11" ht="42" customHeight="1">
      <c r="A1138" s="4" t="s">
        <v>2740</v>
      </c>
      <c r="B1138" s="5" t="s">
        <v>2740</v>
      </c>
      <c r="C1138" s="5" t="s">
        <v>38</v>
      </c>
      <c r="D1138" s="5" t="s">
        <v>39</v>
      </c>
      <c r="E1138" s="5" t="s">
        <v>751</v>
      </c>
      <c r="F1138" s="9">
        <v>106</v>
      </c>
      <c r="G1138" s="9">
        <v>1161</v>
      </c>
      <c r="H1138" s="5" t="s">
        <v>21</v>
      </c>
      <c r="I1138" s="5" t="s">
        <v>2741</v>
      </c>
      <c r="J1138" s="12" t="str">
        <f>HYPERLINK("https://www.boe.es/gazeta/dias/1801/11/13/pdfs/GMD-1801-106.pdf#page=2","Abrir facsímil")</f>
        <v>Abrir facsímil</v>
      </c>
      <c r="K1138" s="15" t="s">
        <v>23</v>
      </c>
    </row>
    <row r="1139" spans="1:11" ht="42" customHeight="1">
      <c r="A1139" s="4" t="s">
        <v>2742</v>
      </c>
      <c r="B1139" s="5" t="s">
        <v>2742</v>
      </c>
      <c r="C1139" s="5" t="s">
        <v>69</v>
      </c>
      <c r="D1139" s="5" t="s">
        <v>19</v>
      </c>
      <c r="E1139" s="5" t="s">
        <v>317</v>
      </c>
      <c r="F1139" s="9">
        <v>102</v>
      </c>
      <c r="G1139" s="9">
        <v>1120</v>
      </c>
      <c r="H1139" s="5" t="s">
        <v>21</v>
      </c>
      <c r="I1139" s="5" t="s">
        <v>2743</v>
      </c>
      <c r="J1139" s="12" t="str">
        <f>HYPERLINK("https://www.boe.es/gazeta/dias/1801/10/30/pdfs/GMD-1801-102.pdf#page=5","Abrir facsímil")</f>
        <v>Abrir facsímil</v>
      </c>
      <c r="K1139" s="15" t="s">
        <v>23</v>
      </c>
    </row>
    <row r="1140" spans="1:11" ht="42" customHeight="1">
      <c r="A1140" s="4" t="s">
        <v>2744</v>
      </c>
      <c r="B1140" s="5" t="s">
        <v>2744</v>
      </c>
      <c r="C1140" s="5" t="s">
        <v>38</v>
      </c>
      <c r="D1140" s="5" t="s">
        <v>39</v>
      </c>
      <c r="E1140" s="5" t="s">
        <v>264</v>
      </c>
      <c r="F1140" s="9">
        <v>111</v>
      </c>
      <c r="G1140" s="9">
        <v>1217</v>
      </c>
      <c r="H1140" s="5" t="s">
        <v>21</v>
      </c>
      <c r="I1140" s="5" t="s">
        <v>2745</v>
      </c>
      <c r="J1140" s="12" t="str">
        <f>HYPERLINK("https://www.boe.es/gazeta/dias/1801/12/01/pdfs/GMD-1801-111.pdf#page=6","Abrir facsímil")</f>
        <v>Abrir facsímil</v>
      </c>
      <c r="K1140" s="15" t="s">
        <v>23</v>
      </c>
    </row>
    <row r="1141" spans="1:11" ht="42" customHeight="1">
      <c r="A1141" s="4" t="s">
        <v>2746</v>
      </c>
      <c r="B1141" s="5" t="s">
        <v>2746</v>
      </c>
      <c r="C1141" s="5" t="s">
        <v>38</v>
      </c>
      <c r="D1141" s="5" t="s">
        <v>39</v>
      </c>
      <c r="E1141" s="5" t="s">
        <v>62</v>
      </c>
      <c r="F1141" s="9">
        <v>6</v>
      </c>
      <c r="G1141" s="9">
        <v>72</v>
      </c>
      <c r="H1141" s="5" t="s">
        <v>21</v>
      </c>
      <c r="I1141" s="5" t="s">
        <v>2747</v>
      </c>
      <c r="J1141" s="12" t="str">
        <f>HYPERLINK("https://www.boe.es/gazeta/dias/1801/01/20/pdfs/GMD-1801-6.pdf#page=8","Abrir facsímil")</f>
        <v>Abrir facsímil</v>
      </c>
      <c r="K1141" s="15" t="s">
        <v>23</v>
      </c>
    </row>
    <row r="1142" spans="1:11" ht="42" customHeight="1">
      <c r="A1142" s="4" t="s">
        <v>2748</v>
      </c>
      <c r="B1142" s="5" t="s">
        <v>2748</v>
      </c>
      <c r="C1142" s="5" t="s">
        <v>32</v>
      </c>
      <c r="D1142" s="5" t="s">
        <v>33</v>
      </c>
      <c r="E1142" s="5" t="s">
        <v>309</v>
      </c>
      <c r="F1142" s="9">
        <v>118</v>
      </c>
      <c r="G1142" s="9">
        <v>1289</v>
      </c>
      <c r="H1142" s="5" t="s">
        <v>21</v>
      </c>
      <c r="I1142" s="5" t="s">
        <v>2749</v>
      </c>
      <c r="J1142" s="12" t="str">
        <f>HYPERLINK("https://www.boe.es/gazeta/dias/1801/12/25/pdfs/GMD-1801-118.pdf#page=4","Abrir facsímil")</f>
        <v>Abrir facsímil</v>
      </c>
      <c r="K1142" s="15" t="s">
        <v>23</v>
      </c>
    </row>
    <row r="1143" spans="1:11" ht="42" customHeight="1">
      <c r="A1143" s="4" t="s">
        <v>2750</v>
      </c>
      <c r="B1143" s="5" t="s">
        <v>2750</v>
      </c>
      <c r="C1143" s="5" t="s">
        <v>32</v>
      </c>
      <c r="D1143" s="5" t="s">
        <v>33</v>
      </c>
      <c r="E1143" s="5" t="s">
        <v>28</v>
      </c>
      <c r="F1143" s="9">
        <v>77</v>
      </c>
      <c r="G1143" s="9">
        <v>862</v>
      </c>
      <c r="H1143" s="5" t="s">
        <v>21</v>
      </c>
      <c r="I1143" s="5" t="s">
        <v>2751</v>
      </c>
      <c r="J1143" s="12" t="str">
        <f>HYPERLINK("https://www.boe.es/gazeta/dias/1801/08/11/pdfs/GMD-1801-77.pdf#page=7","Abrir facsímil")</f>
        <v>Abrir facsímil</v>
      </c>
      <c r="K1143" s="15" t="s">
        <v>23</v>
      </c>
    </row>
    <row r="1144" spans="1:11" ht="42" customHeight="1">
      <c r="A1144" s="4" t="s">
        <v>2752</v>
      </c>
      <c r="B1144" s="5" t="s">
        <v>2752</v>
      </c>
      <c r="C1144" s="5" t="s">
        <v>75</v>
      </c>
      <c r="D1144" s="5" t="s">
        <v>76</v>
      </c>
      <c r="E1144" s="5" t="s">
        <v>28</v>
      </c>
      <c r="F1144" s="9">
        <v>77</v>
      </c>
      <c r="G1144" s="9">
        <v>863</v>
      </c>
      <c r="H1144" s="5" t="s">
        <v>21</v>
      </c>
      <c r="I1144" s="5" t="s">
        <v>2753</v>
      </c>
      <c r="J1144" s="12" t="str">
        <f>HYPERLINK("https://www.boe.es/gazeta/dias/1801/08/11/pdfs/GMD-1801-77.pdf#page=8","Abrir facsímil")</f>
        <v>Abrir facsímil</v>
      </c>
      <c r="K1144" s="15" t="s">
        <v>23</v>
      </c>
    </row>
    <row r="1145" spans="1:11" ht="42" customHeight="1">
      <c r="A1145" s="4" t="s">
        <v>2754</v>
      </c>
      <c r="B1145" s="5" t="s">
        <v>2754</v>
      </c>
      <c r="C1145" s="5" t="s">
        <v>26</v>
      </c>
      <c r="D1145" s="5" t="s">
        <v>27</v>
      </c>
      <c r="E1145" s="5" t="s">
        <v>97</v>
      </c>
      <c r="F1145" s="9">
        <v>31</v>
      </c>
      <c r="G1145" s="9">
        <v>403</v>
      </c>
      <c r="H1145" s="5" t="s">
        <v>21</v>
      </c>
      <c r="I1145" s="5" t="s">
        <v>2755</v>
      </c>
      <c r="J1145" s="12" t="str">
        <f>HYPERLINK("https://www.boe.es/gazeta/dias/1801/04/17/pdfs/GMD-1801-31.pdf#page=7","Abrir facsímil")</f>
        <v>Abrir facsímil</v>
      </c>
      <c r="K1145" s="15" t="s">
        <v>23</v>
      </c>
    </row>
    <row r="1146" spans="1:11" ht="42" customHeight="1">
      <c r="A1146" s="4" t="s">
        <v>2756</v>
      </c>
      <c r="B1146" s="5" t="s">
        <v>2756</v>
      </c>
      <c r="C1146" s="5" t="s">
        <v>75</v>
      </c>
      <c r="D1146" s="5" t="s">
        <v>76</v>
      </c>
      <c r="E1146" s="5" t="s">
        <v>256</v>
      </c>
      <c r="F1146" s="9">
        <v>78</v>
      </c>
      <c r="G1146" s="9">
        <v>878</v>
      </c>
      <c r="H1146" s="5" t="s">
        <v>21</v>
      </c>
      <c r="I1146" s="5" t="s">
        <v>2757</v>
      </c>
      <c r="J1146" s="12" t="str">
        <f>HYPERLINK("https://www.boe.es/gazeta/dias/1801/08/14/pdfs/GMD-1801-78.pdf#page=7","Abrir facsímil")</f>
        <v>Abrir facsímil</v>
      </c>
      <c r="K1146" s="15" t="s">
        <v>23</v>
      </c>
    </row>
    <row r="1147" spans="1:11" ht="42" customHeight="1">
      <c r="A1147" s="4" t="s">
        <v>2758</v>
      </c>
      <c r="B1147" s="5" t="s">
        <v>2758</v>
      </c>
      <c r="C1147" s="5" t="s">
        <v>75</v>
      </c>
      <c r="D1147" s="5" t="s">
        <v>76</v>
      </c>
      <c r="E1147" s="5" t="s">
        <v>223</v>
      </c>
      <c r="F1147" s="9">
        <v>74</v>
      </c>
      <c r="G1147" s="9">
        <v>826</v>
      </c>
      <c r="H1147" s="5" t="s">
        <v>21</v>
      </c>
      <c r="I1147" s="5" t="s">
        <v>2759</v>
      </c>
      <c r="J1147" s="12" t="str">
        <f>HYPERLINK("https://www.boe.es/gazeta/dias/1801/07/31/pdfs/GMD-1801-74.pdf#page=7","Abrir facsímil")</f>
        <v>Abrir facsímil</v>
      </c>
      <c r="K1147" s="15" t="s">
        <v>23</v>
      </c>
    </row>
    <row r="1148" spans="1:11" ht="42" customHeight="1">
      <c r="A1148" s="4" t="s">
        <v>2760</v>
      </c>
      <c r="B1148" s="5" t="s">
        <v>2760</v>
      </c>
      <c r="C1148" s="5" t="s">
        <v>75</v>
      </c>
      <c r="D1148" s="5" t="s">
        <v>76</v>
      </c>
      <c r="E1148" s="5" t="s">
        <v>50</v>
      </c>
      <c r="F1148" s="9">
        <v>29</v>
      </c>
      <c r="G1148" s="9">
        <v>380</v>
      </c>
      <c r="H1148" s="5" t="s">
        <v>21</v>
      </c>
      <c r="I1148" s="5" t="s">
        <v>2761</v>
      </c>
      <c r="J1148" s="12" t="str">
        <f>HYPERLINK("https://www.boe.es/gazeta/dias/1801/04/10/pdfs/GMD-1801-29.pdf#page=8","Abrir facsímil")</f>
        <v>Abrir facsímil</v>
      </c>
      <c r="K1148" s="15" t="s">
        <v>23</v>
      </c>
    </row>
    <row r="1149" spans="1:11" ht="42" customHeight="1">
      <c r="A1149" s="4" t="s">
        <v>2760</v>
      </c>
      <c r="B1149" s="5" t="s">
        <v>2760</v>
      </c>
      <c r="C1149" s="5" t="s">
        <v>75</v>
      </c>
      <c r="D1149" s="5" t="s">
        <v>76</v>
      </c>
      <c r="E1149" s="5" t="s">
        <v>137</v>
      </c>
      <c r="F1149" s="9">
        <v>30</v>
      </c>
      <c r="G1149" s="9">
        <v>392</v>
      </c>
      <c r="H1149" s="5" t="s">
        <v>21</v>
      </c>
      <c r="I1149" s="5" t="s">
        <v>2762</v>
      </c>
      <c r="J1149" s="12" t="str">
        <f>HYPERLINK("https://www.boe.es/gazeta/dias/1801/04/14/pdfs/GMD-1801-30.pdf#page=8","Abrir facsímil")</f>
        <v>Abrir facsímil</v>
      </c>
      <c r="K1149" s="15" t="s">
        <v>23</v>
      </c>
    </row>
    <row r="1150" spans="1:11" ht="42" customHeight="1">
      <c r="A1150" s="4" t="s">
        <v>2763</v>
      </c>
      <c r="B1150" s="5" t="s">
        <v>2763</v>
      </c>
      <c r="C1150" s="5" t="s">
        <v>32</v>
      </c>
      <c r="D1150" s="5" t="s">
        <v>33</v>
      </c>
      <c r="E1150" s="5" t="s">
        <v>101</v>
      </c>
      <c r="F1150" s="9">
        <v>41</v>
      </c>
      <c r="G1150" s="9">
        <v>521</v>
      </c>
      <c r="H1150" s="5" t="s">
        <v>21</v>
      </c>
      <c r="I1150" s="5" t="s">
        <v>2764</v>
      </c>
      <c r="J1150" s="12" t="str">
        <f>HYPERLINK("https://www.boe.es/gazeta/dias/1801/05/22/pdfs/GMD-1801-41.pdf#page=5","Abrir facsímil")</f>
        <v>Abrir facsímil</v>
      </c>
      <c r="K1150" s="15" t="s">
        <v>23</v>
      </c>
    </row>
    <row r="1151" spans="1:11" ht="42" customHeight="1">
      <c r="A1151" s="4" t="s">
        <v>2765</v>
      </c>
      <c r="B1151" s="5" t="s">
        <v>2765</v>
      </c>
      <c r="C1151" s="5" t="s">
        <v>75</v>
      </c>
      <c r="D1151" s="5" t="s">
        <v>76</v>
      </c>
      <c r="E1151" s="5" t="s">
        <v>313</v>
      </c>
      <c r="F1151" s="9">
        <v>39</v>
      </c>
      <c r="G1151" s="9">
        <v>503</v>
      </c>
      <c r="H1151" s="5" t="s">
        <v>21</v>
      </c>
      <c r="I1151" s="5" t="s">
        <v>2766</v>
      </c>
      <c r="J1151" s="12" t="str">
        <f>HYPERLINK("https://www.boe.es/gazeta/dias/1801/05/15/pdfs/GMD-1801-39.pdf#page=7","Abrir facsímil")</f>
        <v>Abrir facsímil</v>
      </c>
      <c r="K1151" s="15" t="s">
        <v>23</v>
      </c>
    </row>
    <row r="1152" spans="1:11" ht="42" customHeight="1">
      <c r="A1152" s="4" t="s">
        <v>2767</v>
      </c>
      <c r="B1152" s="5" t="s">
        <v>2767</v>
      </c>
      <c r="C1152" s="5" t="s">
        <v>38</v>
      </c>
      <c r="D1152" s="5" t="s">
        <v>39</v>
      </c>
      <c r="E1152" s="5" t="s">
        <v>1436</v>
      </c>
      <c r="F1152" s="9">
        <v>95</v>
      </c>
      <c r="G1152" s="9">
        <v>1042</v>
      </c>
      <c r="H1152" s="5" t="s">
        <v>21</v>
      </c>
      <c r="I1152" s="5" t="s">
        <v>2768</v>
      </c>
      <c r="J1152" s="12" t="str">
        <f>HYPERLINK("https://www.boe.es/gazeta/dias/1801/10/06/pdfs/GMD-1801-95.pdf#page=6","Abrir facsímil")</f>
        <v>Abrir facsímil</v>
      </c>
      <c r="K1152" s="15" t="s">
        <v>23</v>
      </c>
    </row>
    <row r="1153" spans="1:11" ht="42" customHeight="1">
      <c r="A1153" s="4" t="s">
        <v>2769</v>
      </c>
      <c r="B1153" s="5" t="s">
        <v>2769</v>
      </c>
      <c r="C1153" s="5" t="s">
        <v>75</v>
      </c>
      <c r="D1153" s="5" t="s">
        <v>76</v>
      </c>
      <c r="E1153" s="5" t="s">
        <v>201</v>
      </c>
      <c r="F1153" s="9">
        <v>79</v>
      </c>
      <c r="G1153" s="9">
        <v>887</v>
      </c>
      <c r="H1153" s="5" t="s">
        <v>21</v>
      </c>
      <c r="I1153" s="5" t="s">
        <v>2770</v>
      </c>
      <c r="J1153" s="12" t="str">
        <f>HYPERLINK("https://www.boe.es/gazeta/dias/1801/08/18/pdfs/GMD-1801-79.pdf#page=4","Abrir facsímil")</f>
        <v>Abrir facsímil</v>
      </c>
      <c r="K1153" s="15" t="s">
        <v>23</v>
      </c>
    </row>
    <row r="1154" spans="1:11" ht="42" customHeight="1">
      <c r="A1154" s="4" t="s">
        <v>2771</v>
      </c>
      <c r="B1154" s="5" t="s">
        <v>2771</v>
      </c>
      <c r="C1154" s="5" t="s">
        <v>38</v>
      </c>
      <c r="D1154" s="5" t="s">
        <v>39</v>
      </c>
      <c r="E1154" s="5" t="s">
        <v>112</v>
      </c>
      <c r="F1154" s="9">
        <v>114</v>
      </c>
      <c r="G1154" s="9">
        <v>1245</v>
      </c>
      <c r="H1154" s="5" t="s">
        <v>21</v>
      </c>
      <c r="I1154" s="5" t="s">
        <v>2772</v>
      </c>
      <c r="J1154" s="12" t="str">
        <f>HYPERLINK("https://www.boe.es/gazeta/dias/1801/12/11/pdfs/GMD-1801-114.pdf#page=7","Abrir facsímil")</f>
        <v>Abrir facsímil</v>
      </c>
      <c r="K1154" s="15" t="s">
        <v>23</v>
      </c>
    </row>
    <row r="1155" spans="1:11" ht="42" customHeight="1">
      <c r="A1155" s="4" t="s">
        <v>2773</v>
      </c>
      <c r="B1155" s="5" t="s">
        <v>2773</v>
      </c>
      <c r="C1155" s="5" t="s">
        <v>38</v>
      </c>
      <c r="D1155" s="5" t="s">
        <v>39</v>
      </c>
      <c r="E1155" s="5" t="s">
        <v>317</v>
      </c>
      <c r="F1155" s="9">
        <v>102</v>
      </c>
      <c r="G1155" s="9">
        <v>1120</v>
      </c>
      <c r="H1155" s="5" t="s">
        <v>21</v>
      </c>
      <c r="I1155" s="5" t="s">
        <v>2774</v>
      </c>
      <c r="J1155" s="12" t="str">
        <f>HYPERLINK("https://www.boe.es/gazeta/dias/1801/10/30/pdfs/GMD-1801-102.pdf#page=5","Abrir facsímil")</f>
        <v>Abrir facsímil</v>
      </c>
      <c r="K1155" s="15" t="s">
        <v>23</v>
      </c>
    </row>
    <row r="1156" spans="1:11" ht="42" customHeight="1">
      <c r="A1156" s="4" t="s">
        <v>2775</v>
      </c>
      <c r="B1156" s="5" t="s">
        <v>2775</v>
      </c>
      <c r="C1156" s="5" t="s">
        <v>38</v>
      </c>
      <c r="D1156" s="5" t="s">
        <v>39</v>
      </c>
      <c r="E1156" s="5" t="s">
        <v>352</v>
      </c>
      <c r="F1156" s="9">
        <v>43</v>
      </c>
      <c r="G1156" s="9">
        <v>534</v>
      </c>
      <c r="H1156" s="5" t="s">
        <v>21</v>
      </c>
      <c r="I1156" s="5" t="s">
        <v>2776</v>
      </c>
      <c r="J1156" s="12" t="str">
        <f>HYPERLINK("https://www.boe.es/gazeta/dias/1801/05/26/pdfs/GMD-1801-43.pdf#page=6","Abrir facsímil")</f>
        <v>Abrir facsímil</v>
      </c>
      <c r="K1156" s="15" t="s">
        <v>23</v>
      </c>
    </row>
    <row r="1157" spans="1:11" ht="42" customHeight="1">
      <c r="A1157" s="4" t="s">
        <v>2777</v>
      </c>
      <c r="B1157" s="5" t="s">
        <v>2777</v>
      </c>
      <c r="C1157" s="5" t="s">
        <v>26</v>
      </c>
      <c r="D1157" s="5" t="s">
        <v>27</v>
      </c>
      <c r="E1157" s="5" t="s">
        <v>266</v>
      </c>
      <c r="F1157" s="9">
        <v>119</v>
      </c>
      <c r="G1157" s="9">
        <v>1298</v>
      </c>
      <c r="H1157" s="5" t="s">
        <v>21</v>
      </c>
      <c r="I1157" s="5" t="s">
        <v>2778</v>
      </c>
      <c r="J1157" s="12" t="str">
        <f>HYPERLINK("https://www.boe.es/gazeta/dias/1801/12/29/pdfs/GMD-1801-119.pdf#page=2","Abrir facsímil")</f>
        <v>Abrir facsímil</v>
      </c>
      <c r="K1157" s="15" t="s">
        <v>23</v>
      </c>
    </row>
    <row r="1158" spans="1:11" ht="42" customHeight="1">
      <c r="A1158" s="4" t="s">
        <v>2779</v>
      </c>
      <c r="B1158" s="5" t="s">
        <v>2779</v>
      </c>
      <c r="C1158" s="5" t="s">
        <v>75</v>
      </c>
      <c r="D1158" s="5" t="s">
        <v>76</v>
      </c>
      <c r="E1158" s="5" t="s">
        <v>888</v>
      </c>
      <c r="F1158" s="9">
        <v>103</v>
      </c>
      <c r="G1158" s="9">
        <v>1134</v>
      </c>
      <c r="H1158" s="5" t="s">
        <v>21</v>
      </c>
      <c r="I1158" s="5" t="s">
        <v>2780</v>
      </c>
      <c r="J1158" s="12" t="str">
        <f>HYPERLINK("https://www.boe.es/gazeta/dias/1801/11/03/pdfs/GMD-1801-103.pdf#page=7","Abrir facsímil")</f>
        <v>Abrir facsímil</v>
      </c>
      <c r="K1158" s="15" t="s">
        <v>23</v>
      </c>
    </row>
    <row r="1159" spans="1:11" ht="42" customHeight="1">
      <c r="A1159" s="4" t="s">
        <v>2781</v>
      </c>
      <c r="B1159" s="5" t="s">
        <v>2781</v>
      </c>
      <c r="C1159" s="5" t="s">
        <v>38</v>
      </c>
      <c r="D1159" s="5" t="s">
        <v>39</v>
      </c>
      <c r="E1159" s="5" t="s">
        <v>309</v>
      </c>
      <c r="F1159" s="9">
        <v>118</v>
      </c>
      <c r="G1159" s="9">
        <v>1290</v>
      </c>
      <c r="H1159" s="5" t="s">
        <v>21</v>
      </c>
      <c r="I1159" s="5" t="s">
        <v>2782</v>
      </c>
      <c r="J1159" s="12" t="str">
        <f>HYPERLINK("https://www.boe.es/gazeta/dias/1801/12/25/pdfs/GMD-1801-118.pdf#page=5","Abrir facsímil")</f>
        <v>Abrir facsímil</v>
      </c>
      <c r="K1159" s="15" t="s">
        <v>23</v>
      </c>
    </row>
    <row r="1160" spans="1:11" ht="42" customHeight="1">
      <c r="A1160" s="4" t="s">
        <v>2783</v>
      </c>
      <c r="B1160" s="5" t="s">
        <v>2783</v>
      </c>
      <c r="C1160" s="5" t="s">
        <v>38</v>
      </c>
      <c r="D1160" s="5" t="s">
        <v>39</v>
      </c>
      <c r="E1160" s="5" t="s">
        <v>317</v>
      </c>
      <c r="F1160" s="9">
        <v>102</v>
      </c>
      <c r="G1160" s="9">
        <v>1121</v>
      </c>
      <c r="H1160" s="5" t="s">
        <v>21</v>
      </c>
      <c r="I1160" s="5" t="s">
        <v>2784</v>
      </c>
      <c r="J1160" s="12" t="str">
        <f>HYPERLINK("https://www.boe.es/gazeta/dias/1801/10/30/pdfs/GMD-1801-102.pdf#page=6","Abrir facsímil")</f>
        <v>Abrir facsímil</v>
      </c>
      <c r="K1160" s="15" t="s">
        <v>23</v>
      </c>
    </row>
    <row r="1161" spans="1:11" ht="42" customHeight="1">
      <c r="A1161" s="4" t="s">
        <v>2785</v>
      </c>
      <c r="B1161" s="5" t="s">
        <v>2785</v>
      </c>
      <c r="C1161" s="5" t="s">
        <v>26</v>
      </c>
      <c r="D1161" s="5" t="s">
        <v>27</v>
      </c>
      <c r="E1161" s="5" t="s">
        <v>34</v>
      </c>
      <c r="F1161" s="9">
        <v>38</v>
      </c>
      <c r="G1161" s="9">
        <v>491</v>
      </c>
      <c r="H1161" s="5" t="s">
        <v>21</v>
      </c>
      <c r="I1161" s="5" t="s">
        <v>2786</v>
      </c>
      <c r="J1161" s="12" t="str">
        <f>HYPERLINK("https://www.boe.es/gazeta/dias/1801/05/12/pdfs/GMD-1801-38.pdf#page=7","Abrir facsímil")</f>
        <v>Abrir facsímil</v>
      </c>
      <c r="K1161" s="15" t="s">
        <v>23</v>
      </c>
    </row>
    <row r="1162" spans="1:11" ht="42" customHeight="1">
      <c r="A1162" s="4" t="s">
        <v>2787</v>
      </c>
      <c r="B1162" s="5" t="s">
        <v>2787</v>
      </c>
      <c r="C1162" s="5" t="s">
        <v>75</v>
      </c>
      <c r="D1162" s="5" t="s">
        <v>76</v>
      </c>
      <c r="E1162" s="5" t="s">
        <v>221</v>
      </c>
      <c r="F1162" s="9">
        <v>28</v>
      </c>
      <c r="G1162" s="9">
        <v>366</v>
      </c>
      <c r="H1162" s="5" t="s">
        <v>21</v>
      </c>
      <c r="I1162" s="5" t="s">
        <v>2788</v>
      </c>
      <c r="J1162" s="12" t="str">
        <f>HYPERLINK("https://www.boe.es/gazeta/dias/1801/04/07/pdfs/GMD-1801-28.pdf#page=6","Abrir facsímil")</f>
        <v>Abrir facsímil</v>
      </c>
      <c r="K1162" s="15" t="s">
        <v>23</v>
      </c>
    </row>
    <row r="1163" spans="1:11" ht="42" customHeight="1">
      <c r="A1163" s="4" t="s">
        <v>2789</v>
      </c>
      <c r="B1163" s="5" t="s">
        <v>2789</v>
      </c>
      <c r="C1163" s="5" t="s">
        <v>32</v>
      </c>
      <c r="D1163" s="5" t="s">
        <v>33</v>
      </c>
      <c r="E1163" s="5" t="s">
        <v>352</v>
      </c>
      <c r="F1163" s="9">
        <v>43</v>
      </c>
      <c r="G1163" s="9">
        <v>535</v>
      </c>
      <c r="H1163" s="5" t="s">
        <v>21</v>
      </c>
      <c r="I1163" s="5" t="s">
        <v>2790</v>
      </c>
      <c r="J1163" s="12" t="str">
        <f>HYPERLINK("https://www.boe.es/gazeta/dias/1801/05/26/pdfs/GMD-1801-43.pdf#page=7","Abrir facsímil")</f>
        <v>Abrir facsímil</v>
      </c>
      <c r="K1163" s="15" t="s">
        <v>23</v>
      </c>
    </row>
    <row r="1164" spans="1:11" ht="42" customHeight="1">
      <c r="A1164" s="4" t="s">
        <v>2791</v>
      </c>
      <c r="B1164" s="5" t="s">
        <v>2791</v>
      </c>
      <c r="C1164" s="5" t="s">
        <v>75</v>
      </c>
      <c r="D1164" s="5" t="s">
        <v>76</v>
      </c>
      <c r="E1164" s="5" t="s">
        <v>712</v>
      </c>
      <c r="F1164" s="9">
        <v>105</v>
      </c>
      <c r="G1164" s="9">
        <v>1154</v>
      </c>
      <c r="H1164" s="5" t="s">
        <v>21</v>
      </c>
      <c r="I1164" s="5" t="s">
        <v>2792</v>
      </c>
      <c r="J1164" s="12" t="str">
        <f>HYPERLINK("https://www.boe.es/gazeta/dias/1801/11/10/pdfs/GMD-1801-105.pdf#page=7","Abrir facsímil")</f>
        <v>Abrir facsímil</v>
      </c>
      <c r="K1164" s="15" t="s">
        <v>23</v>
      </c>
    </row>
    <row r="1165" spans="1:11" ht="42" customHeight="1">
      <c r="A1165" s="4" t="s">
        <v>2793</v>
      </c>
      <c r="B1165" s="5" t="s">
        <v>2793</v>
      </c>
      <c r="C1165" s="5" t="s">
        <v>38</v>
      </c>
      <c r="D1165" s="5" t="s">
        <v>39</v>
      </c>
      <c r="E1165" s="5" t="s">
        <v>453</v>
      </c>
      <c r="F1165" s="9">
        <v>100</v>
      </c>
      <c r="G1165" s="9">
        <v>1092</v>
      </c>
      <c r="H1165" s="5" t="s">
        <v>21</v>
      </c>
      <c r="I1165" s="5" t="s">
        <v>2794</v>
      </c>
      <c r="J1165" s="12" t="str">
        <f>HYPERLINK("https://www.boe.es/gazeta/dias/1801/10/23/pdfs/GMD-1801-100.pdf#page=1","Abrir facsímil")</f>
        <v>Abrir facsímil</v>
      </c>
      <c r="K1165" s="15" t="s">
        <v>23</v>
      </c>
    </row>
    <row r="1166" spans="1:11" ht="42" customHeight="1">
      <c r="A1166" s="4" t="s">
        <v>2793</v>
      </c>
      <c r="B1166" s="5" t="s">
        <v>2793</v>
      </c>
      <c r="C1166" s="5" t="s">
        <v>75</v>
      </c>
      <c r="D1166" s="5" t="s">
        <v>76</v>
      </c>
      <c r="E1166" s="5" t="s">
        <v>712</v>
      </c>
      <c r="F1166" s="9">
        <v>105</v>
      </c>
      <c r="G1166" s="9">
        <v>1148</v>
      </c>
      <c r="H1166" s="5" t="s">
        <v>21</v>
      </c>
      <c r="I1166" s="5" t="s">
        <v>2795</v>
      </c>
      <c r="J1166" s="12" t="str">
        <f>HYPERLINK("https://www.boe.es/gazeta/dias/1801/11/10/pdfs/GMD-1801-105.pdf#page=1","Abrir facsímil")</f>
        <v>Abrir facsímil</v>
      </c>
      <c r="K1166" s="15" t="s">
        <v>23</v>
      </c>
    </row>
    <row r="1167" spans="1:11" ht="42" customHeight="1">
      <c r="A1167" s="4" t="s">
        <v>2793</v>
      </c>
      <c r="B1167" s="5" t="s">
        <v>2793</v>
      </c>
      <c r="C1167" s="5" t="s">
        <v>75</v>
      </c>
      <c r="D1167" s="5" t="s">
        <v>76</v>
      </c>
      <c r="E1167" s="5" t="s">
        <v>262</v>
      </c>
      <c r="F1167" s="9">
        <v>109</v>
      </c>
      <c r="G1167" s="9">
        <v>1196</v>
      </c>
      <c r="H1167" s="5" t="s">
        <v>21</v>
      </c>
      <c r="I1167" s="5" t="s">
        <v>2796</v>
      </c>
      <c r="J1167" s="12" t="str">
        <f>HYPERLINK("https://www.boe.es/gazeta/dias/1801/11/24/pdfs/GMD-1801-109.pdf#page=1","Abrir facsímil")</f>
        <v>Abrir facsímil</v>
      </c>
      <c r="K1167" s="15" t="s">
        <v>23</v>
      </c>
    </row>
    <row r="1168" spans="1:11" ht="42" customHeight="1">
      <c r="A1168" s="4" t="s">
        <v>2793</v>
      </c>
      <c r="B1168" s="5" t="s">
        <v>2793</v>
      </c>
      <c r="C1168" s="5" t="s">
        <v>38</v>
      </c>
      <c r="D1168" s="5" t="s">
        <v>39</v>
      </c>
      <c r="E1168" s="5" t="s">
        <v>264</v>
      </c>
      <c r="F1168" s="9">
        <v>111</v>
      </c>
      <c r="G1168" s="9">
        <v>1216</v>
      </c>
      <c r="H1168" s="5" t="s">
        <v>21</v>
      </c>
      <c r="I1168" s="5" t="s">
        <v>2797</v>
      </c>
      <c r="J1168" s="12" t="str">
        <f>HYPERLINK("https://www.boe.es/gazeta/dias/1801/12/01/pdfs/GMD-1801-111.pdf#page=5","Abrir facsímil")</f>
        <v>Abrir facsímil</v>
      </c>
      <c r="K1168" s="15" t="s">
        <v>23</v>
      </c>
    </row>
    <row r="1169" spans="1:11" ht="42" customHeight="1">
      <c r="A1169" s="4" t="s">
        <v>2798</v>
      </c>
      <c r="B1169" s="5" t="s">
        <v>2798</v>
      </c>
      <c r="C1169" s="5" t="s">
        <v>32</v>
      </c>
      <c r="D1169" s="5" t="s">
        <v>33</v>
      </c>
      <c r="E1169" s="5" t="s">
        <v>251</v>
      </c>
      <c r="F1169" s="9">
        <v>66</v>
      </c>
      <c r="G1169" s="9">
        <v>741</v>
      </c>
      <c r="H1169" s="5" t="s">
        <v>21</v>
      </c>
      <c r="I1169" s="5" t="s">
        <v>2799</v>
      </c>
      <c r="J1169" s="12" t="str">
        <f>HYPERLINK("https://www.boe.es/gazeta/dias/1801/07/10/pdfs/GMD-1801-66.pdf#page=6","Abrir facsímil")</f>
        <v>Abrir facsímil</v>
      </c>
      <c r="K1169" s="15" t="s">
        <v>23</v>
      </c>
    </row>
    <row r="1170" spans="1:11" ht="42" customHeight="1">
      <c r="A1170" s="4" t="s">
        <v>2800</v>
      </c>
      <c r="B1170" s="5" t="s">
        <v>2800</v>
      </c>
      <c r="C1170" s="5" t="s">
        <v>38</v>
      </c>
      <c r="D1170" s="5" t="s">
        <v>39</v>
      </c>
      <c r="E1170" s="5" t="s">
        <v>251</v>
      </c>
      <c r="F1170" s="9">
        <v>66</v>
      </c>
      <c r="G1170" s="9">
        <v>741</v>
      </c>
      <c r="H1170" s="5" t="s">
        <v>21</v>
      </c>
      <c r="I1170" s="5" t="s">
        <v>2801</v>
      </c>
      <c r="J1170" s="12" t="str">
        <f>HYPERLINK("https://www.boe.es/gazeta/dias/1801/07/10/pdfs/GMD-1801-66.pdf#page=6","Abrir facsímil")</f>
        <v>Abrir facsímil</v>
      </c>
      <c r="K1170" s="15" t="s">
        <v>23</v>
      </c>
    </row>
    <row r="1171" spans="1:11" ht="42" customHeight="1">
      <c r="A1171" s="4" t="s">
        <v>2802</v>
      </c>
      <c r="B1171" s="5" t="s">
        <v>2802</v>
      </c>
      <c r="C1171" s="5" t="s">
        <v>26</v>
      </c>
      <c r="D1171" s="5" t="s">
        <v>27</v>
      </c>
      <c r="E1171" s="5" t="s">
        <v>223</v>
      </c>
      <c r="F1171" s="9">
        <v>74</v>
      </c>
      <c r="G1171" s="9">
        <v>826</v>
      </c>
      <c r="H1171" s="5" t="s">
        <v>21</v>
      </c>
      <c r="I1171" s="5" t="s">
        <v>2803</v>
      </c>
      <c r="J1171" s="12" t="str">
        <f>HYPERLINK("https://www.boe.es/gazeta/dias/1801/07/31/pdfs/GMD-1801-74.pdf#page=7","Abrir facsímil")</f>
        <v>Abrir facsímil</v>
      </c>
      <c r="K1171" s="15" t="s">
        <v>23</v>
      </c>
    </row>
    <row r="1172" spans="1:11" ht="42" customHeight="1">
      <c r="A1172" s="4" t="s">
        <v>2804</v>
      </c>
      <c r="B1172" s="5" t="s">
        <v>2804</v>
      </c>
      <c r="C1172" s="5" t="s">
        <v>75</v>
      </c>
      <c r="D1172" s="5" t="s">
        <v>76</v>
      </c>
      <c r="E1172" s="5" t="s">
        <v>99</v>
      </c>
      <c r="F1172" s="9">
        <v>32</v>
      </c>
      <c r="G1172" s="9">
        <v>411</v>
      </c>
      <c r="H1172" s="5" t="s">
        <v>21</v>
      </c>
      <c r="I1172" s="5" t="s">
        <v>2805</v>
      </c>
      <c r="J1172" s="12" t="str">
        <f>HYPERLINK("https://www.boe.es/gazeta/dias/1801/04/21/pdfs/GMD-1801-32.pdf#page=7","Abrir facsímil")</f>
        <v>Abrir facsímil</v>
      </c>
      <c r="K1172" s="15" t="s">
        <v>23</v>
      </c>
    </row>
    <row r="1173" spans="1:11" ht="42" customHeight="1">
      <c r="A1173" s="4" t="s">
        <v>2806</v>
      </c>
      <c r="B1173" s="5" t="s">
        <v>2806</v>
      </c>
      <c r="C1173" s="5" t="s">
        <v>38</v>
      </c>
      <c r="D1173" s="5" t="s">
        <v>39</v>
      </c>
      <c r="E1173" s="5" t="s">
        <v>751</v>
      </c>
      <c r="F1173" s="9">
        <v>106</v>
      </c>
      <c r="G1173" s="9">
        <v>1164</v>
      </c>
      <c r="H1173" s="5" t="s">
        <v>21</v>
      </c>
      <c r="I1173" s="5" t="s">
        <v>2807</v>
      </c>
      <c r="J1173" s="12" t="str">
        <f>HYPERLINK("https://www.boe.es/gazeta/dias/1801/11/13/pdfs/GMD-1801-106.pdf#page=5","Abrir facsímil")</f>
        <v>Abrir facsímil</v>
      </c>
      <c r="K1173" s="15" t="s">
        <v>23</v>
      </c>
    </row>
    <row r="1174" spans="1:11" ht="42" customHeight="1">
      <c r="A1174" s="4" t="s">
        <v>2808</v>
      </c>
      <c r="B1174" s="5" t="s">
        <v>2808</v>
      </c>
      <c r="C1174" s="5" t="s">
        <v>38</v>
      </c>
      <c r="D1174" s="5" t="s">
        <v>39</v>
      </c>
      <c r="E1174" s="5" t="s">
        <v>219</v>
      </c>
      <c r="F1174" s="9">
        <v>26</v>
      </c>
      <c r="G1174" s="9">
        <v>342</v>
      </c>
      <c r="H1174" s="5" t="s">
        <v>21</v>
      </c>
      <c r="I1174" s="5" t="s">
        <v>2809</v>
      </c>
      <c r="J1174" s="12" t="str">
        <f>HYPERLINK("https://www.boe.es/gazeta/dias/1801/03/31/pdfs/GMD-1801-26.pdf#page=6","Abrir facsímil")</f>
        <v>Abrir facsímil</v>
      </c>
      <c r="K1174" s="15" t="s">
        <v>23</v>
      </c>
    </row>
    <row r="1175" spans="1:11" ht="42" customHeight="1">
      <c r="A1175" s="4" t="s">
        <v>2810</v>
      </c>
      <c r="B1175" s="5" t="s">
        <v>2810</v>
      </c>
      <c r="C1175" s="5" t="s">
        <v>38</v>
      </c>
      <c r="D1175" s="5" t="s">
        <v>39</v>
      </c>
      <c r="E1175" s="5" t="s">
        <v>453</v>
      </c>
      <c r="F1175" s="9">
        <v>100</v>
      </c>
      <c r="G1175" s="9">
        <v>1092</v>
      </c>
      <c r="H1175" s="5" t="s">
        <v>21</v>
      </c>
      <c r="I1175" s="5" t="s">
        <v>2811</v>
      </c>
      <c r="J1175" s="12" t="str">
        <f>HYPERLINK("https://www.boe.es/gazeta/dias/1801/10/23/pdfs/GMD-1801-100.pdf#page=1","Abrir facsímil")</f>
        <v>Abrir facsímil</v>
      </c>
      <c r="K1175" s="15" t="s">
        <v>23</v>
      </c>
    </row>
    <row r="1176" spans="1:11" ht="42" customHeight="1">
      <c r="A1176" s="4" t="s">
        <v>2812</v>
      </c>
      <c r="B1176" s="5" t="s">
        <v>2812</v>
      </c>
      <c r="C1176" s="5" t="s">
        <v>75</v>
      </c>
      <c r="D1176" s="5" t="s">
        <v>76</v>
      </c>
      <c r="E1176" s="5" t="s">
        <v>182</v>
      </c>
      <c r="F1176" s="9">
        <v>18</v>
      </c>
      <c r="G1176" s="9">
        <v>223</v>
      </c>
      <c r="H1176" s="5" t="s">
        <v>21</v>
      </c>
      <c r="I1176" s="5" t="s">
        <v>2813</v>
      </c>
      <c r="J1176" s="12" t="str">
        <f>HYPERLINK("https://www.boe.es/gazeta/dias/1801/03/03/pdfs/GMD-1801-18.pdf#page=4","Abrir facsímil")</f>
        <v>Abrir facsímil</v>
      </c>
      <c r="K1176" s="15" t="s">
        <v>23</v>
      </c>
    </row>
    <row r="1177" spans="1:11" ht="42" customHeight="1">
      <c r="A1177" s="4" t="s">
        <v>2814</v>
      </c>
      <c r="B1177" s="5" t="s">
        <v>2814</v>
      </c>
      <c r="C1177" s="5" t="s">
        <v>32</v>
      </c>
      <c r="D1177" s="5" t="s">
        <v>33</v>
      </c>
      <c r="E1177" s="5" t="s">
        <v>735</v>
      </c>
      <c r="F1177" s="9">
        <v>97</v>
      </c>
      <c r="G1177" s="9">
        <v>1068</v>
      </c>
      <c r="H1177" s="5" t="s">
        <v>21</v>
      </c>
      <c r="I1177" s="5" t="s">
        <v>2815</v>
      </c>
      <c r="J1177" s="12" t="str">
        <f>HYPERLINK("https://www.boe.es/gazeta/dias/1801/10/13/pdfs/GMD-1801-97.pdf#page=12","Abrir facsímil")</f>
        <v>Abrir facsímil</v>
      </c>
      <c r="K1177" s="15" t="s">
        <v>23</v>
      </c>
    </row>
    <row r="1178" spans="1:11" ht="42" customHeight="1">
      <c r="A1178" s="4" t="s">
        <v>2816</v>
      </c>
      <c r="B1178" s="5" t="s">
        <v>2816</v>
      </c>
      <c r="C1178" s="5" t="s">
        <v>38</v>
      </c>
      <c r="D1178" s="5" t="s">
        <v>39</v>
      </c>
      <c r="E1178" s="5" t="s">
        <v>317</v>
      </c>
      <c r="F1178" s="9">
        <v>102</v>
      </c>
      <c r="G1178" s="9">
        <v>1123</v>
      </c>
      <c r="H1178" s="5" t="s">
        <v>21</v>
      </c>
      <c r="I1178" s="5" t="s">
        <v>2817</v>
      </c>
      <c r="J1178" s="12" t="str">
        <f>HYPERLINK("https://www.boe.es/gazeta/dias/1801/10/30/pdfs/GMD-1801-102.pdf#page=8","Abrir facsímil")</f>
        <v>Abrir facsímil</v>
      </c>
      <c r="K1178" s="15" t="s">
        <v>23</v>
      </c>
    </row>
    <row r="1179" spans="1:11" ht="42" customHeight="1">
      <c r="A1179" s="4" t="s">
        <v>2818</v>
      </c>
      <c r="B1179" s="5" t="s">
        <v>2818</v>
      </c>
      <c r="C1179" s="5" t="s">
        <v>75</v>
      </c>
      <c r="D1179" s="5" t="s">
        <v>76</v>
      </c>
      <c r="E1179" s="5" t="s">
        <v>702</v>
      </c>
      <c r="F1179" s="9">
        <v>69</v>
      </c>
      <c r="G1179" s="9">
        <v>762</v>
      </c>
      <c r="H1179" s="5" t="s">
        <v>21</v>
      </c>
      <c r="I1179" s="5" t="s">
        <v>2819</v>
      </c>
      <c r="J1179" s="12" t="str">
        <f>HYPERLINK("https://www.boe.es/gazeta/dias/1801/07/14/pdfs/GMD-1801-69.pdf#page=7","Abrir facsímil")</f>
        <v>Abrir facsímil</v>
      </c>
      <c r="K1179" s="15" t="s">
        <v>23</v>
      </c>
    </row>
    <row r="1180" spans="1:11" ht="42" customHeight="1">
      <c r="A1180" s="4" t="s">
        <v>2820</v>
      </c>
      <c r="B1180" s="5" t="s">
        <v>2820</v>
      </c>
      <c r="C1180" s="5" t="s">
        <v>75</v>
      </c>
      <c r="D1180" s="5" t="s">
        <v>76</v>
      </c>
      <c r="E1180" s="5" t="s">
        <v>158</v>
      </c>
      <c r="F1180" s="9">
        <v>55</v>
      </c>
      <c r="G1180" s="9">
        <v>626</v>
      </c>
      <c r="H1180" s="5" t="s">
        <v>21</v>
      </c>
      <c r="I1180" s="5" t="s">
        <v>2821</v>
      </c>
      <c r="J1180" s="12" t="str">
        <f>HYPERLINK("https://www.boe.es/gazeta/dias/1801/06/16/pdfs/GMD-1801-55.pdf#page=2","Abrir facsímil")</f>
        <v>Abrir facsímil</v>
      </c>
      <c r="K1180" s="15" t="s">
        <v>23</v>
      </c>
    </row>
    <row r="1181" spans="1:11" ht="42" customHeight="1">
      <c r="A1181" s="4" t="s">
        <v>2822</v>
      </c>
      <c r="B1181" s="5" t="s">
        <v>2822</v>
      </c>
      <c r="C1181" s="5" t="s">
        <v>32</v>
      </c>
      <c r="D1181" s="5" t="s">
        <v>33</v>
      </c>
      <c r="E1181" s="5" t="s">
        <v>215</v>
      </c>
      <c r="F1181" s="9">
        <v>71</v>
      </c>
      <c r="G1181" s="9">
        <v>780</v>
      </c>
      <c r="H1181" s="5" t="s">
        <v>21</v>
      </c>
      <c r="I1181" s="5" t="s">
        <v>2823</v>
      </c>
      <c r="J1181" s="12" t="str">
        <f>HYPERLINK("https://www.boe.es/gazeta/dias/1801/07/21/pdfs/GMD-1801-71.pdf#page=1","Abrir facsímil")</f>
        <v>Abrir facsímil</v>
      </c>
      <c r="K1181" s="15" t="s">
        <v>23</v>
      </c>
    </row>
    <row r="1182" spans="1:11" ht="42" customHeight="1">
      <c r="A1182" s="4" t="s">
        <v>2824</v>
      </c>
      <c r="B1182" s="5" t="s">
        <v>2824</v>
      </c>
      <c r="C1182" s="5" t="s">
        <v>75</v>
      </c>
      <c r="D1182" s="5" t="s">
        <v>76</v>
      </c>
      <c r="E1182" s="5" t="s">
        <v>135</v>
      </c>
      <c r="F1182" s="9">
        <v>24</v>
      </c>
      <c r="G1182" s="9">
        <v>314</v>
      </c>
      <c r="H1182" s="5" t="s">
        <v>21</v>
      </c>
      <c r="I1182" s="5" t="s">
        <v>2825</v>
      </c>
      <c r="J1182" s="12" t="str">
        <f>HYPERLINK("https://www.boe.es/gazeta/dias/1801/03/24/pdfs/GMD-1801-24.pdf#page=5","Abrir facsímil")</f>
        <v>Abrir facsímil</v>
      </c>
      <c r="K1182" s="15" t="s">
        <v>23</v>
      </c>
    </row>
    <row r="1183" spans="1:11" ht="42" customHeight="1">
      <c r="A1183" s="4" t="s">
        <v>2826</v>
      </c>
      <c r="B1183" s="5" t="s">
        <v>2826</v>
      </c>
      <c r="C1183" s="5" t="s">
        <v>32</v>
      </c>
      <c r="D1183" s="5" t="s">
        <v>33</v>
      </c>
      <c r="E1183" s="5" t="s">
        <v>1436</v>
      </c>
      <c r="F1183" s="9">
        <v>95</v>
      </c>
      <c r="G1183" s="9">
        <v>1042</v>
      </c>
      <c r="H1183" s="5" t="s">
        <v>21</v>
      </c>
      <c r="I1183" s="5" t="s">
        <v>2827</v>
      </c>
      <c r="J1183" s="12" t="str">
        <f>HYPERLINK("https://www.boe.es/gazeta/dias/1801/10/06/pdfs/GMD-1801-95.pdf#page=6","Abrir facsímil")</f>
        <v>Abrir facsímil</v>
      </c>
      <c r="K1183" s="15" t="s">
        <v>23</v>
      </c>
    </row>
    <row r="1184" spans="1:11" ht="42" customHeight="1">
      <c r="A1184" s="4" t="s">
        <v>2828</v>
      </c>
      <c r="B1184" s="5" t="s">
        <v>2828</v>
      </c>
      <c r="C1184" s="5" t="s">
        <v>18</v>
      </c>
      <c r="D1184" s="5" t="s">
        <v>19</v>
      </c>
      <c r="E1184" s="5" t="s">
        <v>615</v>
      </c>
      <c r="F1184" s="9">
        <v>72</v>
      </c>
      <c r="G1184" s="9">
        <v>801</v>
      </c>
      <c r="H1184" s="5" t="s">
        <v>21</v>
      </c>
      <c r="I1184" s="5" t="s">
        <v>2829</v>
      </c>
      <c r="J1184" s="12" t="str">
        <f>HYPERLINK("https://www.boe.es/gazeta/dias/1801/07/24/pdfs/GMD-1801-72.pdf#page=6","Abrir facsímil")</f>
        <v>Abrir facsímil</v>
      </c>
      <c r="K1184" s="15" t="s">
        <v>23</v>
      </c>
    </row>
    <row r="1185" spans="1:11" ht="42" customHeight="1">
      <c r="A1185" s="4" t="s">
        <v>2830</v>
      </c>
      <c r="B1185" s="5" t="s">
        <v>2830</v>
      </c>
      <c r="C1185" s="5" t="s">
        <v>26</v>
      </c>
      <c r="D1185" s="5" t="s">
        <v>27</v>
      </c>
      <c r="E1185" s="5" t="s">
        <v>735</v>
      </c>
      <c r="F1185" s="9">
        <v>97</v>
      </c>
      <c r="G1185" s="9">
        <v>1067</v>
      </c>
      <c r="H1185" s="5" t="s">
        <v>21</v>
      </c>
      <c r="I1185" s="5" t="s">
        <v>2831</v>
      </c>
      <c r="J1185" s="12" t="str">
        <f>HYPERLINK("https://www.boe.es/gazeta/dias/1801/10/13/pdfs/GMD-1801-97.pdf#page=11","Abrir facsímil")</f>
        <v>Abrir facsímil</v>
      </c>
      <c r="K1185" s="15" t="s">
        <v>23</v>
      </c>
    </row>
    <row r="1186" spans="1:11" ht="42" customHeight="1">
      <c r="A1186" s="4" t="s">
        <v>2832</v>
      </c>
      <c r="B1186" s="5" t="s">
        <v>2832</v>
      </c>
      <c r="C1186" s="5" t="s">
        <v>32</v>
      </c>
      <c r="D1186" s="5" t="s">
        <v>33</v>
      </c>
      <c r="E1186" s="5" t="s">
        <v>145</v>
      </c>
      <c r="F1186" s="9">
        <v>36</v>
      </c>
      <c r="G1186" s="9">
        <v>464</v>
      </c>
      <c r="H1186" s="5" t="s">
        <v>21</v>
      </c>
      <c r="I1186" s="5" t="s">
        <v>2833</v>
      </c>
      <c r="J1186" s="12" t="str">
        <f>HYPERLINK("https://www.boe.es/gazeta/dias/1801/05/05/pdfs/GMD-1801-36.pdf#page=8","Abrir facsímil")</f>
        <v>Abrir facsímil</v>
      </c>
      <c r="K1186" s="15" t="s">
        <v>23</v>
      </c>
    </row>
    <row r="1187" spans="1:11" ht="42" customHeight="1">
      <c r="A1187" s="4" t="s">
        <v>2834</v>
      </c>
      <c r="B1187" s="5" t="s">
        <v>2834</v>
      </c>
      <c r="C1187" s="5" t="s">
        <v>75</v>
      </c>
      <c r="D1187" s="5" t="s">
        <v>76</v>
      </c>
      <c r="E1187" s="5" t="s">
        <v>317</v>
      </c>
      <c r="F1187" s="9">
        <v>102</v>
      </c>
      <c r="G1187" s="9">
        <v>1119</v>
      </c>
      <c r="H1187" s="5" t="s">
        <v>21</v>
      </c>
      <c r="I1187" s="5" t="s">
        <v>2835</v>
      </c>
      <c r="J1187" s="12" t="str">
        <f>HYPERLINK("https://www.boe.es/gazeta/dias/1801/10/30/pdfs/GMD-1801-102.pdf#page=4","Abrir facsímil")</f>
        <v>Abrir facsímil</v>
      </c>
      <c r="K1187" s="15" t="s">
        <v>23</v>
      </c>
    </row>
    <row r="1188" spans="1:11" ht="42" customHeight="1">
      <c r="A1188" s="4" t="s">
        <v>2836</v>
      </c>
      <c r="B1188" s="5" t="s">
        <v>2836</v>
      </c>
      <c r="C1188" s="5" t="s">
        <v>75</v>
      </c>
      <c r="D1188" s="5" t="s">
        <v>76</v>
      </c>
      <c r="E1188" s="5" t="s">
        <v>179</v>
      </c>
      <c r="F1188" s="9">
        <v>11</v>
      </c>
      <c r="G1188" s="9">
        <v>133</v>
      </c>
      <c r="H1188" s="5" t="s">
        <v>21</v>
      </c>
      <c r="I1188" s="5" t="s">
        <v>2837</v>
      </c>
      <c r="J1188" s="12" t="str">
        <f>HYPERLINK("https://www.boe.es/gazeta/dias/1801/02/06/pdfs/GMD-1801-11.pdf#page=6","Abrir facsímil")</f>
        <v>Abrir facsímil</v>
      </c>
      <c r="K1188" s="15" t="s">
        <v>23</v>
      </c>
    </row>
    <row r="1189" spans="1:11" ht="42" customHeight="1">
      <c r="A1189" s="4" t="s">
        <v>2838</v>
      </c>
      <c r="B1189" s="5" t="s">
        <v>2838</v>
      </c>
      <c r="C1189" s="5" t="s">
        <v>38</v>
      </c>
      <c r="D1189" s="5" t="s">
        <v>39</v>
      </c>
      <c r="E1189" s="5" t="s">
        <v>72</v>
      </c>
      <c r="F1189" s="9">
        <v>60</v>
      </c>
      <c r="G1189" s="9">
        <v>688</v>
      </c>
      <c r="H1189" s="5" t="s">
        <v>21</v>
      </c>
      <c r="I1189" s="5" t="s">
        <v>2839</v>
      </c>
      <c r="J1189" s="12" t="str">
        <f>HYPERLINK("https://www.boe.es/gazeta/dias/1801/06/26/pdfs/GMD-1801-60.pdf#page=9","Abrir facsímil")</f>
        <v>Abrir facsímil</v>
      </c>
      <c r="K1189" s="15" t="s">
        <v>23</v>
      </c>
    </row>
    <row r="1190" spans="1:11" ht="42" customHeight="1">
      <c r="A1190" s="4" t="s">
        <v>2838</v>
      </c>
      <c r="B1190" s="5" t="s">
        <v>2838</v>
      </c>
      <c r="C1190" s="5" t="s">
        <v>38</v>
      </c>
      <c r="D1190" s="5" t="s">
        <v>39</v>
      </c>
      <c r="E1190" s="5" t="s">
        <v>171</v>
      </c>
      <c r="F1190" s="9">
        <v>76</v>
      </c>
      <c r="G1190" s="9">
        <v>851</v>
      </c>
      <c r="H1190" s="5" t="s">
        <v>21</v>
      </c>
      <c r="I1190" s="5" t="s">
        <v>2840</v>
      </c>
      <c r="J1190" s="12" t="str">
        <f>HYPERLINK("https://www.boe.es/gazeta/dias/1801/08/07/pdfs/GMD-1801-76.pdf#page=8","Abrir facsímil")</f>
        <v>Abrir facsímil</v>
      </c>
      <c r="K1190" s="15" t="s">
        <v>23</v>
      </c>
    </row>
    <row r="1191" spans="1:11" ht="42" customHeight="1">
      <c r="A1191" s="4" t="s">
        <v>2841</v>
      </c>
      <c r="B1191" s="5" t="s">
        <v>2841</v>
      </c>
      <c r="C1191" s="5" t="s">
        <v>26</v>
      </c>
      <c r="D1191" s="5" t="s">
        <v>27</v>
      </c>
      <c r="E1191" s="5" t="s">
        <v>124</v>
      </c>
      <c r="F1191" s="9">
        <v>12</v>
      </c>
      <c r="G1191" s="9">
        <v>146</v>
      </c>
      <c r="H1191" s="5" t="s">
        <v>21</v>
      </c>
      <c r="I1191" s="5" t="s">
        <v>2842</v>
      </c>
      <c r="J1191" s="12" t="str">
        <f>HYPERLINK("https://www.boe.es/gazeta/dias/1801/02/10/pdfs/GMD-1801-12.pdf#page=7","Abrir facsímil")</f>
        <v>Abrir facsímil</v>
      </c>
      <c r="K1191" s="15" t="s">
        <v>23</v>
      </c>
    </row>
    <row r="1192" spans="1:11" ht="42" customHeight="1">
      <c r="A1192" s="4" t="s">
        <v>2843</v>
      </c>
      <c r="B1192" s="5" t="s">
        <v>2843</v>
      </c>
      <c r="C1192" s="5" t="s">
        <v>38</v>
      </c>
      <c r="D1192" s="5" t="s">
        <v>39</v>
      </c>
      <c r="E1192" s="5" t="s">
        <v>126</v>
      </c>
      <c r="F1192" s="9">
        <v>13</v>
      </c>
      <c r="G1192" s="9">
        <v>162</v>
      </c>
      <c r="H1192" s="5" t="s">
        <v>21</v>
      </c>
      <c r="I1192" s="5" t="s">
        <v>2844</v>
      </c>
      <c r="J1192" s="12" t="str">
        <f>HYPERLINK("https://www.boe.es/gazeta/dias/1801/02/13/pdfs/GMD-1801-13.pdf#page=9","Abrir facsímil")</f>
        <v>Abrir facsímil</v>
      </c>
      <c r="K1192" s="15" t="s">
        <v>23</v>
      </c>
    </row>
    <row r="1193" spans="1:11" ht="42" customHeight="1">
      <c r="A1193" s="4" t="s">
        <v>2845</v>
      </c>
      <c r="B1193" s="5" t="s">
        <v>2845</v>
      </c>
      <c r="C1193" s="5" t="s">
        <v>32</v>
      </c>
      <c r="D1193" s="5" t="s">
        <v>33</v>
      </c>
      <c r="E1193" s="5" t="s">
        <v>141</v>
      </c>
      <c r="F1193" s="9">
        <v>33</v>
      </c>
      <c r="G1193" s="9">
        <v>425</v>
      </c>
      <c r="H1193" s="5" t="s">
        <v>21</v>
      </c>
      <c r="I1193" s="5" t="s">
        <v>2846</v>
      </c>
      <c r="J1193" s="12" t="str">
        <f>HYPERLINK("https://www.boe.es/gazeta/dias/1801/04/24/pdfs/GMD-1801-33.pdf#page=9","Abrir facsímil")</f>
        <v>Abrir facsímil</v>
      </c>
      <c r="K1193" s="15" t="s">
        <v>23</v>
      </c>
    </row>
    <row r="1194" spans="1:11" ht="42" customHeight="1">
      <c r="A1194" s="4" t="s">
        <v>2847</v>
      </c>
      <c r="B1194" s="5" t="s">
        <v>2847</v>
      </c>
      <c r="C1194" s="5" t="s">
        <v>32</v>
      </c>
      <c r="D1194" s="5" t="s">
        <v>33</v>
      </c>
      <c r="E1194" s="5" t="s">
        <v>99</v>
      </c>
      <c r="F1194" s="9">
        <v>32</v>
      </c>
      <c r="G1194" s="9">
        <v>411</v>
      </c>
      <c r="H1194" s="5" t="s">
        <v>21</v>
      </c>
      <c r="I1194" s="5" t="s">
        <v>2848</v>
      </c>
      <c r="J1194" s="12" t="str">
        <f>HYPERLINK("https://www.boe.es/gazeta/dias/1801/04/21/pdfs/GMD-1801-32.pdf#page=7","Abrir facsímil")</f>
        <v>Abrir facsímil</v>
      </c>
      <c r="K1194" s="15" t="s">
        <v>23</v>
      </c>
    </row>
    <row r="1195" spans="1:11" ht="42" customHeight="1">
      <c r="A1195" s="4" t="s">
        <v>2849</v>
      </c>
      <c r="B1195" s="5" t="s">
        <v>2849</v>
      </c>
      <c r="C1195" s="5" t="s">
        <v>38</v>
      </c>
      <c r="D1195" s="5" t="s">
        <v>39</v>
      </c>
      <c r="E1195" s="5" t="s">
        <v>141</v>
      </c>
      <c r="F1195" s="9">
        <v>33</v>
      </c>
      <c r="G1195" s="9">
        <v>425</v>
      </c>
      <c r="H1195" s="5" t="s">
        <v>21</v>
      </c>
      <c r="I1195" s="5" t="s">
        <v>2850</v>
      </c>
      <c r="J1195" s="12" t="str">
        <f>HYPERLINK("https://www.boe.es/gazeta/dias/1801/04/24/pdfs/GMD-1801-33.pdf#page=9","Abrir facsímil")</f>
        <v>Abrir facsímil</v>
      </c>
      <c r="K1195" s="15" t="s">
        <v>23</v>
      </c>
    </row>
    <row r="1196" spans="1:11" ht="42" customHeight="1">
      <c r="A1196" s="4" t="s">
        <v>2851</v>
      </c>
      <c r="B1196" s="5" t="s">
        <v>2851</v>
      </c>
      <c r="C1196" s="5" t="s">
        <v>32</v>
      </c>
      <c r="D1196" s="5" t="s">
        <v>33</v>
      </c>
      <c r="E1196" s="5" t="s">
        <v>317</v>
      </c>
      <c r="F1196" s="9">
        <v>102</v>
      </c>
      <c r="G1196" s="9">
        <v>1119</v>
      </c>
      <c r="H1196" s="5" t="s">
        <v>21</v>
      </c>
      <c r="I1196" s="5" t="s">
        <v>2852</v>
      </c>
      <c r="J1196" s="12" t="str">
        <f>HYPERLINK("https://www.boe.es/gazeta/dias/1801/10/30/pdfs/GMD-1801-102.pdf#page=4","Abrir facsímil")</f>
        <v>Abrir facsímil</v>
      </c>
      <c r="K1196" s="15" t="s">
        <v>23</v>
      </c>
    </row>
    <row r="1197" spans="1:11" ht="42" customHeight="1">
      <c r="A1197" s="4" t="s">
        <v>2853</v>
      </c>
      <c r="B1197" s="5" t="s">
        <v>2853</v>
      </c>
      <c r="C1197" s="5" t="s">
        <v>75</v>
      </c>
      <c r="D1197" s="5" t="s">
        <v>76</v>
      </c>
      <c r="E1197" s="5" t="s">
        <v>262</v>
      </c>
      <c r="F1197" s="9">
        <v>109</v>
      </c>
      <c r="G1197" s="9">
        <v>1200</v>
      </c>
      <c r="H1197" s="5" t="s">
        <v>21</v>
      </c>
      <c r="I1197" s="5" t="s">
        <v>2854</v>
      </c>
      <c r="J1197" s="12" t="str">
        <f>HYPERLINK("https://www.boe.es/gazeta/dias/1801/11/24/pdfs/GMD-1801-109.pdf#page=5","Abrir facsímil")</f>
        <v>Abrir facsímil</v>
      </c>
      <c r="K1197" s="15" t="s">
        <v>23</v>
      </c>
    </row>
    <row r="1198" spans="1:11" ht="42" customHeight="1">
      <c r="A1198" s="4" t="s">
        <v>2855</v>
      </c>
      <c r="B1198" s="5" t="s">
        <v>2855</v>
      </c>
      <c r="C1198" s="5" t="s">
        <v>32</v>
      </c>
      <c r="D1198" s="5" t="s">
        <v>33</v>
      </c>
      <c r="E1198" s="5" t="s">
        <v>171</v>
      </c>
      <c r="F1198" s="9">
        <v>76</v>
      </c>
      <c r="G1198" s="9">
        <v>851</v>
      </c>
      <c r="H1198" s="5" t="s">
        <v>21</v>
      </c>
      <c r="I1198" s="5" t="s">
        <v>2856</v>
      </c>
      <c r="J1198" s="12" t="str">
        <f>HYPERLINK("https://www.boe.es/gazeta/dias/1801/08/07/pdfs/GMD-1801-76.pdf#page=8","Abrir facsímil")</f>
        <v>Abrir facsímil</v>
      </c>
      <c r="K1198" s="15" t="s">
        <v>23</v>
      </c>
    </row>
    <row r="1199" spans="1:11" ht="42" customHeight="1">
      <c r="A1199" s="4" t="s">
        <v>2857</v>
      </c>
      <c r="B1199" s="5" t="s">
        <v>2857</v>
      </c>
      <c r="C1199" s="5" t="s">
        <v>38</v>
      </c>
      <c r="D1199" s="5" t="s">
        <v>39</v>
      </c>
      <c r="E1199" s="5" t="s">
        <v>173</v>
      </c>
      <c r="F1199" s="9">
        <v>98</v>
      </c>
      <c r="G1199" s="9">
        <v>1073</v>
      </c>
      <c r="H1199" s="5" t="s">
        <v>21</v>
      </c>
      <c r="I1199" s="5" t="s">
        <v>2858</v>
      </c>
      <c r="J1199" s="12" t="str">
        <f>HYPERLINK("https://www.boe.es/gazeta/dias/1801/10/16/pdfs/GMD-1801-98.pdf#page=5","Abrir facsímil")</f>
        <v>Abrir facsímil</v>
      </c>
      <c r="K1199" s="15" t="s">
        <v>23</v>
      </c>
    </row>
    <row r="1200" spans="1:11" ht="42" customHeight="1">
      <c r="A1200" s="4" t="s">
        <v>2859</v>
      </c>
      <c r="B1200" s="5" t="s">
        <v>2859</v>
      </c>
      <c r="C1200" s="5" t="s">
        <v>75</v>
      </c>
      <c r="D1200" s="5" t="s">
        <v>76</v>
      </c>
      <c r="E1200" s="5" t="s">
        <v>194</v>
      </c>
      <c r="F1200" s="9">
        <v>92</v>
      </c>
      <c r="G1200" s="9">
        <v>1008</v>
      </c>
      <c r="H1200" s="5" t="s">
        <v>21</v>
      </c>
      <c r="I1200" s="5" t="s">
        <v>2860</v>
      </c>
      <c r="J1200" s="12" t="str">
        <f>HYPERLINK("https://www.boe.es/gazeta/dias/1801/09/25/pdfs/GMD-1801-92.pdf#page=3","Abrir facsímil")</f>
        <v>Abrir facsímil</v>
      </c>
      <c r="K1200" s="15" t="s">
        <v>23</v>
      </c>
    </row>
    <row r="1201" spans="1:11" ht="42" customHeight="1">
      <c r="A1201" s="4" t="s">
        <v>2861</v>
      </c>
      <c r="B1201" s="5" t="s">
        <v>2861</v>
      </c>
      <c r="C1201" s="5" t="s">
        <v>32</v>
      </c>
      <c r="D1201" s="5" t="s">
        <v>33</v>
      </c>
      <c r="E1201" s="5" t="s">
        <v>161</v>
      </c>
      <c r="F1201" s="9">
        <v>58</v>
      </c>
      <c r="G1201" s="9">
        <v>661</v>
      </c>
      <c r="H1201" s="5" t="s">
        <v>21</v>
      </c>
      <c r="I1201" s="5" t="s">
        <v>2862</v>
      </c>
      <c r="J1201" s="12" t="str">
        <f>HYPERLINK("https://www.boe.es/gazeta/dias/1801/06/19/pdfs/GMD-1801-58.pdf#page=6","Abrir facsímil")</f>
        <v>Abrir facsímil</v>
      </c>
      <c r="K1201" s="15" t="s">
        <v>23</v>
      </c>
    </row>
    <row r="1202" spans="1:11" ht="42" customHeight="1">
      <c r="A1202" s="4" t="s">
        <v>2863</v>
      </c>
      <c r="B1202" s="5" t="s">
        <v>2863</v>
      </c>
      <c r="C1202" s="5" t="s">
        <v>38</v>
      </c>
      <c r="D1202" s="5" t="s">
        <v>39</v>
      </c>
      <c r="E1202" s="5" t="s">
        <v>735</v>
      </c>
      <c r="F1202" s="9">
        <v>97</v>
      </c>
      <c r="G1202" s="9">
        <v>1063</v>
      </c>
      <c r="H1202" s="5" t="s">
        <v>21</v>
      </c>
      <c r="I1202" s="5" t="s">
        <v>2864</v>
      </c>
      <c r="J1202" s="12" t="str">
        <f>HYPERLINK("https://www.boe.es/gazeta/dias/1801/10/13/pdfs/GMD-1801-97.pdf#page=7","Abrir facsímil")</f>
        <v>Abrir facsímil</v>
      </c>
      <c r="K1202" s="15" t="s">
        <v>23</v>
      </c>
    </row>
    <row r="1203" spans="1:11" ht="42" customHeight="1">
      <c r="A1203" s="4" t="s">
        <v>2865</v>
      </c>
      <c r="B1203" s="5" t="s">
        <v>2865</v>
      </c>
      <c r="C1203" s="5" t="s">
        <v>75</v>
      </c>
      <c r="D1203" s="5" t="s">
        <v>76</v>
      </c>
      <c r="E1203" s="5" t="s">
        <v>108</v>
      </c>
      <c r="F1203" s="9">
        <v>61</v>
      </c>
      <c r="G1203" s="9">
        <v>694</v>
      </c>
      <c r="H1203" s="5" t="s">
        <v>21</v>
      </c>
      <c r="I1203" s="5" t="s">
        <v>2866</v>
      </c>
      <c r="J1203" s="12" t="str">
        <f>HYPERLINK("https://www.boe.es/gazeta/dias/1801/06/30/pdfs/GMD-1801-61.pdf#page=3","Abrir facsímil")</f>
        <v>Abrir facsímil</v>
      </c>
      <c r="K1203" s="15" t="s">
        <v>23</v>
      </c>
    </row>
    <row r="1204" spans="1:11" ht="42" customHeight="1">
      <c r="A1204" s="4" t="s">
        <v>2867</v>
      </c>
      <c r="B1204" s="5" t="s">
        <v>2867</v>
      </c>
      <c r="C1204" s="5" t="s">
        <v>32</v>
      </c>
      <c r="D1204" s="5" t="s">
        <v>33</v>
      </c>
      <c r="E1204" s="5" t="s">
        <v>141</v>
      </c>
      <c r="F1204" s="9">
        <v>33</v>
      </c>
      <c r="G1204" s="9">
        <v>421</v>
      </c>
      <c r="H1204" s="5" t="s">
        <v>21</v>
      </c>
      <c r="I1204" s="5" t="s">
        <v>2868</v>
      </c>
      <c r="J1204" s="12" t="str">
        <f>HYPERLINK("https://www.boe.es/gazeta/dias/1801/04/24/pdfs/GMD-1801-33.pdf#page=5","Abrir facsímil")</f>
        <v>Abrir facsímil</v>
      </c>
      <c r="K1204" s="15" t="s">
        <v>23</v>
      </c>
    </row>
    <row r="1205" spans="1:11" ht="42" customHeight="1">
      <c r="A1205" s="4" t="s">
        <v>2869</v>
      </c>
      <c r="B1205" s="5" t="s">
        <v>2869</v>
      </c>
      <c r="C1205" s="5" t="s">
        <v>38</v>
      </c>
      <c r="D1205" s="5" t="s">
        <v>39</v>
      </c>
      <c r="E1205" s="5" t="s">
        <v>143</v>
      </c>
      <c r="F1205" s="9">
        <v>34</v>
      </c>
      <c r="G1205" s="9">
        <v>434</v>
      </c>
      <c r="H1205" s="5" t="s">
        <v>21</v>
      </c>
      <c r="I1205" s="5" t="s">
        <v>2870</v>
      </c>
      <c r="J1205" s="12" t="str">
        <f>HYPERLINK("https://www.boe.es/gazeta/dias/1801/04/28/pdfs/GMD-1801-34.pdf#page=6","Abrir facsímil")</f>
        <v>Abrir facsímil</v>
      </c>
      <c r="K1205" s="15" t="s">
        <v>23</v>
      </c>
    </row>
    <row r="1206" spans="1:11" ht="42" customHeight="1">
      <c r="A1206" s="4" t="s">
        <v>2871</v>
      </c>
      <c r="B1206" s="5" t="s">
        <v>2871</v>
      </c>
      <c r="C1206" s="5" t="s">
        <v>75</v>
      </c>
      <c r="D1206" s="5" t="s">
        <v>76</v>
      </c>
      <c r="E1206" s="5" t="s">
        <v>328</v>
      </c>
      <c r="F1206" s="9">
        <v>89</v>
      </c>
      <c r="G1206" s="9">
        <v>977</v>
      </c>
      <c r="H1206" s="5" t="s">
        <v>21</v>
      </c>
      <c r="I1206" s="5" t="s">
        <v>2872</v>
      </c>
      <c r="J1206" s="12" t="str">
        <f>HYPERLINK("https://www.boe.es/gazeta/dias/1801/09/15/pdfs/GMD-1801-89.pdf#page=4","Abrir facsímil")</f>
        <v>Abrir facsímil</v>
      </c>
      <c r="K1206" s="15" t="s">
        <v>23</v>
      </c>
    </row>
    <row r="1207" spans="1:11" ht="42" customHeight="1">
      <c r="A1207" s="4" t="s">
        <v>2873</v>
      </c>
      <c r="B1207" s="5" t="s">
        <v>2873</v>
      </c>
      <c r="C1207" s="5" t="s">
        <v>18</v>
      </c>
      <c r="D1207" s="5" t="s">
        <v>19</v>
      </c>
      <c r="E1207" s="5" t="s">
        <v>169</v>
      </c>
      <c r="F1207" s="9">
        <v>70</v>
      </c>
      <c r="G1207" s="9">
        <v>771</v>
      </c>
      <c r="H1207" s="5" t="s">
        <v>21</v>
      </c>
      <c r="I1207" s="5" t="s">
        <v>2874</v>
      </c>
      <c r="J1207" s="12" t="str">
        <f>HYPERLINK("https://www.boe.es/gazeta/dias/1801/07/17/pdfs/GMD-1801-70.pdf#page=4","Abrir facsímil")</f>
        <v>Abrir facsímil</v>
      </c>
      <c r="K1207" s="15" t="s">
        <v>23</v>
      </c>
    </row>
    <row r="1208" spans="1:11" ht="42" customHeight="1">
      <c r="A1208" s="4" t="s">
        <v>2875</v>
      </c>
      <c r="B1208" s="5" t="s">
        <v>2875</v>
      </c>
      <c r="C1208" s="5" t="s">
        <v>75</v>
      </c>
      <c r="D1208" s="5" t="s">
        <v>76</v>
      </c>
      <c r="E1208" s="5" t="s">
        <v>105</v>
      </c>
      <c r="F1208" s="9">
        <v>44</v>
      </c>
      <c r="G1208" s="9">
        <v>543</v>
      </c>
      <c r="H1208" s="5" t="s">
        <v>21</v>
      </c>
      <c r="I1208" s="5" t="s">
        <v>2876</v>
      </c>
      <c r="J1208" s="12" t="str">
        <f>HYPERLINK("https://www.boe.es/gazeta/dias/1801/05/29/pdfs/GMD-1801-44.pdf#page=3","Abrir facsímil")</f>
        <v>Abrir facsímil</v>
      </c>
      <c r="K1208" s="15" t="s">
        <v>23</v>
      </c>
    </row>
    <row r="1209" spans="1:11" ht="42" customHeight="1">
      <c r="A1209" s="4" t="s">
        <v>2875</v>
      </c>
      <c r="B1209" s="5" t="s">
        <v>2875</v>
      </c>
      <c r="C1209" s="5" t="s">
        <v>75</v>
      </c>
      <c r="D1209" s="5" t="s">
        <v>76</v>
      </c>
      <c r="E1209" s="5" t="s">
        <v>161</v>
      </c>
      <c r="F1209" s="9">
        <v>58</v>
      </c>
      <c r="G1209" s="9">
        <v>658</v>
      </c>
      <c r="H1209" s="5" t="s">
        <v>21</v>
      </c>
      <c r="I1209" s="5" t="s">
        <v>2877</v>
      </c>
      <c r="J1209" s="12" t="str">
        <f>HYPERLINK("https://www.boe.es/gazeta/dias/1801/06/19/pdfs/GMD-1801-58.pdf#page=3","Abrir facsímil")</f>
        <v>Abrir facsímil</v>
      </c>
      <c r="K1209" s="15" t="s">
        <v>23</v>
      </c>
    </row>
    <row r="1210" spans="1:11" ht="42" customHeight="1">
      <c r="A1210" s="4" t="s">
        <v>2878</v>
      </c>
      <c r="B1210" s="5" t="s">
        <v>2878</v>
      </c>
      <c r="C1210" s="5" t="s">
        <v>75</v>
      </c>
      <c r="D1210" s="5" t="s">
        <v>76</v>
      </c>
      <c r="E1210" s="5" t="s">
        <v>338</v>
      </c>
      <c r="F1210" s="9">
        <v>83</v>
      </c>
      <c r="G1210" s="9">
        <v>930</v>
      </c>
      <c r="H1210" s="5" t="s">
        <v>21</v>
      </c>
      <c r="I1210" s="5" t="s">
        <v>2879</v>
      </c>
      <c r="J1210" s="12" t="str">
        <f>HYPERLINK("https://www.boe.es/gazeta/dias/1801/09/01/pdfs/GMD-1801-83.pdf#page=5","Abrir facsímil")</f>
        <v>Abrir facsímil</v>
      </c>
      <c r="K1210" s="15" t="s">
        <v>23</v>
      </c>
    </row>
    <row r="1211" spans="1:11" ht="42" customHeight="1">
      <c r="A1211" s="4" t="s">
        <v>2880</v>
      </c>
      <c r="B1211" s="5" t="s">
        <v>2880</v>
      </c>
      <c r="C1211" s="5" t="s">
        <v>32</v>
      </c>
      <c r="D1211" s="5" t="s">
        <v>33</v>
      </c>
      <c r="E1211" s="5" t="s">
        <v>378</v>
      </c>
      <c r="F1211" s="9">
        <v>23</v>
      </c>
      <c r="G1211" s="9">
        <v>304</v>
      </c>
      <c r="H1211" s="5" t="s">
        <v>21</v>
      </c>
      <c r="I1211" s="5" t="s">
        <v>2881</v>
      </c>
      <c r="J1211" s="12" t="str">
        <f>HYPERLINK("https://www.boe.es/gazeta/dias/1801/03/20/pdfs/GMD-1801-23.pdf#page=7","Abrir facsímil")</f>
        <v>Abrir facsímil</v>
      </c>
      <c r="K1211" s="15" t="s">
        <v>23</v>
      </c>
    </row>
    <row r="1212" spans="1:11" ht="42" customHeight="1">
      <c r="A1212" s="4" t="s">
        <v>2882</v>
      </c>
      <c r="B1212" s="5" t="s">
        <v>2882</v>
      </c>
      <c r="C1212" s="5" t="s">
        <v>38</v>
      </c>
      <c r="D1212" s="5" t="s">
        <v>39</v>
      </c>
      <c r="E1212" s="5" t="s">
        <v>258</v>
      </c>
      <c r="F1212" s="9">
        <v>96</v>
      </c>
      <c r="G1212" s="9">
        <v>1052</v>
      </c>
      <c r="H1212" s="5" t="s">
        <v>21</v>
      </c>
      <c r="I1212" s="5" t="s">
        <v>2883</v>
      </c>
      <c r="J1212" s="12" t="str">
        <f>HYPERLINK("https://www.boe.es/gazeta/dias/1801/10/09/pdfs/GMD-1801-96.pdf#page=8","Abrir facsímil")</f>
        <v>Abrir facsímil</v>
      </c>
      <c r="K1212" s="15" t="s">
        <v>23</v>
      </c>
    </row>
    <row r="1213" spans="1:11" ht="42" customHeight="1">
      <c r="A1213" s="4" t="s">
        <v>2884</v>
      </c>
      <c r="B1213" s="5" t="s">
        <v>2884</v>
      </c>
      <c r="C1213" s="5" t="s">
        <v>38</v>
      </c>
      <c r="D1213" s="5" t="s">
        <v>39</v>
      </c>
      <c r="E1213" s="5" t="s">
        <v>378</v>
      </c>
      <c r="F1213" s="9">
        <v>23</v>
      </c>
      <c r="G1213" s="9">
        <v>305</v>
      </c>
      <c r="H1213" s="5" t="s">
        <v>21</v>
      </c>
      <c r="I1213" s="5" t="s">
        <v>2885</v>
      </c>
      <c r="J1213" s="12" t="str">
        <f>HYPERLINK("https://www.boe.es/gazeta/dias/1801/03/20/pdfs/GMD-1801-23.pdf#page=8","Abrir facsímil")</f>
        <v>Abrir facsímil</v>
      </c>
      <c r="K1213" s="15" t="s">
        <v>23</v>
      </c>
    </row>
    <row r="1214" spans="1:11" ht="42" customHeight="1">
      <c r="A1214" s="4" t="s">
        <v>2886</v>
      </c>
      <c r="B1214" s="5" t="s">
        <v>2886</v>
      </c>
      <c r="C1214" s="5" t="s">
        <v>32</v>
      </c>
      <c r="D1214" s="5" t="s">
        <v>33</v>
      </c>
      <c r="E1214" s="5" t="s">
        <v>131</v>
      </c>
      <c r="F1214" s="9">
        <v>22</v>
      </c>
      <c r="G1214" s="9">
        <v>288</v>
      </c>
      <c r="H1214" s="5" t="s">
        <v>21</v>
      </c>
      <c r="I1214" s="5" t="s">
        <v>2887</v>
      </c>
      <c r="J1214" s="12" t="str">
        <f>HYPERLINK("https://www.boe.es/gazeta/dias/1801/03/17/pdfs/GMD-1801-22.pdf#page=5","Abrir facsímil")</f>
        <v>Abrir facsímil</v>
      </c>
      <c r="K1214" s="15" t="s">
        <v>23</v>
      </c>
    </row>
    <row r="1215" spans="1:11" ht="42" customHeight="1">
      <c r="A1215" s="4" t="s">
        <v>2888</v>
      </c>
      <c r="B1215" s="5" t="s">
        <v>2888</v>
      </c>
      <c r="C1215" s="5" t="s">
        <v>75</v>
      </c>
      <c r="D1215" s="5" t="s">
        <v>76</v>
      </c>
      <c r="E1215" s="5" t="s">
        <v>888</v>
      </c>
      <c r="F1215" s="9">
        <v>103</v>
      </c>
      <c r="G1215" s="9">
        <v>1129</v>
      </c>
      <c r="H1215" s="5" t="s">
        <v>21</v>
      </c>
      <c r="I1215" s="5" t="s">
        <v>2889</v>
      </c>
      <c r="J1215" s="12" t="str">
        <f>HYPERLINK("https://www.boe.es/gazeta/dias/1801/11/03/pdfs/GMD-1801-103.pdf#page=2","Abrir facsímil")</f>
        <v>Abrir facsímil</v>
      </c>
      <c r="K1215" s="15" t="s">
        <v>23</v>
      </c>
    </row>
    <row r="1216" spans="1:11" ht="42" customHeight="1">
      <c r="A1216" s="4" t="s">
        <v>2890</v>
      </c>
      <c r="B1216" s="5" t="s">
        <v>2890</v>
      </c>
      <c r="C1216" s="5" t="s">
        <v>32</v>
      </c>
      <c r="D1216" s="5" t="s">
        <v>33</v>
      </c>
      <c r="E1216" s="5" t="s">
        <v>124</v>
      </c>
      <c r="F1216" s="9">
        <v>12</v>
      </c>
      <c r="G1216" s="9">
        <v>144</v>
      </c>
      <c r="H1216" s="5" t="s">
        <v>21</v>
      </c>
      <c r="I1216" s="5" t="s">
        <v>2891</v>
      </c>
      <c r="J1216" s="12" t="str">
        <f>HYPERLINK("https://www.boe.es/gazeta/dias/1801/02/10/pdfs/GMD-1801-12.pdf#page=5","Abrir facsímil")</f>
        <v>Abrir facsímil</v>
      </c>
      <c r="K1216" s="15" t="s">
        <v>23</v>
      </c>
    </row>
    <row r="1217" spans="1:11" ht="42" customHeight="1">
      <c r="A1217" s="4" t="s">
        <v>2892</v>
      </c>
      <c r="B1217" s="5" t="s">
        <v>2892</v>
      </c>
      <c r="C1217" s="5" t="s">
        <v>32</v>
      </c>
      <c r="D1217" s="5" t="s">
        <v>33</v>
      </c>
      <c r="E1217" s="5" t="s">
        <v>128</v>
      </c>
      <c r="F1217" s="9">
        <v>17</v>
      </c>
      <c r="G1217" s="9">
        <v>210</v>
      </c>
      <c r="H1217" s="5" t="s">
        <v>21</v>
      </c>
      <c r="I1217" s="5" t="s">
        <v>2893</v>
      </c>
      <c r="J1217" s="12" t="str">
        <f>HYPERLINK("https://www.boe.es/gazeta/dias/1801/02/27/pdfs/GMD-1801-17.pdf#page=5","Abrir facsímil")</f>
        <v>Abrir facsímil</v>
      </c>
      <c r="K1217" s="15" t="s">
        <v>23</v>
      </c>
    </row>
    <row r="1218" spans="1:11" ht="42" customHeight="1">
      <c r="A1218" s="4" t="s">
        <v>2892</v>
      </c>
      <c r="B1218" s="5" t="s">
        <v>2892</v>
      </c>
      <c r="C1218" s="5" t="s">
        <v>38</v>
      </c>
      <c r="D1218" s="5" t="s">
        <v>39</v>
      </c>
      <c r="E1218" s="5" t="s">
        <v>131</v>
      </c>
      <c r="F1218" s="9">
        <v>22</v>
      </c>
      <c r="G1218" s="9">
        <v>287</v>
      </c>
      <c r="H1218" s="5" t="s">
        <v>21</v>
      </c>
      <c r="I1218" s="5" t="s">
        <v>2894</v>
      </c>
      <c r="J1218" s="12" t="str">
        <f>HYPERLINK("https://www.boe.es/gazeta/dias/1801/03/17/pdfs/GMD-1801-22.pdf#page=4","Abrir facsímil")</f>
        <v>Abrir facsímil</v>
      </c>
      <c r="K1218" s="15" t="s">
        <v>23</v>
      </c>
    </row>
    <row r="1219" spans="1:11" ht="42" customHeight="1">
      <c r="A1219" s="4" t="s">
        <v>2892</v>
      </c>
      <c r="B1219" s="5" t="s">
        <v>2892</v>
      </c>
      <c r="C1219" s="5" t="s">
        <v>38</v>
      </c>
      <c r="D1219" s="5" t="s">
        <v>39</v>
      </c>
      <c r="E1219" s="5" t="s">
        <v>112</v>
      </c>
      <c r="F1219" s="9">
        <v>114</v>
      </c>
      <c r="G1219" s="9">
        <v>1245</v>
      </c>
      <c r="H1219" s="5" t="s">
        <v>21</v>
      </c>
      <c r="I1219" s="5" t="s">
        <v>2895</v>
      </c>
      <c r="J1219" s="12" t="str">
        <f>HYPERLINK("https://www.boe.es/gazeta/dias/1801/12/11/pdfs/GMD-1801-114.pdf#page=7","Abrir facsímil")</f>
        <v>Abrir facsímil</v>
      </c>
      <c r="K1219" s="15" t="s">
        <v>23</v>
      </c>
    </row>
    <row r="1220" spans="1:11" ht="42" customHeight="1">
      <c r="A1220" s="4" t="s">
        <v>2892</v>
      </c>
      <c r="B1220" s="5" t="s">
        <v>2892</v>
      </c>
      <c r="C1220" s="5" t="s">
        <v>38</v>
      </c>
      <c r="D1220" s="5" t="s">
        <v>39</v>
      </c>
      <c r="E1220" s="5" t="s">
        <v>309</v>
      </c>
      <c r="F1220" s="9">
        <v>118</v>
      </c>
      <c r="G1220" s="9">
        <v>1289</v>
      </c>
      <c r="H1220" s="5" t="s">
        <v>21</v>
      </c>
      <c r="I1220" s="5" t="s">
        <v>2896</v>
      </c>
      <c r="J1220" s="12" t="str">
        <f>HYPERLINK("https://www.boe.es/gazeta/dias/1801/12/25/pdfs/GMD-1801-118.pdf#page=4","Abrir facsímil")</f>
        <v>Abrir facsímil</v>
      </c>
      <c r="K1220" s="15" t="s">
        <v>23</v>
      </c>
    </row>
    <row r="1221" spans="1:11" ht="42" customHeight="1">
      <c r="A1221" s="4" t="s">
        <v>2897</v>
      </c>
      <c r="B1221" s="5" t="s">
        <v>2897</v>
      </c>
      <c r="C1221" s="5" t="s">
        <v>32</v>
      </c>
      <c r="D1221" s="5" t="s">
        <v>33</v>
      </c>
      <c r="E1221" s="5" t="s">
        <v>258</v>
      </c>
      <c r="F1221" s="9">
        <v>96</v>
      </c>
      <c r="G1221" s="9">
        <v>1050</v>
      </c>
      <c r="H1221" s="5" t="s">
        <v>21</v>
      </c>
      <c r="I1221" s="5" t="s">
        <v>2898</v>
      </c>
      <c r="J1221" s="12" t="str">
        <f>HYPERLINK("https://www.boe.es/gazeta/dias/1801/10/09/pdfs/GMD-1801-96.pdf#page=6","Abrir facsímil")</f>
        <v>Abrir facsímil</v>
      </c>
      <c r="K1221" s="15" t="s">
        <v>23</v>
      </c>
    </row>
    <row r="1222" spans="1:11" ht="42" customHeight="1">
      <c r="A1222" s="4" t="s">
        <v>2899</v>
      </c>
      <c r="B1222" s="5" t="s">
        <v>2899</v>
      </c>
      <c r="C1222" s="5" t="s">
        <v>75</v>
      </c>
      <c r="D1222" s="5" t="s">
        <v>76</v>
      </c>
      <c r="E1222" s="5" t="s">
        <v>702</v>
      </c>
      <c r="F1222" s="9">
        <v>69</v>
      </c>
      <c r="G1222" s="9">
        <v>761</v>
      </c>
      <c r="H1222" s="5" t="s">
        <v>21</v>
      </c>
      <c r="I1222" s="5" t="s">
        <v>2900</v>
      </c>
      <c r="J1222" s="12" t="str">
        <f>HYPERLINK("https://www.boe.es/gazeta/dias/1801/07/14/pdfs/GMD-1801-69.pdf#page=6","Abrir facsímil")</f>
        <v>Abrir facsímil</v>
      </c>
      <c r="K1222" s="15" t="s">
        <v>23</v>
      </c>
    </row>
    <row r="1223" spans="1:11" ht="42" customHeight="1">
      <c r="A1223" s="4" t="s">
        <v>2901</v>
      </c>
      <c r="B1223" s="5" t="s">
        <v>2901</v>
      </c>
      <c r="C1223" s="5" t="s">
        <v>75</v>
      </c>
      <c r="D1223" s="5" t="s">
        <v>76</v>
      </c>
      <c r="E1223" s="5" t="s">
        <v>935</v>
      </c>
      <c r="F1223" s="9">
        <v>116</v>
      </c>
      <c r="G1223" s="9">
        <v>1260</v>
      </c>
      <c r="H1223" s="5" t="s">
        <v>21</v>
      </c>
      <c r="I1223" s="5" t="s">
        <v>2902</v>
      </c>
      <c r="J1223" s="12" t="str">
        <f>HYPERLINK("https://www.boe.es/gazeta/dias/1801/12/18/pdfs/GMD-1801-116.pdf#page=2","Abrir facsímil")</f>
        <v>Abrir facsímil</v>
      </c>
      <c r="K1223" s="15" t="s">
        <v>23</v>
      </c>
    </row>
    <row r="1224" spans="1:11" ht="42" customHeight="1">
      <c r="A1224" s="4" t="s">
        <v>2903</v>
      </c>
      <c r="B1224" s="5" t="s">
        <v>2903</v>
      </c>
      <c r="C1224" s="5" t="s">
        <v>75</v>
      </c>
      <c r="D1224" s="5" t="s">
        <v>76</v>
      </c>
      <c r="E1224" s="5" t="s">
        <v>135</v>
      </c>
      <c r="F1224" s="9">
        <v>24</v>
      </c>
      <c r="G1224" s="9">
        <v>314</v>
      </c>
      <c r="H1224" s="5" t="s">
        <v>21</v>
      </c>
      <c r="I1224" s="5" t="s">
        <v>2904</v>
      </c>
      <c r="J1224" s="12" t="str">
        <f>HYPERLINK("https://www.boe.es/gazeta/dias/1801/03/24/pdfs/GMD-1801-24.pdf#page=5","Abrir facsímil")</f>
        <v>Abrir facsímil</v>
      </c>
      <c r="K1224" s="15" t="s">
        <v>23</v>
      </c>
    </row>
    <row r="1225" spans="1:11" ht="42" customHeight="1">
      <c r="A1225" s="4" t="s">
        <v>2905</v>
      </c>
      <c r="B1225" s="5" t="s">
        <v>2905</v>
      </c>
      <c r="C1225" s="5" t="s">
        <v>32</v>
      </c>
      <c r="D1225" s="5" t="s">
        <v>33</v>
      </c>
      <c r="E1225" s="5" t="s">
        <v>417</v>
      </c>
      <c r="F1225" s="9">
        <v>64</v>
      </c>
      <c r="G1225" s="9">
        <v>726</v>
      </c>
      <c r="H1225" s="5" t="s">
        <v>21</v>
      </c>
      <c r="I1225" s="5" t="s">
        <v>2906</v>
      </c>
      <c r="J1225" s="12" t="str">
        <f>HYPERLINK("https://www.boe.es/gazeta/dias/1801/07/07/pdfs/GMD-1801-64.pdf#page=7","Abrir facsímil")</f>
        <v>Abrir facsímil</v>
      </c>
      <c r="K1225" s="15" t="s">
        <v>23</v>
      </c>
    </row>
    <row r="1226" spans="1:11" ht="42" customHeight="1">
      <c r="A1226" s="4" t="s">
        <v>2907</v>
      </c>
      <c r="B1226" s="5" t="s">
        <v>2907</v>
      </c>
      <c r="C1226" s="5" t="s">
        <v>75</v>
      </c>
      <c r="D1226" s="5" t="s">
        <v>76</v>
      </c>
      <c r="E1226" s="5" t="s">
        <v>256</v>
      </c>
      <c r="F1226" s="9">
        <v>78</v>
      </c>
      <c r="G1226" s="9">
        <v>879</v>
      </c>
      <c r="H1226" s="5" t="s">
        <v>21</v>
      </c>
      <c r="I1226" s="5" t="s">
        <v>2908</v>
      </c>
      <c r="J1226" s="12" t="str">
        <f>HYPERLINK("https://www.boe.es/gazeta/dias/1801/08/14/pdfs/GMD-1801-78.pdf#page=8","Abrir facsímil")</f>
        <v>Abrir facsímil</v>
      </c>
      <c r="K1226" s="15" t="s">
        <v>23</v>
      </c>
    </row>
    <row r="1227" spans="1:11" ht="42" customHeight="1">
      <c r="A1227" s="4" t="s">
        <v>2909</v>
      </c>
      <c r="B1227" s="5" t="s">
        <v>2909</v>
      </c>
      <c r="C1227" s="5" t="s">
        <v>26</v>
      </c>
      <c r="D1227" s="5" t="s">
        <v>27</v>
      </c>
      <c r="E1227" s="5" t="s">
        <v>72</v>
      </c>
      <c r="F1227" s="9">
        <v>60</v>
      </c>
      <c r="G1227" s="9">
        <v>688</v>
      </c>
      <c r="H1227" s="5" t="s">
        <v>21</v>
      </c>
      <c r="I1227" s="5" t="s">
        <v>2910</v>
      </c>
      <c r="J1227" s="12" t="str">
        <f>HYPERLINK("https://www.boe.es/gazeta/dias/1801/06/26/pdfs/GMD-1801-60.pdf#page=9","Abrir facsímil")</f>
        <v>Abrir facsímil</v>
      </c>
      <c r="K1227" s="15" t="s">
        <v>23</v>
      </c>
    </row>
    <row r="1228" spans="1:11" ht="42" customHeight="1">
      <c r="A1228" s="4" t="s">
        <v>2911</v>
      </c>
      <c r="B1228" s="5" t="s">
        <v>2911</v>
      </c>
      <c r="C1228" s="5" t="s">
        <v>75</v>
      </c>
      <c r="D1228" s="5" t="s">
        <v>76</v>
      </c>
      <c r="E1228" s="5" t="s">
        <v>289</v>
      </c>
      <c r="F1228" s="9">
        <v>40</v>
      </c>
      <c r="G1228" s="9">
        <v>512</v>
      </c>
      <c r="H1228" s="5" t="s">
        <v>21</v>
      </c>
      <c r="I1228" s="5" t="s">
        <v>2912</v>
      </c>
      <c r="J1228" s="12" t="str">
        <f>HYPERLINK("https://www.boe.es/gazeta/dias/1801/05/19/pdfs/GMD-1801-40.pdf#page=4","Abrir facsímil")</f>
        <v>Abrir facsímil</v>
      </c>
      <c r="K1228" s="15" t="s">
        <v>23</v>
      </c>
    </row>
    <row r="1229" spans="1:11" ht="42" customHeight="1">
      <c r="A1229" s="4" t="s">
        <v>2911</v>
      </c>
      <c r="B1229" s="5" t="s">
        <v>2911</v>
      </c>
      <c r="C1229" s="5" t="s">
        <v>75</v>
      </c>
      <c r="D1229" s="5" t="s">
        <v>76</v>
      </c>
      <c r="E1229" s="5" t="s">
        <v>151</v>
      </c>
      <c r="F1229" s="9">
        <v>45</v>
      </c>
      <c r="G1229" s="9">
        <v>554</v>
      </c>
      <c r="H1229" s="5" t="s">
        <v>21</v>
      </c>
      <c r="I1229" s="5" t="s">
        <v>2913</v>
      </c>
      <c r="J1229" s="12" t="str">
        <f>HYPERLINK("https://www.boe.es/gazeta/dias/1801/06/02/pdfs/GMD-1801-45.pdf#page=2","Abrir facsímil")</f>
        <v>Abrir facsímil</v>
      </c>
      <c r="K1229" s="15" t="s">
        <v>23</v>
      </c>
    </row>
    <row r="1230" spans="1:11" ht="42" customHeight="1">
      <c r="A1230" s="4" t="s">
        <v>2911</v>
      </c>
      <c r="B1230" s="5" t="s">
        <v>2911</v>
      </c>
      <c r="C1230" s="5" t="s">
        <v>75</v>
      </c>
      <c r="D1230" s="5" t="s">
        <v>76</v>
      </c>
      <c r="E1230" s="5" t="s">
        <v>66</v>
      </c>
      <c r="F1230" s="9">
        <v>52</v>
      </c>
      <c r="G1230" s="9">
        <v>602</v>
      </c>
      <c r="H1230" s="5" t="s">
        <v>21</v>
      </c>
      <c r="I1230" s="5" t="s">
        <v>2914</v>
      </c>
      <c r="J1230" s="12" t="str">
        <f>HYPERLINK("https://www.boe.es/gazeta/dias/1801/06/12/pdfs/GMD-1801-52.pdf#page=1","Abrir facsímil")</f>
        <v>Abrir facsímil</v>
      </c>
      <c r="K1230" s="15" t="s">
        <v>23</v>
      </c>
    </row>
    <row r="1231" spans="1:11" ht="42" customHeight="1">
      <c r="A1231" s="4" t="s">
        <v>2911</v>
      </c>
      <c r="B1231" s="5" t="s">
        <v>2911</v>
      </c>
      <c r="C1231" s="5" t="s">
        <v>38</v>
      </c>
      <c r="D1231" s="5" t="s">
        <v>39</v>
      </c>
      <c r="E1231" s="5" t="s">
        <v>55</v>
      </c>
      <c r="F1231" s="9">
        <v>104</v>
      </c>
      <c r="G1231" s="9">
        <v>1144</v>
      </c>
      <c r="H1231" s="5" t="s">
        <v>21</v>
      </c>
      <c r="I1231" s="5" t="s">
        <v>2915</v>
      </c>
      <c r="J1231" s="12" t="str">
        <f>HYPERLINK("https://www.boe.es/gazeta/dias/1801/11/06/pdfs/GMD-1801-104.pdf#page=5","Abrir facsímil")</f>
        <v>Abrir facsímil</v>
      </c>
      <c r="K1231" s="15" t="s">
        <v>23</v>
      </c>
    </row>
    <row r="1232" spans="1:11" ht="42" customHeight="1">
      <c r="A1232" s="4" t="s">
        <v>2916</v>
      </c>
      <c r="B1232" s="5" t="s">
        <v>2916</v>
      </c>
      <c r="C1232" s="5" t="s">
        <v>38</v>
      </c>
      <c r="D1232" s="5" t="s">
        <v>39</v>
      </c>
      <c r="E1232" s="5" t="s">
        <v>55</v>
      </c>
      <c r="F1232" s="9">
        <v>104</v>
      </c>
      <c r="G1232" s="9">
        <v>1144</v>
      </c>
      <c r="H1232" s="5" t="s">
        <v>21</v>
      </c>
      <c r="I1232" s="5" t="s">
        <v>2917</v>
      </c>
      <c r="J1232" s="12" t="str">
        <f>HYPERLINK("https://www.boe.es/gazeta/dias/1801/11/06/pdfs/GMD-1801-104.pdf#page=5","Abrir facsímil")</f>
        <v>Abrir facsímil</v>
      </c>
      <c r="K1232" s="15" t="s">
        <v>23</v>
      </c>
    </row>
    <row r="1233" spans="1:11" ht="42" customHeight="1">
      <c r="A1233" s="4" t="s">
        <v>2918</v>
      </c>
      <c r="B1233" s="5" t="s">
        <v>2918</v>
      </c>
      <c r="C1233" s="5" t="s">
        <v>75</v>
      </c>
      <c r="D1233" s="5" t="s">
        <v>76</v>
      </c>
      <c r="E1233" s="5" t="s">
        <v>251</v>
      </c>
      <c r="F1233" s="9">
        <v>66</v>
      </c>
      <c r="G1233" s="9">
        <v>740</v>
      </c>
      <c r="H1233" s="5" t="s">
        <v>21</v>
      </c>
      <c r="I1233" s="5" t="s">
        <v>2919</v>
      </c>
      <c r="J1233" s="12" t="str">
        <f>HYPERLINK("https://www.boe.es/gazeta/dias/1801/07/10/pdfs/GMD-1801-66.pdf#page=5","Abrir facsímil")</f>
        <v>Abrir facsímil</v>
      </c>
      <c r="K1233" s="15" t="s">
        <v>23</v>
      </c>
    </row>
    <row r="1234" spans="1:11" ht="42" customHeight="1">
      <c r="A1234" s="4" t="s">
        <v>2920</v>
      </c>
      <c r="B1234" s="5" t="s">
        <v>2920</v>
      </c>
      <c r="C1234" s="5" t="s">
        <v>75</v>
      </c>
      <c r="D1234" s="5" t="s">
        <v>76</v>
      </c>
      <c r="E1234" s="5" t="s">
        <v>935</v>
      </c>
      <c r="F1234" s="9">
        <v>116</v>
      </c>
      <c r="G1234" s="9">
        <v>1265</v>
      </c>
      <c r="H1234" s="5" t="s">
        <v>21</v>
      </c>
      <c r="I1234" s="5" t="s">
        <v>2921</v>
      </c>
      <c r="J1234" s="12" t="str">
        <f>HYPERLINK("https://www.boe.es/gazeta/dias/1801/12/18/pdfs/GMD-1801-116.pdf#page=7","Abrir facsímil")</f>
        <v>Abrir facsímil</v>
      </c>
      <c r="K1234" s="15" t="s">
        <v>23</v>
      </c>
    </row>
    <row r="1235" spans="1:11" ht="42" customHeight="1">
      <c r="A1235" s="4" t="s">
        <v>2922</v>
      </c>
      <c r="B1235" s="5" t="s">
        <v>2922</v>
      </c>
      <c r="C1235" s="5" t="s">
        <v>32</v>
      </c>
      <c r="D1235" s="5" t="s">
        <v>33</v>
      </c>
      <c r="E1235" s="5" t="s">
        <v>317</v>
      </c>
      <c r="F1235" s="9">
        <v>102</v>
      </c>
      <c r="G1235" s="9">
        <v>1120</v>
      </c>
      <c r="H1235" s="5" t="s">
        <v>21</v>
      </c>
      <c r="I1235" s="5" t="s">
        <v>2923</v>
      </c>
      <c r="J1235" s="12" t="str">
        <f>HYPERLINK("https://www.boe.es/gazeta/dias/1801/10/30/pdfs/GMD-1801-102.pdf#page=5","Abrir facsímil")</f>
        <v>Abrir facsímil</v>
      </c>
      <c r="K1235" s="15" t="s">
        <v>23</v>
      </c>
    </row>
    <row r="1236" spans="1:11" ht="42" customHeight="1">
      <c r="A1236" s="4" t="s">
        <v>2924</v>
      </c>
      <c r="B1236" s="5" t="s">
        <v>2924</v>
      </c>
      <c r="C1236" s="5" t="s">
        <v>38</v>
      </c>
      <c r="D1236" s="5" t="s">
        <v>39</v>
      </c>
      <c r="E1236" s="5" t="s">
        <v>615</v>
      </c>
      <c r="F1236" s="9">
        <v>72</v>
      </c>
      <c r="G1236" s="9">
        <v>801</v>
      </c>
      <c r="H1236" s="5" t="s">
        <v>21</v>
      </c>
      <c r="I1236" s="5" t="s">
        <v>2925</v>
      </c>
      <c r="J1236" s="12" t="str">
        <f>HYPERLINK("https://www.boe.es/gazeta/dias/1801/07/24/pdfs/GMD-1801-72.pdf#page=6","Abrir facsímil")</f>
        <v>Abrir facsímil</v>
      </c>
      <c r="K1236" s="15" t="s">
        <v>23</v>
      </c>
    </row>
    <row r="1237" spans="1:11" ht="42" customHeight="1">
      <c r="A1237" s="4" t="s">
        <v>2926</v>
      </c>
      <c r="B1237" s="5" t="s">
        <v>2926</v>
      </c>
      <c r="C1237" s="5" t="s">
        <v>38</v>
      </c>
      <c r="D1237" s="5" t="s">
        <v>39</v>
      </c>
      <c r="E1237" s="5" t="s">
        <v>112</v>
      </c>
      <c r="F1237" s="9">
        <v>114</v>
      </c>
      <c r="G1237" s="9">
        <v>1245</v>
      </c>
      <c r="H1237" s="5" t="s">
        <v>21</v>
      </c>
      <c r="I1237" s="5" t="s">
        <v>2927</v>
      </c>
      <c r="J1237" s="12" t="str">
        <f>HYPERLINK("https://www.boe.es/gazeta/dias/1801/12/11/pdfs/GMD-1801-114.pdf#page=7","Abrir facsímil")</f>
        <v>Abrir facsímil</v>
      </c>
      <c r="K1237" s="15" t="s">
        <v>23</v>
      </c>
    </row>
    <row r="1238" spans="1:11" ht="42" customHeight="1">
      <c r="A1238" s="4" t="s">
        <v>2928</v>
      </c>
      <c r="B1238" s="5" t="s">
        <v>2928</v>
      </c>
      <c r="C1238" s="5" t="s">
        <v>38</v>
      </c>
      <c r="D1238" s="5" t="s">
        <v>39</v>
      </c>
      <c r="E1238" s="5" t="s">
        <v>77</v>
      </c>
      <c r="F1238" s="9">
        <v>93</v>
      </c>
      <c r="G1238" s="9">
        <v>1019</v>
      </c>
      <c r="H1238" s="5" t="s">
        <v>21</v>
      </c>
      <c r="I1238" s="5" t="s">
        <v>2929</v>
      </c>
      <c r="J1238" s="12" t="str">
        <f>HYPERLINK("https://www.boe.es/gazeta/dias/1801/09/29/pdfs/GMD-1801-93.pdf#page=6","Abrir facsímil")</f>
        <v>Abrir facsímil</v>
      </c>
      <c r="K1238" s="15" t="s">
        <v>23</v>
      </c>
    </row>
    <row r="1239" spans="1:11" ht="42" customHeight="1">
      <c r="A1239" s="4" t="s">
        <v>2930</v>
      </c>
      <c r="B1239" s="5" t="s">
        <v>2930</v>
      </c>
      <c r="C1239" s="5" t="s">
        <v>75</v>
      </c>
      <c r="D1239" s="5" t="s">
        <v>76</v>
      </c>
      <c r="E1239" s="5" t="s">
        <v>122</v>
      </c>
      <c r="F1239" s="9">
        <v>8</v>
      </c>
      <c r="G1239" s="9">
        <v>89</v>
      </c>
      <c r="H1239" s="5" t="s">
        <v>21</v>
      </c>
      <c r="I1239" s="5" t="s">
        <v>2931</v>
      </c>
      <c r="J1239" s="12" t="str">
        <f>HYPERLINK("https://www.boe.es/gazeta/dias/1801/01/27/pdfs/GMD-1801-8.pdf#page=1","Abrir facsímil")</f>
        <v>Abrir facsímil</v>
      </c>
      <c r="K1239" s="15" t="s">
        <v>23</v>
      </c>
    </row>
    <row r="1240" spans="1:11" ht="42" customHeight="1">
      <c r="A1240" s="4" t="s">
        <v>2932</v>
      </c>
      <c r="B1240" s="5" t="s">
        <v>2932</v>
      </c>
      <c r="C1240" s="5" t="s">
        <v>26</v>
      </c>
      <c r="D1240" s="5" t="s">
        <v>27</v>
      </c>
      <c r="E1240" s="5" t="s">
        <v>465</v>
      </c>
      <c r="F1240" s="9">
        <v>4</v>
      </c>
      <c r="G1240" s="9">
        <v>48</v>
      </c>
      <c r="H1240" s="5" t="s">
        <v>21</v>
      </c>
      <c r="I1240" s="5" t="s">
        <v>2933</v>
      </c>
      <c r="J1240" s="12" t="str">
        <f>HYPERLINK("https://www.boe.es/gazeta/dias/1801/01/13/pdfs/GMD-1801-4.pdf#page=12","Abrir facsímil")</f>
        <v>Abrir facsímil</v>
      </c>
      <c r="K1240" s="15" t="s">
        <v>23</v>
      </c>
    </row>
    <row r="1241" spans="1:11" ht="42" customHeight="1">
      <c r="A1241" s="4" t="s">
        <v>2934</v>
      </c>
      <c r="B1241" s="5" t="s">
        <v>2934</v>
      </c>
      <c r="C1241" s="5" t="s">
        <v>32</v>
      </c>
      <c r="D1241" s="5" t="s">
        <v>33</v>
      </c>
      <c r="E1241" s="5" t="s">
        <v>640</v>
      </c>
      <c r="F1241" s="9">
        <v>81</v>
      </c>
      <c r="G1241" s="9">
        <v>907</v>
      </c>
      <c r="H1241" s="5" t="s">
        <v>21</v>
      </c>
      <c r="I1241" s="5" t="s">
        <v>2935</v>
      </c>
      <c r="J1241" s="12" t="str">
        <f>HYPERLINK("https://www.boe.es/gazeta/dias/1801/08/25/pdfs/GMD-1801-81.pdf#page=4","Abrir facsímil")</f>
        <v>Abrir facsímil</v>
      </c>
      <c r="K1241" s="15" t="s">
        <v>23</v>
      </c>
    </row>
    <row r="1242" spans="1:11" ht="42" customHeight="1">
      <c r="A1242" s="4" t="s">
        <v>2936</v>
      </c>
      <c r="B1242" s="5" t="s">
        <v>2936</v>
      </c>
      <c r="C1242" s="5" t="s">
        <v>32</v>
      </c>
      <c r="D1242" s="5" t="s">
        <v>33</v>
      </c>
      <c r="E1242" s="5" t="s">
        <v>505</v>
      </c>
      <c r="F1242" s="9">
        <v>94</v>
      </c>
      <c r="G1242" s="9">
        <v>1028</v>
      </c>
      <c r="H1242" s="5" t="s">
        <v>21</v>
      </c>
      <c r="I1242" s="5" t="s">
        <v>2937</v>
      </c>
      <c r="J1242" s="12" t="str">
        <f>HYPERLINK("https://www.boe.es/gazeta/dias/1801/10/02/pdfs/GMD-1801-94.pdf#page=4","Abrir facsímil")</f>
        <v>Abrir facsímil</v>
      </c>
      <c r="K1242" s="15" t="s">
        <v>23</v>
      </c>
    </row>
    <row r="1243" spans="1:11" ht="42" customHeight="1">
      <c r="A1243" s="4" t="s">
        <v>2938</v>
      </c>
      <c r="B1243" s="5" t="s">
        <v>2938</v>
      </c>
      <c r="C1243" s="5" t="s">
        <v>75</v>
      </c>
      <c r="D1243" s="5" t="s">
        <v>76</v>
      </c>
      <c r="E1243" s="5" t="s">
        <v>201</v>
      </c>
      <c r="F1243" s="9">
        <v>79</v>
      </c>
      <c r="G1243" s="9">
        <v>885</v>
      </c>
      <c r="H1243" s="5" t="s">
        <v>21</v>
      </c>
      <c r="I1243" s="5" t="s">
        <v>2939</v>
      </c>
      <c r="J1243" s="12" t="str">
        <f>HYPERLINK("https://www.boe.es/gazeta/dias/1801/08/18/pdfs/GMD-1801-79.pdf#page=2","Abrir facsímil")</f>
        <v>Abrir facsímil</v>
      </c>
      <c r="K1243" s="15" t="s">
        <v>23</v>
      </c>
    </row>
    <row r="1244" spans="1:11" ht="42" customHeight="1">
      <c r="A1244" s="4" t="s">
        <v>2940</v>
      </c>
      <c r="B1244" s="5" t="s">
        <v>2940</v>
      </c>
      <c r="C1244" s="5" t="s">
        <v>75</v>
      </c>
      <c r="D1244" s="5" t="s">
        <v>76</v>
      </c>
      <c r="E1244" s="5" t="s">
        <v>99</v>
      </c>
      <c r="F1244" s="9">
        <v>32</v>
      </c>
      <c r="G1244" s="9">
        <v>411</v>
      </c>
      <c r="H1244" s="5" t="s">
        <v>21</v>
      </c>
      <c r="I1244" s="5" t="s">
        <v>2941</v>
      </c>
      <c r="J1244" s="12" t="str">
        <f>HYPERLINK("https://www.boe.es/gazeta/dias/1801/04/21/pdfs/GMD-1801-32.pdf#page=7","Abrir facsímil")</f>
        <v>Abrir facsímil</v>
      </c>
      <c r="K1244" s="15" t="s">
        <v>23</v>
      </c>
    </row>
    <row r="1245" spans="1:11" ht="42" customHeight="1">
      <c r="A1245" s="4" t="s">
        <v>2942</v>
      </c>
      <c r="B1245" s="5" t="s">
        <v>2942</v>
      </c>
      <c r="C1245" s="5" t="s">
        <v>38</v>
      </c>
      <c r="D1245" s="5" t="s">
        <v>39</v>
      </c>
      <c r="E1245" s="5" t="s">
        <v>171</v>
      </c>
      <c r="F1245" s="9">
        <v>76</v>
      </c>
      <c r="G1245" s="9">
        <v>851</v>
      </c>
      <c r="H1245" s="5" t="s">
        <v>21</v>
      </c>
      <c r="I1245" s="5" t="s">
        <v>2943</v>
      </c>
      <c r="J1245" s="12" t="str">
        <f>HYPERLINK("https://www.boe.es/gazeta/dias/1801/08/07/pdfs/GMD-1801-76.pdf#page=8","Abrir facsímil")</f>
        <v>Abrir facsímil</v>
      </c>
      <c r="K1245" s="15" t="s">
        <v>23</v>
      </c>
    </row>
    <row r="1246" spans="1:11" ht="42" customHeight="1">
      <c r="A1246" s="4" t="s">
        <v>2944</v>
      </c>
      <c r="B1246" s="5" t="s">
        <v>2944</v>
      </c>
      <c r="C1246" s="5" t="s">
        <v>75</v>
      </c>
      <c r="D1246" s="5" t="s">
        <v>76</v>
      </c>
      <c r="E1246" s="5" t="s">
        <v>145</v>
      </c>
      <c r="F1246" s="9">
        <v>36</v>
      </c>
      <c r="G1246" s="9">
        <v>464</v>
      </c>
      <c r="H1246" s="5" t="s">
        <v>21</v>
      </c>
      <c r="I1246" s="5" t="s">
        <v>2945</v>
      </c>
      <c r="J1246" s="12" t="str">
        <f>HYPERLINK("https://www.boe.es/gazeta/dias/1801/05/05/pdfs/GMD-1801-36.pdf#page=8","Abrir facsímil")</f>
        <v>Abrir facsímil</v>
      </c>
      <c r="K1246" s="15" t="s">
        <v>23</v>
      </c>
    </row>
    <row r="1247" spans="1:11" ht="42" customHeight="1">
      <c r="A1247" s="4" t="s">
        <v>2946</v>
      </c>
      <c r="B1247" s="5" t="s">
        <v>2946</v>
      </c>
      <c r="C1247" s="5" t="s">
        <v>18</v>
      </c>
      <c r="D1247" s="5" t="s">
        <v>19</v>
      </c>
      <c r="E1247" s="5" t="s">
        <v>352</v>
      </c>
      <c r="F1247" s="9">
        <v>43</v>
      </c>
      <c r="G1247" s="9">
        <v>534</v>
      </c>
      <c r="H1247" s="5" t="s">
        <v>21</v>
      </c>
      <c r="I1247" s="5" t="s">
        <v>2947</v>
      </c>
      <c r="J1247" s="12" t="str">
        <f>HYPERLINK("https://www.boe.es/gazeta/dias/1801/05/26/pdfs/GMD-1801-43.pdf#page=6","Abrir facsímil")</f>
        <v>Abrir facsímil</v>
      </c>
      <c r="K1247" s="15" t="s">
        <v>23</v>
      </c>
    </row>
    <row r="1248" spans="1:11" ht="42" customHeight="1">
      <c r="A1248" s="4" t="s">
        <v>2948</v>
      </c>
      <c r="B1248" s="5" t="s">
        <v>2948</v>
      </c>
      <c r="C1248" s="5" t="s">
        <v>38</v>
      </c>
      <c r="D1248" s="5" t="s">
        <v>39</v>
      </c>
      <c r="E1248" s="5" t="s">
        <v>135</v>
      </c>
      <c r="F1248" s="9">
        <v>24</v>
      </c>
      <c r="G1248" s="9">
        <v>317</v>
      </c>
      <c r="H1248" s="5" t="s">
        <v>21</v>
      </c>
      <c r="I1248" s="5" t="s">
        <v>2949</v>
      </c>
      <c r="J1248" s="12" t="str">
        <f>HYPERLINK("https://www.boe.es/gazeta/dias/1801/03/24/pdfs/GMD-1801-24.pdf#page=8","Abrir facsímil")</f>
        <v>Abrir facsímil</v>
      </c>
      <c r="K1248" s="15" t="s">
        <v>23</v>
      </c>
    </row>
    <row r="1249" spans="1:11" ht="42" customHeight="1">
      <c r="A1249" s="4" t="s">
        <v>2950</v>
      </c>
      <c r="B1249" s="5" t="s">
        <v>2950</v>
      </c>
      <c r="C1249" s="5" t="s">
        <v>75</v>
      </c>
      <c r="D1249" s="5" t="s">
        <v>76</v>
      </c>
      <c r="E1249" s="5" t="s">
        <v>256</v>
      </c>
      <c r="F1249" s="9">
        <v>78</v>
      </c>
      <c r="G1249" s="9">
        <v>879</v>
      </c>
      <c r="H1249" s="5" t="s">
        <v>21</v>
      </c>
      <c r="I1249" s="5" t="s">
        <v>2951</v>
      </c>
      <c r="J1249" s="12" t="str">
        <f>HYPERLINK("https://www.boe.es/gazeta/dias/1801/08/14/pdfs/GMD-1801-78.pdf#page=8","Abrir facsímil")</f>
        <v>Abrir facsímil</v>
      </c>
      <c r="K1249" s="15" t="s">
        <v>23</v>
      </c>
    </row>
    <row r="1250" spans="1:11" ht="42" customHeight="1">
      <c r="A1250" s="4" t="s">
        <v>2952</v>
      </c>
      <c r="B1250" s="5" t="s">
        <v>2952</v>
      </c>
      <c r="C1250" s="5" t="s">
        <v>75</v>
      </c>
      <c r="D1250" s="5" t="s">
        <v>76</v>
      </c>
      <c r="E1250" s="5" t="s">
        <v>313</v>
      </c>
      <c r="F1250" s="9">
        <v>39</v>
      </c>
      <c r="G1250" s="9">
        <v>503</v>
      </c>
      <c r="H1250" s="5" t="s">
        <v>21</v>
      </c>
      <c r="I1250" s="5" t="s">
        <v>2953</v>
      </c>
      <c r="J1250" s="12" t="str">
        <f>HYPERLINK("https://www.boe.es/gazeta/dias/1801/05/15/pdfs/GMD-1801-39.pdf#page=7","Abrir facsímil")</f>
        <v>Abrir facsímil</v>
      </c>
      <c r="K1250" s="15" t="s">
        <v>23</v>
      </c>
    </row>
    <row r="1251" spans="1:11" ht="42" customHeight="1">
      <c r="A1251" s="4" t="s">
        <v>2954</v>
      </c>
      <c r="B1251" s="5" t="s">
        <v>2954</v>
      </c>
      <c r="C1251" s="5" t="s">
        <v>75</v>
      </c>
      <c r="D1251" s="5" t="s">
        <v>76</v>
      </c>
      <c r="E1251" s="5" t="s">
        <v>256</v>
      </c>
      <c r="F1251" s="9">
        <v>78</v>
      </c>
      <c r="G1251" s="9">
        <v>879</v>
      </c>
      <c r="H1251" s="5" t="s">
        <v>21</v>
      </c>
      <c r="I1251" s="5" t="s">
        <v>2955</v>
      </c>
      <c r="J1251" s="12" t="str">
        <f>HYPERLINK("https://www.boe.es/gazeta/dias/1801/08/14/pdfs/GMD-1801-78.pdf#page=8","Abrir facsímil")</f>
        <v>Abrir facsímil</v>
      </c>
      <c r="K1251" s="15" t="s">
        <v>23</v>
      </c>
    </row>
    <row r="1252" spans="1:11" ht="42" customHeight="1">
      <c r="A1252" s="4" t="s">
        <v>2956</v>
      </c>
      <c r="B1252" s="5" t="s">
        <v>2956</v>
      </c>
      <c r="C1252" s="5" t="s">
        <v>75</v>
      </c>
      <c r="D1252" s="5" t="s">
        <v>76</v>
      </c>
      <c r="E1252" s="5" t="s">
        <v>211</v>
      </c>
      <c r="F1252" s="9">
        <v>87</v>
      </c>
      <c r="G1252" s="9">
        <v>959</v>
      </c>
      <c r="H1252" s="5" t="s">
        <v>21</v>
      </c>
      <c r="I1252" s="5" t="s">
        <v>2957</v>
      </c>
      <c r="J1252" s="12" t="str">
        <f>HYPERLINK("https://www.boe.es/gazeta/dias/1801/09/11/pdfs/GMD-1801-87.pdf#page=2","Abrir facsímil")</f>
        <v>Abrir facsímil</v>
      </c>
      <c r="K1252" s="15" t="s">
        <v>23</v>
      </c>
    </row>
    <row r="1253" spans="1:11" ht="42" customHeight="1">
      <c r="A1253" s="4" t="s">
        <v>2958</v>
      </c>
      <c r="B1253" s="5" t="s">
        <v>2958</v>
      </c>
      <c r="C1253" s="5" t="s">
        <v>38</v>
      </c>
      <c r="D1253" s="5" t="s">
        <v>39</v>
      </c>
      <c r="E1253" s="5" t="s">
        <v>126</v>
      </c>
      <c r="F1253" s="9">
        <v>13</v>
      </c>
      <c r="G1253" s="9">
        <v>160</v>
      </c>
      <c r="H1253" s="5" t="s">
        <v>21</v>
      </c>
      <c r="I1253" s="5" t="s">
        <v>2959</v>
      </c>
      <c r="J1253" s="12" t="str">
        <f>HYPERLINK("https://www.boe.es/gazeta/dias/1801/02/13/pdfs/GMD-1801-13.pdf#page=7","Abrir facsímil")</f>
        <v>Abrir facsímil</v>
      </c>
      <c r="K1253" s="15" t="s">
        <v>23</v>
      </c>
    </row>
    <row r="1254" spans="1:11" ht="42" customHeight="1">
      <c r="A1254" s="4" t="s">
        <v>2960</v>
      </c>
      <c r="B1254" s="5" t="s">
        <v>2960</v>
      </c>
      <c r="C1254" s="5" t="s">
        <v>75</v>
      </c>
      <c r="D1254" s="5" t="s">
        <v>76</v>
      </c>
      <c r="E1254" s="5" t="s">
        <v>781</v>
      </c>
      <c r="F1254" s="9">
        <v>14</v>
      </c>
      <c r="G1254" s="9">
        <v>171</v>
      </c>
      <c r="H1254" s="5" t="s">
        <v>21</v>
      </c>
      <c r="I1254" s="5" t="s">
        <v>2961</v>
      </c>
      <c r="J1254" s="12" t="str">
        <f>HYPERLINK("https://www.boe.es/gazeta/dias/1801/02/17/pdfs/GMD-1801-14.pdf#page=6","Abrir facsímil")</f>
        <v>Abrir facsímil</v>
      </c>
      <c r="K1254" s="15" t="s">
        <v>23</v>
      </c>
    </row>
    <row r="1255" spans="1:11" ht="42" customHeight="1">
      <c r="A1255" s="4" t="s">
        <v>2958</v>
      </c>
      <c r="B1255" s="5" t="s">
        <v>2958</v>
      </c>
      <c r="C1255" s="5" t="s">
        <v>75</v>
      </c>
      <c r="D1255" s="5" t="s">
        <v>76</v>
      </c>
      <c r="E1255" s="5" t="s">
        <v>448</v>
      </c>
      <c r="F1255" s="9">
        <v>35</v>
      </c>
      <c r="G1255" s="9">
        <v>452</v>
      </c>
      <c r="H1255" s="5" t="s">
        <v>21</v>
      </c>
      <c r="I1255" s="5" t="s">
        <v>2962</v>
      </c>
      <c r="J1255" s="12" t="str">
        <f>HYPERLINK("https://www.boe.es/gazeta/dias/1801/05/01/pdfs/GMD-1801-35.pdf#page=8","Abrir facsímil")</f>
        <v>Abrir facsímil</v>
      </c>
      <c r="K1255" s="15" t="s">
        <v>23</v>
      </c>
    </row>
    <row r="1256" spans="1:11" ht="42" customHeight="1">
      <c r="A1256" s="4" t="s">
        <v>2963</v>
      </c>
      <c r="B1256" s="5" t="s">
        <v>2963</v>
      </c>
      <c r="C1256" s="5" t="s">
        <v>38</v>
      </c>
      <c r="D1256" s="5" t="s">
        <v>39</v>
      </c>
      <c r="E1256" s="5" t="s">
        <v>352</v>
      </c>
      <c r="F1256" s="9">
        <v>43</v>
      </c>
      <c r="G1256" s="9">
        <v>535</v>
      </c>
      <c r="H1256" s="5" t="s">
        <v>21</v>
      </c>
      <c r="I1256" s="5" t="s">
        <v>2964</v>
      </c>
      <c r="J1256" s="12" t="str">
        <f>HYPERLINK("https://www.boe.es/gazeta/dias/1801/05/26/pdfs/GMD-1801-43.pdf#page=7","Abrir facsímil")</f>
        <v>Abrir facsímil</v>
      </c>
      <c r="K1256" s="15" t="s">
        <v>23</v>
      </c>
    </row>
    <row r="1257" spans="1:11" ht="42" customHeight="1">
      <c r="A1257" s="4" t="s">
        <v>2965</v>
      </c>
      <c r="B1257" s="5" t="s">
        <v>2965</v>
      </c>
      <c r="C1257" s="5" t="s">
        <v>75</v>
      </c>
      <c r="D1257" s="5" t="s">
        <v>76</v>
      </c>
      <c r="E1257" s="5" t="s">
        <v>120</v>
      </c>
      <c r="F1257" s="9">
        <v>7</v>
      </c>
      <c r="G1257" s="9">
        <v>80</v>
      </c>
      <c r="H1257" s="5" t="s">
        <v>21</v>
      </c>
      <c r="I1257" s="5" t="s">
        <v>2966</v>
      </c>
      <c r="J1257" s="12" t="str">
        <f>HYPERLINK("https://www.boe.es/gazeta/dias/1801/01/23/pdfs/GMD-1801-7.pdf#page=4","Abrir facsímil")</f>
        <v>Abrir facsímil</v>
      </c>
      <c r="K1257" s="15" t="s">
        <v>23</v>
      </c>
    </row>
    <row r="1258" spans="1:11" ht="42" customHeight="1">
      <c r="A1258" s="4" t="s">
        <v>2967</v>
      </c>
      <c r="B1258" s="5" t="s">
        <v>2967</v>
      </c>
      <c r="C1258" s="5" t="s">
        <v>26</v>
      </c>
      <c r="D1258" s="5" t="s">
        <v>27</v>
      </c>
      <c r="E1258" s="5" t="s">
        <v>215</v>
      </c>
      <c r="F1258" s="9">
        <v>71</v>
      </c>
      <c r="G1258" s="9">
        <v>786</v>
      </c>
      <c r="H1258" s="5" t="s">
        <v>21</v>
      </c>
      <c r="I1258" s="5" t="s">
        <v>2968</v>
      </c>
      <c r="J1258" s="12" t="str">
        <f>HYPERLINK("https://www.boe.es/gazeta/dias/1801/07/21/pdfs/GMD-1801-71.pdf#page=7","Abrir facsímil")</f>
        <v>Abrir facsímil</v>
      </c>
      <c r="K1258" s="15" t="s">
        <v>23</v>
      </c>
    </row>
    <row r="1259" spans="1:11" ht="42" customHeight="1">
      <c r="A1259" s="4" t="s">
        <v>2969</v>
      </c>
      <c r="B1259" s="5" t="s">
        <v>2969</v>
      </c>
      <c r="C1259" s="5" t="s">
        <v>75</v>
      </c>
      <c r="D1259" s="5" t="s">
        <v>76</v>
      </c>
      <c r="E1259" s="5" t="s">
        <v>313</v>
      </c>
      <c r="F1259" s="9">
        <v>39</v>
      </c>
      <c r="G1259" s="9">
        <v>503</v>
      </c>
      <c r="H1259" s="5" t="s">
        <v>21</v>
      </c>
      <c r="I1259" s="5" t="s">
        <v>2970</v>
      </c>
      <c r="J1259" s="12" t="str">
        <f>HYPERLINK("https://www.boe.es/gazeta/dias/1801/05/15/pdfs/GMD-1801-39.pdf#page=7","Abrir facsímil")</f>
        <v>Abrir facsímil</v>
      </c>
      <c r="K1259" s="15" t="s">
        <v>23</v>
      </c>
    </row>
    <row r="1260" spans="1:11" ht="42" customHeight="1">
      <c r="A1260" s="4" t="s">
        <v>2971</v>
      </c>
      <c r="B1260" s="5" t="s">
        <v>2971</v>
      </c>
      <c r="C1260" s="5" t="s">
        <v>75</v>
      </c>
      <c r="D1260" s="5" t="s">
        <v>76</v>
      </c>
      <c r="E1260" s="5" t="s">
        <v>366</v>
      </c>
      <c r="F1260" s="9">
        <v>86</v>
      </c>
      <c r="G1260" s="9">
        <v>953</v>
      </c>
      <c r="H1260" s="5" t="s">
        <v>21</v>
      </c>
      <c r="I1260" s="5" t="s">
        <v>2972</v>
      </c>
      <c r="J1260" s="12" t="str">
        <f>HYPERLINK("https://www.boe.es/gazeta/dias/1801/09/08/pdfs/GMD-1801-86.pdf#page=4","Abrir facsímil")</f>
        <v>Abrir facsímil</v>
      </c>
      <c r="K1260" s="15" t="s">
        <v>23</v>
      </c>
    </row>
    <row r="1261" spans="1:11" ht="42" customHeight="1">
      <c r="A1261" s="4" t="s">
        <v>2973</v>
      </c>
      <c r="B1261" s="5" t="s">
        <v>2973</v>
      </c>
      <c r="C1261" s="5" t="s">
        <v>38</v>
      </c>
      <c r="D1261" s="5" t="s">
        <v>39</v>
      </c>
      <c r="E1261" s="5" t="s">
        <v>266</v>
      </c>
      <c r="F1261" s="9">
        <v>119</v>
      </c>
      <c r="G1261" s="9">
        <v>1302</v>
      </c>
      <c r="H1261" s="5" t="s">
        <v>21</v>
      </c>
      <c r="I1261" s="5" t="s">
        <v>2974</v>
      </c>
      <c r="J1261" s="12" t="str">
        <f>HYPERLINK("https://www.boe.es/gazeta/dias/1801/12/29/pdfs/GMD-1801-119.pdf#page=6","Abrir facsímil")</f>
        <v>Abrir facsímil</v>
      </c>
      <c r="K1261" s="15" t="s">
        <v>23</v>
      </c>
    </row>
    <row r="1262" spans="1:11" ht="42" customHeight="1">
      <c r="A1262" s="4" t="s">
        <v>2975</v>
      </c>
      <c r="B1262" s="5" t="s">
        <v>2975</v>
      </c>
      <c r="C1262" s="5" t="s">
        <v>69</v>
      </c>
      <c r="D1262" s="5" t="s">
        <v>19</v>
      </c>
      <c r="E1262" s="5" t="s">
        <v>448</v>
      </c>
      <c r="F1262" s="9">
        <v>35</v>
      </c>
      <c r="G1262" s="9">
        <v>451</v>
      </c>
      <c r="H1262" s="5" t="s">
        <v>21</v>
      </c>
      <c r="I1262" s="5" t="s">
        <v>2976</v>
      </c>
      <c r="J1262" s="12" t="str">
        <f>HYPERLINK("https://www.boe.es/gazeta/dias/1801/05/01/pdfs/GMD-1801-35.pdf#page=7","Abrir facsímil")</f>
        <v>Abrir facsímil</v>
      </c>
      <c r="K1262" s="15" t="s">
        <v>23</v>
      </c>
    </row>
    <row r="1263" spans="1:11" ht="42" customHeight="1">
      <c r="A1263" s="4" t="s">
        <v>2977</v>
      </c>
      <c r="B1263" s="5" t="s">
        <v>2977</v>
      </c>
      <c r="C1263" s="5" t="s">
        <v>75</v>
      </c>
      <c r="D1263" s="5" t="s">
        <v>76</v>
      </c>
      <c r="E1263" s="5" t="s">
        <v>215</v>
      </c>
      <c r="F1263" s="9">
        <v>71</v>
      </c>
      <c r="G1263" s="9">
        <v>785</v>
      </c>
      <c r="H1263" s="5" t="s">
        <v>21</v>
      </c>
      <c r="I1263" s="5" t="s">
        <v>2978</v>
      </c>
      <c r="J1263" s="12" t="str">
        <f>HYPERLINK("https://www.boe.es/gazeta/dias/1801/07/21/pdfs/GMD-1801-71.pdf#page=6","Abrir facsímil")</f>
        <v>Abrir facsímil</v>
      </c>
      <c r="K1263" s="15" t="s">
        <v>23</v>
      </c>
    </row>
    <row r="1264" spans="1:11" ht="42" customHeight="1">
      <c r="A1264" s="4" t="s">
        <v>2979</v>
      </c>
      <c r="B1264" s="5" t="s">
        <v>2979</v>
      </c>
      <c r="C1264" s="5" t="s">
        <v>75</v>
      </c>
      <c r="D1264" s="5" t="s">
        <v>76</v>
      </c>
      <c r="E1264" s="5" t="s">
        <v>99</v>
      </c>
      <c r="F1264" s="9">
        <v>32</v>
      </c>
      <c r="G1264" s="9">
        <v>410</v>
      </c>
      <c r="H1264" s="5" t="s">
        <v>21</v>
      </c>
      <c r="I1264" s="5" t="s">
        <v>2980</v>
      </c>
      <c r="J1264" s="12" t="str">
        <f>HYPERLINK("https://www.boe.es/gazeta/dias/1801/04/21/pdfs/GMD-1801-32.pdf#page=6","Abrir facsímil")</f>
        <v>Abrir facsímil</v>
      </c>
      <c r="K1264" s="15" t="s">
        <v>23</v>
      </c>
    </row>
    <row r="1265" spans="1:11" ht="42" customHeight="1">
      <c r="A1265" s="4" t="s">
        <v>2981</v>
      </c>
      <c r="B1265" s="5" t="s">
        <v>2981</v>
      </c>
      <c r="C1265" s="5" t="s">
        <v>75</v>
      </c>
      <c r="D1265" s="5" t="s">
        <v>76</v>
      </c>
      <c r="E1265" s="5" t="s">
        <v>135</v>
      </c>
      <c r="F1265" s="9">
        <v>24</v>
      </c>
      <c r="G1265" s="9">
        <v>316</v>
      </c>
      <c r="H1265" s="5" t="s">
        <v>21</v>
      </c>
      <c r="I1265" s="5" t="s">
        <v>2982</v>
      </c>
      <c r="J1265" s="12" t="str">
        <f>HYPERLINK("https://www.boe.es/gazeta/dias/1801/03/24/pdfs/GMD-1801-24.pdf#page=7","Abrir facsímil")</f>
        <v>Abrir facsímil</v>
      </c>
      <c r="K1265" s="15" t="s">
        <v>23</v>
      </c>
    </row>
    <row r="1266" spans="1:11" ht="42" customHeight="1">
      <c r="A1266" s="4" t="s">
        <v>2981</v>
      </c>
      <c r="B1266" s="5" t="s">
        <v>2981</v>
      </c>
      <c r="C1266" s="5" t="s">
        <v>38</v>
      </c>
      <c r="D1266" s="5" t="s">
        <v>39</v>
      </c>
      <c r="E1266" s="5" t="s">
        <v>352</v>
      </c>
      <c r="F1266" s="9">
        <v>43</v>
      </c>
      <c r="G1266" s="9">
        <v>533</v>
      </c>
      <c r="H1266" s="5" t="s">
        <v>21</v>
      </c>
      <c r="I1266" s="5" t="s">
        <v>2983</v>
      </c>
      <c r="J1266" s="12" t="str">
        <f>HYPERLINK("https://www.boe.es/gazeta/dias/1801/05/26/pdfs/GMD-1801-43.pdf#page=5","Abrir facsímil")</f>
        <v>Abrir facsímil</v>
      </c>
      <c r="K1266" s="15" t="s">
        <v>23</v>
      </c>
    </row>
    <row r="1267" spans="1:11" ht="42" customHeight="1">
      <c r="A1267" s="4" t="s">
        <v>2981</v>
      </c>
      <c r="B1267" s="5" t="s">
        <v>2981</v>
      </c>
      <c r="C1267" s="5" t="s">
        <v>32</v>
      </c>
      <c r="D1267" s="5" t="s">
        <v>33</v>
      </c>
      <c r="E1267" s="5" t="s">
        <v>254</v>
      </c>
      <c r="F1267" s="9">
        <v>73</v>
      </c>
      <c r="G1267" s="9">
        <v>810</v>
      </c>
      <c r="H1267" s="5" t="s">
        <v>21</v>
      </c>
      <c r="I1267" s="5" t="s">
        <v>2984</v>
      </c>
      <c r="J1267" s="12" t="str">
        <f>HYPERLINK("https://www.boe.es/gazeta/dias/1801/07/28/pdfs/GMD-1801-73.pdf#page=3","Abrir facsímil")</f>
        <v>Abrir facsímil</v>
      </c>
      <c r="K1267" s="15" t="s">
        <v>23</v>
      </c>
    </row>
    <row r="1268" spans="1:11" ht="42" customHeight="1">
      <c r="A1268" s="4" t="s">
        <v>2981</v>
      </c>
      <c r="B1268" s="5" t="s">
        <v>2981</v>
      </c>
      <c r="C1268" s="5" t="s">
        <v>32</v>
      </c>
      <c r="D1268" s="5" t="s">
        <v>33</v>
      </c>
      <c r="E1268" s="5" t="s">
        <v>258</v>
      </c>
      <c r="F1268" s="9">
        <v>96</v>
      </c>
      <c r="G1268" s="9">
        <v>1049</v>
      </c>
      <c r="H1268" s="5" t="s">
        <v>21</v>
      </c>
      <c r="I1268" s="5" t="s">
        <v>2985</v>
      </c>
      <c r="J1268" s="12" t="str">
        <f>HYPERLINK("https://www.boe.es/gazeta/dias/1801/10/09/pdfs/GMD-1801-96.pdf#page=5","Abrir facsímil")</f>
        <v>Abrir facsímil</v>
      </c>
      <c r="K1268" s="15" t="s">
        <v>23</v>
      </c>
    </row>
    <row r="1269" spans="1:11" ht="42" customHeight="1">
      <c r="A1269" s="4" t="s">
        <v>2981</v>
      </c>
      <c r="B1269" s="5" t="s">
        <v>2981</v>
      </c>
      <c r="C1269" s="5" t="s">
        <v>38</v>
      </c>
      <c r="D1269" s="5" t="s">
        <v>39</v>
      </c>
      <c r="E1269" s="5" t="s">
        <v>735</v>
      </c>
      <c r="F1269" s="9">
        <v>97</v>
      </c>
      <c r="G1269" s="9">
        <v>1061</v>
      </c>
      <c r="H1269" s="5" t="s">
        <v>21</v>
      </c>
      <c r="I1269" s="5" t="s">
        <v>2986</v>
      </c>
      <c r="J1269" s="12" t="str">
        <f>HYPERLINK("https://www.boe.es/gazeta/dias/1801/10/13/pdfs/GMD-1801-97.pdf#page=5","Abrir facsímil")</f>
        <v>Abrir facsímil</v>
      </c>
      <c r="K1269" s="15" t="s">
        <v>23</v>
      </c>
    </row>
    <row r="1270" spans="1:11" ht="42" customHeight="1">
      <c r="A1270" s="4" t="s">
        <v>2981</v>
      </c>
      <c r="B1270" s="5" t="s">
        <v>2981</v>
      </c>
      <c r="C1270" s="5" t="s">
        <v>38</v>
      </c>
      <c r="D1270" s="5" t="s">
        <v>39</v>
      </c>
      <c r="E1270" s="5" t="s">
        <v>55</v>
      </c>
      <c r="F1270" s="9">
        <v>104</v>
      </c>
      <c r="G1270" s="9">
        <v>1142</v>
      </c>
      <c r="H1270" s="5" t="s">
        <v>21</v>
      </c>
      <c r="I1270" s="5" t="s">
        <v>2987</v>
      </c>
      <c r="J1270" s="12" t="str">
        <f>HYPERLINK("https://www.boe.es/gazeta/dias/1801/11/06/pdfs/GMD-1801-104.pdf#page=3","Abrir facsímil")</f>
        <v>Abrir facsímil</v>
      </c>
      <c r="K1270" s="15" t="s">
        <v>23</v>
      </c>
    </row>
    <row r="1271" spans="1:11" ht="42" customHeight="1">
      <c r="A1271" s="4" t="s">
        <v>2981</v>
      </c>
      <c r="B1271" s="5" t="s">
        <v>2981</v>
      </c>
      <c r="C1271" s="5" t="s">
        <v>38</v>
      </c>
      <c r="D1271" s="5" t="s">
        <v>39</v>
      </c>
      <c r="E1271" s="5" t="s">
        <v>1058</v>
      </c>
      <c r="F1271" s="9">
        <v>108</v>
      </c>
      <c r="G1271" s="9">
        <v>1186</v>
      </c>
      <c r="H1271" s="5" t="s">
        <v>21</v>
      </c>
      <c r="I1271" s="5" t="s">
        <v>2988</v>
      </c>
      <c r="J1271" s="12" t="str">
        <f>HYPERLINK("https://www.boe.es/gazeta/dias/1801/11/20/pdfs/GMD-1801-108.pdf#page=3","Abrir facsímil")</f>
        <v>Abrir facsímil</v>
      </c>
      <c r="K1271" s="15" t="s">
        <v>23</v>
      </c>
    </row>
    <row r="1272" spans="1:11" ht="42" customHeight="1">
      <c r="A1272" s="4" t="s">
        <v>2989</v>
      </c>
      <c r="B1272" s="5" t="s">
        <v>2989</v>
      </c>
      <c r="C1272" s="5" t="s">
        <v>75</v>
      </c>
      <c r="D1272" s="5" t="s">
        <v>76</v>
      </c>
      <c r="E1272" s="5" t="s">
        <v>359</v>
      </c>
      <c r="F1272" s="9">
        <v>101</v>
      </c>
      <c r="G1272" s="9">
        <v>1110</v>
      </c>
      <c r="H1272" s="5" t="s">
        <v>21</v>
      </c>
      <c r="I1272" s="5" t="s">
        <v>2990</v>
      </c>
      <c r="J1272" s="12" t="str">
        <f>HYPERLINK("https://www.boe.es/gazeta/dias/1801/10/27/pdfs/GMD-1801-101.pdf#page=3","Abrir facsímil")</f>
        <v>Abrir facsímil</v>
      </c>
      <c r="K1272" s="15" t="s">
        <v>23</v>
      </c>
    </row>
    <row r="1273" spans="1:11" ht="42" customHeight="1">
      <c r="A1273" s="4" t="s">
        <v>2991</v>
      </c>
      <c r="B1273" s="5" t="s">
        <v>2991</v>
      </c>
      <c r="C1273" s="5" t="s">
        <v>32</v>
      </c>
      <c r="D1273" s="5" t="s">
        <v>33</v>
      </c>
      <c r="E1273" s="5" t="s">
        <v>505</v>
      </c>
      <c r="F1273" s="9">
        <v>94</v>
      </c>
      <c r="G1273" s="9">
        <v>1031</v>
      </c>
      <c r="H1273" s="5" t="s">
        <v>21</v>
      </c>
      <c r="I1273" s="5" t="s">
        <v>2992</v>
      </c>
      <c r="J1273" s="12" t="str">
        <f>HYPERLINK("https://www.boe.es/gazeta/dias/1801/10/02/pdfs/GMD-1801-94.pdf#page=7","Abrir facsímil")</f>
        <v>Abrir facsímil</v>
      </c>
      <c r="K1273" s="15" t="s">
        <v>23</v>
      </c>
    </row>
    <row r="1274" spans="1:11" ht="42" customHeight="1">
      <c r="A1274" s="4" t="s">
        <v>2993</v>
      </c>
      <c r="B1274" s="5" t="s">
        <v>2993</v>
      </c>
      <c r="C1274" s="5" t="s">
        <v>38</v>
      </c>
      <c r="D1274" s="5" t="s">
        <v>39</v>
      </c>
      <c r="E1274" s="5" t="s">
        <v>615</v>
      </c>
      <c r="F1274" s="9">
        <v>72</v>
      </c>
      <c r="G1274" s="9">
        <v>801</v>
      </c>
      <c r="H1274" s="5" t="s">
        <v>21</v>
      </c>
      <c r="I1274" s="5" t="s">
        <v>2994</v>
      </c>
      <c r="J1274" s="12" t="str">
        <f>HYPERLINK("https://www.boe.es/gazeta/dias/1801/07/24/pdfs/GMD-1801-72.pdf#page=6","Abrir facsímil")</f>
        <v>Abrir facsímil</v>
      </c>
      <c r="K1274" s="15" t="s">
        <v>23</v>
      </c>
    </row>
    <row r="1275" spans="1:11" ht="42" customHeight="1">
      <c r="A1275" s="4" t="s">
        <v>2995</v>
      </c>
      <c r="B1275" s="5" t="s">
        <v>2995</v>
      </c>
      <c r="C1275" s="5" t="s">
        <v>38</v>
      </c>
      <c r="D1275" s="5" t="s">
        <v>39</v>
      </c>
      <c r="E1275" s="5" t="s">
        <v>55</v>
      </c>
      <c r="F1275" s="9">
        <v>104</v>
      </c>
      <c r="G1275" s="9">
        <v>1144</v>
      </c>
      <c r="H1275" s="5" t="s">
        <v>21</v>
      </c>
      <c r="I1275" s="5" t="s">
        <v>2996</v>
      </c>
      <c r="J1275" s="12" t="str">
        <f>HYPERLINK("https://www.boe.es/gazeta/dias/1801/11/06/pdfs/GMD-1801-104.pdf#page=5","Abrir facsímil")</f>
        <v>Abrir facsímil</v>
      </c>
      <c r="K1275" s="15" t="s">
        <v>23</v>
      </c>
    </row>
    <row r="1276" spans="1:11" ht="42" customHeight="1">
      <c r="A1276" s="4" t="s">
        <v>2997</v>
      </c>
      <c r="B1276" s="5" t="s">
        <v>2997</v>
      </c>
      <c r="C1276" s="5" t="s">
        <v>75</v>
      </c>
      <c r="D1276" s="5" t="s">
        <v>76</v>
      </c>
      <c r="E1276" s="5" t="s">
        <v>135</v>
      </c>
      <c r="F1276" s="9">
        <v>24</v>
      </c>
      <c r="G1276" s="9">
        <v>315</v>
      </c>
      <c r="H1276" s="5" t="s">
        <v>21</v>
      </c>
      <c r="I1276" s="5" t="s">
        <v>2998</v>
      </c>
      <c r="J1276" s="12" t="str">
        <f>HYPERLINK("https://www.boe.es/gazeta/dias/1801/03/24/pdfs/GMD-1801-24.pdf#page=6","Abrir facsímil")</f>
        <v>Abrir facsímil</v>
      </c>
      <c r="K1276" s="15" t="s">
        <v>23</v>
      </c>
    </row>
    <row r="1277" spans="1:11" ht="42" customHeight="1">
      <c r="A1277" s="4" t="s">
        <v>2999</v>
      </c>
      <c r="B1277" s="5" t="s">
        <v>2999</v>
      </c>
      <c r="C1277" s="5" t="s">
        <v>32</v>
      </c>
      <c r="D1277" s="5" t="s">
        <v>33</v>
      </c>
      <c r="E1277" s="5" t="s">
        <v>215</v>
      </c>
      <c r="F1277" s="9">
        <v>71</v>
      </c>
      <c r="G1277" s="9">
        <v>783</v>
      </c>
      <c r="H1277" s="5" t="s">
        <v>21</v>
      </c>
      <c r="I1277" s="5" t="s">
        <v>3000</v>
      </c>
      <c r="J1277" s="12" t="str">
        <f>HYPERLINK("https://www.boe.es/gazeta/dias/1801/07/21/pdfs/GMD-1801-71.pdf#page=4","Abrir facsímil")</f>
        <v>Abrir facsímil</v>
      </c>
      <c r="K1277" s="15" t="s">
        <v>23</v>
      </c>
    </row>
    <row r="1278" spans="1:11" ht="42" customHeight="1">
      <c r="A1278" s="4" t="s">
        <v>3001</v>
      </c>
      <c r="B1278" s="5" t="s">
        <v>3001</v>
      </c>
      <c r="C1278" s="5" t="s">
        <v>75</v>
      </c>
      <c r="D1278" s="5" t="s">
        <v>76</v>
      </c>
      <c r="E1278" s="5" t="s">
        <v>935</v>
      </c>
      <c r="F1278" s="9">
        <v>116</v>
      </c>
      <c r="G1278" s="9">
        <v>1265</v>
      </c>
      <c r="H1278" s="5" t="s">
        <v>21</v>
      </c>
      <c r="I1278" s="5" t="s">
        <v>3002</v>
      </c>
      <c r="J1278" s="12" t="str">
        <f>HYPERLINK("https://www.boe.es/gazeta/dias/1801/12/18/pdfs/GMD-1801-116.pdf#page=7","Abrir facsímil")</f>
        <v>Abrir facsímil</v>
      </c>
      <c r="K1278" s="15" t="s">
        <v>23</v>
      </c>
    </row>
    <row r="1279" spans="1:11" ht="42" customHeight="1">
      <c r="A1279" s="4" t="s">
        <v>3003</v>
      </c>
      <c r="B1279" s="5" t="s">
        <v>3003</v>
      </c>
      <c r="C1279" s="5" t="s">
        <v>75</v>
      </c>
      <c r="D1279" s="5" t="s">
        <v>76</v>
      </c>
      <c r="E1279" s="5" t="s">
        <v>359</v>
      </c>
      <c r="F1279" s="9">
        <v>101</v>
      </c>
      <c r="G1279" s="9">
        <v>1112</v>
      </c>
      <c r="H1279" s="5" t="s">
        <v>21</v>
      </c>
      <c r="I1279" s="5" t="s">
        <v>3004</v>
      </c>
      <c r="J1279" s="12" t="str">
        <f>HYPERLINK("https://www.boe.es/gazeta/dias/1801/10/27/pdfs/GMD-1801-101.pdf#page=5","Abrir facsímil")</f>
        <v>Abrir facsímil</v>
      </c>
      <c r="K1279" s="15" t="s">
        <v>23</v>
      </c>
    </row>
    <row r="1280" spans="1:11" ht="42" customHeight="1">
      <c r="A1280" s="4" t="s">
        <v>3005</v>
      </c>
      <c r="B1280" s="5" t="s">
        <v>3005</v>
      </c>
      <c r="C1280" s="5" t="s">
        <v>75</v>
      </c>
      <c r="D1280" s="5" t="s">
        <v>76</v>
      </c>
      <c r="E1280" s="5" t="s">
        <v>120</v>
      </c>
      <c r="F1280" s="9">
        <v>7</v>
      </c>
      <c r="G1280" s="9">
        <v>80</v>
      </c>
      <c r="H1280" s="5" t="s">
        <v>21</v>
      </c>
      <c r="I1280" s="5" t="s">
        <v>3006</v>
      </c>
      <c r="J1280" s="12" t="str">
        <f>HYPERLINK("https://www.boe.es/gazeta/dias/1801/01/23/pdfs/GMD-1801-7.pdf#page=4","Abrir facsímil")</f>
        <v>Abrir facsímil</v>
      </c>
      <c r="K1280" s="15" t="s">
        <v>23</v>
      </c>
    </row>
    <row r="1281" spans="1:11" ht="42" customHeight="1">
      <c r="A1281" s="4" t="s">
        <v>3007</v>
      </c>
      <c r="B1281" s="5" t="s">
        <v>3007</v>
      </c>
      <c r="C1281" s="5" t="s">
        <v>38</v>
      </c>
      <c r="D1281" s="5" t="s">
        <v>39</v>
      </c>
      <c r="E1281" s="5" t="s">
        <v>48</v>
      </c>
      <c r="F1281" s="9">
        <v>20</v>
      </c>
      <c r="G1281" s="9">
        <v>262</v>
      </c>
      <c r="H1281" s="5" t="s">
        <v>21</v>
      </c>
      <c r="I1281" s="5" t="s">
        <v>3008</v>
      </c>
      <c r="J1281" s="12" t="str">
        <f>HYPERLINK("https://www.boe.es/gazeta/dias/1801/03/10/pdfs/GMD-1801-20.pdf#page=7","Abrir facsímil")</f>
        <v>Abrir facsímil</v>
      </c>
      <c r="K1281" s="15" t="s">
        <v>23</v>
      </c>
    </row>
    <row r="1282" spans="1:11" ht="42" customHeight="1">
      <c r="A1282" s="4" t="s">
        <v>3009</v>
      </c>
      <c r="B1282" s="5" t="s">
        <v>3009</v>
      </c>
      <c r="C1282" s="5" t="s">
        <v>32</v>
      </c>
      <c r="D1282" s="5" t="s">
        <v>33</v>
      </c>
      <c r="E1282" s="5" t="s">
        <v>256</v>
      </c>
      <c r="F1282" s="9">
        <v>78</v>
      </c>
      <c r="G1282" s="9">
        <v>878</v>
      </c>
      <c r="H1282" s="5" t="s">
        <v>21</v>
      </c>
      <c r="I1282" s="5" t="s">
        <v>3010</v>
      </c>
      <c r="J1282" s="12" t="str">
        <f>HYPERLINK("https://www.boe.es/gazeta/dias/1801/08/14/pdfs/GMD-1801-78.pdf#page=7","Abrir facsímil")</f>
        <v>Abrir facsímil</v>
      </c>
      <c r="K1282" s="15" t="s">
        <v>23</v>
      </c>
    </row>
    <row r="1283" spans="1:11" ht="42" customHeight="1">
      <c r="A1283" s="4" t="s">
        <v>3011</v>
      </c>
      <c r="B1283" s="5" t="s">
        <v>3011</v>
      </c>
      <c r="C1283" s="5" t="s">
        <v>75</v>
      </c>
      <c r="D1283" s="5" t="s">
        <v>76</v>
      </c>
      <c r="E1283" s="5" t="s">
        <v>20</v>
      </c>
      <c r="F1283" s="9">
        <v>37</v>
      </c>
      <c r="G1283" s="9">
        <v>480</v>
      </c>
      <c r="H1283" s="5" t="s">
        <v>21</v>
      </c>
      <c r="I1283" s="5" t="s">
        <v>3012</v>
      </c>
      <c r="J1283" s="12" t="str">
        <f>HYPERLINK("https://www.boe.es/gazeta/dias/1801/05/08/pdfs/GMD-1801-37.pdf#page=8","Abrir facsímil")</f>
        <v>Abrir facsímil</v>
      </c>
      <c r="K1283" s="15" t="s">
        <v>23</v>
      </c>
    </row>
    <row r="1284" spans="1:11" ht="42" customHeight="1">
      <c r="A1284" s="4" t="s">
        <v>3013</v>
      </c>
      <c r="B1284" s="5" t="s">
        <v>3013</v>
      </c>
      <c r="C1284" s="5" t="s">
        <v>75</v>
      </c>
      <c r="D1284" s="5" t="s">
        <v>76</v>
      </c>
      <c r="E1284" s="5" t="s">
        <v>935</v>
      </c>
      <c r="F1284" s="9">
        <v>116</v>
      </c>
      <c r="G1284" s="9">
        <v>1265</v>
      </c>
      <c r="H1284" s="5" t="s">
        <v>21</v>
      </c>
      <c r="I1284" s="5" t="s">
        <v>3014</v>
      </c>
      <c r="J1284" s="12" t="str">
        <f>HYPERLINK("https://www.boe.es/gazeta/dias/1801/12/18/pdfs/GMD-1801-116.pdf#page=7","Abrir facsímil")</f>
        <v>Abrir facsímil</v>
      </c>
      <c r="K1284" s="15" t="s">
        <v>23</v>
      </c>
    </row>
    <row r="1285" spans="1:11" ht="42" customHeight="1">
      <c r="A1285" s="4" t="s">
        <v>3015</v>
      </c>
      <c r="B1285" s="5" t="s">
        <v>3015</v>
      </c>
      <c r="C1285" s="5" t="s">
        <v>26</v>
      </c>
      <c r="D1285" s="5" t="s">
        <v>27</v>
      </c>
      <c r="E1285" s="5" t="s">
        <v>223</v>
      </c>
      <c r="F1285" s="9">
        <v>74</v>
      </c>
      <c r="G1285" s="9">
        <v>826</v>
      </c>
      <c r="H1285" s="5" t="s">
        <v>21</v>
      </c>
      <c r="I1285" s="5" t="s">
        <v>3016</v>
      </c>
      <c r="J1285" s="12" t="str">
        <f>HYPERLINK("https://www.boe.es/gazeta/dias/1801/07/31/pdfs/GMD-1801-74.pdf#page=7","Abrir facsímil")</f>
        <v>Abrir facsímil</v>
      </c>
      <c r="K1285" s="15" t="s">
        <v>23</v>
      </c>
    </row>
    <row r="1286" spans="1:11" ht="42" customHeight="1">
      <c r="A1286" s="4" t="s">
        <v>3017</v>
      </c>
      <c r="B1286" s="5" t="s">
        <v>3017</v>
      </c>
      <c r="C1286" s="5" t="s">
        <v>38</v>
      </c>
      <c r="D1286" s="5" t="s">
        <v>39</v>
      </c>
      <c r="E1286" s="5" t="s">
        <v>173</v>
      </c>
      <c r="F1286" s="9">
        <v>98</v>
      </c>
      <c r="G1286" s="9">
        <v>1073</v>
      </c>
      <c r="H1286" s="5" t="s">
        <v>21</v>
      </c>
      <c r="I1286" s="5" t="s">
        <v>3018</v>
      </c>
      <c r="J1286" s="12" t="str">
        <f>HYPERLINK("https://www.boe.es/gazeta/dias/1801/10/16/pdfs/GMD-1801-98.pdf#page=5","Abrir facsímil")</f>
        <v>Abrir facsímil</v>
      </c>
      <c r="K1286" s="15" t="s">
        <v>23</v>
      </c>
    </row>
    <row r="1287" spans="1:11" ht="42" customHeight="1">
      <c r="A1287" s="4" t="s">
        <v>3019</v>
      </c>
      <c r="B1287" s="5" t="s">
        <v>3019</v>
      </c>
      <c r="C1287" s="5" t="s">
        <v>32</v>
      </c>
      <c r="D1287" s="5" t="s">
        <v>33</v>
      </c>
      <c r="E1287" s="5" t="s">
        <v>505</v>
      </c>
      <c r="F1287" s="9">
        <v>94</v>
      </c>
      <c r="G1287" s="9">
        <v>1031</v>
      </c>
      <c r="H1287" s="5" t="s">
        <v>21</v>
      </c>
      <c r="I1287" s="5" t="s">
        <v>3020</v>
      </c>
      <c r="J1287" s="12" t="str">
        <f>HYPERLINK("https://www.boe.es/gazeta/dias/1801/10/02/pdfs/GMD-1801-94.pdf#page=7","Abrir facsímil")</f>
        <v>Abrir facsímil</v>
      </c>
      <c r="K1287" s="15" t="s">
        <v>23</v>
      </c>
    </row>
    <row r="1288" spans="1:11" ht="42" customHeight="1">
      <c r="A1288" s="4" t="s">
        <v>3021</v>
      </c>
      <c r="B1288" s="5" t="s">
        <v>3021</v>
      </c>
      <c r="C1288" s="5" t="s">
        <v>26</v>
      </c>
      <c r="D1288" s="5" t="s">
        <v>27</v>
      </c>
      <c r="E1288" s="5" t="s">
        <v>141</v>
      </c>
      <c r="F1288" s="9">
        <v>33</v>
      </c>
      <c r="G1288" s="9">
        <v>425</v>
      </c>
      <c r="H1288" s="5" t="s">
        <v>21</v>
      </c>
      <c r="I1288" s="5" t="s">
        <v>3022</v>
      </c>
      <c r="J1288" s="12" t="str">
        <f>HYPERLINK("https://www.boe.es/gazeta/dias/1801/04/24/pdfs/GMD-1801-33.pdf#page=9","Abrir facsímil")</f>
        <v>Abrir facsímil</v>
      </c>
      <c r="K1288" s="15" t="s">
        <v>23</v>
      </c>
    </row>
    <row r="1289" spans="1:11" ht="42" customHeight="1">
      <c r="A1289" s="4" t="s">
        <v>3023</v>
      </c>
      <c r="B1289" s="5" t="s">
        <v>3023</v>
      </c>
      <c r="C1289" s="5" t="s">
        <v>75</v>
      </c>
      <c r="D1289" s="5" t="s">
        <v>76</v>
      </c>
      <c r="E1289" s="5" t="s">
        <v>221</v>
      </c>
      <c r="F1289" s="9">
        <v>28</v>
      </c>
      <c r="G1289" s="9">
        <v>365</v>
      </c>
      <c r="H1289" s="5" t="s">
        <v>21</v>
      </c>
      <c r="I1289" s="5" t="s">
        <v>3024</v>
      </c>
      <c r="J1289" s="12" t="str">
        <f>HYPERLINK("https://www.boe.es/gazeta/dias/1801/04/07/pdfs/GMD-1801-28.pdf#page=5","Abrir facsímil")</f>
        <v>Abrir facsímil</v>
      </c>
      <c r="K1289" s="15" t="s">
        <v>23</v>
      </c>
    </row>
    <row r="1290" spans="1:11" ht="42" customHeight="1">
      <c r="A1290" s="4" t="s">
        <v>3025</v>
      </c>
      <c r="B1290" s="5" t="s">
        <v>3025</v>
      </c>
      <c r="C1290" s="5" t="s">
        <v>18</v>
      </c>
      <c r="D1290" s="5" t="s">
        <v>19</v>
      </c>
      <c r="E1290" s="5" t="s">
        <v>66</v>
      </c>
      <c r="F1290" s="9">
        <v>52</v>
      </c>
      <c r="G1290" s="9">
        <v>607</v>
      </c>
      <c r="H1290" s="5" t="s">
        <v>21</v>
      </c>
      <c r="I1290" s="5" t="s">
        <v>3026</v>
      </c>
      <c r="J1290" s="12" t="str">
        <f>HYPERLINK("https://www.boe.es/gazeta/dias/1801/06/12/pdfs/GMD-1801-52.pdf#page=6","Abrir facsímil")</f>
        <v>Abrir facsímil</v>
      </c>
      <c r="K1290" s="15" t="s">
        <v>23</v>
      </c>
    </row>
    <row r="1291" spans="1:11" ht="42" customHeight="1">
      <c r="A1291" s="4" t="s">
        <v>3027</v>
      </c>
      <c r="B1291" s="5" t="s">
        <v>3027</v>
      </c>
      <c r="C1291" s="5" t="s">
        <v>75</v>
      </c>
      <c r="D1291" s="5" t="s">
        <v>76</v>
      </c>
      <c r="E1291" s="5" t="s">
        <v>615</v>
      </c>
      <c r="F1291" s="9">
        <v>72</v>
      </c>
      <c r="G1291" s="9">
        <v>800</v>
      </c>
      <c r="H1291" s="5" t="s">
        <v>21</v>
      </c>
      <c r="I1291" s="5" t="s">
        <v>3028</v>
      </c>
      <c r="J1291" s="12" t="str">
        <f>HYPERLINK("https://www.boe.es/gazeta/dias/1801/07/24/pdfs/GMD-1801-72.pdf#page=5","Abrir facsímil")</f>
        <v>Abrir facsímil</v>
      </c>
      <c r="K1291" s="15" t="s">
        <v>23</v>
      </c>
    </row>
    <row r="1292" spans="1:11" ht="42" customHeight="1">
      <c r="A1292" s="4" t="s">
        <v>3029</v>
      </c>
      <c r="B1292" s="5" t="s">
        <v>3029</v>
      </c>
      <c r="C1292" s="5" t="s">
        <v>38</v>
      </c>
      <c r="D1292" s="5" t="s">
        <v>39</v>
      </c>
      <c r="E1292" s="5" t="s">
        <v>453</v>
      </c>
      <c r="F1292" s="9">
        <v>100</v>
      </c>
      <c r="G1292" s="9">
        <v>1092</v>
      </c>
      <c r="H1292" s="5" t="s">
        <v>21</v>
      </c>
      <c r="I1292" s="5" t="s">
        <v>3030</v>
      </c>
      <c r="J1292" s="12" t="str">
        <f>HYPERLINK("https://www.boe.es/gazeta/dias/1801/10/23/pdfs/GMD-1801-100.pdf#page=1","Abrir facsímil")</f>
        <v>Abrir facsímil</v>
      </c>
      <c r="K1292" s="15" t="s">
        <v>23</v>
      </c>
    </row>
    <row r="1293" spans="1:11" ht="42" customHeight="1">
      <c r="A1293" s="4" t="s">
        <v>3031</v>
      </c>
      <c r="B1293" s="5" t="s">
        <v>3031</v>
      </c>
      <c r="C1293" s="5" t="s">
        <v>26</v>
      </c>
      <c r="D1293" s="5" t="s">
        <v>27</v>
      </c>
      <c r="E1293" s="5" t="s">
        <v>211</v>
      </c>
      <c r="F1293" s="9">
        <v>87</v>
      </c>
      <c r="G1293" s="9">
        <v>968</v>
      </c>
      <c r="H1293" s="5" t="s">
        <v>21</v>
      </c>
      <c r="I1293" s="5" t="s">
        <v>3032</v>
      </c>
      <c r="J1293" s="12" t="str">
        <f>HYPERLINK("https://www.boe.es/gazeta/dias/1801/09/11/pdfs/GMD-1801-87.pdf#page=11","Abrir facsímil")</f>
        <v>Abrir facsímil</v>
      </c>
      <c r="K1293" s="15" t="s">
        <v>23</v>
      </c>
    </row>
    <row r="1294" spans="1:11" ht="42" customHeight="1">
      <c r="A1294" s="4" t="s">
        <v>3033</v>
      </c>
      <c r="B1294" s="5" t="s">
        <v>3033</v>
      </c>
      <c r="C1294" s="5" t="s">
        <v>32</v>
      </c>
      <c r="D1294" s="5" t="s">
        <v>33</v>
      </c>
      <c r="E1294" s="5" t="s">
        <v>258</v>
      </c>
      <c r="F1294" s="9">
        <v>96</v>
      </c>
      <c r="G1294" s="9">
        <v>1050</v>
      </c>
      <c r="H1294" s="5" t="s">
        <v>21</v>
      </c>
      <c r="I1294" s="5" t="s">
        <v>3034</v>
      </c>
      <c r="J1294" s="12" t="str">
        <f>HYPERLINK("https://www.boe.es/gazeta/dias/1801/10/09/pdfs/GMD-1801-96.pdf#page=6","Abrir facsímil")</f>
        <v>Abrir facsímil</v>
      </c>
      <c r="K1294" s="15" t="s">
        <v>23</v>
      </c>
    </row>
    <row r="1295" spans="1:11" ht="42" customHeight="1">
      <c r="A1295" s="4" t="s">
        <v>3035</v>
      </c>
      <c r="B1295" s="5" t="s">
        <v>3035</v>
      </c>
      <c r="C1295" s="5" t="s">
        <v>75</v>
      </c>
      <c r="D1295" s="5" t="s">
        <v>76</v>
      </c>
      <c r="E1295" s="5" t="s">
        <v>251</v>
      </c>
      <c r="F1295" s="9">
        <v>66</v>
      </c>
      <c r="G1295" s="9">
        <v>739</v>
      </c>
      <c r="H1295" s="5" t="s">
        <v>21</v>
      </c>
      <c r="I1295" s="5" t="s">
        <v>3036</v>
      </c>
      <c r="J1295" s="12" t="str">
        <f>HYPERLINK("https://www.boe.es/gazeta/dias/1801/07/10/pdfs/GMD-1801-66.pdf#page=4","Abrir facsímil")</f>
        <v>Abrir facsímil</v>
      </c>
      <c r="K1295" s="15" t="s">
        <v>23</v>
      </c>
    </row>
    <row r="1296" spans="1:11" ht="42" customHeight="1">
      <c r="A1296" s="4" t="s">
        <v>3037</v>
      </c>
      <c r="B1296" s="5" t="s">
        <v>3037</v>
      </c>
      <c r="C1296" s="5" t="s">
        <v>38</v>
      </c>
      <c r="D1296" s="5" t="s">
        <v>39</v>
      </c>
      <c r="E1296" s="5" t="s">
        <v>55</v>
      </c>
      <c r="F1296" s="9">
        <v>104</v>
      </c>
      <c r="G1296" s="9">
        <v>1142</v>
      </c>
      <c r="H1296" s="5" t="s">
        <v>21</v>
      </c>
      <c r="I1296" s="5" t="s">
        <v>3038</v>
      </c>
      <c r="J1296" s="12" t="str">
        <f>HYPERLINK("https://www.boe.es/gazeta/dias/1801/11/06/pdfs/GMD-1801-104.pdf#page=3","Abrir facsímil")</f>
        <v>Abrir facsímil</v>
      </c>
      <c r="K1296" s="15" t="s">
        <v>23</v>
      </c>
    </row>
    <row r="1297" spans="1:11" ht="42" customHeight="1">
      <c r="A1297" s="4" t="s">
        <v>3039</v>
      </c>
      <c r="B1297" s="5" t="s">
        <v>3039</v>
      </c>
      <c r="C1297" s="5" t="s">
        <v>38</v>
      </c>
      <c r="D1297" s="5" t="s">
        <v>39</v>
      </c>
      <c r="E1297" s="5" t="s">
        <v>112</v>
      </c>
      <c r="F1297" s="9">
        <v>114</v>
      </c>
      <c r="G1297" s="9">
        <v>1244</v>
      </c>
      <c r="H1297" s="5" t="s">
        <v>21</v>
      </c>
      <c r="I1297" s="5" t="s">
        <v>3040</v>
      </c>
      <c r="J1297" s="12" t="str">
        <f>HYPERLINK("https://www.boe.es/gazeta/dias/1801/12/11/pdfs/GMD-1801-114.pdf#page=6","Abrir facsímil")</f>
        <v>Abrir facsímil</v>
      </c>
      <c r="K1297" s="15" t="s">
        <v>23</v>
      </c>
    </row>
    <row r="1298" spans="1:11" ht="42" customHeight="1">
      <c r="A1298" s="4" t="s">
        <v>3041</v>
      </c>
      <c r="B1298" s="5" t="s">
        <v>3041</v>
      </c>
      <c r="C1298" s="5" t="s">
        <v>38</v>
      </c>
      <c r="D1298" s="5" t="s">
        <v>39</v>
      </c>
      <c r="E1298" s="5" t="s">
        <v>131</v>
      </c>
      <c r="F1298" s="9">
        <v>22</v>
      </c>
      <c r="G1298" s="9">
        <v>288</v>
      </c>
      <c r="H1298" s="5" t="s">
        <v>21</v>
      </c>
      <c r="I1298" s="5" t="s">
        <v>3042</v>
      </c>
      <c r="J1298" s="12" t="str">
        <f>HYPERLINK("https://www.boe.es/gazeta/dias/1801/03/17/pdfs/GMD-1801-22.pdf#page=5","Abrir facsímil")</f>
        <v>Abrir facsímil</v>
      </c>
      <c r="K1298" s="15" t="s">
        <v>23</v>
      </c>
    </row>
    <row r="1299" spans="1:11" ht="42" customHeight="1">
      <c r="A1299" s="4" t="s">
        <v>3043</v>
      </c>
      <c r="B1299" s="5" t="s">
        <v>3043</v>
      </c>
      <c r="C1299" s="5" t="s">
        <v>38</v>
      </c>
      <c r="D1299" s="5" t="s">
        <v>39</v>
      </c>
      <c r="E1299" s="5" t="s">
        <v>66</v>
      </c>
      <c r="F1299" s="9">
        <v>52</v>
      </c>
      <c r="G1299" s="9">
        <v>607</v>
      </c>
      <c r="H1299" s="5" t="s">
        <v>21</v>
      </c>
      <c r="I1299" s="5" t="s">
        <v>3044</v>
      </c>
      <c r="J1299" s="12" t="str">
        <f>HYPERLINK("https://www.boe.es/gazeta/dias/1801/06/12/pdfs/GMD-1801-52.pdf#page=6","Abrir facsímil")</f>
        <v>Abrir facsímil</v>
      </c>
      <c r="K1299" s="15" t="s">
        <v>23</v>
      </c>
    </row>
    <row r="1300" spans="1:11" ht="42" customHeight="1">
      <c r="A1300" s="4" t="s">
        <v>3045</v>
      </c>
      <c r="B1300" s="5" t="s">
        <v>3045</v>
      </c>
      <c r="C1300" s="5" t="s">
        <v>75</v>
      </c>
      <c r="D1300" s="5" t="s">
        <v>76</v>
      </c>
      <c r="E1300" s="5" t="s">
        <v>201</v>
      </c>
      <c r="F1300" s="9">
        <v>79</v>
      </c>
      <c r="G1300" s="9">
        <v>885</v>
      </c>
      <c r="H1300" s="5" t="s">
        <v>21</v>
      </c>
      <c r="I1300" s="5" t="s">
        <v>3046</v>
      </c>
      <c r="J1300" s="12" t="str">
        <f>HYPERLINK("https://www.boe.es/gazeta/dias/1801/08/18/pdfs/GMD-1801-79.pdf#page=2","Abrir facsímil")</f>
        <v>Abrir facsímil</v>
      </c>
      <c r="K1300" s="15" t="s">
        <v>23</v>
      </c>
    </row>
    <row r="1301" spans="1:11" ht="42" customHeight="1">
      <c r="A1301" s="4" t="s">
        <v>3045</v>
      </c>
      <c r="B1301" s="5" t="s">
        <v>3045</v>
      </c>
      <c r="C1301" s="5" t="s">
        <v>69</v>
      </c>
      <c r="D1301" s="5" t="s">
        <v>19</v>
      </c>
      <c r="E1301" s="5" t="s">
        <v>888</v>
      </c>
      <c r="F1301" s="9">
        <v>103</v>
      </c>
      <c r="G1301" s="9">
        <v>1135</v>
      </c>
      <c r="H1301" s="5" t="s">
        <v>21</v>
      </c>
      <c r="I1301" s="5" t="s">
        <v>3047</v>
      </c>
      <c r="J1301" s="12" t="str">
        <f>HYPERLINK("https://www.boe.es/gazeta/dias/1801/11/03/pdfs/GMD-1801-103.pdf#page=8","Abrir facsímil")</f>
        <v>Abrir facsímil</v>
      </c>
      <c r="K1301" s="15" t="s">
        <v>23</v>
      </c>
    </row>
    <row r="1302" spans="1:11" ht="42" customHeight="1">
      <c r="A1302" s="4" t="s">
        <v>3048</v>
      </c>
      <c r="B1302" s="5" t="s">
        <v>3048</v>
      </c>
      <c r="C1302" s="5" t="s">
        <v>38</v>
      </c>
      <c r="D1302" s="5" t="s">
        <v>39</v>
      </c>
      <c r="E1302" s="5" t="s">
        <v>143</v>
      </c>
      <c r="F1302" s="9">
        <v>34</v>
      </c>
      <c r="G1302" s="9">
        <v>436</v>
      </c>
      <c r="H1302" s="5" t="s">
        <v>21</v>
      </c>
      <c r="I1302" s="5" t="s">
        <v>3049</v>
      </c>
      <c r="J1302" s="12" t="str">
        <f>HYPERLINK("https://www.boe.es/gazeta/dias/1801/04/28/pdfs/GMD-1801-34.pdf#page=8","Abrir facsímil")</f>
        <v>Abrir facsímil</v>
      </c>
      <c r="K1302" s="15" t="s">
        <v>23</v>
      </c>
    </row>
    <row r="1303" spans="1:11" ht="42" customHeight="1">
      <c r="A1303" s="4" t="s">
        <v>3050</v>
      </c>
      <c r="B1303" s="5" t="s">
        <v>3050</v>
      </c>
      <c r="C1303" s="5" t="s">
        <v>75</v>
      </c>
      <c r="D1303" s="5" t="s">
        <v>76</v>
      </c>
      <c r="E1303" s="5" t="s">
        <v>173</v>
      </c>
      <c r="F1303" s="9">
        <v>98</v>
      </c>
      <c r="G1303" s="9">
        <v>1071</v>
      </c>
      <c r="H1303" s="5" t="s">
        <v>21</v>
      </c>
      <c r="I1303" s="5" t="s">
        <v>3051</v>
      </c>
      <c r="J1303" s="12" t="str">
        <f>HYPERLINK("https://www.boe.es/gazeta/dias/1801/10/16/pdfs/GMD-1801-98.pdf#page=3","Abrir facsímil")</f>
        <v>Abrir facsímil</v>
      </c>
      <c r="K1303" s="15" t="s">
        <v>23</v>
      </c>
    </row>
    <row r="1304" spans="1:11" ht="42" customHeight="1">
      <c r="A1304" s="4" t="s">
        <v>3052</v>
      </c>
      <c r="B1304" s="5" t="s">
        <v>3052</v>
      </c>
      <c r="C1304" s="5" t="s">
        <v>75</v>
      </c>
      <c r="D1304" s="5" t="s">
        <v>76</v>
      </c>
      <c r="E1304" s="5" t="s">
        <v>317</v>
      </c>
      <c r="F1304" s="9">
        <v>102</v>
      </c>
      <c r="G1304" s="9">
        <v>1119</v>
      </c>
      <c r="H1304" s="5" t="s">
        <v>21</v>
      </c>
      <c r="I1304" s="5" t="s">
        <v>3053</v>
      </c>
      <c r="J1304" s="12" t="str">
        <f>HYPERLINK("https://www.boe.es/gazeta/dias/1801/10/30/pdfs/GMD-1801-102.pdf#page=4","Abrir facsímil")</f>
        <v>Abrir facsímil</v>
      </c>
      <c r="K1304" s="15" t="s">
        <v>23</v>
      </c>
    </row>
    <row r="1305" spans="1:11" ht="42" customHeight="1">
      <c r="A1305" s="4" t="s">
        <v>3054</v>
      </c>
      <c r="B1305" s="5" t="s">
        <v>3054</v>
      </c>
      <c r="C1305" s="5" t="s">
        <v>38</v>
      </c>
      <c r="D1305" s="5" t="s">
        <v>39</v>
      </c>
      <c r="E1305" s="5" t="s">
        <v>131</v>
      </c>
      <c r="F1305" s="9">
        <v>22</v>
      </c>
      <c r="G1305" s="9">
        <v>288</v>
      </c>
      <c r="H1305" s="5" t="s">
        <v>21</v>
      </c>
      <c r="I1305" s="5" t="s">
        <v>3055</v>
      </c>
      <c r="J1305" s="12" t="str">
        <f>HYPERLINK("https://www.boe.es/gazeta/dias/1801/03/17/pdfs/GMD-1801-22.pdf#page=5","Abrir facsímil")</f>
        <v>Abrir facsímil</v>
      </c>
      <c r="K1305" s="15" t="s">
        <v>23</v>
      </c>
    </row>
    <row r="1306" spans="1:11" ht="42" customHeight="1">
      <c r="A1306" s="4" t="s">
        <v>3056</v>
      </c>
      <c r="B1306" s="5" t="s">
        <v>3056</v>
      </c>
      <c r="C1306" s="5" t="s">
        <v>38</v>
      </c>
      <c r="D1306" s="5" t="s">
        <v>39</v>
      </c>
      <c r="E1306" s="5" t="s">
        <v>171</v>
      </c>
      <c r="F1306" s="9">
        <v>76</v>
      </c>
      <c r="G1306" s="9">
        <v>848</v>
      </c>
      <c r="H1306" s="5" t="s">
        <v>21</v>
      </c>
      <c r="I1306" s="5" t="s">
        <v>3057</v>
      </c>
      <c r="J1306" s="12" t="str">
        <f>HYPERLINK("https://www.boe.es/gazeta/dias/1801/08/07/pdfs/GMD-1801-76.pdf#page=5","Abrir facsímil")</f>
        <v>Abrir facsímil</v>
      </c>
      <c r="K1306" s="15" t="s">
        <v>23</v>
      </c>
    </row>
    <row r="1307" spans="1:11" ht="42" customHeight="1">
      <c r="A1307" s="4" t="s">
        <v>3058</v>
      </c>
      <c r="B1307" s="5" t="s">
        <v>3058</v>
      </c>
      <c r="C1307" s="5" t="s">
        <v>38</v>
      </c>
      <c r="D1307" s="5" t="s">
        <v>39</v>
      </c>
      <c r="E1307" s="5" t="s">
        <v>317</v>
      </c>
      <c r="F1307" s="9">
        <v>102</v>
      </c>
      <c r="G1307" s="9">
        <v>1120</v>
      </c>
      <c r="H1307" s="5" t="s">
        <v>21</v>
      </c>
      <c r="I1307" s="5" t="s">
        <v>3059</v>
      </c>
      <c r="J1307" s="12" t="str">
        <f>HYPERLINK("https://www.boe.es/gazeta/dias/1801/10/30/pdfs/GMD-1801-102.pdf#page=5","Abrir facsímil")</f>
        <v>Abrir facsímil</v>
      </c>
      <c r="K1307" s="15" t="s">
        <v>23</v>
      </c>
    </row>
    <row r="1308" spans="1:11" ht="42" customHeight="1">
      <c r="A1308" s="4" t="s">
        <v>3060</v>
      </c>
      <c r="B1308" s="5" t="s">
        <v>3060</v>
      </c>
      <c r="C1308" s="5" t="s">
        <v>32</v>
      </c>
      <c r="D1308" s="5" t="s">
        <v>33</v>
      </c>
      <c r="E1308" s="5" t="s">
        <v>1058</v>
      </c>
      <c r="F1308" s="9">
        <v>108</v>
      </c>
      <c r="G1308" s="9">
        <v>1189</v>
      </c>
      <c r="H1308" s="5" t="s">
        <v>21</v>
      </c>
      <c r="I1308" s="5" t="s">
        <v>3061</v>
      </c>
      <c r="J1308" s="12" t="str">
        <f>HYPERLINK("https://www.boe.es/gazeta/dias/1801/11/20/pdfs/GMD-1801-108.pdf#page=6","Abrir facsímil")</f>
        <v>Abrir facsímil</v>
      </c>
      <c r="K1308" s="15" t="s">
        <v>23</v>
      </c>
    </row>
    <row r="1309" spans="1:11" ht="42" customHeight="1">
      <c r="A1309" s="4" t="s">
        <v>3062</v>
      </c>
      <c r="B1309" s="5" t="s">
        <v>3062</v>
      </c>
      <c r="C1309" s="5" t="s">
        <v>38</v>
      </c>
      <c r="D1309" s="5" t="s">
        <v>39</v>
      </c>
      <c r="E1309" s="5" t="s">
        <v>378</v>
      </c>
      <c r="F1309" s="9">
        <v>23</v>
      </c>
      <c r="G1309" s="9">
        <v>301</v>
      </c>
      <c r="H1309" s="5" t="s">
        <v>21</v>
      </c>
      <c r="I1309" s="5" t="s">
        <v>3063</v>
      </c>
      <c r="J1309" s="12" t="str">
        <f>HYPERLINK("https://www.boe.es/gazeta/dias/1801/03/20/pdfs/GMD-1801-23.pdf#page=4","Abrir facsímil")</f>
        <v>Abrir facsímil</v>
      </c>
      <c r="K1309" s="15" t="s">
        <v>23</v>
      </c>
    </row>
    <row r="1310" spans="1:11" ht="42" customHeight="1">
      <c r="A1310" s="4" t="s">
        <v>3062</v>
      </c>
      <c r="B1310" s="5" t="s">
        <v>3062</v>
      </c>
      <c r="C1310" s="5" t="s">
        <v>75</v>
      </c>
      <c r="D1310" s="5" t="s">
        <v>76</v>
      </c>
      <c r="E1310" s="5" t="s">
        <v>141</v>
      </c>
      <c r="F1310" s="9">
        <v>33</v>
      </c>
      <c r="G1310" s="9">
        <v>421</v>
      </c>
      <c r="H1310" s="5" t="s">
        <v>21</v>
      </c>
      <c r="I1310" s="5" t="s">
        <v>3064</v>
      </c>
      <c r="J1310" s="12" t="str">
        <f>HYPERLINK("https://www.boe.es/gazeta/dias/1801/04/24/pdfs/GMD-1801-33.pdf#page=5","Abrir facsímil")</f>
        <v>Abrir facsímil</v>
      </c>
      <c r="K1310" s="15" t="s">
        <v>23</v>
      </c>
    </row>
    <row r="1311" spans="1:11" ht="42" customHeight="1">
      <c r="A1311" s="4" t="s">
        <v>3062</v>
      </c>
      <c r="B1311" s="5" t="s">
        <v>3062</v>
      </c>
      <c r="C1311" s="5" t="s">
        <v>38</v>
      </c>
      <c r="D1311" s="5" t="s">
        <v>39</v>
      </c>
      <c r="E1311" s="5" t="s">
        <v>143</v>
      </c>
      <c r="F1311" s="9">
        <v>34</v>
      </c>
      <c r="G1311" s="9">
        <v>433</v>
      </c>
      <c r="H1311" s="5" t="s">
        <v>21</v>
      </c>
      <c r="I1311" s="5" t="s">
        <v>3065</v>
      </c>
      <c r="J1311" s="12" t="str">
        <f>HYPERLINK("https://www.boe.es/gazeta/dias/1801/04/28/pdfs/GMD-1801-34.pdf#page=5","Abrir facsímil")</f>
        <v>Abrir facsímil</v>
      </c>
      <c r="K1311" s="15" t="s">
        <v>23</v>
      </c>
    </row>
    <row r="1312" spans="1:11" ht="42" customHeight="1">
      <c r="A1312" s="4" t="s">
        <v>3066</v>
      </c>
      <c r="B1312" s="5" t="s">
        <v>3066</v>
      </c>
      <c r="C1312" s="5" t="s">
        <v>75</v>
      </c>
      <c r="D1312" s="5" t="s">
        <v>76</v>
      </c>
      <c r="E1312" s="5" t="s">
        <v>935</v>
      </c>
      <c r="F1312" s="9">
        <v>116</v>
      </c>
      <c r="G1312" s="9">
        <v>1264</v>
      </c>
      <c r="H1312" s="5" t="s">
        <v>21</v>
      </c>
      <c r="I1312" s="5" t="s">
        <v>3067</v>
      </c>
      <c r="J1312" s="12" t="str">
        <f>HYPERLINK("https://www.boe.es/gazeta/dias/1801/12/18/pdfs/GMD-1801-116.pdf#page=6","Abrir facsímil")</f>
        <v>Abrir facsímil</v>
      </c>
      <c r="K1312" s="15" t="s">
        <v>23</v>
      </c>
    </row>
    <row r="1313" spans="1:11" ht="42" customHeight="1">
      <c r="A1313" s="4" t="s">
        <v>3068</v>
      </c>
      <c r="B1313" s="5" t="s">
        <v>3068</v>
      </c>
      <c r="C1313" s="5" t="s">
        <v>38</v>
      </c>
      <c r="D1313" s="5" t="s">
        <v>39</v>
      </c>
      <c r="E1313" s="5" t="s">
        <v>171</v>
      </c>
      <c r="F1313" s="9">
        <v>76</v>
      </c>
      <c r="G1313" s="9">
        <v>848</v>
      </c>
      <c r="H1313" s="5" t="s">
        <v>21</v>
      </c>
      <c r="I1313" s="5" t="s">
        <v>3069</v>
      </c>
      <c r="J1313" s="12" t="str">
        <f>HYPERLINK("https://www.boe.es/gazeta/dias/1801/08/07/pdfs/GMD-1801-76.pdf#page=5","Abrir facsímil")</f>
        <v>Abrir facsímil</v>
      </c>
      <c r="K1313" s="15" t="s">
        <v>23</v>
      </c>
    </row>
    <row r="1314" spans="1:11" ht="42" customHeight="1">
      <c r="A1314" s="4" t="s">
        <v>3070</v>
      </c>
      <c r="B1314" s="5" t="s">
        <v>3070</v>
      </c>
      <c r="C1314" s="5" t="s">
        <v>32</v>
      </c>
      <c r="D1314" s="5" t="s">
        <v>33</v>
      </c>
      <c r="E1314" s="5" t="s">
        <v>266</v>
      </c>
      <c r="F1314" s="9">
        <v>119</v>
      </c>
      <c r="G1314" s="9">
        <v>1300</v>
      </c>
      <c r="H1314" s="5" t="s">
        <v>21</v>
      </c>
      <c r="I1314" s="5" t="s">
        <v>3071</v>
      </c>
      <c r="J1314" s="12" t="str">
        <f>HYPERLINK("https://www.boe.es/gazeta/dias/1801/12/29/pdfs/GMD-1801-119.pdf#page=4","Abrir facsímil")</f>
        <v>Abrir facsímil</v>
      </c>
      <c r="K1314" s="15" t="s">
        <v>23</v>
      </c>
    </row>
    <row r="1315" spans="1:11" ht="42" customHeight="1">
      <c r="A1315" s="4" t="s">
        <v>3072</v>
      </c>
      <c r="B1315" s="5" t="s">
        <v>3072</v>
      </c>
      <c r="C1315" s="5" t="s">
        <v>38</v>
      </c>
      <c r="D1315" s="5" t="s">
        <v>39</v>
      </c>
      <c r="E1315" s="5" t="s">
        <v>258</v>
      </c>
      <c r="F1315" s="9">
        <v>96</v>
      </c>
      <c r="G1315" s="9">
        <v>1050</v>
      </c>
      <c r="H1315" s="5" t="s">
        <v>21</v>
      </c>
      <c r="I1315" s="5" t="s">
        <v>3073</v>
      </c>
      <c r="J1315" s="12" t="str">
        <f>HYPERLINK("https://www.boe.es/gazeta/dias/1801/10/09/pdfs/GMD-1801-96.pdf#page=6","Abrir facsímil")</f>
        <v>Abrir facsímil</v>
      </c>
      <c r="K1315" s="15" t="s">
        <v>23</v>
      </c>
    </row>
    <row r="1316" spans="1:11" ht="42" customHeight="1">
      <c r="A1316" s="4" t="s">
        <v>3074</v>
      </c>
      <c r="B1316" s="5" t="s">
        <v>3074</v>
      </c>
      <c r="C1316" s="5" t="s">
        <v>38</v>
      </c>
      <c r="D1316" s="5" t="s">
        <v>39</v>
      </c>
      <c r="E1316" s="5" t="s">
        <v>48</v>
      </c>
      <c r="F1316" s="9">
        <v>20</v>
      </c>
      <c r="G1316" s="9">
        <v>262</v>
      </c>
      <c r="H1316" s="5" t="s">
        <v>21</v>
      </c>
      <c r="I1316" s="5" t="s">
        <v>3075</v>
      </c>
      <c r="J1316" s="12" t="str">
        <f>HYPERLINK("https://www.boe.es/gazeta/dias/1801/03/10/pdfs/GMD-1801-20.pdf#page=7","Abrir facsímil")</f>
        <v>Abrir facsímil</v>
      </c>
      <c r="K1316" s="15" t="s">
        <v>23</v>
      </c>
    </row>
    <row r="1317" spans="1:11" ht="42" customHeight="1">
      <c r="A1317" s="4" t="s">
        <v>3076</v>
      </c>
      <c r="B1317" s="5" t="s">
        <v>3076</v>
      </c>
      <c r="C1317" s="5" t="s">
        <v>75</v>
      </c>
      <c r="D1317" s="5" t="s">
        <v>76</v>
      </c>
      <c r="E1317" s="5" t="s">
        <v>888</v>
      </c>
      <c r="F1317" s="9">
        <v>103</v>
      </c>
      <c r="G1317" s="9">
        <v>1131</v>
      </c>
      <c r="H1317" s="5" t="s">
        <v>21</v>
      </c>
      <c r="I1317" s="5" t="s">
        <v>3077</v>
      </c>
      <c r="J1317" s="12" t="str">
        <f>HYPERLINK("https://www.boe.es/gazeta/dias/1801/11/03/pdfs/GMD-1801-103.pdf#page=4","Abrir facsímil")</f>
        <v>Abrir facsímil</v>
      </c>
      <c r="K1317" s="15" t="s">
        <v>23</v>
      </c>
    </row>
    <row r="1318" spans="1:11" ht="42" customHeight="1">
      <c r="A1318" s="4" t="s">
        <v>3078</v>
      </c>
      <c r="B1318" s="5" t="s">
        <v>3078</v>
      </c>
      <c r="C1318" s="5" t="s">
        <v>75</v>
      </c>
      <c r="D1318" s="5" t="s">
        <v>76</v>
      </c>
      <c r="E1318" s="5" t="s">
        <v>1939</v>
      </c>
      <c r="F1318" s="9">
        <v>107</v>
      </c>
      <c r="G1318" s="9">
        <v>1176</v>
      </c>
      <c r="H1318" s="5" t="s">
        <v>21</v>
      </c>
      <c r="I1318" s="5" t="s">
        <v>3079</v>
      </c>
      <c r="J1318" s="12" t="str">
        <f>HYPERLINK("https://www.boe.es/gazeta/dias/1801/11/17/pdfs/GMD-1801-107.pdf#page=5","Abrir facsímil")</f>
        <v>Abrir facsímil</v>
      </c>
      <c r="K1318" s="15" t="s">
        <v>23</v>
      </c>
    </row>
    <row r="1319" spans="1:11" ht="42" customHeight="1">
      <c r="A1319" s="4" t="s">
        <v>3080</v>
      </c>
      <c r="B1319" s="5" t="s">
        <v>3080</v>
      </c>
      <c r="C1319" s="5" t="s">
        <v>32</v>
      </c>
      <c r="D1319" s="5" t="s">
        <v>33</v>
      </c>
      <c r="E1319" s="5" t="s">
        <v>309</v>
      </c>
      <c r="F1319" s="9">
        <v>118</v>
      </c>
      <c r="G1319" s="9">
        <v>1289</v>
      </c>
      <c r="H1319" s="5" t="s">
        <v>21</v>
      </c>
      <c r="I1319" s="5" t="s">
        <v>3081</v>
      </c>
      <c r="J1319" s="12" t="str">
        <f>HYPERLINK("https://www.boe.es/gazeta/dias/1801/12/25/pdfs/GMD-1801-118.pdf#page=4","Abrir facsímil")</f>
        <v>Abrir facsímil</v>
      </c>
      <c r="K1319" s="15" t="s">
        <v>23</v>
      </c>
    </row>
    <row r="1320" spans="1:11" ht="42" customHeight="1">
      <c r="A1320" s="4" t="s">
        <v>3082</v>
      </c>
      <c r="B1320" s="5" t="s">
        <v>3082</v>
      </c>
      <c r="C1320" s="5" t="s">
        <v>32</v>
      </c>
      <c r="D1320" s="5" t="s">
        <v>33</v>
      </c>
      <c r="E1320" s="5" t="s">
        <v>201</v>
      </c>
      <c r="F1320" s="9">
        <v>79</v>
      </c>
      <c r="G1320" s="9">
        <v>887</v>
      </c>
      <c r="H1320" s="5" t="s">
        <v>21</v>
      </c>
      <c r="I1320" s="5" t="s">
        <v>3083</v>
      </c>
      <c r="J1320" s="12" t="str">
        <f>HYPERLINK("https://www.boe.es/gazeta/dias/1801/08/18/pdfs/GMD-1801-79.pdf#page=4","Abrir facsímil")</f>
        <v>Abrir facsímil</v>
      </c>
      <c r="K1320" s="15" t="s">
        <v>23</v>
      </c>
    </row>
    <row r="1321" spans="1:11" ht="42" customHeight="1">
      <c r="A1321" s="4" t="s">
        <v>3084</v>
      </c>
      <c r="B1321" s="5" t="s">
        <v>3084</v>
      </c>
      <c r="C1321" s="5" t="s">
        <v>32</v>
      </c>
      <c r="D1321" s="5" t="s">
        <v>33</v>
      </c>
      <c r="E1321" s="5" t="s">
        <v>2185</v>
      </c>
      <c r="F1321" s="9">
        <v>84</v>
      </c>
      <c r="G1321" s="9">
        <v>942</v>
      </c>
      <c r="H1321" s="5" t="s">
        <v>21</v>
      </c>
      <c r="I1321" s="5" t="s">
        <v>3085</v>
      </c>
      <c r="J1321" s="12" t="str">
        <f>HYPERLINK("https://www.boe.es/gazeta/dias/1801/09/04/pdfs/GMD-1801-84.pdf#page=5","Abrir facsímil")</f>
        <v>Abrir facsímil</v>
      </c>
      <c r="K1321" s="15" t="s">
        <v>23</v>
      </c>
    </row>
    <row r="1322" spans="1:11" ht="42" customHeight="1">
      <c r="A1322" s="4" t="s">
        <v>3086</v>
      </c>
      <c r="B1322" s="5" t="s">
        <v>3086</v>
      </c>
      <c r="C1322" s="5" t="s">
        <v>32</v>
      </c>
      <c r="D1322" s="5" t="s">
        <v>33</v>
      </c>
      <c r="E1322" s="5" t="s">
        <v>505</v>
      </c>
      <c r="F1322" s="9">
        <v>94</v>
      </c>
      <c r="G1322" s="9">
        <v>1031</v>
      </c>
      <c r="H1322" s="5" t="s">
        <v>21</v>
      </c>
      <c r="I1322" s="5" t="s">
        <v>3087</v>
      </c>
      <c r="J1322" s="12" t="str">
        <f>HYPERLINK("https://www.boe.es/gazeta/dias/1801/10/02/pdfs/GMD-1801-94.pdf#page=7","Abrir facsímil")</f>
        <v>Abrir facsímil</v>
      </c>
      <c r="K1322" s="15" t="s">
        <v>23</v>
      </c>
    </row>
    <row r="1323" spans="1:11" ht="42" customHeight="1">
      <c r="A1323" s="4" t="s">
        <v>3088</v>
      </c>
      <c r="B1323" s="5" t="s">
        <v>3088</v>
      </c>
      <c r="C1323" s="5" t="s">
        <v>32</v>
      </c>
      <c r="D1323" s="5" t="s">
        <v>33</v>
      </c>
      <c r="E1323" s="5" t="s">
        <v>1058</v>
      </c>
      <c r="F1323" s="9">
        <v>108</v>
      </c>
      <c r="G1323" s="9">
        <v>1188</v>
      </c>
      <c r="H1323" s="5" t="s">
        <v>21</v>
      </c>
      <c r="I1323" s="5" t="s">
        <v>3089</v>
      </c>
      <c r="J1323" s="12" t="str">
        <f>HYPERLINK("https://www.boe.es/gazeta/dias/1801/11/20/pdfs/GMD-1801-108.pdf#page=5","Abrir facsímil")</f>
        <v>Abrir facsímil</v>
      </c>
      <c r="K1323" s="15" t="s">
        <v>23</v>
      </c>
    </row>
    <row r="1324" spans="1:11" ht="42" customHeight="1">
      <c r="A1324" s="4" t="s">
        <v>3090</v>
      </c>
      <c r="B1324" s="5" t="s">
        <v>3090</v>
      </c>
      <c r="C1324" s="5" t="s">
        <v>38</v>
      </c>
      <c r="D1324" s="5" t="s">
        <v>39</v>
      </c>
      <c r="E1324" s="5" t="s">
        <v>161</v>
      </c>
      <c r="F1324" s="9">
        <v>58</v>
      </c>
      <c r="G1324" s="9">
        <v>662</v>
      </c>
      <c r="H1324" s="5" t="s">
        <v>21</v>
      </c>
      <c r="I1324" s="5" t="s">
        <v>3091</v>
      </c>
      <c r="J1324" s="12" t="str">
        <f>HYPERLINK("https://www.boe.es/gazeta/dias/1801/06/19/pdfs/GMD-1801-58.pdf#page=7","Abrir facsímil")</f>
        <v>Abrir facsímil</v>
      </c>
      <c r="K1324" s="15" t="s">
        <v>23</v>
      </c>
    </row>
    <row r="1325" spans="1:11" ht="42" customHeight="1">
      <c r="A1325" s="4" t="s">
        <v>3092</v>
      </c>
      <c r="B1325" s="5" t="s">
        <v>3092</v>
      </c>
      <c r="C1325" s="5" t="s">
        <v>75</v>
      </c>
      <c r="D1325" s="5" t="s">
        <v>76</v>
      </c>
      <c r="E1325" s="5" t="s">
        <v>292</v>
      </c>
      <c r="F1325" s="9">
        <v>25</v>
      </c>
      <c r="G1325" s="9">
        <v>325</v>
      </c>
      <c r="H1325" s="5" t="s">
        <v>21</v>
      </c>
      <c r="I1325" s="5" t="s">
        <v>3093</v>
      </c>
      <c r="J1325" s="12" t="str">
        <f>HYPERLINK("https://www.boe.es/gazeta/dias/1801/03/27/pdfs/GMD-1801-25.pdf#page=4","Abrir facsímil")</f>
        <v>Abrir facsímil</v>
      </c>
      <c r="K1325" s="15" t="s">
        <v>23</v>
      </c>
    </row>
    <row r="1326" spans="1:11" ht="42" customHeight="1">
      <c r="A1326" s="4" t="s">
        <v>3094</v>
      </c>
      <c r="B1326" s="5" t="s">
        <v>3094</v>
      </c>
      <c r="C1326" s="5" t="s">
        <v>75</v>
      </c>
      <c r="D1326" s="5" t="s">
        <v>76</v>
      </c>
      <c r="E1326" s="5" t="s">
        <v>615</v>
      </c>
      <c r="F1326" s="9">
        <v>72</v>
      </c>
      <c r="G1326" s="9">
        <v>800</v>
      </c>
      <c r="H1326" s="5" t="s">
        <v>21</v>
      </c>
      <c r="I1326" s="5" t="s">
        <v>3095</v>
      </c>
      <c r="J1326" s="12" t="str">
        <f>HYPERLINK("https://www.boe.es/gazeta/dias/1801/07/24/pdfs/GMD-1801-72.pdf#page=5","Abrir facsímil")</f>
        <v>Abrir facsímil</v>
      </c>
      <c r="K1326" s="15" t="s">
        <v>23</v>
      </c>
    </row>
    <row r="1327" spans="1:11" ht="42" customHeight="1">
      <c r="A1327" s="4" t="s">
        <v>3094</v>
      </c>
      <c r="B1327" s="5" t="s">
        <v>3094</v>
      </c>
      <c r="C1327" s="5" t="s">
        <v>38</v>
      </c>
      <c r="D1327" s="5" t="s">
        <v>39</v>
      </c>
      <c r="E1327" s="5" t="s">
        <v>171</v>
      </c>
      <c r="F1327" s="9">
        <v>76</v>
      </c>
      <c r="G1327" s="9">
        <v>851</v>
      </c>
      <c r="H1327" s="5" t="s">
        <v>21</v>
      </c>
      <c r="I1327" s="5" t="s">
        <v>3096</v>
      </c>
      <c r="J1327" s="12" t="str">
        <f>HYPERLINK("https://www.boe.es/gazeta/dias/1801/08/07/pdfs/GMD-1801-76.pdf#page=8","Abrir facsímil")</f>
        <v>Abrir facsímil</v>
      </c>
      <c r="K1327" s="15" t="s">
        <v>23</v>
      </c>
    </row>
    <row r="1328" spans="1:11" ht="42" customHeight="1">
      <c r="A1328" s="4" t="s">
        <v>3097</v>
      </c>
      <c r="B1328" s="5" t="s">
        <v>3097</v>
      </c>
      <c r="C1328" s="5" t="s">
        <v>69</v>
      </c>
      <c r="D1328" s="5" t="s">
        <v>19</v>
      </c>
      <c r="E1328" s="5" t="s">
        <v>258</v>
      </c>
      <c r="F1328" s="9">
        <v>96</v>
      </c>
      <c r="G1328" s="9">
        <v>1050</v>
      </c>
      <c r="H1328" s="5" t="s">
        <v>21</v>
      </c>
      <c r="I1328" s="5" t="s">
        <v>3098</v>
      </c>
      <c r="J1328" s="12" t="str">
        <f>HYPERLINK("https://www.boe.es/gazeta/dias/1801/10/09/pdfs/GMD-1801-96.pdf#page=6","Abrir facsímil")</f>
        <v>Abrir facsímil</v>
      </c>
      <c r="K1328" s="15" t="s">
        <v>23</v>
      </c>
    </row>
    <row r="1329" spans="1:11" ht="42" customHeight="1">
      <c r="A1329" s="4" t="s">
        <v>3099</v>
      </c>
      <c r="B1329" s="5" t="s">
        <v>3099</v>
      </c>
      <c r="C1329" s="5" t="s">
        <v>26</v>
      </c>
      <c r="D1329" s="5" t="s">
        <v>27</v>
      </c>
      <c r="E1329" s="5" t="s">
        <v>143</v>
      </c>
      <c r="F1329" s="9">
        <v>34</v>
      </c>
      <c r="G1329" s="9">
        <v>435</v>
      </c>
      <c r="H1329" s="5" t="s">
        <v>21</v>
      </c>
      <c r="I1329" s="5" t="s">
        <v>3100</v>
      </c>
      <c r="J1329" s="12" t="str">
        <f>HYPERLINK("https://www.boe.es/gazeta/dias/1801/04/28/pdfs/GMD-1801-34.pdf#page=7","Abrir facsímil")</f>
        <v>Abrir facsímil</v>
      </c>
      <c r="K1329" s="15" t="s">
        <v>23</v>
      </c>
    </row>
    <row r="1330" spans="1:11" ht="42" customHeight="1">
      <c r="A1330" s="4" t="s">
        <v>3101</v>
      </c>
      <c r="B1330" s="5" t="s">
        <v>3101</v>
      </c>
      <c r="C1330" s="5" t="s">
        <v>32</v>
      </c>
      <c r="D1330" s="5" t="s">
        <v>33</v>
      </c>
      <c r="E1330" s="5" t="s">
        <v>201</v>
      </c>
      <c r="F1330" s="9">
        <v>79</v>
      </c>
      <c r="G1330" s="9">
        <v>887</v>
      </c>
      <c r="H1330" s="5" t="s">
        <v>21</v>
      </c>
      <c r="I1330" s="5" t="s">
        <v>3102</v>
      </c>
      <c r="J1330" s="12" t="str">
        <f>HYPERLINK("https://www.boe.es/gazeta/dias/1801/08/18/pdfs/GMD-1801-79.pdf#page=4","Abrir facsímil")</f>
        <v>Abrir facsímil</v>
      </c>
      <c r="K1330" s="15" t="s">
        <v>23</v>
      </c>
    </row>
    <row r="1331" spans="1:11" ht="42" customHeight="1">
      <c r="A1331" s="4" t="s">
        <v>3103</v>
      </c>
      <c r="B1331" s="5" t="s">
        <v>3103</v>
      </c>
      <c r="C1331" s="5" t="s">
        <v>75</v>
      </c>
      <c r="D1331" s="5" t="s">
        <v>76</v>
      </c>
      <c r="E1331" s="5" t="s">
        <v>505</v>
      </c>
      <c r="F1331" s="9">
        <v>94</v>
      </c>
      <c r="G1331" s="9">
        <v>1027</v>
      </c>
      <c r="H1331" s="5" t="s">
        <v>21</v>
      </c>
      <c r="I1331" s="5" t="s">
        <v>3104</v>
      </c>
      <c r="J1331" s="12" t="str">
        <f>HYPERLINK("https://www.boe.es/gazeta/dias/1801/10/02/pdfs/GMD-1801-94.pdf#page=3","Abrir facsímil")</f>
        <v>Abrir facsímil</v>
      </c>
      <c r="K1331" s="15" t="s">
        <v>23</v>
      </c>
    </row>
    <row r="1332" spans="1:11" ht="42" customHeight="1">
      <c r="A1332" s="4" t="s">
        <v>3105</v>
      </c>
      <c r="B1332" s="5" t="s">
        <v>3105</v>
      </c>
      <c r="C1332" s="5" t="s">
        <v>75</v>
      </c>
      <c r="D1332" s="5" t="s">
        <v>76</v>
      </c>
      <c r="E1332" s="5" t="s">
        <v>182</v>
      </c>
      <c r="F1332" s="9">
        <v>18</v>
      </c>
      <c r="G1332" s="9">
        <v>224</v>
      </c>
      <c r="H1332" s="5" t="s">
        <v>21</v>
      </c>
      <c r="I1332" s="5" t="s">
        <v>3106</v>
      </c>
      <c r="J1332" s="12" t="str">
        <f>HYPERLINK("https://www.boe.es/gazeta/dias/1801/03/03/pdfs/GMD-1801-18.pdf#page=5","Abrir facsímil")</f>
        <v>Abrir facsímil</v>
      </c>
      <c r="K1332" s="15" t="s">
        <v>23</v>
      </c>
    </row>
    <row r="1333" spans="1:11" ht="42" customHeight="1">
      <c r="A1333" s="4" t="s">
        <v>3107</v>
      </c>
      <c r="B1333" s="5" t="s">
        <v>3107</v>
      </c>
      <c r="C1333" s="5" t="s">
        <v>38</v>
      </c>
      <c r="D1333" s="5" t="s">
        <v>39</v>
      </c>
      <c r="E1333" s="5" t="s">
        <v>352</v>
      </c>
      <c r="F1333" s="9">
        <v>43</v>
      </c>
      <c r="G1333" s="9">
        <v>535</v>
      </c>
      <c r="H1333" s="5" t="s">
        <v>21</v>
      </c>
      <c r="I1333" s="5" t="s">
        <v>3108</v>
      </c>
      <c r="J1333" s="12" t="str">
        <f>HYPERLINK("https://www.boe.es/gazeta/dias/1801/05/26/pdfs/GMD-1801-43.pdf#page=7","Abrir facsímil")</f>
        <v>Abrir facsímil</v>
      </c>
      <c r="K1333" s="15" t="s">
        <v>23</v>
      </c>
    </row>
    <row r="1334" spans="1:11" ht="42" customHeight="1">
      <c r="A1334" s="4" t="s">
        <v>3109</v>
      </c>
      <c r="B1334" s="5" t="s">
        <v>3109</v>
      </c>
      <c r="C1334" s="5" t="s">
        <v>32</v>
      </c>
      <c r="D1334" s="5" t="s">
        <v>33</v>
      </c>
      <c r="E1334" s="5" t="s">
        <v>101</v>
      </c>
      <c r="F1334" s="9">
        <v>41</v>
      </c>
      <c r="G1334" s="9">
        <v>521</v>
      </c>
      <c r="H1334" s="5" t="s">
        <v>21</v>
      </c>
      <c r="I1334" s="5" t="s">
        <v>3110</v>
      </c>
      <c r="J1334" s="12" t="str">
        <f>HYPERLINK("https://www.boe.es/gazeta/dias/1801/05/22/pdfs/GMD-1801-41.pdf#page=5","Abrir facsímil")</f>
        <v>Abrir facsímil</v>
      </c>
      <c r="K1334" s="15" t="s">
        <v>23</v>
      </c>
    </row>
    <row r="1335" spans="1:11" ht="42" customHeight="1">
      <c r="A1335" s="4" t="s">
        <v>3111</v>
      </c>
      <c r="B1335" s="5" t="s">
        <v>3111</v>
      </c>
      <c r="C1335" s="5" t="s">
        <v>32</v>
      </c>
      <c r="D1335" s="5" t="s">
        <v>33</v>
      </c>
      <c r="E1335" s="5" t="s">
        <v>101</v>
      </c>
      <c r="F1335" s="9">
        <v>41</v>
      </c>
      <c r="G1335" s="9">
        <v>521</v>
      </c>
      <c r="H1335" s="5" t="s">
        <v>21</v>
      </c>
      <c r="I1335" s="5" t="s">
        <v>3112</v>
      </c>
      <c r="J1335" s="12" t="str">
        <f>HYPERLINK("https://www.boe.es/gazeta/dias/1801/05/22/pdfs/GMD-1801-41.pdf#page=5","Abrir facsímil")</f>
        <v>Abrir facsímil</v>
      </c>
      <c r="K1335" s="15" t="s">
        <v>23</v>
      </c>
    </row>
    <row r="1336" spans="1:11" ht="42" customHeight="1">
      <c r="A1336" s="4" t="s">
        <v>3113</v>
      </c>
      <c r="B1336" s="5" t="s">
        <v>3113</v>
      </c>
      <c r="C1336" s="5" t="s">
        <v>38</v>
      </c>
      <c r="D1336" s="5" t="s">
        <v>39</v>
      </c>
      <c r="E1336" s="5" t="s">
        <v>465</v>
      </c>
      <c r="F1336" s="9">
        <v>4</v>
      </c>
      <c r="G1336" s="9">
        <v>47</v>
      </c>
      <c r="H1336" s="5" t="s">
        <v>21</v>
      </c>
      <c r="I1336" s="5" t="s">
        <v>3114</v>
      </c>
      <c r="J1336" s="12" t="str">
        <f>HYPERLINK("https://www.boe.es/gazeta/dias/1801/01/13/pdfs/GMD-1801-4.pdf#page=11","Abrir facsímil")</f>
        <v>Abrir facsímil</v>
      </c>
      <c r="K1336" s="15" t="s">
        <v>23</v>
      </c>
    </row>
    <row r="1337" spans="1:11" ht="42" customHeight="1">
      <c r="A1337" s="4" t="s">
        <v>3115</v>
      </c>
      <c r="B1337" s="5" t="s">
        <v>3115</v>
      </c>
      <c r="C1337" s="5" t="s">
        <v>75</v>
      </c>
      <c r="D1337" s="5" t="s">
        <v>76</v>
      </c>
      <c r="E1337" s="5" t="s">
        <v>712</v>
      </c>
      <c r="F1337" s="9">
        <v>105</v>
      </c>
      <c r="G1337" s="9">
        <v>1148</v>
      </c>
      <c r="H1337" s="5" t="s">
        <v>21</v>
      </c>
      <c r="I1337" s="5" t="s">
        <v>3116</v>
      </c>
      <c r="J1337" s="12" t="str">
        <f>HYPERLINK("https://www.boe.es/gazeta/dias/1801/11/10/pdfs/GMD-1801-105.pdf#page=1","Abrir facsímil")</f>
        <v>Abrir facsímil</v>
      </c>
      <c r="K1337" s="15" t="s">
        <v>23</v>
      </c>
    </row>
    <row r="1338" spans="1:11" ht="42" customHeight="1">
      <c r="A1338" s="4" t="s">
        <v>3117</v>
      </c>
      <c r="B1338" s="5" t="s">
        <v>3117</v>
      </c>
      <c r="C1338" s="5" t="s">
        <v>26</v>
      </c>
      <c r="D1338" s="5" t="s">
        <v>27</v>
      </c>
      <c r="E1338" s="5" t="s">
        <v>143</v>
      </c>
      <c r="F1338" s="9">
        <v>34</v>
      </c>
      <c r="G1338" s="9">
        <v>435</v>
      </c>
      <c r="H1338" s="5" t="s">
        <v>21</v>
      </c>
      <c r="I1338" s="5" t="s">
        <v>3100</v>
      </c>
      <c r="J1338" s="12" t="str">
        <f>HYPERLINK("https://www.boe.es/gazeta/dias/1801/04/28/pdfs/GMD-1801-34.pdf#page=7","Abrir facsímil")</f>
        <v>Abrir facsímil</v>
      </c>
      <c r="K1338" s="15" t="s">
        <v>23</v>
      </c>
    </row>
    <row r="1339" spans="1:11" ht="42" customHeight="1">
      <c r="A1339" s="4" t="s">
        <v>3118</v>
      </c>
      <c r="B1339" s="5" t="s">
        <v>3118</v>
      </c>
      <c r="C1339" s="5" t="s">
        <v>75</v>
      </c>
      <c r="D1339" s="5" t="s">
        <v>76</v>
      </c>
      <c r="E1339" s="5" t="s">
        <v>1939</v>
      </c>
      <c r="F1339" s="9">
        <v>107</v>
      </c>
      <c r="G1339" s="9">
        <v>1173</v>
      </c>
      <c r="H1339" s="5" t="s">
        <v>21</v>
      </c>
      <c r="I1339" s="5" t="s">
        <v>3119</v>
      </c>
      <c r="J1339" s="12" t="str">
        <f>HYPERLINK("https://www.boe.es/gazeta/dias/1801/11/17/pdfs/GMD-1801-107.pdf#page=2","Abrir facsímil")</f>
        <v>Abrir facsímil</v>
      </c>
      <c r="K1339" s="15" t="s">
        <v>23</v>
      </c>
    </row>
    <row r="1340" spans="1:11" ht="42" customHeight="1">
      <c r="A1340" s="4" t="s">
        <v>3120</v>
      </c>
      <c r="B1340" s="5" t="s">
        <v>3120</v>
      </c>
      <c r="C1340" s="5" t="s">
        <v>38</v>
      </c>
      <c r="D1340" s="5" t="s">
        <v>39</v>
      </c>
      <c r="E1340" s="5" t="s">
        <v>352</v>
      </c>
      <c r="F1340" s="9">
        <v>43</v>
      </c>
      <c r="G1340" s="9">
        <v>535</v>
      </c>
      <c r="H1340" s="5" t="s">
        <v>21</v>
      </c>
      <c r="I1340" s="5" t="s">
        <v>3108</v>
      </c>
      <c r="J1340" s="12" t="str">
        <f>HYPERLINK("https://www.boe.es/gazeta/dias/1801/05/26/pdfs/GMD-1801-43.pdf#page=7","Abrir facsímil")</f>
        <v>Abrir facsímil</v>
      </c>
      <c r="K1340" s="15" t="s">
        <v>23</v>
      </c>
    </row>
    <row r="1341" spans="1:11" ht="42" customHeight="1">
      <c r="A1341" s="4" t="s">
        <v>3121</v>
      </c>
      <c r="B1341" s="5" t="s">
        <v>3121</v>
      </c>
      <c r="C1341" s="5" t="s">
        <v>26</v>
      </c>
      <c r="D1341" s="5" t="s">
        <v>27</v>
      </c>
      <c r="E1341" s="5" t="s">
        <v>99</v>
      </c>
      <c r="F1341" s="9">
        <v>32</v>
      </c>
      <c r="G1341" s="9">
        <v>416</v>
      </c>
      <c r="H1341" s="5" t="s">
        <v>21</v>
      </c>
      <c r="I1341" s="5" t="s">
        <v>3122</v>
      </c>
      <c r="J1341" s="12" t="str">
        <f>HYPERLINK("https://www.boe.es/gazeta/dias/1801/04/21/pdfs/GMD-1801-32.pdf#page=12","Abrir facsímil")</f>
        <v>Abrir facsímil</v>
      </c>
      <c r="K1341" s="15" t="s">
        <v>23</v>
      </c>
    </row>
    <row r="1342" spans="1:11" ht="42" customHeight="1">
      <c r="A1342" s="4" t="s">
        <v>3123</v>
      </c>
      <c r="B1342" s="5" t="s">
        <v>3123</v>
      </c>
      <c r="C1342" s="5" t="s">
        <v>75</v>
      </c>
      <c r="D1342" s="5" t="s">
        <v>76</v>
      </c>
      <c r="E1342" s="5" t="s">
        <v>186</v>
      </c>
      <c r="F1342" s="9">
        <v>21</v>
      </c>
      <c r="G1342" s="9">
        <v>275</v>
      </c>
      <c r="H1342" s="5" t="s">
        <v>21</v>
      </c>
      <c r="I1342" s="5" t="s">
        <v>3124</v>
      </c>
      <c r="J1342" s="12" t="str">
        <f>HYPERLINK("https://www.boe.es/gazeta/dias/1801/03/13/pdfs/GMD-1801-21.pdf#page=4","Abrir facsímil")</f>
        <v>Abrir facsímil</v>
      </c>
      <c r="K1342" s="15" t="s">
        <v>23</v>
      </c>
    </row>
    <row r="1343" spans="1:11" ht="42" customHeight="1">
      <c r="A1343" s="4" t="s">
        <v>3125</v>
      </c>
      <c r="B1343" s="5" t="s">
        <v>3125</v>
      </c>
      <c r="C1343" s="5" t="s">
        <v>32</v>
      </c>
      <c r="D1343" s="5" t="s">
        <v>33</v>
      </c>
      <c r="E1343" s="5" t="s">
        <v>505</v>
      </c>
      <c r="F1343" s="9">
        <v>94</v>
      </c>
      <c r="G1343" s="9">
        <v>1032</v>
      </c>
      <c r="H1343" s="5" t="s">
        <v>21</v>
      </c>
      <c r="I1343" s="5" t="s">
        <v>3126</v>
      </c>
      <c r="J1343" s="12" t="str">
        <f>HYPERLINK("https://www.boe.es/gazeta/dias/1801/10/02/pdfs/GMD-1801-94.pdf#page=8","Abrir facsímil")</f>
        <v>Abrir facsímil</v>
      </c>
      <c r="K1343" s="15" t="s">
        <v>23</v>
      </c>
    </row>
    <row r="1344" spans="1:11" ht="42" customHeight="1">
      <c r="A1344" s="4" t="s">
        <v>3127</v>
      </c>
      <c r="B1344" s="5" t="s">
        <v>3127</v>
      </c>
      <c r="C1344" s="5" t="s">
        <v>75</v>
      </c>
      <c r="D1344" s="5" t="s">
        <v>76</v>
      </c>
      <c r="E1344" s="5" t="s">
        <v>338</v>
      </c>
      <c r="F1344" s="9">
        <v>83</v>
      </c>
      <c r="G1344" s="9">
        <v>931</v>
      </c>
      <c r="H1344" s="5" t="s">
        <v>21</v>
      </c>
      <c r="I1344" s="5" t="s">
        <v>3128</v>
      </c>
      <c r="J1344" s="12" t="str">
        <f>HYPERLINK("https://www.boe.es/gazeta/dias/1801/09/01/pdfs/GMD-1801-83.pdf#page=6","Abrir facsímil")</f>
        <v>Abrir facsímil</v>
      </c>
      <c r="K1344" s="15" t="s">
        <v>23</v>
      </c>
    </row>
    <row r="1345" spans="1:11" ht="42" customHeight="1">
      <c r="A1345" s="4" t="s">
        <v>3129</v>
      </c>
      <c r="B1345" s="5" t="s">
        <v>3129</v>
      </c>
      <c r="C1345" s="5" t="s">
        <v>32</v>
      </c>
      <c r="D1345" s="5" t="s">
        <v>33</v>
      </c>
      <c r="E1345" s="5" t="s">
        <v>359</v>
      </c>
      <c r="F1345" s="9">
        <v>101</v>
      </c>
      <c r="G1345" s="9">
        <v>1112</v>
      </c>
      <c r="H1345" s="5" t="s">
        <v>21</v>
      </c>
      <c r="I1345" s="5" t="s">
        <v>3130</v>
      </c>
      <c r="J1345" s="12" t="str">
        <f>HYPERLINK("https://www.boe.es/gazeta/dias/1801/10/27/pdfs/GMD-1801-101.pdf#page=5","Abrir facsímil")</f>
        <v>Abrir facsímil</v>
      </c>
      <c r="K1345" s="15" t="s">
        <v>23</v>
      </c>
    </row>
    <row r="1346" spans="1:11" ht="42" customHeight="1">
      <c r="A1346" s="4" t="s">
        <v>3131</v>
      </c>
      <c r="B1346" s="5" t="s">
        <v>3131</v>
      </c>
      <c r="C1346" s="5" t="s">
        <v>75</v>
      </c>
      <c r="D1346" s="5" t="s">
        <v>76</v>
      </c>
      <c r="E1346" s="5" t="s">
        <v>2237</v>
      </c>
      <c r="F1346" s="9">
        <v>82</v>
      </c>
      <c r="G1346" s="9">
        <v>916</v>
      </c>
      <c r="H1346" s="5" t="s">
        <v>21</v>
      </c>
      <c r="I1346" s="5" t="s">
        <v>3132</v>
      </c>
      <c r="J1346" s="12" t="str">
        <f>HYPERLINK("https://www.boe.es/gazeta/dias/1801/08/28/pdfs/GMD-1801-82.pdf#page=5","Abrir facsímil")</f>
        <v>Abrir facsímil</v>
      </c>
      <c r="K1346" s="15" t="s">
        <v>23</v>
      </c>
    </row>
    <row r="1347" spans="1:11" ht="42" customHeight="1">
      <c r="A1347" s="4" t="s">
        <v>3133</v>
      </c>
      <c r="B1347" s="5" t="s">
        <v>3133</v>
      </c>
      <c r="C1347" s="5" t="s">
        <v>32</v>
      </c>
      <c r="D1347" s="5" t="s">
        <v>33</v>
      </c>
      <c r="E1347" s="5" t="s">
        <v>505</v>
      </c>
      <c r="F1347" s="9">
        <v>94</v>
      </c>
      <c r="G1347" s="9">
        <v>1028</v>
      </c>
      <c r="H1347" s="5" t="s">
        <v>21</v>
      </c>
      <c r="I1347" s="5" t="s">
        <v>3134</v>
      </c>
      <c r="J1347" s="12" t="str">
        <f>HYPERLINK("https://www.boe.es/gazeta/dias/1801/10/02/pdfs/GMD-1801-94.pdf#page=4","Abrir facsímil")</f>
        <v>Abrir facsímil</v>
      </c>
      <c r="K1347" s="15" t="s">
        <v>23</v>
      </c>
    </row>
    <row r="1348" spans="1:11" ht="42" customHeight="1">
      <c r="A1348" s="4" t="s">
        <v>3135</v>
      </c>
      <c r="B1348" s="5" t="s">
        <v>3135</v>
      </c>
      <c r="C1348" s="5" t="s">
        <v>38</v>
      </c>
      <c r="D1348" s="5" t="s">
        <v>39</v>
      </c>
      <c r="E1348" s="5" t="s">
        <v>751</v>
      </c>
      <c r="F1348" s="9">
        <v>106</v>
      </c>
      <c r="G1348" s="9">
        <v>1163</v>
      </c>
      <c r="H1348" s="5" t="s">
        <v>21</v>
      </c>
      <c r="I1348" s="5" t="s">
        <v>3136</v>
      </c>
      <c r="J1348" s="12" t="str">
        <f>HYPERLINK("https://www.boe.es/gazeta/dias/1801/11/13/pdfs/GMD-1801-106.pdf#page=4","Abrir facsímil")</f>
        <v>Abrir facsímil</v>
      </c>
      <c r="K1348" s="15" t="s">
        <v>23</v>
      </c>
    </row>
    <row r="1349" spans="1:11" ht="42" customHeight="1">
      <c r="A1349" s="4" t="s">
        <v>3137</v>
      </c>
      <c r="B1349" s="5" t="s">
        <v>3137</v>
      </c>
      <c r="C1349" s="5" t="s">
        <v>18</v>
      </c>
      <c r="D1349" s="5" t="s">
        <v>19</v>
      </c>
      <c r="E1349" s="5" t="s">
        <v>448</v>
      </c>
      <c r="F1349" s="9">
        <v>35</v>
      </c>
      <c r="G1349" s="9">
        <v>452</v>
      </c>
      <c r="H1349" s="5" t="s">
        <v>21</v>
      </c>
      <c r="I1349" s="5" t="s">
        <v>3138</v>
      </c>
      <c r="J1349" s="12" t="str">
        <f>HYPERLINK("https://www.boe.es/gazeta/dias/1801/05/01/pdfs/GMD-1801-35.pdf#page=8","Abrir facsímil")</f>
        <v>Abrir facsímil</v>
      </c>
      <c r="K1349" s="15" t="s">
        <v>23</v>
      </c>
    </row>
    <row r="1350" spans="1:11" ht="42" customHeight="1">
      <c r="A1350" s="4" t="s">
        <v>3139</v>
      </c>
      <c r="B1350" s="5" t="s">
        <v>3139</v>
      </c>
      <c r="C1350" s="5" t="s">
        <v>75</v>
      </c>
      <c r="D1350" s="5" t="s">
        <v>76</v>
      </c>
      <c r="E1350" s="5" t="s">
        <v>349</v>
      </c>
      <c r="F1350" s="9">
        <v>112</v>
      </c>
      <c r="G1350" s="9">
        <v>1223</v>
      </c>
      <c r="H1350" s="5" t="s">
        <v>21</v>
      </c>
      <c r="I1350" s="5" t="s">
        <v>3140</v>
      </c>
      <c r="J1350" s="12" t="str">
        <f>HYPERLINK("https://www.boe.es/gazeta/dias/1801/12/04/pdfs/GMD-1801-112.pdf#page=4","Abrir facsímil")</f>
        <v>Abrir facsímil</v>
      </c>
      <c r="K1350" s="15" t="s">
        <v>23</v>
      </c>
    </row>
    <row r="1351" spans="1:11" ht="42" customHeight="1">
      <c r="A1351" s="4" t="s">
        <v>3141</v>
      </c>
      <c r="B1351" s="5" t="s">
        <v>3141</v>
      </c>
      <c r="C1351" s="5" t="s">
        <v>75</v>
      </c>
      <c r="D1351" s="5" t="s">
        <v>76</v>
      </c>
      <c r="E1351" s="5" t="s">
        <v>924</v>
      </c>
      <c r="F1351" s="9">
        <v>90</v>
      </c>
      <c r="G1351" s="9">
        <v>988</v>
      </c>
      <c r="H1351" s="5" t="s">
        <v>21</v>
      </c>
      <c r="I1351" s="5" t="s">
        <v>3142</v>
      </c>
      <c r="J1351" s="12" t="str">
        <f>HYPERLINK("https://www.boe.es/gazeta/dias/1801/09/18/pdfs/GMD-1801-90.pdf#page=3","Abrir facsímil")</f>
        <v>Abrir facsímil</v>
      </c>
      <c r="K1351" s="15" t="s">
        <v>23</v>
      </c>
    </row>
    <row r="1352" spans="1:11" ht="42" customHeight="1">
      <c r="A1352" s="4" t="s">
        <v>3143</v>
      </c>
      <c r="B1352" s="5" t="s">
        <v>3143</v>
      </c>
      <c r="C1352" s="5" t="s">
        <v>75</v>
      </c>
      <c r="D1352" s="5" t="s">
        <v>76</v>
      </c>
      <c r="E1352" s="5" t="s">
        <v>712</v>
      </c>
      <c r="F1352" s="9">
        <v>105</v>
      </c>
      <c r="G1352" s="9">
        <v>1148</v>
      </c>
      <c r="H1352" s="5" t="s">
        <v>21</v>
      </c>
      <c r="I1352" s="5" t="s">
        <v>3116</v>
      </c>
      <c r="J1352" s="12" t="str">
        <f>HYPERLINK("https://www.boe.es/gazeta/dias/1801/11/10/pdfs/GMD-1801-105.pdf#page=1","Abrir facsímil")</f>
        <v>Abrir facsímil</v>
      </c>
      <c r="K1352" s="15" t="s">
        <v>23</v>
      </c>
    </row>
    <row r="1353" spans="1:11" ht="42" customHeight="1">
      <c r="A1353" s="4" t="s">
        <v>3144</v>
      </c>
      <c r="B1353" s="5" t="s">
        <v>3144</v>
      </c>
      <c r="C1353" s="5" t="s">
        <v>38</v>
      </c>
      <c r="D1353" s="5" t="s">
        <v>39</v>
      </c>
      <c r="E1353" s="5" t="s">
        <v>48</v>
      </c>
      <c r="F1353" s="9">
        <v>20</v>
      </c>
      <c r="G1353" s="9">
        <v>264</v>
      </c>
      <c r="H1353" s="5" t="s">
        <v>21</v>
      </c>
      <c r="I1353" s="5" t="s">
        <v>3145</v>
      </c>
      <c r="J1353" s="12" t="str">
        <f>HYPERLINK("https://www.boe.es/gazeta/dias/1801/03/10/pdfs/GMD-1801-20.pdf#page=9","Abrir facsímil")</f>
        <v>Abrir facsímil</v>
      </c>
      <c r="K1353" s="15" t="s">
        <v>23</v>
      </c>
    </row>
    <row r="1354" spans="1:11" ht="42" customHeight="1">
      <c r="A1354" s="4" t="s">
        <v>3146</v>
      </c>
      <c r="B1354" s="5" t="s">
        <v>3146</v>
      </c>
      <c r="C1354" s="5" t="s">
        <v>75</v>
      </c>
      <c r="D1354" s="5" t="s">
        <v>76</v>
      </c>
      <c r="E1354" s="5" t="s">
        <v>251</v>
      </c>
      <c r="F1354" s="9">
        <v>66</v>
      </c>
      <c r="G1354" s="9">
        <v>739</v>
      </c>
      <c r="H1354" s="5" t="s">
        <v>21</v>
      </c>
      <c r="I1354" s="5" t="s">
        <v>3147</v>
      </c>
      <c r="J1354" s="12" t="str">
        <f>HYPERLINK("https://www.boe.es/gazeta/dias/1801/07/10/pdfs/GMD-1801-66.pdf#page=4","Abrir facsímil")</f>
        <v>Abrir facsímil</v>
      </c>
      <c r="K1354" s="15" t="s">
        <v>23</v>
      </c>
    </row>
    <row r="1355" spans="1:11" ht="42" customHeight="1">
      <c r="A1355" s="4" t="s">
        <v>3148</v>
      </c>
      <c r="B1355" s="5" t="s">
        <v>3148</v>
      </c>
      <c r="C1355" s="5" t="s">
        <v>38</v>
      </c>
      <c r="D1355" s="5" t="s">
        <v>39</v>
      </c>
      <c r="E1355" s="5" t="s">
        <v>126</v>
      </c>
      <c r="F1355" s="9">
        <v>13</v>
      </c>
      <c r="G1355" s="9">
        <v>161</v>
      </c>
      <c r="H1355" s="5" t="s">
        <v>21</v>
      </c>
      <c r="I1355" s="5" t="s">
        <v>3149</v>
      </c>
      <c r="J1355" s="12" t="str">
        <f>HYPERLINK("https://www.boe.es/gazeta/dias/1801/02/13/pdfs/GMD-1801-13.pdf#page=8","Abrir facsímil")</f>
        <v>Abrir facsímil</v>
      </c>
      <c r="K1355" s="15" t="s">
        <v>23</v>
      </c>
    </row>
    <row r="1356" spans="1:11" ht="42" customHeight="1">
      <c r="A1356" s="4" t="s">
        <v>3150</v>
      </c>
      <c r="B1356" s="5" t="s">
        <v>3150</v>
      </c>
      <c r="C1356" s="5" t="s">
        <v>75</v>
      </c>
      <c r="D1356" s="5" t="s">
        <v>76</v>
      </c>
      <c r="E1356" s="5" t="s">
        <v>1015</v>
      </c>
      <c r="F1356" s="9">
        <v>15</v>
      </c>
      <c r="G1356" s="9">
        <v>188</v>
      </c>
      <c r="H1356" s="5" t="s">
        <v>21</v>
      </c>
      <c r="I1356" s="5" t="s">
        <v>3151</v>
      </c>
      <c r="J1356" s="12" t="str">
        <f>HYPERLINK("https://www.boe.es/gazeta/dias/1801/02/20/pdfs/GMD-1801-15.pdf#page=7","Abrir facsímil")</f>
        <v>Abrir facsímil</v>
      </c>
      <c r="K1356" s="15" t="s">
        <v>23</v>
      </c>
    </row>
    <row r="1357" spans="1:11" ht="42" customHeight="1">
      <c r="A1357" s="4" t="s">
        <v>3152</v>
      </c>
      <c r="B1357" s="5" t="s">
        <v>3152</v>
      </c>
      <c r="C1357" s="5" t="s">
        <v>38</v>
      </c>
      <c r="D1357" s="5" t="s">
        <v>39</v>
      </c>
      <c r="E1357" s="5" t="s">
        <v>173</v>
      </c>
      <c r="F1357" s="9">
        <v>98</v>
      </c>
      <c r="G1357" s="9">
        <v>1073</v>
      </c>
      <c r="H1357" s="5" t="s">
        <v>21</v>
      </c>
      <c r="I1357" s="5" t="s">
        <v>3153</v>
      </c>
      <c r="J1357" s="12" t="str">
        <f>HYPERLINK("https://www.boe.es/gazeta/dias/1801/10/16/pdfs/GMD-1801-98.pdf#page=5","Abrir facsímil")</f>
        <v>Abrir facsímil</v>
      </c>
      <c r="K1357" s="15" t="s">
        <v>23</v>
      </c>
    </row>
    <row r="1358" spans="1:11" ht="42" customHeight="1">
      <c r="A1358" s="4" t="s">
        <v>3154</v>
      </c>
      <c r="B1358" s="5" t="s">
        <v>3154</v>
      </c>
      <c r="C1358" s="5" t="s">
        <v>75</v>
      </c>
      <c r="D1358" s="5" t="s">
        <v>76</v>
      </c>
      <c r="E1358" s="5" t="s">
        <v>338</v>
      </c>
      <c r="F1358" s="9">
        <v>83</v>
      </c>
      <c r="G1358" s="9">
        <v>931</v>
      </c>
      <c r="H1358" s="5" t="s">
        <v>21</v>
      </c>
      <c r="I1358" s="5" t="s">
        <v>3128</v>
      </c>
      <c r="J1358" s="12" t="str">
        <f>HYPERLINK("https://www.boe.es/gazeta/dias/1801/09/01/pdfs/GMD-1801-83.pdf#page=6","Abrir facsímil")</f>
        <v>Abrir facsímil</v>
      </c>
      <c r="K1358" s="15" t="s">
        <v>23</v>
      </c>
    </row>
    <row r="1359" spans="1:11" ht="42" customHeight="1">
      <c r="A1359" s="4" t="s">
        <v>3154</v>
      </c>
      <c r="B1359" s="5" t="s">
        <v>3154</v>
      </c>
      <c r="C1359" s="5" t="s">
        <v>32</v>
      </c>
      <c r="D1359" s="5" t="s">
        <v>33</v>
      </c>
      <c r="E1359" s="5" t="s">
        <v>919</v>
      </c>
      <c r="F1359" s="9">
        <v>91</v>
      </c>
      <c r="G1359" s="9">
        <v>1002</v>
      </c>
      <c r="H1359" s="5" t="s">
        <v>21</v>
      </c>
      <c r="I1359" s="5" t="s">
        <v>3155</v>
      </c>
      <c r="J1359" s="12" t="str">
        <f>HYPERLINK("https://www.boe.es/gazeta/dias/1801/09/22/pdfs/GMD-1801-91.pdf#page=5","Abrir facsímil")</f>
        <v>Abrir facsímil</v>
      </c>
      <c r="K1359" s="15" t="s">
        <v>23</v>
      </c>
    </row>
    <row r="1360" spans="1:11" ht="42" customHeight="1">
      <c r="A1360" s="4" t="s">
        <v>3156</v>
      </c>
      <c r="B1360" s="5" t="s">
        <v>3156</v>
      </c>
      <c r="C1360" s="5" t="s">
        <v>38</v>
      </c>
      <c r="D1360" s="5" t="s">
        <v>39</v>
      </c>
      <c r="E1360" s="5" t="s">
        <v>480</v>
      </c>
      <c r="F1360" s="9">
        <v>10</v>
      </c>
      <c r="G1360" s="9">
        <v>124</v>
      </c>
      <c r="H1360" s="5" t="s">
        <v>21</v>
      </c>
      <c r="I1360" s="5" t="s">
        <v>3157</v>
      </c>
      <c r="J1360" s="12" t="str">
        <f>HYPERLINK("https://www.boe.es/gazeta/dias/1801/02/03/pdfs/GMD-1801-10.pdf#page=9","Abrir facsímil")</f>
        <v>Abrir facsímil</v>
      </c>
      <c r="K1360" s="15" t="s">
        <v>23</v>
      </c>
    </row>
    <row r="1361" spans="1:11" ht="42" customHeight="1">
      <c r="A1361" s="4" t="s">
        <v>3158</v>
      </c>
      <c r="B1361" s="5" t="s">
        <v>3158</v>
      </c>
      <c r="C1361" s="5" t="s">
        <v>75</v>
      </c>
      <c r="D1361" s="5" t="s">
        <v>76</v>
      </c>
      <c r="E1361" s="5" t="s">
        <v>120</v>
      </c>
      <c r="F1361" s="9">
        <v>7</v>
      </c>
      <c r="G1361" s="9">
        <v>83</v>
      </c>
      <c r="H1361" s="5" t="s">
        <v>21</v>
      </c>
      <c r="I1361" s="5" t="s">
        <v>3159</v>
      </c>
      <c r="J1361" s="12" t="str">
        <f>HYPERLINK("https://www.boe.es/gazeta/dias/1801/01/23/pdfs/GMD-1801-7.pdf#page=7","Abrir facsímil")</f>
        <v>Abrir facsímil</v>
      </c>
      <c r="K1361" s="15" t="s">
        <v>23</v>
      </c>
    </row>
    <row r="1362" spans="1:11" ht="42" customHeight="1">
      <c r="A1362" s="4" t="s">
        <v>3160</v>
      </c>
      <c r="B1362" s="5" t="s">
        <v>3160</v>
      </c>
      <c r="C1362" s="5" t="s">
        <v>32</v>
      </c>
      <c r="D1362" s="5" t="s">
        <v>33</v>
      </c>
      <c r="E1362" s="5" t="s">
        <v>359</v>
      </c>
      <c r="F1362" s="9">
        <v>101</v>
      </c>
      <c r="G1362" s="9">
        <v>1112</v>
      </c>
      <c r="H1362" s="5" t="s">
        <v>21</v>
      </c>
      <c r="I1362" s="5" t="s">
        <v>3130</v>
      </c>
      <c r="J1362" s="12" t="str">
        <f>HYPERLINK("https://www.boe.es/gazeta/dias/1801/10/27/pdfs/GMD-1801-101.pdf#page=5","Abrir facsímil")</f>
        <v>Abrir facsímil</v>
      </c>
      <c r="K1362" s="15" t="s">
        <v>23</v>
      </c>
    </row>
    <row r="1363" spans="1:11" ht="42" customHeight="1">
      <c r="A1363" s="4" t="s">
        <v>3161</v>
      </c>
      <c r="B1363" s="5" t="s">
        <v>3161</v>
      </c>
      <c r="C1363" s="5" t="s">
        <v>38</v>
      </c>
      <c r="D1363" s="5" t="s">
        <v>39</v>
      </c>
      <c r="E1363" s="5" t="s">
        <v>55</v>
      </c>
      <c r="F1363" s="9">
        <v>104</v>
      </c>
      <c r="G1363" s="9">
        <v>1144</v>
      </c>
      <c r="H1363" s="5" t="s">
        <v>21</v>
      </c>
      <c r="I1363" s="5" t="s">
        <v>3162</v>
      </c>
      <c r="J1363" s="12" t="str">
        <f>HYPERLINK("https://www.boe.es/gazeta/dias/1801/11/06/pdfs/GMD-1801-104.pdf#page=5","Abrir facsímil")</f>
        <v>Abrir facsímil</v>
      </c>
      <c r="K1363" s="15" t="s">
        <v>23</v>
      </c>
    </row>
    <row r="1364" spans="1:11" ht="42" customHeight="1">
      <c r="A1364" s="4" t="s">
        <v>3163</v>
      </c>
      <c r="B1364" s="5" t="s">
        <v>3163</v>
      </c>
      <c r="C1364" s="5" t="s">
        <v>38</v>
      </c>
      <c r="D1364" s="5" t="s">
        <v>39</v>
      </c>
      <c r="E1364" s="5" t="s">
        <v>1015</v>
      </c>
      <c r="F1364" s="9">
        <v>15</v>
      </c>
      <c r="G1364" s="9">
        <v>190</v>
      </c>
      <c r="H1364" s="5" t="s">
        <v>21</v>
      </c>
      <c r="I1364" s="5" t="s">
        <v>3164</v>
      </c>
      <c r="J1364" s="12" t="str">
        <f>HYPERLINK("https://www.boe.es/gazeta/dias/1801/02/20/pdfs/GMD-1801-15.pdf#page=9","Abrir facsímil")</f>
        <v>Abrir facsímil</v>
      </c>
      <c r="K1364" s="15" t="s">
        <v>23</v>
      </c>
    </row>
    <row r="1365" spans="1:11" ht="42" customHeight="1">
      <c r="A1365" s="4" t="s">
        <v>3165</v>
      </c>
      <c r="B1365" s="5" t="s">
        <v>3165</v>
      </c>
      <c r="C1365" s="5" t="s">
        <v>75</v>
      </c>
      <c r="D1365" s="5" t="s">
        <v>76</v>
      </c>
      <c r="E1365" s="5" t="s">
        <v>251</v>
      </c>
      <c r="F1365" s="9">
        <v>66</v>
      </c>
      <c r="G1365" s="9">
        <v>739</v>
      </c>
      <c r="H1365" s="5" t="s">
        <v>21</v>
      </c>
      <c r="I1365" s="5" t="s">
        <v>3147</v>
      </c>
      <c r="J1365" s="12" t="str">
        <f>HYPERLINK("https://www.boe.es/gazeta/dias/1801/07/10/pdfs/GMD-1801-66.pdf#page=4","Abrir facsímil")</f>
        <v>Abrir facsímil</v>
      </c>
      <c r="K1365" s="15" t="s">
        <v>23</v>
      </c>
    </row>
    <row r="1366" spans="1:11" ht="42" customHeight="1">
      <c r="A1366" s="4" t="s">
        <v>3166</v>
      </c>
      <c r="B1366" s="5" t="s">
        <v>3166</v>
      </c>
      <c r="C1366" s="5" t="s">
        <v>32</v>
      </c>
      <c r="D1366" s="5" t="s">
        <v>33</v>
      </c>
      <c r="E1366" s="5" t="s">
        <v>40</v>
      </c>
      <c r="F1366" s="9">
        <v>63</v>
      </c>
      <c r="G1366" s="9">
        <v>705</v>
      </c>
      <c r="H1366" s="5" t="s">
        <v>21</v>
      </c>
      <c r="I1366" s="5" t="s">
        <v>3167</v>
      </c>
      <c r="J1366" s="12" t="str">
        <f>HYPERLINK("https://www.boe.es/gazeta/dias/1801/07/03/pdfs/GMD-1801-63.pdf#page=2","Abrir facsímil")</f>
        <v>Abrir facsímil</v>
      </c>
      <c r="K1366" s="15" t="s">
        <v>23</v>
      </c>
    </row>
    <row r="1367" spans="1:11" ht="42" customHeight="1">
      <c r="A1367" s="4" t="s">
        <v>3166</v>
      </c>
      <c r="B1367" s="5" t="s">
        <v>3166</v>
      </c>
      <c r="C1367" s="5" t="s">
        <v>75</v>
      </c>
      <c r="D1367" s="5" t="s">
        <v>76</v>
      </c>
      <c r="E1367" s="5" t="s">
        <v>256</v>
      </c>
      <c r="F1367" s="9">
        <v>78</v>
      </c>
      <c r="G1367" s="9">
        <v>878</v>
      </c>
      <c r="H1367" s="5" t="s">
        <v>21</v>
      </c>
      <c r="I1367" s="5" t="s">
        <v>3168</v>
      </c>
      <c r="J1367" s="12" t="str">
        <f>HYPERLINK("https://www.boe.es/gazeta/dias/1801/08/14/pdfs/GMD-1801-78.pdf#page=7","Abrir facsímil")</f>
        <v>Abrir facsímil</v>
      </c>
      <c r="K1367" s="15" t="s">
        <v>23</v>
      </c>
    </row>
    <row r="1368" spans="1:11" ht="42" customHeight="1">
      <c r="A1368" s="4" t="s">
        <v>3169</v>
      </c>
      <c r="B1368" s="5" t="s">
        <v>3169</v>
      </c>
      <c r="C1368" s="5" t="s">
        <v>75</v>
      </c>
      <c r="D1368" s="5" t="s">
        <v>76</v>
      </c>
      <c r="E1368" s="5" t="s">
        <v>182</v>
      </c>
      <c r="F1368" s="9">
        <v>18</v>
      </c>
      <c r="G1368" s="9">
        <v>224</v>
      </c>
      <c r="H1368" s="5" t="s">
        <v>21</v>
      </c>
      <c r="I1368" s="5" t="s">
        <v>3106</v>
      </c>
      <c r="J1368" s="12" t="str">
        <f>HYPERLINK("https://www.boe.es/gazeta/dias/1801/03/03/pdfs/GMD-1801-18.pdf#page=5","Abrir facsímil")</f>
        <v>Abrir facsímil</v>
      </c>
      <c r="K1368" s="15" t="s">
        <v>23</v>
      </c>
    </row>
    <row r="1369" spans="1:11" ht="42" customHeight="1">
      <c r="A1369" s="4" t="s">
        <v>3170</v>
      </c>
      <c r="B1369" s="5" t="s">
        <v>3170</v>
      </c>
      <c r="C1369" s="5" t="s">
        <v>38</v>
      </c>
      <c r="D1369" s="5" t="s">
        <v>39</v>
      </c>
      <c r="E1369" s="5" t="s">
        <v>143</v>
      </c>
      <c r="F1369" s="9">
        <v>34</v>
      </c>
      <c r="G1369" s="9">
        <v>436</v>
      </c>
      <c r="H1369" s="5" t="s">
        <v>21</v>
      </c>
      <c r="I1369" s="5" t="s">
        <v>3171</v>
      </c>
      <c r="J1369" s="12" t="str">
        <f>HYPERLINK("https://www.boe.es/gazeta/dias/1801/04/28/pdfs/GMD-1801-34.pdf#page=8","Abrir facsímil")</f>
        <v>Abrir facsímil</v>
      </c>
      <c r="K1369" s="15" t="s">
        <v>23</v>
      </c>
    </row>
    <row r="1370" spans="1:11" ht="42" customHeight="1">
      <c r="A1370" s="4" t="s">
        <v>3172</v>
      </c>
      <c r="B1370" s="5" t="s">
        <v>3172</v>
      </c>
      <c r="C1370" s="5" t="s">
        <v>75</v>
      </c>
      <c r="D1370" s="5" t="s">
        <v>76</v>
      </c>
      <c r="E1370" s="5" t="s">
        <v>62</v>
      </c>
      <c r="F1370" s="9">
        <v>6</v>
      </c>
      <c r="G1370" s="9">
        <v>68</v>
      </c>
      <c r="H1370" s="5" t="s">
        <v>21</v>
      </c>
      <c r="I1370" s="5" t="s">
        <v>3173</v>
      </c>
      <c r="J1370" s="12" t="str">
        <f>HYPERLINK("https://www.boe.es/gazeta/dias/1801/01/20/pdfs/GMD-1801-6.pdf#page=4","Abrir facsímil")</f>
        <v>Abrir facsímil</v>
      </c>
      <c r="K1370" s="15" t="s">
        <v>23</v>
      </c>
    </row>
    <row r="1371" spans="1:11" ht="42" customHeight="1">
      <c r="A1371" s="4" t="s">
        <v>3174</v>
      </c>
      <c r="B1371" s="5" t="s">
        <v>3174</v>
      </c>
      <c r="C1371" s="5" t="s">
        <v>75</v>
      </c>
      <c r="D1371" s="5" t="s">
        <v>76</v>
      </c>
      <c r="E1371" s="5" t="s">
        <v>173</v>
      </c>
      <c r="F1371" s="9">
        <v>98</v>
      </c>
      <c r="G1371" s="9">
        <v>1072</v>
      </c>
      <c r="H1371" s="5" t="s">
        <v>21</v>
      </c>
      <c r="I1371" s="5" t="s">
        <v>3175</v>
      </c>
      <c r="J1371" s="12" t="str">
        <f>HYPERLINK("https://www.boe.es/gazeta/dias/1801/10/16/pdfs/GMD-1801-98.pdf#page=4","Abrir facsímil")</f>
        <v>Abrir facsímil</v>
      </c>
      <c r="K1371" s="15" t="s">
        <v>23</v>
      </c>
    </row>
    <row r="1372" spans="1:11" ht="42" customHeight="1">
      <c r="A1372" s="4" t="s">
        <v>3174</v>
      </c>
      <c r="B1372" s="5" t="s">
        <v>3174</v>
      </c>
      <c r="C1372" s="5" t="s">
        <v>75</v>
      </c>
      <c r="D1372" s="5" t="s">
        <v>76</v>
      </c>
      <c r="E1372" s="5" t="s">
        <v>1939</v>
      </c>
      <c r="F1372" s="9">
        <v>107</v>
      </c>
      <c r="G1372" s="9">
        <v>1175</v>
      </c>
      <c r="H1372" s="5" t="s">
        <v>21</v>
      </c>
      <c r="I1372" s="5" t="s">
        <v>3176</v>
      </c>
      <c r="J1372" s="12" t="str">
        <f>HYPERLINK("https://www.boe.es/gazeta/dias/1801/11/17/pdfs/GMD-1801-107.pdf#page=4","Abrir facsímil")</f>
        <v>Abrir facsímil</v>
      </c>
      <c r="K1372" s="15" t="s">
        <v>23</v>
      </c>
    </row>
    <row r="1373" spans="1:11" ht="42" customHeight="1">
      <c r="A1373" s="4" t="s">
        <v>3177</v>
      </c>
      <c r="B1373" s="5" t="s">
        <v>3177</v>
      </c>
      <c r="C1373" s="5" t="s">
        <v>75</v>
      </c>
      <c r="D1373" s="5" t="s">
        <v>76</v>
      </c>
      <c r="E1373" s="5" t="s">
        <v>888</v>
      </c>
      <c r="F1373" s="9">
        <v>103</v>
      </c>
      <c r="G1373" s="9">
        <v>1134</v>
      </c>
      <c r="H1373" s="5" t="s">
        <v>21</v>
      </c>
      <c r="I1373" s="5" t="s">
        <v>3178</v>
      </c>
      <c r="J1373" s="12" t="str">
        <f>HYPERLINK("https://www.boe.es/gazeta/dias/1801/11/03/pdfs/GMD-1801-103.pdf#page=7","Abrir facsímil")</f>
        <v>Abrir facsímil</v>
      </c>
      <c r="K1373" s="15" t="s">
        <v>23</v>
      </c>
    </row>
    <row r="1374" spans="1:11" ht="42" customHeight="1">
      <c r="A1374" s="4" t="s">
        <v>3179</v>
      </c>
      <c r="B1374" s="5" t="s">
        <v>3179</v>
      </c>
      <c r="C1374" s="5" t="s">
        <v>38</v>
      </c>
      <c r="D1374" s="5" t="s">
        <v>39</v>
      </c>
      <c r="E1374" s="5" t="s">
        <v>505</v>
      </c>
      <c r="F1374" s="9">
        <v>94</v>
      </c>
      <c r="G1374" s="9">
        <v>1031</v>
      </c>
      <c r="H1374" s="5" t="s">
        <v>21</v>
      </c>
      <c r="I1374" s="5" t="s">
        <v>3180</v>
      </c>
      <c r="J1374" s="12" t="str">
        <f>HYPERLINK("https://www.boe.es/gazeta/dias/1801/10/02/pdfs/GMD-1801-94.pdf#page=7","Abrir facsímil")</f>
        <v>Abrir facsímil</v>
      </c>
      <c r="K1374" s="15" t="s">
        <v>23</v>
      </c>
    </row>
    <row r="1375" spans="1:11" ht="42" customHeight="1">
      <c r="A1375" s="4" t="s">
        <v>3181</v>
      </c>
      <c r="B1375" s="5" t="s">
        <v>3181</v>
      </c>
      <c r="C1375" s="5" t="s">
        <v>38</v>
      </c>
      <c r="D1375" s="5" t="s">
        <v>39</v>
      </c>
      <c r="E1375" s="5" t="s">
        <v>48</v>
      </c>
      <c r="F1375" s="9">
        <v>20</v>
      </c>
      <c r="G1375" s="9">
        <v>262</v>
      </c>
      <c r="H1375" s="5" t="s">
        <v>21</v>
      </c>
      <c r="I1375" s="5" t="s">
        <v>3182</v>
      </c>
      <c r="J1375" s="12" t="str">
        <f>HYPERLINK("https://www.boe.es/gazeta/dias/1801/03/10/pdfs/GMD-1801-20.pdf#page=7","Abrir facsímil")</f>
        <v>Abrir facsímil</v>
      </c>
      <c r="K1375" s="15" t="s">
        <v>23</v>
      </c>
    </row>
    <row r="1376" spans="1:11" ht="42" customHeight="1">
      <c r="A1376" s="4" t="s">
        <v>3183</v>
      </c>
      <c r="B1376" s="5" t="s">
        <v>3183</v>
      </c>
      <c r="C1376" s="5" t="s">
        <v>75</v>
      </c>
      <c r="D1376" s="5" t="s">
        <v>76</v>
      </c>
      <c r="E1376" s="5" t="s">
        <v>615</v>
      </c>
      <c r="F1376" s="9">
        <v>72</v>
      </c>
      <c r="G1376" s="9">
        <v>800</v>
      </c>
      <c r="H1376" s="5" t="s">
        <v>21</v>
      </c>
      <c r="I1376" s="5" t="s">
        <v>3095</v>
      </c>
      <c r="J1376" s="12" t="str">
        <f>HYPERLINK("https://www.boe.es/gazeta/dias/1801/07/24/pdfs/GMD-1801-72.pdf#page=5","Abrir facsímil")</f>
        <v>Abrir facsímil</v>
      </c>
      <c r="K1376" s="15" t="s">
        <v>23</v>
      </c>
    </row>
    <row r="1377" spans="1:11" ht="42" customHeight="1">
      <c r="A1377" s="4" t="s">
        <v>3184</v>
      </c>
      <c r="B1377" s="5" t="s">
        <v>3184</v>
      </c>
      <c r="C1377" s="5" t="s">
        <v>75</v>
      </c>
      <c r="D1377" s="5" t="s">
        <v>76</v>
      </c>
      <c r="E1377" s="5" t="s">
        <v>40</v>
      </c>
      <c r="F1377" s="9">
        <v>63</v>
      </c>
      <c r="G1377" s="9">
        <v>711</v>
      </c>
      <c r="H1377" s="5" t="s">
        <v>21</v>
      </c>
      <c r="I1377" s="5" t="s">
        <v>3185</v>
      </c>
      <c r="J1377" s="12" t="str">
        <f>HYPERLINK("https://www.boe.es/gazeta/dias/1801/07/03/pdfs/GMD-1801-63.pdf#page=8","Abrir facsímil")</f>
        <v>Abrir facsímil</v>
      </c>
      <c r="K1377" s="15" t="s">
        <v>23</v>
      </c>
    </row>
    <row r="1378" spans="1:11" ht="42" customHeight="1">
      <c r="A1378" s="4" t="s">
        <v>3186</v>
      </c>
      <c r="B1378" s="5" t="s">
        <v>3186</v>
      </c>
      <c r="C1378" s="5" t="s">
        <v>32</v>
      </c>
      <c r="D1378" s="5" t="s">
        <v>33</v>
      </c>
      <c r="E1378" s="5" t="s">
        <v>108</v>
      </c>
      <c r="F1378" s="9">
        <v>61</v>
      </c>
      <c r="G1378" s="9">
        <v>696</v>
      </c>
      <c r="H1378" s="5" t="s">
        <v>21</v>
      </c>
      <c r="I1378" s="5" t="s">
        <v>3187</v>
      </c>
      <c r="J1378" s="12" t="str">
        <f>HYPERLINK("https://www.boe.es/gazeta/dias/1801/06/30/pdfs/GMD-1801-61.pdf#page=5","Abrir facsímil")</f>
        <v>Abrir facsímil</v>
      </c>
      <c r="K1378" s="15" t="s">
        <v>23</v>
      </c>
    </row>
    <row r="1379" spans="1:11" ht="42" customHeight="1">
      <c r="A1379" s="4" t="s">
        <v>3188</v>
      </c>
      <c r="B1379" s="5" t="s">
        <v>3188</v>
      </c>
      <c r="C1379" s="5" t="s">
        <v>18</v>
      </c>
      <c r="D1379" s="5" t="s">
        <v>19</v>
      </c>
      <c r="E1379" s="5" t="s">
        <v>448</v>
      </c>
      <c r="F1379" s="9">
        <v>35</v>
      </c>
      <c r="G1379" s="9">
        <v>452</v>
      </c>
      <c r="H1379" s="5" t="s">
        <v>21</v>
      </c>
      <c r="I1379" s="5" t="s">
        <v>3138</v>
      </c>
      <c r="J1379" s="12" t="str">
        <f>HYPERLINK("https://www.boe.es/gazeta/dias/1801/05/01/pdfs/GMD-1801-35.pdf#page=8","Abrir facsímil")</f>
        <v>Abrir facsímil</v>
      </c>
      <c r="K1379" s="15" t="s">
        <v>23</v>
      </c>
    </row>
    <row r="1380" spans="1:11" ht="42" customHeight="1">
      <c r="A1380" s="4" t="s">
        <v>3189</v>
      </c>
      <c r="B1380" s="5" t="s">
        <v>3189</v>
      </c>
      <c r="C1380" s="5" t="s">
        <v>38</v>
      </c>
      <c r="D1380" s="5" t="s">
        <v>39</v>
      </c>
      <c r="E1380" s="5" t="s">
        <v>615</v>
      </c>
      <c r="F1380" s="9">
        <v>72</v>
      </c>
      <c r="G1380" s="9">
        <v>801</v>
      </c>
      <c r="H1380" s="5" t="s">
        <v>21</v>
      </c>
      <c r="I1380" s="5" t="s">
        <v>3190</v>
      </c>
      <c r="J1380" s="12" t="str">
        <f>HYPERLINK("https://www.boe.es/gazeta/dias/1801/07/24/pdfs/GMD-1801-72.pdf#page=6","Abrir facsímil")</f>
        <v>Abrir facsímil</v>
      </c>
      <c r="K1380" s="15" t="s">
        <v>23</v>
      </c>
    </row>
    <row r="1381" spans="1:11" ht="42" customHeight="1">
      <c r="A1381" s="4" t="s">
        <v>3191</v>
      </c>
      <c r="B1381" s="5" t="s">
        <v>3191</v>
      </c>
      <c r="C1381" s="5" t="s">
        <v>69</v>
      </c>
      <c r="D1381" s="5" t="s">
        <v>19</v>
      </c>
      <c r="E1381" s="5" t="s">
        <v>258</v>
      </c>
      <c r="F1381" s="9">
        <v>96</v>
      </c>
      <c r="G1381" s="9">
        <v>1050</v>
      </c>
      <c r="H1381" s="5" t="s">
        <v>21</v>
      </c>
      <c r="I1381" s="5" t="s">
        <v>3098</v>
      </c>
      <c r="J1381" s="12" t="str">
        <f>HYPERLINK("https://www.boe.es/gazeta/dias/1801/10/09/pdfs/GMD-1801-96.pdf#page=6","Abrir facsímil")</f>
        <v>Abrir facsímil</v>
      </c>
      <c r="K1381" s="15" t="s">
        <v>23</v>
      </c>
    </row>
    <row r="1382" spans="1:11" ht="42" customHeight="1">
      <c r="A1382" s="4" t="s">
        <v>3192</v>
      </c>
      <c r="B1382" s="5" t="s">
        <v>3192</v>
      </c>
      <c r="C1382" s="5" t="s">
        <v>75</v>
      </c>
      <c r="D1382" s="5" t="s">
        <v>76</v>
      </c>
      <c r="E1382" s="5" t="s">
        <v>712</v>
      </c>
      <c r="F1382" s="9">
        <v>105</v>
      </c>
      <c r="G1382" s="9">
        <v>1154</v>
      </c>
      <c r="H1382" s="5" t="s">
        <v>21</v>
      </c>
      <c r="I1382" s="5" t="s">
        <v>3193</v>
      </c>
      <c r="J1382" s="12" t="str">
        <f>HYPERLINK("https://www.boe.es/gazeta/dias/1801/11/10/pdfs/GMD-1801-105.pdf#page=7","Abrir facsímil")</f>
        <v>Abrir facsímil</v>
      </c>
      <c r="K1382" s="15" t="s">
        <v>23</v>
      </c>
    </row>
    <row r="1383" spans="1:11" ht="42" customHeight="1">
      <c r="A1383" s="4" t="s">
        <v>3194</v>
      </c>
      <c r="B1383" s="5" t="s">
        <v>3194</v>
      </c>
      <c r="C1383" s="5" t="s">
        <v>75</v>
      </c>
      <c r="D1383" s="5" t="s">
        <v>76</v>
      </c>
      <c r="E1383" s="5" t="s">
        <v>888</v>
      </c>
      <c r="F1383" s="9">
        <v>103</v>
      </c>
      <c r="G1383" s="9">
        <v>1134</v>
      </c>
      <c r="H1383" s="5" t="s">
        <v>21</v>
      </c>
      <c r="I1383" s="5" t="s">
        <v>3178</v>
      </c>
      <c r="J1383" s="12" t="str">
        <f>HYPERLINK("https://www.boe.es/gazeta/dias/1801/11/03/pdfs/GMD-1801-103.pdf#page=7","Abrir facsímil")</f>
        <v>Abrir facsímil</v>
      </c>
      <c r="K1383" s="15" t="s">
        <v>23</v>
      </c>
    </row>
    <row r="1384" spans="1:11" ht="42" customHeight="1">
      <c r="A1384" s="4" t="s">
        <v>3195</v>
      </c>
      <c r="B1384" s="5" t="s">
        <v>3195</v>
      </c>
      <c r="C1384" s="5" t="s">
        <v>38</v>
      </c>
      <c r="D1384" s="5" t="s">
        <v>39</v>
      </c>
      <c r="E1384" s="5" t="s">
        <v>143</v>
      </c>
      <c r="F1384" s="9">
        <v>34</v>
      </c>
      <c r="G1384" s="9">
        <v>436</v>
      </c>
      <c r="H1384" s="5" t="s">
        <v>21</v>
      </c>
      <c r="I1384" s="5" t="s">
        <v>3171</v>
      </c>
      <c r="J1384" s="12" t="str">
        <f>HYPERLINK("https://www.boe.es/gazeta/dias/1801/04/28/pdfs/GMD-1801-34.pdf#page=8","Abrir facsímil")</f>
        <v>Abrir facsímil</v>
      </c>
      <c r="K1384" s="15" t="s">
        <v>23</v>
      </c>
    </row>
    <row r="1385" spans="1:11" ht="42" customHeight="1">
      <c r="A1385" s="4" t="s">
        <v>3196</v>
      </c>
      <c r="B1385" s="5" t="s">
        <v>3197</v>
      </c>
      <c r="C1385" s="5" t="s">
        <v>32</v>
      </c>
      <c r="D1385" s="5" t="s">
        <v>33</v>
      </c>
      <c r="E1385" s="5" t="s">
        <v>105</v>
      </c>
      <c r="F1385" s="9">
        <v>44</v>
      </c>
      <c r="G1385" s="9">
        <v>549</v>
      </c>
      <c r="H1385" s="5" t="s">
        <v>21</v>
      </c>
      <c r="I1385" s="5" t="s">
        <v>3198</v>
      </c>
      <c r="J1385" s="12" t="str">
        <f>HYPERLINK("https://www.boe.es/gazeta/dias/1801/05/29/pdfs/GMD-1801-44.pdf#page=9","Abrir facsímil")</f>
        <v>Abrir facsímil</v>
      </c>
      <c r="K1385" s="15" t="s">
        <v>23</v>
      </c>
    </row>
    <row r="1386" spans="1:11" ht="42" customHeight="1">
      <c r="A1386" s="4" t="s">
        <v>3199</v>
      </c>
      <c r="B1386" s="5" t="s">
        <v>3200</v>
      </c>
      <c r="C1386" s="5" t="s">
        <v>38</v>
      </c>
      <c r="D1386" s="5" t="s">
        <v>39</v>
      </c>
      <c r="E1386" s="5" t="s">
        <v>462</v>
      </c>
      <c r="F1386" s="9">
        <v>5</v>
      </c>
      <c r="G1386" s="9">
        <v>56</v>
      </c>
      <c r="H1386" s="5" t="s">
        <v>21</v>
      </c>
      <c r="I1386" s="5" t="s">
        <v>3201</v>
      </c>
      <c r="J1386" s="12" t="str">
        <f>HYPERLINK("https://www.boe.es/gazeta/dias/1801/01/16/pdfs/GMD-1801-5.pdf#page=8","Abrir facsímil")</f>
        <v>Abrir facsímil</v>
      </c>
      <c r="K1386" s="15" t="s">
        <v>23</v>
      </c>
    </row>
    <row r="1387" spans="1:11" ht="42" customHeight="1">
      <c r="A1387" s="4" t="s">
        <v>3202</v>
      </c>
      <c r="B1387" s="5" t="s">
        <v>3203</v>
      </c>
      <c r="C1387" s="5" t="s">
        <v>75</v>
      </c>
      <c r="D1387" s="5" t="s">
        <v>76</v>
      </c>
      <c r="E1387" s="5" t="s">
        <v>935</v>
      </c>
      <c r="F1387" s="9">
        <v>116</v>
      </c>
      <c r="G1387" s="9">
        <v>1262</v>
      </c>
      <c r="H1387" s="5" t="s">
        <v>21</v>
      </c>
      <c r="I1387" s="5" t="s">
        <v>3204</v>
      </c>
      <c r="J1387" s="12" t="str">
        <f>HYPERLINK("https://www.boe.es/gazeta/dias/1801/12/18/pdfs/GMD-1801-116.pdf#page=4","Abrir facsímil")</f>
        <v>Abrir facsímil</v>
      </c>
      <c r="K1387" s="15" t="s">
        <v>23</v>
      </c>
    </row>
    <row r="1388" spans="1:11" ht="42" customHeight="1">
      <c r="A1388" s="4" t="s">
        <v>3205</v>
      </c>
      <c r="B1388" s="5" t="s">
        <v>3206</v>
      </c>
      <c r="C1388" s="5" t="s">
        <v>32</v>
      </c>
      <c r="D1388" s="5" t="s">
        <v>33</v>
      </c>
      <c r="E1388" s="5" t="s">
        <v>151</v>
      </c>
      <c r="F1388" s="9">
        <v>45</v>
      </c>
      <c r="G1388" s="9">
        <v>561</v>
      </c>
      <c r="H1388" s="5" t="s">
        <v>21</v>
      </c>
      <c r="I1388" s="5" t="s">
        <v>3207</v>
      </c>
      <c r="J1388" s="12" t="str">
        <f>HYPERLINK("https://www.boe.es/gazeta/dias/1801/06/02/pdfs/GMD-1801-45.pdf#page=9","Abrir facsímil")</f>
        <v>Abrir facsímil</v>
      </c>
      <c r="K1388" s="15" t="s">
        <v>23</v>
      </c>
    </row>
    <row r="1389" spans="1:11" ht="42" customHeight="1">
      <c r="A1389" s="4" t="s">
        <v>3208</v>
      </c>
      <c r="B1389" s="5" t="s">
        <v>3209</v>
      </c>
      <c r="C1389" s="5" t="s">
        <v>32</v>
      </c>
      <c r="D1389" s="5" t="s">
        <v>33</v>
      </c>
      <c r="E1389" s="5" t="s">
        <v>120</v>
      </c>
      <c r="F1389" s="9">
        <v>7</v>
      </c>
      <c r="G1389" s="9">
        <v>84</v>
      </c>
      <c r="H1389" s="5" t="s">
        <v>21</v>
      </c>
      <c r="I1389" s="5" t="s">
        <v>3210</v>
      </c>
      <c r="J1389" s="12" t="str">
        <f>HYPERLINK("https://www.boe.es/gazeta/dias/1801/01/23/pdfs/GMD-1801-7.pdf#page=8","Abrir facsímil")</f>
        <v>Abrir facsímil</v>
      </c>
      <c r="K1389" s="15" t="s">
        <v>23</v>
      </c>
    </row>
    <row r="1390" spans="1:11" ht="42" customHeight="1">
      <c r="A1390" s="4" t="s">
        <v>3211</v>
      </c>
      <c r="B1390" s="5" t="s">
        <v>3212</v>
      </c>
      <c r="C1390" s="5" t="s">
        <v>75</v>
      </c>
      <c r="D1390" s="5" t="s">
        <v>76</v>
      </c>
      <c r="E1390" s="5" t="s">
        <v>70</v>
      </c>
      <c r="F1390" s="9">
        <v>2</v>
      </c>
      <c r="G1390" s="9">
        <v>19</v>
      </c>
      <c r="H1390" s="5" t="s">
        <v>21</v>
      </c>
      <c r="I1390" s="5" t="s">
        <v>3213</v>
      </c>
      <c r="J1390" s="12" t="str">
        <f>HYPERLINK("https://www.boe.es/gazeta/dias/1801/01/06/pdfs/GMD-1801-2.pdf#page=7","Abrir facsímil")</f>
        <v>Abrir facsímil</v>
      </c>
      <c r="K1390" s="15" t="s">
        <v>23</v>
      </c>
    </row>
    <row r="1391" spans="1:11" ht="42" customHeight="1">
      <c r="A1391" s="4" t="s">
        <v>3211</v>
      </c>
      <c r="B1391" s="5" t="s">
        <v>3212</v>
      </c>
      <c r="C1391" s="5" t="s">
        <v>75</v>
      </c>
      <c r="D1391" s="5" t="s">
        <v>76</v>
      </c>
      <c r="E1391" s="5" t="s">
        <v>211</v>
      </c>
      <c r="F1391" s="9">
        <v>87</v>
      </c>
      <c r="G1391" s="9">
        <v>962</v>
      </c>
      <c r="H1391" s="5" t="s">
        <v>21</v>
      </c>
      <c r="I1391" s="5" t="s">
        <v>3214</v>
      </c>
      <c r="J1391" s="12" t="str">
        <f>HYPERLINK("https://www.boe.es/gazeta/dias/1801/09/11/pdfs/GMD-1801-87.pdf#page=5","Abrir facsímil")</f>
        <v>Abrir facsímil</v>
      </c>
      <c r="K1391" s="15" t="s">
        <v>23</v>
      </c>
    </row>
    <row r="1392" spans="1:11" ht="42" customHeight="1">
      <c r="A1392" s="4" t="s">
        <v>3211</v>
      </c>
      <c r="B1392" s="5" t="s">
        <v>3212</v>
      </c>
      <c r="C1392" s="5" t="s">
        <v>38</v>
      </c>
      <c r="D1392" s="5" t="s">
        <v>39</v>
      </c>
      <c r="E1392" s="5" t="s">
        <v>77</v>
      </c>
      <c r="F1392" s="9">
        <v>93</v>
      </c>
      <c r="G1392" s="9">
        <v>1019</v>
      </c>
      <c r="H1392" s="5" t="s">
        <v>21</v>
      </c>
      <c r="I1392" s="5" t="s">
        <v>3215</v>
      </c>
      <c r="J1392" s="12" t="str">
        <f>HYPERLINK("https://www.boe.es/gazeta/dias/1801/09/29/pdfs/GMD-1801-93.pdf#page=6","Abrir facsímil")</f>
        <v>Abrir facsímil</v>
      </c>
      <c r="K1392" s="15" t="s">
        <v>23</v>
      </c>
    </row>
    <row r="1393" spans="1:11" ht="42" customHeight="1">
      <c r="A1393" s="4" t="s">
        <v>3211</v>
      </c>
      <c r="B1393" s="5" t="s">
        <v>3212</v>
      </c>
      <c r="C1393" s="5" t="s">
        <v>75</v>
      </c>
      <c r="D1393" s="5" t="s">
        <v>76</v>
      </c>
      <c r="E1393" s="5" t="s">
        <v>1085</v>
      </c>
      <c r="F1393" s="9">
        <v>99</v>
      </c>
      <c r="G1393" s="9">
        <v>1087</v>
      </c>
      <c r="H1393" s="5" t="s">
        <v>21</v>
      </c>
      <c r="I1393" s="5" t="s">
        <v>3216</v>
      </c>
      <c r="J1393" s="12" t="str">
        <f>HYPERLINK("https://www.boe.es/gazeta/dias/1801/10/20/pdfs/GMD-1801-99.pdf#page=4","Abrir facsímil")</f>
        <v>Abrir facsímil</v>
      </c>
      <c r="K1393" s="15" t="s">
        <v>23</v>
      </c>
    </row>
    <row r="1394" spans="1:11" ht="42" customHeight="1">
      <c r="A1394" s="4" t="s">
        <v>3211</v>
      </c>
      <c r="B1394" s="5" t="s">
        <v>3212</v>
      </c>
      <c r="C1394" s="5" t="s">
        <v>75</v>
      </c>
      <c r="D1394" s="5" t="s">
        <v>76</v>
      </c>
      <c r="E1394" s="5" t="s">
        <v>359</v>
      </c>
      <c r="F1394" s="9">
        <v>101</v>
      </c>
      <c r="G1394" s="9">
        <v>1111</v>
      </c>
      <c r="H1394" s="5" t="s">
        <v>21</v>
      </c>
      <c r="I1394" s="5" t="s">
        <v>3217</v>
      </c>
      <c r="J1394" s="12" t="str">
        <f>HYPERLINK("https://www.boe.es/gazeta/dias/1801/10/27/pdfs/GMD-1801-101.pdf#page=4","Abrir facsímil")</f>
        <v>Abrir facsímil</v>
      </c>
      <c r="K1394" s="15" t="s">
        <v>23</v>
      </c>
    </row>
    <row r="1395" spans="1:11" ht="42" customHeight="1">
      <c r="A1395" s="4" t="s">
        <v>3218</v>
      </c>
      <c r="B1395" s="5" t="s">
        <v>3218</v>
      </c>
      <c r="C1395" s="5" t="s">
        <v>38</v>
      </c>
      <c r="D1395" s="5" t="s">
        <v>39</v>
      </c>
      <c r="E1395" s="5" t="s">
        <v>126</v>
      </c>
      <c r="F1395" s="9">
        <v>13</v>
      </c>
      <c r="G1395" s="9">
        <v>155</v>
      </c>
      <c r="H1395" s="5" t="s">
        <v>21</v>
      </c>
      <c r="I1395" s="5" t="s">
        <v>3219</v>
      </c>
      <c r="J1395" s="12" t="str">
        <f>HYPERLINK("https://www.boe.es/gazeta/dias/1801/02/13/pdfs/GMD-1801-13.pdf#page=2","Abrir facsímil")</f>
        <v>Abrir facsímil</v>
      </c>
      <c r="K1395" s="15" t="s">
        <v>23</v>
      </c>
    </row>
    <row r="1396" spans="1:11" ht="42" customHeight="1">
      <c r="A1396" s="4" t="s">
        <v>3220</v>
      </c>
      <c r="B1396" s="5" t="s">
        <v>3220</v>
      </c>
      <c r="C1396" s="5" t="s">
        <v>80</v>
      </c>
      <c r="D1396" s="5" t="s">
        <v>81</v>
      </c>
      <c r="E1396" s="5" t="s">
        <v>82</v>
      </c>
      <c r="F1396" s="9">
        <v>75</v>
      </c>
      <c r="G1396" s="9" t="s">
        <v>305</v>
      </c>
      <c r="H1396" s="5" t="s">
        <v>21</v>
      </c>
      <c r="I1396" s="5" t="s">
        <v>3221</v>
      </c>
      <c r="J1396" s="12" t="str">
        <f>HYPERLINK("https://www.boe.es/gazeta/dias/1801/08/04/pdfs/GMD-C-1801-75.pdf#page=4","Abrir facsímil")</f>
        <v>Abrir facsímil</v>
      </c>
      <c r="K1396" s="15" t="s">
        <v>23</v>
      </c>
    </row>
    <row r="1397" spans="1:11" ht="42" customHeight="1">
      <c r="A1397" s="4" t="s">
        <v>3222</v>
      </c>
      <c r="B1397" s="5" t="s">
        <v>3223</v>
      </c>
      <c r="C1397" s="5" t="s">
        <v>32</v>
      </c>
      <c r="D1397" s="5" t="s">
        <v>33</v>
      </c>
      <c r="E1397" s="5" t="s">
        <v>105</v>
      </c>
      <c r="F1397" s="9">
        <v>44</v>
      </c>
      <c r="G1397" s="9">
        <v>548</v>
      </c>
      <c r="H1397" s="5" t="s">
        <v>21</v>
      </c>
      <c r="I1397" s="5" t="s">
        <v>3224</v>
      </c>
      <c r="J1397" s="12" t="str">
        <f>HYPERLINK("https://www.boe.es/gazeta/dias/1801/05/29/pdfs/GMD-1801-44.pdf#page=8","Abrir facsímil")</f>
        <v>Abrir facsímil</v>
      </c>
      <c r="K1397" s="15" t="s">
        <v>23</v>
      </c>
    </row>
    <row r="1398" spans="1:11" ht="42" customHeight="1">
      <c r="A1398" s="4" t="s">
        <v>3225</v>
      </c>
      <c r="B1398" s="5" t="s">
        <v>3226</v>
      </c>
      <c r="C1398" s="5" t="s">
        <v>75</v>
      </c>
      <c r="D1398" s="5" t="s">
        <v>76</v>
      </c>
      <c r="E1398" s="5" t="s">
        <v>615</v>
      </c>
      <c r="F1398" s="9">
        <v>72</v>
      </c>
      <c r="G1398" s="9">
        <v>798</v>
      </c>
      <c r="H1398" s="5" t="s">
        <v>21</v>
      </c>
      <c r="I1398" s="5" t="s">
        <v>3227</v>
      </c>
      <c r="J1398" s="12" t="str">
        <f>HYPERLINK("https://www.boe.es/gazeta/dias/1801/07/24/pdfs/GMD-1801-72.pdf#page=3","Abrir facsímil")</f>
        <v>Abrir facsímil</v>
      </c>
      <c r="K1398" s="15" t="s">
        <v>23</v>
      </c>
    </row>
    <row r="1399" spans="1:11" ht="42" customHeight="1">
      <c r="A1399" s="4" t="s">
        <v>3228</v>
      </c>
      <c r="B1399" s="5" t="s">
        <v>3228</v>
      </c>
      <c r="C1399" s="5" t="s">
        <v>32</v>
      </c>
      <c r="D1399" s="5" t="s">
        <v>33</v>
      </c>
      <c r="E1399" s="5" t="s">
        <v>615</v>
      </c>
      <c r="F1399" s="9">
        <v>72</v>
      </c>
      <c r="G1399" s="9">
        <v>805</v>
      </c>
      <c r="H1399" s="5" t="s">
        <v>21</v>
      </c>
      <c r="I1399" s="5" t="s">
        <v>3229</v>
      </c>
      <c r="J1399" s="12" t="str">
        <f>HYPERLINK("https://www.boe.es/gazeta/dias/1801/07/24/pdfs/GMD-1801-72.pdf#page=10","Abrir facsímil")</f>
        <v>Abrir facsímil</v>
      </c>
      <c r="K1399" s="15" t="s">
        <v>23</v>
      </c>
    </row>
    <row r="1400" spans="1:11" ht="42" customHeight="1">
      <c r="A1400" s="4" t="s">
        <v>3230</v>
      </c>
      <c r="B1400" s="5" t="s">
        <v>3230</v>
      </c>
      <c r="C1400" s="5" t="s">
        <v>32</v>
      </c>
      <c r="D1400" s="5" t="s">
        <v>33</v>
      </c>
      <c r="E1400" s="5" t="s">
        <v>349</v>
      </c>
      <c r="F1400" s="9">
        <v>112</v>
      </c>
      <c r="G1400" s="9">
        <v>1225</v>
      </c>
      <c r="H1400" s="5" t="s">
        <v>21</v>
      </c>
      <c r="I1400" s="5" t="s">
        <v>3231</v>
      </c>
      <c r="J1400" s="12" t="str">
        <f>HYPERLINK("https://www.boe.es/gazeta/dias/1801/12/04/pdfs/GMD-1801-112.pdf#page=6","Abrir facsímil")</f>
        <v>Abrir facsímil</v>
      </c>
      <c r="K1400" s="15" t="s">
        <v>23</v>
      </c>
    </row>
    <row r="1401" spans="1:11" ht="42" customHeight="1">
      <c r="A1401" s="4" t="s">
        <v>3232</v>
      </c>
      <c r="B1401" s="5" t="s">
        <v>3233</v>
      </c>
      <c r="C1401" s="5" t="s">
        <v>18</v>
      </c>
      <c r="D1401" s="5" t="s">
        <v>19</v>
      </c>
      <c r="E1401" s="5" t="s">
        <v>99</v>
      </c>
      <c r="F1401" s="9">
        <v>32</v>
      </c>
      <c r="G1401" s="9">
        <v>415</v>
      </c>
      <c r="H1401" s="5" t="s">
        <v>21</v>
      </c>
      <c r="I1401" s="5" t="s">
        <v>3234</v>
      </c>
      <c r="J1401" s="12" t="str">
        <f>HYPERLINK("https://www.boe.es/gazeta/dias/1801/04/21/pdfs/GMD-1801-32.pdf#page=11","Abrir facsímil")</f>
        <v>Abrir facsímil</v>
      </c>
      <c r="K1401" s="15" t="s">
        <v>23</v>
      </c>
    </row>
    <row r="1402" spans="1:11" ht="42" customHeight="1">
      <c r="A1402" s="4" t="s">
        <v>3235</v>
      </c>
      <c r="B1402" s="5" t="s">
        <v>3236</v>
      </c>
      <c r="C1402" s="5" t="s">
        <v>80</v>
      </c>
      <c r="D1402" s="5" t="s">
        <v>81</v>
      </c>
      <c r="E1402" s="5" t="s">
        <v>289</v>
      </c>
      <c r="F1402" s="9">
        <v>40</v>
      </c>
      <c r="G1402" s="9" t="s">
        <v>517</v>
      </c>
      <c r="H1402" s="5" t="s">
        <v>21</v>
      </c>
      <c r="I1402" s="5" t="s">
        <v>3237</v>
      </c>
      <c r="J1402" s="12" t="str">
        <f>HYPERLINK("https://www.boe.es/gazeta/dias/1801/05/19/pdfs/GMD-C-1801-40.pdf#page=7","Abrir facsímil")</f>
        <v>Abrir facsímil</v>
      </c>
      <c r="K1402" s="15" t="s">
        <v>23</v>
      </c>
    </row>
    <row r="1403" spans="1:11" ht="42" customHeight="1">
      <c r="A1403" s="4" t="s">
        <v>3238</v>
      </c>
      <c r="B1403" s="5" t="s">
        <v>3239</v>
      </c>
      <c r="C1403" s="5" t="s">
        <v>32</v>
      </c>
      <c r="D1403" s="5" t="s">
        <v>33</v>
      </c>
      <c r="E1403" s="5" t="s">
        <v>194</v>
      </c>
      <c r="F1403" s="9">
        <v>92</v>
      </c>
      <c r="G1403" s="9">
        <v>1008</v>
      </c>
      <c r="H1403" s="5" t="s">
        <v>21</v>
      </c>
      <c r="I1403" s="5" t="s">
        <v>3240</v>
      </c>
      <c r="J1403" s="12" t="str">
        <f>HYPERLINK("https://www.boe.es/gazeta/dias/1801/09/25/pdfs/GMD-1801-92.pdf#page=3","Abrir facsímil")</f>
        <v>Abrir facsímil</v>
      </c>
      <c r="K1403" s="15" t="s">
        <v>23</v>
      </c>
    </row>
    <row r="1404" spans="1:11" ht="42" customHeight="1">
      <c r="A1404" s="4" t="s">
        <v>3241</v>
      </c>
      <c r="B1404" s="5" t="s">
        <v>3242</v>
      </c>
      <c r="C1404" s="5" t="s">
        <v>75</v>
      </c>
      <c r="D1404" s="5" t="s">
        <v>76</v>
      </c>
      <c r="E1404" s="5" t="s">
        <v>275</v>
      </c>
      <c r="F1404" s="9">
        <v>9</v>
      </c>
      <c r="G1404" s="9">
        <v>105</v>
      </c>
      <c r="H1404" s="5" t="s">
        <v>21</v>
      </c>
      <c r="I1404" s="5" t="s">
        <v>3243</v>
      </c>
      <c r="J1404" s="12" t="str">
        <f>HYPERLINK("https://www.boe.es/gazeta/dias/1801/01/30/pdfs/GMD-1801-9.pdf#page=2","Abrir facsímil")</f>
        <v>Abrir facsímil</v>
      </c>
      <c r="K1404" s="15" t="s">
        <v>23</v>
      </c>
    </row>
    <row r="1405" spans="1:11" ht="42" customHeight="1">
      <c r="A1405" s="4" t="s">
        <v>3244</v>
      </c>
      <c r="B1405" s="5" t="s">
        <v>3245</v>
      </c>
      <c r="C1405" s="5" t="s">
        <v>26</v>
      </c>
      <c r="D1405" s="5" t="s">
        <v>27</v>
      </c>
      <c r="E1405" s="5" t="s">
        <v>781</v>
      </c>
      <c r="F1405" s="9">
        <v>14</v>
      </c>
      <c r="G1405" s="9">
        <v>176</v>
      </c>
      <c r="H1405" s="5" t="s">
        <v>21</v>
      </c>
      <c r="I1405" s="5" t="s">
        <v>3246</v>
      </c>
      <c r="J1405" s="12" t="str">
        <f>HYPERLINK("https://www.boe.es/gazeta/dias/1801/02/17/pdfs/GMD-1801-14.pdf#page=11","Abrir facsímil")</f>
        <v>Abrir facsímil</v>
      </c>
      <c r="K1405" s="15" t="s">
        <v>23</v>
      </c>
    </row>
    <row r="1406" spans="1:11" ht="42" customHeight="1">
      <c r="A1406" s="4" t="s">
        <v>3247</v>
      </c>
      <c r="B1406" s="5" t="s">
        <v>3247</v>
      </c>
      <c r="C1406" s="5" t="s">
        <v>32</v>
      </c>
      <c r="D1406" s="5" t="s">
        <v>33</v>
      </c>
      <c r="E1406" s="5" t="s">
        <v>221</v>
      </c>
      <c r="F1406" s="9">
        <v>28</v>
      </c>
      <c r="G1406" s="9">
        <v>363</v>
      </c>
      <c r="H1406" s="5" t="s">
        <v>21</v>
      </c>
      <c r="I1406" s="5" t="s">
        <v>3248</v>
      </c>
      <c r="J1406" s="12" t="str">
        <f>HYPERLINK("https://www.boe.es/gazeta/dias/1801/04/07/pdfs/GMD-1801-28.pdf#page=3","Abrir facsímil")</f>
        <v>Abrir facsímil</v>
      </c>
      <c r="K1406" s="15" t="s">
        <v>23</v>
      </c>
    </row>
    <row r="1407" spans="1:11" ht="42" customHeight="1">
      <c r="A1407" s="4" t="s">
        <v>3247</v>
      </c>
      <c r="B1407" s="5" t="s">
        <v>3247</v>
      </c>
      <c r="C1407" s="5" t="s">
        <v>32</v>
      </c>
      <c r="D1407" s="5" t="s">
        <v>33</v>
      </c>
      <c r="E1407" s="5" t="s">
        <v>221</v>
      </c>
      <c r="F1407" s="9">
        <v>28</v>
      </c>
      <c r="G1407" s="9">
        <v>369</v>
      </c>
      <c r="H1407" s="5" t="s">
        <v>21</v>
      </c>
      <c r="I1407" s="5" t="s">
        <v>3249</v>
      </c>
      <c r="J1407" s="12" t="str">
        <f>HYPERLINK("https://www.boe.es/gazeta/dias/1801/04/07/pdfs/GMD-1801-28.pdf#page=9","Abrir facsímil")</f>
        <v>Abrir facsímil</v>
      </c>
      <c r="K1407" s="15" t="s">
        <v>23</v>
      </c>
    </row>
    <row r="1408" spans="1:11" ht="42" customHeight="1">
      <c r="A1408" s="4" t="s">
        <v>3250</v>
      </c>
      <c r="B1408" s="5" t="s">
        <v>3251</v>
      </c>
      <c r="C1408" s="5" t="s">
        <v>18</v>
      </c>
      <c r="D1408" s="5" t="s">
        <v>19</v>
      </c>
      <c r="E1408" s="5" t="s">
        <v>40</v>
      </c>
      <c r="F1408" s="9">
        <v>63</v>
      </c>
      <c r="G1408" s="9">
        <v>706</v>
      </c>
      <c r="H1408" s="5" t="s">
        <v>21</v>
      </c>
      <c r="I1408" s="5" t="s">
        <v>3252</v>
      </c>
      <c r="J1408" s="12" t="str">
        <f>HYPERLINK("https://www.boe.es/gazeta/dias/1801/07/03/pdfs/GMD-1801-63.pdf#page=3","Abrir facsímil")</f>
        <v>Abrir facsímil</v>
      </c>
      <c r="K1408" s="15" t="s">
        <v>23</v>
      </c>
    </row>
    <row r="1409" spans="1:11" ht="42" customHeight="1">
      <c r="A1409" s="4" t="s">
        <v>3250</v>
      </c>
      <c r="B1409" s="5" t="s">
        <v>3251</v>
      </c>
      <c r="C1409" s="5" t="s">
        <v>38</v>
      </c>
      <c r="D1409" s="5" t="s">
        <v>39</v>
      </c>
      <c r="E1409" s="5" t="s">
        <v>258</v>
      </c>
      <c r="F1409" s="9">
        <v>96</v>
      </c>
      <c r="G1409" s="9">
        <v>1052</v>
      </c>
      <c r="H1409" s="5" t="s">
        <v>21</v>
      </c>
      <c r="I1409" s="5" t="s">
        <v>3253</v>
      </c>
      <c r="J1409" s="12" t="str">
        <f>HYPERLINK("https://www.boe.es/gazeta/dias/1801/10/09/pdfs/GMD-1801-96.pdf#page=8","Abrir facsímil")</f>
        <v>Abrir facsímil</v>
      </c>
      <c r="K1409" s="15" t="s">
        <v>23</v>
      </c>
    </row>
    <row r="1410" spans="1:11" ht="42" customHeight="1">
      <c r="A1410" s="4" t="s">
        <v>3254</v>
      </c>
      <c r="B1410" s="5" t="s">
        <v>3255</v>
      </c>
      <c r="C1410" s="5" t="s">
        <v>80</v>
      </c>
      <c r="D1410" s="5" t="s">
        <v>81</v>
      </c>
      <c r="E1410" s="5" t="s">
        <v>289</v>
      </c>
      <c r="F1410" s="9">
        <v>40</v>
      </c>
      <c r="G1410" s="9" t="s">
        <v>83</v>
      </c>
      <c r="H1410" s="5" t="s">
        <v>21</v>
      </c>
      <c r="I1410" s="5" t="s">
        <v>3256</v>
      </c>
      <c r="J1410" s="12" t="str">
        <f>HYPERLINK("https://www.boe.es/gazeta/dias/1801/05/19/pdfs/GMD-C-1801-40.pdf#page=2","Abrir facsímil")</f>
        <v>Abrir facsímil</v>
      </c>
      <c r="K1410" s="15" t="s">
        <v>23</v>
      </c>
    </row>
    <row r="1411" spans="1:11" ht="42" customHeight="1">
      <c r="A1411" s="4" t="s">
        <v>3257</v>
      </c>
      <c r="B1411" s="5" t="s">
        <v>3258</v>
      </c>
      <c r="C1411" s="5" t="s">
        <v>80</v>
      </c>
      <c r="D1411" s="5" t="s">
        <v>81</v>
      </c>
      <c r="E1411" s="5" t="s">
        <v>289</v>
      </c>
      <c r="F1411" s="9">
        <v>40</v>
      </c>
      <c r="G1411" s="9" t="s">
        <v>305</v>
      </c>
      <c r="H1411" s="5" t="s">
        <v>21</v>
      </c>
      <c r="I1411" s="5" t="s">
        <v>3259</v>
      </c>
      <c r="J1411" s="12" t="str">
        <f>HYPERLINK("https://www.boe.es/gazeta/dias/1801/05/19/pdfs/GMD-C-1801-40.pdf#page=4","Abrir facsímil")</f>
        <v>Abrir facsímil</v>
      </c>
      <c r="K1411" s="15" t="s">
        <v>23</v>
      </c>
    </row>
    <row r="1412" spans="1:11" ht="42" customHeight="1">
      <c r="A1412" s="4" t="s">
        <v>3260</v>
      </c>
      <c r="B1412" s="5" t="s">
        <v>3260</v>
      </c>
      <c r="C1412" s="5" t="s">
        <v>515</v>
      </c>
      <c r="D1412" s="5" t="s">
        <v>516</v>
      </c>
      <c r="E1412" s="5" t="s">
        <v>94</v>
      </c>
      <c r="F1412" s="9">
        <v>19</v>
      </c>
      <c r="G1412" s="9">
        <v>249</v>
      </c>
      <c r="H1412" s="5" t="s">
        <v>21</v>
      </c>
      <c r="I1412" s="5" t="s">
        <v>3261</v>
      </c>
      <c r="J1412" s="12" t="str">
        <f>HYPERLINK("https://www.boe.es/gazeta/dias/1801/03/06/pdfs/GMD-C-1801-19.pdf#page=2","Abrir facsímil")</f>
        <v>Abrir facsímil</v>
      </c>
      <c r="K1412" s="15" t="s">
        <v>23</v>
      </c>
    </row>
    <row r="1413" spans="1:11" ht="42" customHeight="1">
      <c r="A1413" s="4" t="s">
        <v>3262</v>
      </c>
      <c r="B1413" s="5" t="s">
        <v>3263</v>
      </c>
      <c r="C1413" s="5" t="s">
        <v>80</v>
      </c>
      <c r="D1413" s="5" t="s">
        <v>81</v>
      </c>
      <c r="E1413" s="5" t="s">
        <v>82</v>
      </c>
      <c r="F1413" s="9">
        <v>75</v>
      </c>
      <c r="G1413" s="9" t="s">
        <v>305</v>
      </c>
      <c r="H1413" s="5" t="s">
        <v>21</v>
      </c>
      <c r="I1413" s="5" t="s">
        <v>3264</v>
      </c>
      <c r="J1413" s="12" t="str">
        <f>HYPERLINK("https://www.boe.es/gazeta/dias/1801/08/04/pdfs/GMD-C-1801-75.pdf#page=4","Abrir facsímil")</f>
        <v>Abrir facsímil</v>
      </c>
      <c r="K1413" s="15" t="s">
        <v>23</v>
      </c>
    </row>
    <row r="1414" spans="1:11" ht="42" customHeight="1">
      <c r="A1414" s="4" t="s">
        <v>3265</v>
      </c>
      <c r="B1414" s="5" t="s">
        <v>3266</v>
      </c>
      <c r="C1414" s="5" t="s">
        <v>32</v>
      </c>
      <c r="D1414" s="5" t="s">
        <v>33</v>
      </c>
      <c r="E1414" s="5" t="s">
        <v>735</v>
      </c>
      <c r="F1414" s="9">
        <v>97</v>
      </c>
      <c r="G1414" s="9">
        <v>1064</v>
      </c>
      <c r="H1414" s="5" t="s">
        <v>21</v>
      </c>
      <c r="I1414" s="5" t="s">
        <v>3267</v>
      </c>
      <c r="J1414" s="12" t="str">
        <f>HYPERLINK("https://www.boe.es/gazeta/dias/1801/10/13/pdfs/GMD-1801-97.pdf#page=8","Abrir facsímil")</f>
        <v>Abrir facsímil</v>
      </c>
      <c r="K1414" s="15" t="s">
        <v>23</v>
      </c>
    </row>
    <row r="1415" spans="1:11" ht="42" customHeight="1">
      <c r="A1415" s="4" t="s">
        <v>3268</v>
      </c>
      <c r="B1415" s="5" t="s">
        <v>3269</v>
      </c>
      <c r="C1415" s="5" t="s">
        <v>75</v>
      </c>
      <c r="D1415" s="5" t="s">
        <v>76</v>
      </c>
      <c r="E1415" s="5" t="s">
        <v>321</v>
      </c>
      <c r="F1415" s="9">
        <v>3</v>
      </c>
      <c r="G1415" s="9">
        <v>29</v>
      </c>
      <c r="H1415" s="5" t="s">
        <v>21</v>
      </c>
      <c r="I1415" s="5" t="s">
        <v>3270</v>
      </c>
      <c r="J1415" s="12" t="str">
        <f>HYPERLINK("https://www.boe.es/gazeta/dias/1801/01/09/pdfs/GMD-1801-3.pdf#page=5","Abrir facsímil")</f>
        <v>Abrir facsímil</v>
      </c>
      <c r="K1415" s="15" t="s">
        <v>23</v>
      </c>
    </row>
    <row r="1416" spans="1:11" ht="42" customHeight="1">
      <c r="A1416" s="4" t="s">
        <v>3271</v>
      </c>
      <c r="B1416" s="5" t="s">
        <v>3272</v>
      </c>
      <c r="C1416" s="5" t="s">
        <v>75</v>
      </c>
      <c r="D1416" s="5" t="s">
        <v>76</v>
      </c>
      <c r="E1416" s="5" t="s">
        <v>465</v>
      </c>
      <c r="F1416" s="9">
        <v>4</v>
      </c>
      <c r="G1416" s="9">
        <v>40</v>
      </c>
      <c r="H1416" s="5" t="s">
        <v>21</v>
      </c>
      <c r="I1416" s="5" t="s">
        <v>3273</v>
      </c>
      <c r="J1416" s="12" t="str">
        <f>HYPERLINK("https://www.boe.es/gazeta/dias/1801/01/13/pdfs/GMD-1801-4.pdf#page=4","Abrir facsímil")</f>
        <v>Abrir facsímil</v>
      </c>
      <c r="K1416" s="15" t="s">
        <v>23</v>
      </c>
    </row>
    <row r="1417" spans="1:11" ht="42" customHeight="1">
      <c r="A1417" s="4" t="s">
        <v>3271</v>
      </c>
      <c r="B1417" s="5" t="s">
        <v>3272</v>
      </c>
      <c r="C1417" s="5" t="s">
        <v>75</v>
      </c>
      <c r="D1417" s="5" t="s">
        <v>76</v>
      </c>
      <c r="E1417" s="5" t="s">
        <v>122</v>
      </c>
      <c r="F1417" s="9">
        <v>8</v>
      </c>
      <c r="G1417" s="9">
        <v>90</v>
      </c>
      <c r="H1417" s="5" t="s">
        <v>21</v>
      </c>
      <c r="I1417" s="5" t="s">
        <v>3274</v>
      </c>
      <c r="J1417" s="12" t="str">
        <f>HYPERLINK("https://www.boe.es/gazeta/dias/1801/01/27/pdfs/GMD-1801-8.pdf#page=2","Abrir facsímil")</f>
        <v>Abrir facsímil</v>
      </c>
      <c r="K1417" s="15" t="s">
        <v>23</v>
      </c>
    </row>
    <row r="1418" spans="1:11" ht="42" customHeight="1">
      <c r="A1418" s="4" t="s">
        <v>3271</v>
      </c>
      <c r="B1418" s="5" t="s">
        <v>3272</v>
      </c>
      <c r="C1418" s="5" t="s">
        <v>38</v>
      </c>
      <c r="D1418" s="5" t="s">
        <v>39</v>
      </c>
      <c r="E1418" s="5" t="s">
        <v>97</v>
      </c>
      <c r="F1418" s="9">
        <v>31</v>
      </c>
      <c r="G1418" s="9">
        <v>401</v>
      </c>
      <c r="H1418" s="5" t="s">
        <v>21</v>
      </c>
      <c r="I1418" s="5" t="s">
        <v>3275</v>
      </c>
      <c r="J1418" s="12" t="str">
        <f>HYPERLINK("https://www.boe.es/gazeta/dias/1801/04/17/pdfs/GMD-1801-31.pdf#page=5","Abrir facsímil")</f>
        <v>Abrir facsímil</v>
      </c>
      <c r="K1418" s="15" t="s">
        <v>23</v>
      </c>
    </row>
    <row r="1419" spans="1:11" ht="42" customHeight="1">
      <c r="A1419" s="4" t="s">
        <v>3276</v>
      </c>
      <c r="B1419" s="5" t="s">
        <v>3276</v>
      </c>
      <c r="C1419" s="5" t="s">
        <v>26</v>
      </c>
      <c r="D1419" s="5" t="s">
        <v>27</v>
      </c>
      <c r="E1419" s="5" t="s">
        <v>28</v>
      </c>
      <c r="F1419" s="9">
        <v>77</v>
      </c>
      <c r="G1419" s="9">
        <v>867</v>
      </c>
      <c r="H1419" s="5" t="s">
        <v>21</v>
      </c>
      <c r="I1419" s="5" t="s">
        <v>3277</v>
      </c>
      <c r="J1419" s="12" t="str">
        <f>HYPERLINK("https://www.boe.es/gazeta/dias/1801/08/11/pdfs/GMD-1801-77.pdf#page=12","Abrir facsímil")</f>
        <v>Abrir facsímil</v>
      </c>
      <c r="K1419" s="15" t="s">
        <v>23</v>
      </c>
    </row>
    <row r="1420" spans="1:11" ht="42" customHeight="1">
      <c r="A1420" s="4" t="s">
        <v>3278</v>
      </c>
      <c r="B1420" s="5" t="s">
        <v>3279</v>
      </c>
      <c r="C1420" s="5" t="s">
        <v>75</v>
      </c>
      <c r="D1420" s="5" t="s">
        <v>76</v>
      </c>
      <c r="E1420" s="5" t="s">
        <v>1015</v>
      </c>
      <c r="F1420" s="9">
        <v>15</v>
      </c>
      <c r="G1420" s="9">
        <v>185</v>
      </c>
      <c r="H1420" s="5" t="s">
        <v>21</v>
      </c>
      <c r="I1420" s="5" t="s">
        <v>3280</v>
      </c>
      <c r="J1420" s="12" t="str">
        <f>HYPERLINK("https://www.boe.es/gazeta/dias/1801/02/20/pdfs/GMD-1801-15.pdf#page=4","Abrir facsímil")</f>
        <v>Abrir facsímil</v>
      </c>
      <c r="K1420" s="15" t="s">
        <v>23</v>
      </c>
    </row>
    <row r="1421" spans="1:11" ht="42" customHeight="1">
      <c r="A1421" s="4" t="s">
        <v>3281</v>
      </c>
      <c r="B1421" s="5" t="s">
        <v>3282</v>
      </c>
      <c r="C1421" s="5" t="s">
        <v>38</v>
      </c>
      <c r="D1421" s="5" t="s">
        <v>39</v>
      </c>
      <c r="E1421" s="5" t="s">
        <v>122</v>
      </c>
      <c r="F1421" s="9">
        <v>8</v>
      </c>
      <c r="G1421" s="9">
        <v>98</v>
      </c>
      <c r="H1421" s="5" t="s">
        <v>21</v>
      </c>
      <c r="I1421" s="5" t="s">
        <v>3283</v>
      </c>
      <c r="J1421" s="12" t="str">
        <f>HYPERLINK("https://www.boe.es/gazeta/dias/1801/01/27/pdfs/GMD-1801-8.pdf#page=10","Abrir facsímil")</f>
        <v>Abrir facsímil</v>
      </c>
      <c r="K1421" s="15" t="s">
        <v>23</v>
      </c>
    </row>
    <row r="1422" spans="1:11" ht="42" customHeight="1">
      <c r="A1422" s="4" t="s">
        <v>3284</v>
      </c>
      <c r="B1422" s="5" t="s">
        <v>3285</v>
      </c>
      <c r="C1422" s="5" t="s">
        <v>38</v>
      </c>
      <c r="D1422" s="5" t="s">
        <v>39</v>
      </c>
      <c r="E1422" s="5" t="s">
        <v>313</v>
      </c>
      <c r="F1422" s="9">
        <v>39</v>
      </c>
      <c r="G1422" s="9">
        <v>508</v>
      </c>
      <c r="H1422" s="5" t="s">
        <v>21</v>
      </c>
      <c r="I1422" s="5" t="s">
        <v>3286</v>
      </c>
      <c r="J1422" s="12" t="str">
        <f>HYPERLINK("https://www.boe.es/gazeta/dias/1801/05/15/pdfs/GMD-1801-39.pdf#page=12","Abrir facsímil")</f>
        <v>Abrir facsímil</v>
      </c>
      <c r="K1422" s="15" t="s">
        <v>23</v>
      </c>
    </row>
    <row r="1423" spans="1:11" ht="42" customHeight="1">
      <c r="A1423" s="4" t="s">
        <v>3287</v>
      </c>
      <c r="B1423" s="5" t="s">
        <v>3288</v>
      </c>
      <c r="C1423" s="5" t="s">
        <v>32</v>
      </c>
      <c r="D1423" s="5" t="s">
        <v>33</v>
      </c>
      <c r="E1423" s="5" t="s">
        <v>122</v>
      </c>
      <c r="F1423" s="9">
        <v>8</v>
      </c>
      <c r="G1423" s="9">
        <v>98</v>
      </c>
      <c r="H1423" s="5" t="s">
        <v>21</v>
      </c>
      <c r="I1423" s="5" t="s">
        <v>3289</v>
      </c>
      <c r="J1423" s="12" t="str">
        <f>HYPERLINK("https://www.boe.es/gazeta/dias/1801/01/27/pdfs/GMD-1801-8.pdf#page=10","Abrir facsímil")</f>
        <v>Abrir facsímil</v>
      </c>
      <c r="K1423" s="15" t="s">
        <v>23</v>
      </c>
    </row>
    <row r="1424" spans="1:11" ht="42" customHeight="1">
      <c r="A1424" s="4" t="s">
        <v>3290</v>
      </c>
      <c r="B1424" s="5" t="s">
        <v>3291</v>
      </c>
      <c r="C1424" s="5" t="s">
        <v>32</v>
      </c>
      <c r="D1424" s="5" t="s">
        <v>33</v>
      </c>
      <c r="E1424" s="5" t="s">
        <v>62</v>
      </c>
      <c r="F1424" s="9">
        <v>6</v>
      </c>
      <c r="G1424" s="9">
        <v>73</v>
      </c>
      <c r="H1424" s="5" t="s">
        <v>21</v>
      </c>
      <c r="I1424" s="5" t="s">
        <v>3292</v>
      </c>
      <c r="J1424" s="12" t="str">
        <f>HYPERLINK("https://www.boe.es/gazeta/dias/1801/01/20/pdfs/GMD-1801-6.pdf#page=9","Abrir facsímil")</f>
        <v>Abrir facsímil</v>
      </c>
      <c r="K1424" s="15" t="s">
        <v>23</v>
      </c>
    </row>
    <row r="1425" spans="1:11" ht="42" customHeight="1">
      <c r="A1425" s="4" t="s">
        <v>3293</v>
      </c>
      <c r="B1425" s="5" t="s">
        <v>3294</v>
      </c>
      <c r="C1425" s="5" t="s">
        <v>32</v>
      </c>
      <c r="D1425" s="5" t="s">
        <v>33</v>
      </c>
      <c r="E1425" s="5" t="s">
        <v>145</v>
      </c>
      <c r="F1425" s="9">
        <v>36</v>
      </c>
      <c r="G1425" s="9">
        <v>468</v>
      </c>
      <c r="H1425" s="5" t="s">
        <v>21</v>
      </c>
      <c r="I1425" s="5" t="s">
        <v>3295</v>
      </c>
      <c r="J1425" s="12" t="str">
        <f>HYPERLINK("https://www.boe.es/gazeta/dias/1801/05/05/pdfs/GMD-1801-36.pdf#page=12","Abrir facsímil")</f>
        <v>Abrir facsímil</v>
      </c>
      <c r="K1425" s="15" t="s">
        <v>23</v>
      </c>
    </row>
    <row r="1426" spans="1:11" ht="42" customHeight="1">
      <c r="A1426" s="4" t="s">
        <v>3296</v>
      </c>
      <c r="B1426" s="5" t="s">
        <v>3296</v>
      </c>
      <c r="C1426" s="5" t="s">
        <v>38</v>
      </c>
      <c r="D1426" s="5" t="s">
        <v>39</v>
      </c>
      <c r="E1426" s="5" t="s">
        <v>20</v>
      </c>
      <c r="F1426" s="9">
        <v>37</v>
      </c>
      <c r="G1426" s="9">
        <v>484</v>
      </c>
      <c r="H1426" s="5" t="s">
        <v>21</v>
      </c>
      <c r="I1426" s="5" t="s">
        <v>3297</v>
      </c>
      <c r="J1426" s="12" t="str">
        <f>HYPERLINK("https://www.boe.es/gazeta/dias/1801/05/08/pdfs/GMD-1801-37.pdf#page=12","Abrir facsímil")</f>
        <v>Abrir facsímil</v>
      </c>
      <c r="K1426" s="15" t="s">
        <v>23</v>
      </c>
    </row>
    <row r="1427" spans="1:11" ht="42" customHeight="1">
      <c r="A1427" s="4" t="s">
        <v>3298</v>
      </c>
      <c r="B1427" s="5" t="s">
        <v>3299</v>
      </c>
      <c r="C1427" s="5" t="s">
        <v>32</v>
      </c>
      <c r="D1427" s="5" t="s">
        <v>33</v>
      </c>
      <c r="E1427" s="5" t="s">
        <v>131</v>
      </c>
      <c r="F1427" s="9">
        <v>22</v>
      </c>
      <c r="G1427" s="9">
        <v>289</v>
      </c>
      <c r="H1427" s="5" t="s">
        <v>21</v>
      </c>
      <c r="I1427" s="5" t="s">
        <v>3300</v>
      </c>
      <c r="J1427" s="12" t="str">
        <f>HYPERLINK("https://www.boe.es/gazeta/dias/1801/03/17/pdfs/GMD-1801-22.pdf#page=6","Abrir facsímil")</f>
        <v>Abrir facsímil</v>
      </c>
      <c r="K1427" s="15" t="s">
        <v>23</v>
      </c>
    </row>
    <row r="1428" spans="1:11" ht="42" customHeight="1">
      <c r="A1428" s="4" t="s">
        <v>3301</v>
      </c>
      <c r="B1428" s="5" t="s">
        <v>3302</v>
      </c>
      <c r="C1428" s="5" t="s">
        <v>75</v>
      </c>
      <c r="D1428" s="5" t="s">
        <v>76</v>
      </c>
      <c r="E1428" s="5" t="s">
        <v>221</v>
      </c>
      <c r="F1428" s="9">
        <v>28</v>
      </c>
      <c r="G1428" s="9">
        <v>365</v>
      </c>
      <c r="H1428" s="5" t="s">
        <v>21</v>
      </c>
      <c r="I1428" s="5" t="s">
        <v>3303</v>
      </c>
      <c r="J1428" s="12" t="str">
        <f>HYPERLINK("https://www.boe.es/gazeta/dias/1801/04/07/pdfs/GMD-1801-28.pdf#page=5","Abrir facsímil")</f>
        <v>Abrir facsímil</v>
      </c>
      <c r="K1428" s="15" t="s">
        <v>23</v>
      </c>
    </row>
    <row r="1429" spans="1:11" ht="42" customHeight="1">
      <c r="A1429" s="4" t="s">
        <v>3304</v>
      </c>
      <c r="B1429" s="5" t="s">
        <v>3304</v>
      </c>
      <c r="C1429" s="5" t="s">
        <v>32</v>
      </c>
      <c r="D1429" s="5" t="s">
        <v>33</v>
      </c>
      <c r="E1429" s="5" t="s">
        <v>615</v>
      </c>
      <c r="F1429" s="9">
        <v>72</v>
      </c>
      <c r="G1429" s="9">
        <v>804</v>
      </c>
      <c r="H1429" s="5" t="s">
        <v>21</v>
      </c>
      <c r="I1429" s="5" t="s">
        <v>3305</v>
      </c>
      <c r="J1429" s="12" t="str">
        <f>HYPERLINK("https://www.boe.es/gazeta/dias/1801/07/24/pdfs/GMD-1801-72.pdf#page=9","Abrir facsímil")</f>
        <v>Abrir facsímil</v>
      </c>
      <c r="K1429" s="15" t="s">
        <v>23</v>
      </c>
    </row>
    <row r="1430" spans="1:11" ht="42" customHeight="1">
      <c r="A1430" s="4" t="s">
        <v>3306</v>
      </c>
      <c r="B1430" s="5" t="s">
        <v>3306</v>
      </c>
      <c r="C1430" s="5" t="s">
        <v>1481</v>
      </c>
      <c r="D1430" s="5" t="s">
        <v>1482</v>
      </c>
      <c r="E1430" s="5" t="s">
        <v>2339</v>
      </c>
      <c r="F1430" s="9" t="s">
        <v>2340</v>
      </c>
      <c r="G1430" s="9">
        <v>617</v>
      </c>
      <c r="H1430" s="5" t="s">
        <v>21</v>
      </c>
      <c r="I1430" s="5" t="s">
        <v>3307</v>
      </c>
      <c r="J1430" s="12" t="str">
        <f>HYPERLINK("https://www.boe.es/gazeta/dias/1801/06/15/pdfs/GMD-1801-54E.pdf#page=1","Abrir facsímil")</f>
        <v>Abrir facsímil</v>
      </c>
      <c r="K1430" s="15" t="s">
        <v>23</v>
      </c>
    </row>
    <row r="1431" spans="1:11" ht="42" customHeight="1">
      <c r="A1431" s="4" t="s">
        <v>3308</v>
      </c>
      <c r="B1431" s="5" t="s">
        <v>3308</v>
      </c>
      <c r="C1431" s="5" t="s">
        <v>75</v>
      </c>
      <c r="D1431" s="5" t="s">
        <v>76</v>
      </c>
      <c r="E1431" s="5" t="s">
        <v>94</v>
      </c>
      <c r="F1431" s="9">
        <v>19</v>
      </c>
      <c r="G1431" s="9">
        <v>239</v>
      </c>
      <c r="H1431" s="5" t="s">
        <v>21</v>
      </c>
      <c r="I1431" s="5" t="s">
        <v>3309</v>
      </c>
      <c r="J1431" s="12" t="str">
        <f>HYPERLINK("https://www.boe.es/gazeta/dias/1801/03/06/pdfs/GMD-1801-19.pdf#page=4","Abrir facsímil")</f>
        <v>Abrir facsímil</v>
      </c>
      <c r="K1431" s="15" t="s">
        <v>23</v>
      </c>
    </row>
    <row r="1432" spans="1:11" ht="42" customHeight="1">
      <c r="A1432" s="4" t="s">
        <v>3310</v>
      </c>
      <c r="B1432" s="5" t="s">
        <v>3310</v>
      </c>
      <c r="C1432" s="5" t="s">
        <v>18</v>
      </c>
      <c r="D1432" s="5" t="s">
        <v>19</v>
      </c>
      <c r="E1432" s="5" t="s">
        <v>219</v>
      </c>
      <c r="F1432" s="9">
        <v>26</v>
      </c>
      <c r="G1432" s="9">
        <v>337</v>
      </c>
      <c r="H1432" s="5" t="s">
        <v>21</v>
      </c>
      <c r="I1432" s="5" t="s">
        <v>3311</v>
      </c>
      <c r="J1432" s="12" t="str">
        <f>HYPERLINK("https://www.boe.es/gazeta/dias/1801/03/31/pdfs/GMD-1801-26.pdf#page=1","Abrir facsímil")</f>
        <v>Abrir facsímil</v>
      </c>
      <c r="K1432" s="15" t="s">
        <v>23</v>
      </c>
    </row>
    <row r="1433" spans="1:11" ht="42" customHeight="1">
      <c r="A1433" s="4" t="s">
        <v>3312</v>
      </c>
      <c r="B1433" s="5" t="s">
        <v>3312</v>
      </c>
      <c r="C1433" s="5" t="s">
        <v>75</v>
      </c>
      <c r="D1433" s="5" t="s">
        <v>76</v>
      </c>
      <c r="E1433" s="5" t="s">
        <v>105</v>
      </c>
      <c r="F1433" s="9">
        <v>44</v>
      </c>
      <c r="G1433" s="9">
        <v>547</v>
      </c>
      <c r="H1433" s="5" t="s">
        <v>21</v>
      </c>
      <c r="I1433" s="5" t="s">
        <v>3313</v>
      </c>
      <c r="J1433" s="12" t="str">
        <f>HYPERLINK("https://www.boe.es/gazeta/dias/1801/05/29/pdfs/GMD-1801-44.pdf#page=7","Abrir facsímil")</f>
        <v>Abrir facsímil</v>
      </c>
      <c r="K1433" s="15" t="s">
        <v>23</v>
      </c>
    </row>
    <row r="1434" spans="1:11" ht="42" customHeight="1">
      <c r="A1434" s="4" t="s">
        <v>3314</v>
      </c>
      <c r="B1434" s="5" t="s">
        <v>3314</v>
      </c>
      <c r="C1434" s="5" t="s">
        <v>18</v>
      </c>
      <c r="D1434" s="5" t="s">
        <v>19</v>
      </c>
      <c r="E1434" s="5" t="s">
        <v>173</v>
      </c>
      <c r="F1434" s="9">
        <v>98</v>
      </c>
      <c r="G1434" s="9">
        <v>1074</v>
      </c>
      <c r="H1434" s="5" t="s">
        <v>21</v>
      </c>
      <c r="I1434" s="5" t="s">
        <v>3315</v>
      </c>
      <c r="J1434" s="12" t="str">
        <f>HYPERLINK("https://www.boe.es/gazeta/dias/1801/10/16/pdfs/GMD-1801-98.pdf#page=6","Abrir facsímil")</f>
        <v>Abrir facsímil</v>
      </c>
      <c r="K1434" s="15" t="s">
        <v>23</v>
      </c>
    </row>
    <row r="1435" spans="1:11" ht="42" customHeight="1">
      <c r="A1435" s="4" t="s">
        <v>3316</v>
      </c>
      <c r="B1435" s="5" t="s">
        <v>3316</v>
      </c>
      <c r="C1435" s="5" t="s">
        <v>75</v>
      </c>
      <c r="D1435" s="5" t="s">
        <v>76</v>
      </c>
      <c r="E1435" s="5" t="s">
        <v>328</v>
      </c>
      <c r="F1435" s="9">
        <v>89</v>
      </c>
      <c r="G1435" s="9">
        <v>978</v>
      </c>
      <c r="H1435" s="5" t="s">
        <v>21</v>
      </c>
      <c r="I1435" s="5" t="s">
        <v>3317</v>
      </c>
      <c r="J1435" s="12" t="str">
        <f>HYPERLINK("https://www.boe.es/gazeta/dias/1801/09/15/pdfs/GMD-1801-89.pdf#page=5","Abrir facsímil")</f>
        <v>Abrir facsímil</v>
      </c>
      <c r="K1435" s="15" t="s">
        <v>23</v>
      </c>
    </row>
    <row r="1436" spans="1:11" ht="42" customHeight="1">
      <c r="A1436" s="4" t="s">
        <v>3318</v>
      </c>
      <c r="B1436" s="5" t="s">
        <v>3318</v>
      </c>
      <c r="C1436" s="5" t="s">
        <v>38</v>
      </c>
      <c r="D1436" s="5" t="s">
        <v>39</v>
      </c>
      <c r="E1436" s="5" t="s">
        <v>751</v>
      </c>
      <c r="F1436" s="9">
        <v>106</v>
      </c>
      <c r="G1436" s="9">
        <v>1161</v>
      </c>
      <c r="H1436" s="5" t="s">
        <v>21</v>
      </c>
      <c r="I1436" s="5" t="s">
        <v>3319</v>
      </c>
      <c r="J1436" s="12" t="str">
        <f>HYPERLINK("https://www.boe.es/gazeta/dias/1801/11/13/pdfs/GMD-1801-106.pdf#page=2","Abrir facsímil")</f>
        <v>Abrir facsímil</v>
      </c>
      <c r="K1436" s="15" t="s">
        <v>23</v>
      </c>
    </row>
    <row r="1437" spans="1:11" ht="42" customHeight="1">
      <c r="A1437" s="4" t="s">
        <v>3320</v>
      </c>
      <c r="B1437" s="5" t="s">
        <v>3320</v>
      </c>
      <c r="C1437" s="5" t="s">
        <v>75</v>
      </c>
      <c r="D1437" s="5" t="s">
        <v>76</v>
      </c>
      <c r="E1437" s="5" t="s">
        <v>781</v>
      </c>
      <c r="F1437" s="9">
        <v>14</v>
      </c>
      <c r="G1437" s="9">
        <v>167</v>
      </c>
      <c r="H1437" s="5" t="s">
        <v>21</v>
      </c>
      <c r="I1437" s="5" t="s">
        <v>3321</v>
      </c>
      <c r="J1437" s="12" t="str">
        <f>HYPERLINK("https://www.boe.es/gazeta/dias/1801/02/17/pdfs/GMD-1801-14.pdf#page=2","Abrir facsímil")</f>
        <v>Abrir facsímil</v>
      </c>
      <c r="K1437" s="15" t="s">
        <v>23</v>
      </c>
    </row>
    <row r="1438" spans="1:11" ht="42" customHeight="1">
      <c r="A1438" s="4" t="s">
        <v>3320</v>
      </c>
      <c r="B1438" s="5" t="s">
        <v>3320</v>
      </c>
      <c r="C1438" s="5" t="s">
        <v>38</v>
      </c>
      <c r="D1438" s="5" t="s">
        <v>39</v>
      </c>
      <c r="E1438" s="5" t="s">
        <v>219</v>
      </c>
      <c r="F1438" s="9">
        <v>26</v>
      </c>
      <c r="G1438" s="9">
        <v>344</v>
      </c>
      <c r="H1438" s="5" t="s">
        <v>21</v>
      </c>
      <c r="I1438" s="5" t="s">
        <v>3322</v>
      </c>
      <c r="J1438" s="12" t="str">
        <f>HYPERLINK("https://www.boe.es/gazeta/dias/1801/03/31/pdfs/GMD-1801-26.pdf#page=8","Abrir facsímil")</f>
        <v>Abrir facsímil</v>
      </c>
      <c r="K1438" s="15" t="s">
        <v>23</v>
      </c>
    </row>
    <row r="1439" spans="1:11" ht="42" customHeight="1">
      <c r="A1439" s="4" t="s">
        <v>3320</v>
      </c>
      <c r="B1439" s="5" t="s">
        <v>3320</v>
      </c>
      <c r="C1439" s="5" t="s">
        <v>75</v>
      </c>
      <c r="D1439" s="5" t="s">
        <v>76</v>
      </c>
      <c r="E1439" s="5" t="s">
        <v>20</v>
      </c>
      <c r="F1439" s="9">
        <v>37</v>
      </c>
      <c r="G1439" s="9">
        <v>473</v>
      </c>
      <c r="H1439" s="5" t="s">
        <v>21</v>
      </c>
      <c r="I1439" s="5" t="s">
        <v>3323</v>
      </c>
      <c r="J1439" s="12" t="str">
        <f>HYPERLINK("https://www.boe.es/gazeta/dias/1801/05/08/pdfs/GMD-1801-37.pdf#page=1","Abrir facsímil")</f>
        <v>Abrir facsímil</v>
      </c>
      <c r="K1439" s="15" t="s">
        <v>23</v>
      </c>
    </row>
    <row r="1440" spans="1:11" ht="42" customHeight="1">
      <c r="A1440" s="4" t="s">
        <v>3320</v>
      </c>
      <c r="B1440" s="5" t="s">
        <v>3320</v>
      </c>
      <c r="C1440" s="5" t="s">
        <v>75</v>
      </c>
      <c r="D1440" s="5" t="s">
        <v>76</v>
      </c>
      <c r="E1440" s="5" t="s">
        <v>924</v>
      </c>
      <c r="F1440" s="9">
        <v>90</v>
      </c>
      <c r="G1440" s="9">
        <v>989</v>
      </c>
      <c r="H1440" s="5" t="s">
        <v>21</v>
      </c>
      <c r="I1440" s="5" t="s">
        <v>3324</v>
      </c>
      <c r="J1440" s="12" t="str">
        <f>HYPERLINK("https://www.boe.es/gazeta/dias/1801/09/18/pdfs/GMD-1801-90.pdf#page=4","Abrir facsímil")</f>
        <v>Abrir facsímil</v>
      </c>
      <c r="K1440" s="15" t="s">
        <v>23</v>
      </c>
    </row>
    <row r="1441" spans="1:11" ht="42" customHeight="1">
      <c r="A1441" s="4" t="s">
        <v>3325</v>
      </c>
      <c r="B1441" s="5" t="s">
        <v>3325</v>
      </c>
      <c r="C1441" s="5" t="s">
        <v>32</v>
      </c>
      <c r="D1441" s="5" t="s">
        <v>33</v>
      </c>
      <c r="E1441" s="5" t="s">
        <v>194</v>
      </c>
      <c r="F1441" s="9">
        <v>92</v>
      </c>
      <c r="G1441" s="9">
        <v>1011</v>
      </c>
      <c r="H1441" s="5" t="s">
        <v>21</v>
      </c>
      <c r="I1441" s="5" t="s">
        <v>3326</v>
      </c>
      <c r="J1441" s="12" t="str">
        <f>HYPERLINK("https://www.boe.es/gazeta/dias/1801/09/25/pdfs/GMD-1801-92.pdf#page=6","Abrir facsímil")</f>
        <v>Abrir facsímil</v>
      </c>
      <c r="K1441" s="15" t="s">
        <v>23</v>
      </c>
    </row>
    <row r="1442" spans="1:11" ht="42" customHeight="1">
      <c r="A1442" s="4" t="s">
        <v>3327</v>
      </c>
      <c r="B1442" s="5" t="s">
        <v>3327</v>
      </c>
      <c r="C1442" s="5" t="s">
        <v>75</v>
      </c>
      <c r="D1442" s="5" t="s">
        <v>76</v>
      </c>
      <c r="E1442" s="5" t="s">
        <v>313</v>
      </c>
      <c r="F1442" s="9">
        <v>39</v>
      </c>
      <c r="G1442" s="9">
        <v>503</v>
      </c>
      <c r="H1442" s="5" t="s">
        <v>21</v>
      </c>
      <c r="I1442" s="5" t="s">
        <v>3328</v>
      </c>
      <c r="J1442" s="12" t="str">
        <f>HYPERLINK("https://www.boe.es/gazeta/dias/1801/05/15/pdfs/GMD-1801-39.pdf#page=7","Abrir facsímil")</f>
        <v>Abrir facsímil</v>
      </c>
      <c r="K1442" s="15" t="s">
        <v>23</v>
      </c>
    </row>
    <row r="1443" spans="1:11" ht="42" customHeight="1">
      <c r="A1443" s="4" t="s">
        <v>3329</v>
      </c>
      <c r="B1443" s="5" t="s">
        <v>3329</v>
      </c>
      <c r="C1443" s="5" t="s">
        <v>75</v>
      </c>
      <c r="D1443" s="5" t="s">
        <v>76</v>
      </c>
      <c r="E1443" s="5" t="s">
        <v>120</v>
      </c>
      <c r="F1443" s="9">
        <v>7</v>
      </c>
      <c r="G1443" s="9">
        <v>82</v>
      </c>
      <c r="H1443" s="5" t="s">
        <v>21</v>
      </c>
      <c r="I1443" s="5" t="s">
        <v>3330</v>
      </c>
      <c r="J1443" s="12" t="str">
        <f>HYPERLINK("https://www.boe.es/gazeta/dias/1801/01/23/pdfs/GMD-1801-7.pdf#page=6","Abrir facsímil")</f>
        <v>Abrir facsímil</v>
      </c>
      <c r="K1443" s="15" t="s">
        <v>23</v>
      </c>
    </row>
    <row r="1444" spans="1:11" ht="42" customHeight="1">
      <c r="A1444" s="4" t="s">
        <v>3331</v>
      </c>
      <c r="B1444" s="5" t="s">
        <v>3331</v>
      </c>
      <c r="C1444" s="5" t="s">
        <v>32</v>
      </c>
      <c r="D1444" s="5" t="s">
        <v>33</v>
      </c>
      <c r="E1444" s="5" t="s">
        <v>2237</v>
      </c>
      <c r="F1444" s="9">
        <v>82</v>
      </c>
      <c r="G1444" s="9">
        <v>912</v>
      </c>
      <c r="H1444" s="5" t="s">
        <v>21</v>
      </c>
      <c r="I1444" s="5" t="s">
        <v>3332</v>
      </c>
      <c r="J1444" s="12" t="str">
        <f>HYPERLINK("https://www.boe.es/gazeta/dias/1801/08/28/pdfs/GMD-1801-82.pdf#page=1","Abrir facsímil")</f>
        <v>Abrir facsímil</v>
      </c>
      <c r="K1444" s="15" t="s">
        <v>23</v>
      </c>
    </row>
    <row r="1445" spans="1:11" ht="42" customHeight="1">
      <c r="A1445" s="4" t="s">
        <v>3333</v>
      </c>
      <c r="B1445" s="5" t="s">
        <v>3333</v>
      </c>
      <c r="C1445" s="5" t="s">
        <v>38</v>
      </c>
      <c r="D1445" s="5" t="s">
        <v>39</v>
      </c>
      <c r="E1445" s="5" t="s">
        <v>289</v>
      </c>
      <c r="F1445" s="9">
        <v>40</v>
      </c>
      <c r="G1445" s="9">
        <v>514</v>
      </c>
      <c r="H1445" s="5" t="s">
        <v>21</v>
      </c>
      <c r="I1445" s="5" t="s">
        <v>3334</v>
      </c>
      <c r="J1445" s="12" t="str">
        <f>HYPERLINK("https://www.boe.es/gazeta/dias/1801/05/19/pdfs/GMD-1801-40.pdf#page=6","Abrir facsímil")</f>
        <v>Abrir facsímil</v>
      </c>
      <c r="K1445" s="15" t="s">
        <v>23</v>
      </c>
    </row>
    <row r="1446" spans="1:11" ht="42" customHeight="1">
      <c r="A1446" s="4" t="s">
        <v>3335</v>
      </c>
      <c r="B1446" s="5" t="s">
        <v>3335</v>
      </c>
      <c r="C1446" s="5" t="s">
        <v>32</v>
      </c>
      <c r="D1446" s="5" t="s">
        <v>33</v>
      </c>
      <c r="E1446" s="5" t="s">
        <v>2185</v>
      </c>
      <c r="F1446" s="9">
        <v>84</v>
      </c>
      <c r="G1446" s="9">
        <v>938</v>
      </c>
      <c r="H1446" s="5" t="s">
        <v>21</v>
      </c>
      <c r="I1446" s="5" t="s">
        <v>3336</v>
      </c>
      <c r="J1446" s="12" t="str">
        <f>HYPERLINK("https://www.boe.es/gazeta/dias/1801/09/04/pdfs/GMD-1801-84.pdf#page=1","Abrir facsímil")</f>
        <v>Abrir facsímil</v>
      </c>
      <c r="K1446" s="15" t="s">
        <v>23</v>
      </c>
    </row>
    <row r="1447" spans="1:11" ht="42" customHeight="1">
      <c r="A1447" s="4" t="s">
        <v>3337</v>
      </c>
      <c r="B1447" s="5" t="s">
        <v>3337</v>
      </c>
      <c r="C1447" s="5" t="s">
        <v>38</v>
      </c>
      <c r="D1447" s="5" t="s">
        <v>39</v>
      </c>
      <c r="E1447" s="5" t="s">
        <v>173</v>
      </c>
      <c r="F1447" s="9">
        <v>98</v>
      </c>
      <c r="G1447" s="9">
        <v>1074</v>
      </c>
      <c r="H1447" s="5" t="s">
        <v>21</v>
      </c>
      <c r="I1447" s="5" t="s">
        <v>3338</v>
      </c>
      <c r="J1447" s="12" t="str">
        <f>HYPERLINK("https://www.boe.es/gazeta/dias/1801/10/16/pdfs/GMD-1801-98.pdf#page=6","Abrir facsímil")</f>
        <v>Abrir facsímil</v>
      </c>
      <c r="K1447" s="15" t="s">
        <v>23</v>
      </c>
    </row>
    <row r="1448" spans="1:11" ht="42" customHeight="1">
      <c r="A1448" s="4" t="s">
        <v>3339</v>
      </c>
      <c r="B1448" s="5" t="s">
        <v>3339</v>
      </c>
      <c r="C1448" s="5" t="s">
        <v>75</v>
      </c>
      <c r="D1448" s="5" t="s">
        <v>76</v>
      </c>
      <c r="E1448" s="5" t="s">
        <v>712</v>
      </c>
      <c r="F1448" s="9">
        <v>105</v>
      </c>
      <c r="G1448" s="9">
        <v>1153</v>
      </c>
      <c r="H1448" s="5" t="s">
        <v>21</v>
      </c>
      <c r="I1448" s="5" t="s">
        <v>3340</v>
      </c>
      <c r="J1448" s="12" t="str">
        <f>HYPERLINK("https://www.boe.es/gazeta/dias/1801/11/10/pdfs/GMD-1801-105.pdf#page=6","Abrir facsímil")</f>
        <v>Abrir facsímil</v>
      </c>
      <c r="K1448" s="15" t="s">
        <v>23</v>
      </c>
    </row>
    <row r="1449" spans="1:11" ht="42" customHeight="1">
      <c r="A1449" s="4" t="s">
        <v>3341</v>
      </c>
      <c r="B1449" s="5" t="s">
        <v>3341</v>
      </c>
      <c r="C1449" s="5" t="s">
        <v>38</v>
      </c>
      <c r="D1449" s="5" t="s">
        <v>39</v>
      </c>
      <c r="E1449" s="5" t="s">
        <v>751</v>
      </c>
      <c r="F1449" s="9">
        <v>106</v>
      </c>
      <c r="G1449" s="9">
        <v>1163</v>
      </c>
      <c r="H1449" s="5" t="s">
        <v>21</v>
      </c>
      <c r="I1449" s="5" t="s">
        <v>3342</v>
      </c>
      <c r="J1449" s="12" t="str">
        <f>HYPERLINK("https://www.boe.es/gazeta/dias/1801/11/13/pdfs/GMD-1801-106.pdf#page=4","Abrir facsímil")</f>
        <v>Abrir facsímil</v>
      </c>
      <c r="K1449" s="15" t="s">
        <v>23</v>
      </c>
    </row>
    <row r="1450" spans="1:11" ht="42" customHeight="1">
      <c r="A1450" s="4" t="s">
        <v>3343</v>
      </c>
      <c r="B1450" s="5" t="s">
        <v>3343</v>
      </c>
      <c r="C1450" s="5" t="s">
        <v>75</v>
      </c>
      <c r="D1450" s="5" t="s">
        <v>76</v>
      </c>
      <c r="E1450" s="5" t="s">
        <v>735</v>
      </c>
      <c r="F1450" s="9">
        <v>97</v>
      </c>
      <c r="G1450" s="9">
        <v>1059</v>
      </c>
      <c r="H1450" s="5" t="s">
        <v>21</v>
      </c>
      <c r="I1450" s="5" t="s">
        <v>3344</v>
      </c>
      <c r="J1450" s="12" t="str">
        <f>HYPERLINK("https://www.boe.es/gazeta/dias/1801/10/13/pdfs/GMD-1801-97.pdf#page=3","Abrir facsímil")</f>
        <v>Abrir facsímil</v>
      </c>
      <c r="K1450" s="15" t="s">
        <v>23</v>
      </c>
    </row>
    <row r="1451" spans="1:11" ht="42" customHeight="1">
      <c r="A1451" s="4" t="s">
        <v>3345</v>
      </c>
      <c r="B1451" s="5" t="s">
        <v>3345</v>
      </c>
      <c r="C1451" s="5" t="s">
        <v>38</v>
      </c>
      <c r="D1451" s="5" t="s">
        <v>39</v>
      </c>
      <c r="E1451" s="5" t="s">
        <v>1085</v>
      </c>
      <c r="F1451" s="9">
        <v>99</v>
      </c>
      <c r="G1451" s="9">
        <v>1088</v>
      </c>
      <c r="H1451" s="5" t="s">
        <v>21</v>
      </c>
      <c r="I1451" s="5" t="s">
        <v>3346</v>
      </c>
      <c r="J1451" s="12" t="str">
        <f>HYPERLINK("https://www.boe.es/gazeta/dias/1801/10/20/pdfs/GMD-1801-99.pdf#page=5","Abrir facsímil")</f>
        <v>Abrir facsímil</v>
      </c>
      <c r="K1451" s="15" t="s">
        <v>23</v>
      </c>
    </row>
    <row r="1452" spans="1:11" ht="42" customHeight="1">
      <c r="A1452" s="4" t="s">
        <v>3347</v>
      </c>
      <c r="B1452" s="5" t="s">
        <v>3347</v>
      </c>
      <c r="C1452" s="5" t="s">
        <v>32</v>
      </c>
      <c r="D1452" s="5" t="s">
        <v>33</v>
      </c>
      <c r="E1452" s="5" t="s">
        <v>1058</v>
      </c>
      <c r="F1452" s="9">
        <v>108</v>
      </c>
      <c r="G1452" s="9">
        <v>1185</v>
      </c>
      <c r="H1452" s="5" t="s">
        <v>21</v>
      </c>
      <c r="I1452" s="5" t="s">
        <v>3348</v>
      </c>
      <c r="J1452" s="12" t="str">
        <f>HYPERLINK("https://www.boe.es/gazeta/dias/1801/11/20/pdfs/GMD-1801-108.pdf#page=2","Abrir facsímil")</f>
        <v>Abrir facsímil</v>
      </c>
      <c r="K1452" s="15" t="s">
        <v>23</v>
      </c>
    </row>
    <row r="1453" spans="1:11" ht="42" customHeight="1">
      <c r="A1453" s="4" t="s">
        <v>3349</v>
      </c>
      <c r="B1453" s="5" t="s">
        <v>3349</v>
      </c>
      <c r="C1453" s="5" t="s">
        <v>75</v>
      </c>
      <c r="D1453" s="5" t="s">
        <v>76</v>
      </c>
      <c r="E1453" s="5" t="s">
        <v>321</v>
      </c>
      <c r="F1453" s="9">
        <v>3</v>
      </c>
      <c r="G1453" s="9">
        <v>28</v>
      </c>
      <c r="H1453" s="5" t="s">
        <v>21</v>
      </c>
      <c r="I1453" s="5" t="s">
        <v>3350</v>
      </c>
      <c r="J1453" s="12" t="str">
        <f>HYPERLINK("https://www.boe.es/gazeta/dias/1801/01/09/pdfs/GMD-1801-3.pdf#page=4","Abrir facsímil")</f>
        <v>Abrir facsímil</v>
      </c>
      <c r="K1453" s="15" t="s">
        <v>23</v>
      </c>
    </row>
    <row r="1454" spans="1:11" ht="42" customHeight="1">
      <c r="A1454" s="4" t="s">
        <v>3351</v>
      </c>
      <c r="B1454" s="5" t="s">
        <v>3351</v>
      </c>
      <c r="C1454" s="5" t="s">
        <v>75</v>
      </c>
      <c r="D1454" s="5" t="s">
        <v>76</v>
      </c>
      <c r="E1454" s="5" t="s">
        <v>40</v>
      </c>
      <c r="F1454" s="9">
        <v>63</v>
      </c>
      <c r="G1454" s="9">
        <v>711</v>
      </c>
      <c r="H1454" s="5" t="s">
        <v>21</v>
      </c>
      <c r="I1454" s="5" t="s">
        <v>3352</v>
      </c>
      <c r="J1454" s="12" t="str">
        <f>HYPERLINK("https://www.boe.es/gazeta/dias/1801/07/03/pdfs/GMD-1801-63.pdf#page=8","Abrir facsímil")</f>
        <v>Abrir facsímil</v>
      </c>
      <c r="K1454" s="15" t="s">
        <v>23</v>
      </c>
    </row>
    <row r="1455" spans="1:11" ht="42" customHeight="1">
      <c r="A1455" s="4" t="s">
        <v>3353</v>
      </c>
      <c r="B1455" s="5" t="s">
        <v>3353</v>
      </c>
      <c r="C1455" s="5" t="s">
        <v>38</v>
      </c>
      <c r="D1455" s="5" t="s">
        <v>39</v>
      </c>
      <c r="E1455" s="5" t="s">
        <v>131</v>
      </c>
      <c r="F1455" s="9">
        <v>22</v>
      </c>
      <c r="G1455" s="9">
        <v>291</v>
      </c>
      <c r="H1455" s="5" t="s">
        <v>21</v>
      </c>
      <c r="I1455" s="5" t="s">
        <v>3354</v>
      </c>
      <c r="J1455" s="12" t="str">
        <f>HYPERLINK("https://www.boe.es/gazeta/dias/1801/03/17/pdfs/GMD-1801-22.pdf#page=8","Abrir facsímil")</f>
        <v>Abrir facsímil</v>
      </c>
      <c r="K1455" s="15" t="s">
        <v>23</v>
      </c>
    </row>
    <row r="1456" spans="1:11" ht="42" customHeight="1">
      <c r="A1456" s="4" t="s">
        <v>3355</v>
      </c>
      <c r="B1456" s="5" t="s">
        <v>3355</v>
      </c>
      <c r="C1456" s="5" t="s">
        <v>38</v>
      </c>
      <c r="D1456" s="5" t="s">
        <v>39</v>
      </c>
      <c r="E1456" s="5" t="s">
        <v>82</v>
      </c>
      <c r="F1456" s="9">
        <v>75</v>
      </c>
      <c r="G1456" s="9">
        <v>841</v>
      </c>
      <c r="H1456" s="5" t="s">
        <v>21</v>
      </c>
      <c r="I1456" s="5" t="s">
        <v>3356</v>
      </c>
      <c r="J1456" s="12" t="str">
        <f>HYPERLINK("https://www.boe.es/gazeta/dias/1801/08/04/pdfs/GMD-1801-75.pdf#page=10","Abrir facsímil")</f>
        <v>Abrir facsímil</v>
      </c>
      <c r="K1456" s="15" t="s">
        <v>23</v>
      </c>
    </row>
    <row r="1457" spans="1:11" ht="42" customHeight="1">
      <c r="A1457" s="4" t="s">
        <v>3357</v>
      </c>
      <c r="B1457" s="5" t="s">
        <v>3357</v>
      </c>
      <c r="C1457" s="5" t="s">
        <v>75</v>
      </c>
      <c r="D1457" s="5" t="s">
        <v>76</v>
      </c>
      <c r="E1457" s="5" t="s">
        <v>90</v>
      </c>
      <c r="F1457" s="9">
        <v>1</v>
      </c>
      <c r="G1457" s="9">
        <v>2</v>
      </c>
      <c r="H1457" s="5" t="s">
        <v>21</v>
      </c>
      <c r="I1457" s="5" t="s">
        <v>3358</v>
      </c>
      <c r="J1457" s="12" t="str">
        <f>HYPERLINK("https://www.boe.es/gazeta/dias/1801/01/02/pdfs/GMD-1801-1.pdf#page=2","Abrir facsímil")</f>
        <v>Abrir facsímil</v>
      </c>
      <c r="K1457" s="15" t="s">
        <v>23</v>
      </c>
    </row>
    <row r="1458" spans="1:11" ht="42" customHeight="1">
      <c r="A1458" s="4" t="s">
        <v>3359</v>
      </c>
      <c r="B1458" s="5" t="s">
        <v>3359</v>
      </c>
      <c r="C1458" s="5" t="s">
        <v>32</v>
      </c>
      <c r="D1458" s="5" t="s">
        <v>33</v>
      </c>
      <c r="E1458" s="5" t="s">
        <v>640</v>
      </c>
      <c r="F1458" s="9">
        <v>81</v>
      </c>
      <c r="G1458" s="9">
        <v>910</v>
      </c>
      <c r="H1458" s="5" t="s">
        <v>21</v>
      </c>
      <c r="I1458" s="5" t="s">
        <v>3360</v>
      </c>
      <c r="J1458" s="12" t="str">
        <f>HYPERLINK("https://www.boe.es/gazeta/dias/1801/08/25/pdfs/GMD-1801-81.pdf#page=7","Abrir facsímil")</f>
        <v>Abrir facsímil</v>
      </c>
      <c r="K1458" s="15" t="s">
        <v>23</v>
      </c>
    </row>
    <row r="1459" spans="1:11" ht="42" customHeight="1">
      <c r="A1459" s="4" t="s">
        <v>3361</v>
      </c>
      <c r="B1459" s="5" t="s">
        <v>3361</v>
      </c>
      <c r="C1459" s="5" t="s">
        <v>32</v>
      </c>
      <c r="D1459" s="5" t="s">
        <v>33</v>
      </c>
      <c r="E1459" s="5" t="s">
        <v>462</v>
      </c>
      <c r="F1459" s="9">
        <v>5</v>
      </c>
      <c r="G1459" s="9">
        <v>56</v>
      </c>
      <c r="H1459" s="5" t="s">
        <v>21</v>
      </c>
      <c r="I1459" s="5" t="s">
        <v>3362</v>
      </c>
      <c r="J1459" s="12" t="str">
        <f>HYPERLINK("https://www.boe.es/gazeta/dias/1801/01/16/pdfs/GMD-1801-5.pdf#page=8","Abrir facsímil")</f>
        <v>Abrir facsímil</v>
      </c>
      <c r="K1459" s="15" t="s">
        <v>23</v>
      </c>
    </row>
    <row r="1460" spans="1:11" ht="42" customHeight="1">
      <c r="A1460" s="4" t="s">
        <v>3363</v>
      </c>
      <c r="B1460" s="5" t="s">
        <v>3363</v>
      </c>
      <c r="C1460" s="5" t="s">
        <v>32</v>
      </c>
      <c r="D1460" s="5" t="s">
        <v>33</v>
      </c>
      <c r="E1460" s="5" t="s">
        <v>453</v>
      </c>
      <c r="F1460" s="9">
        <v>100</v>
      </c>
      <c r="G1460" s="9">
        <v>1100</v>
      </c>
      <c r="H1460" s="5" t="s">
        <v>21</v>
      </c>
      <c r="I1460" s="5" t="s">
        <v>3364</v>
      </c>
      <c r="J1460" s="12" t="str">
        <f>HYPERLINK("https://www.boe.es/gazeta/dias/1801/10/23/pdfs/GMD-1801-100.pdf#page=9","Abrir facsímil")</f>
        <v>Abrir facsímil</v>
      </c>
      <c r="K1460" s="15" t="s">
        <v>23</v>
      </c>
    </row>
    <row r="1461" spans="1:11" ht="42" customHeight="1">
      <c r="A1461" s="4" t="s">
        <v>3365</v>
      </c>
      <c r="B1461" s="5" t="s">
        <v>3365</v>
      </c>
      <c r="C1461" s="5" t="s">
        <v>32</v>
      </c>
      <c r="D1461" s="5" t="s">
        <v>33</v>
      </c>
      <c r="E1461" s="5" t="s">
        <v>131</v>
      </c>
      <c r="F1461" s="9">
        <v>22</v>
      </c>
      <c r="G1461" s="9">
        <v>290</v>
      </c>
      <c r="H1461" s="5" t="s">
        <v>21</v>
      </c>
      <c r="I1461" s="5" t="s">
        <v>3366</v>
      </c>
      <c r="J1461" s="12" t="str">
        <f>HYPERLINK("https://www.boe.es/gazeta/dias/1801/03/17/pdfs/GMD-1801-22.pdf#page=7","Abrir facsímil")</f>
        <v>Abrir facsímil</v>
      </c>
      <c r="K1461" s="15" t="s">
        <v>23</v>
      </c>
    </row>
    <row r="1462" spans="1:11" ht="42" customHeight="1">
      <c r="A1462" s="4" t="s">
        <v>3367</v>
      </c>
      <c r="B1462" s="5" t="s">
        <v>3367</v>
      </c>
      <c r="C1462" s="5" t="s">
        <v>32</v>
      </c>
      <c r="D1462" s="5" t="s">
        <v>33</v>
      </c>
      <c r="E1462" s="5" t="s">
        <v>131</v>
      </c>
      <c r="F1462" s="9">
        <v>22</v>
      </c>
      <c r="G1462" s="9">
        <v>290</v>
      </c>
      <c r="H1462" s="5" t="s">
        <v>21</v>
      </c>
      <c r="I1462" s="5" t="s">
        <v>3368</v>
      </c>
      <c r="J1462" s="12" t="str">
        <f>HYPERLINK("https://www.boe.es/gazeta/dias/1801/03/17/pdfs/GMD-1801-22.pdf#page=7","Abrir facsímil")</f>
        <v>Abrir facsímil</v>
      </c>
      <c r="K1462" s="15" t="s">
        <v>23</v>
      </c>
    </row>
    <row r="1463" spans="1:11" ht="42" customHeight="1">
      <c r="A1463" s="4" t="s">
        <v>3369</v>
      </c>
      <c r="B1463" s="5" t="s">
        <v>3369</v>
      </c>
      <c r="C1463" s="5" t="s">
        <v>32</v>
      </c>
      <c r="D1463" s="5" t="s">
        <v>33</v>
      </c>
      <c r="E1463" s="5" t="s">
        <v>137</v>
      </c>
      <c r="F1463" s="9">
        <v>30</v>
      </c>
      <c r="G1463" s="9">
        <v>392</v>
      </c>
      <c r="H1463" s="5" t="s">
        <v>21</v>
      </c>
      <c r="I1463" s="5" t="s">
        <v>3370</v>
      </c>
      <c r="J1463" s="12" t="str">
        <f>HYPERLINK("https://www.boe.es/gazeta/dias/1801/04/14/pdfs/GMD-1801-30.pdf#page=8","Abrir facsímil")</f>
        <v>Abrir facsímil</v>
      </c>
      <c r="K1463" s="15" t="s">
        <v>23</v>
      </c>
    </row>
    <row r="1464" spans="1:11" ht="42" customHeight="1">
      <c r="A1464" s="4" t="s">
        <v>3371</v>
      </c>
      <c r="B1464" s="5" t="s">
        <v>3371</v>
      </c>
      <c r="C1464" s="5" t="s">
        <v>32</v>
      </c>
      <c r="D1464" s="5" t="s">
        <v>33</v>
      </c>
      <c r="E1464" s="5" t="s">
        <v>735</v>
      </c>
      <c r="F1464" s="9">
        <v>97</v>
      </c>
      <c r="G1464" s="9">
        <v>1063</v>
      </c>
      <c r="H1464" s="5" t="s">
        <v>21</v>
      </c>
      <c r="I1464" s="5" t="s">
        <v>3372</v>
      </c>
      <c r="J1464" s="12" t="str">
        <f>HYPERLINK("https://www.boe.es/gazeta/dias/1801/10/13/pdfs/GMD-1801-97.pdf#page=7","Abrir facsímil")</f>
        <v>Abrir facsímil</v>
      </c>
      <c r="K1464" s="15" t="s">
        <v>23</v>
      </c>
    </row>
    <row r="1465" spans="1:11" ht="42" customHeight="1">
      <c r="A1465" s="4" t="s">
        <v>3373</v>
      </c>
      <c r="B1465" s="5" t="s">
        <v>3373</v>
      </c>
      <c r="C1465" s="5" t="s">
        <v>75</v>
      </c>
      <c r="D1465" s="5" t="s">
        <v>76</v>
      </c>
      <c r="E1465" s="5" t="s">
        <v>135</v>
      </c>
      <c r="F1465" s="9">
        <v>24</v>
      </c>
      <c r="G1465" s="9">
        <v>311</v>
      </c>
      <c r="H1465" s="5" t="s">
        <v>21</v>
      </c>
      <c r="I1465" s="5" t="s">
        <v>3374</v>
      </c>
      <c r="J1465" s="12" t="str">
        <f>HYPERLINK("https://www.boe.es/gazeta/dias/1801/03/24/pdfs/GMD-1801-24.pdf#page=2","Abrir facsímil")</f>
        <v>Abrir facsímil</v>
      </c>
      <c r="K1465" s="15" t="s">
        <v>23</v>
      </c>
    </row>
    <row r="1466" spans="1:11" ht="42" customHeight="1">
      <c r="A1466" s="4" t="s">
        <v>3375</v>
      </c>
      <c r="B1466" s="5" t="s">
        <v>3375</v>
      </c>
      <c r="C1466" s="5" t="s">
        <v>32</v>
      </c>
      <c r="D1466" s="5" t="s">
        <v>33</v>
      </c>
      <c r="E1466" s="5" t="s">
        <v>258</v>
      </c>
      <c r="F1466" s="9">
        <v>96</v>
      </c>
      <c r="G1466" s="9">
        <v>1045</v>
      </c>
      <c r="H1466" s="5" t="s">
        <v>21</v>
      </c>
      <c r="I1466" s="5" t="s">
        <v>3376</v>
      </c>
      <c r="J1466" s="12" t="str">
        <f>HYPERLINK("https://www.boe.es/gazeta/dias/1801/10/09/pdfs/GMD-1801-96.pdf#page=1","Abrir facsímil")</f>
        <v>Abrir facsímil</v>
      </c>
      <c r="K1466" s="15" t="s">
        <v>23</v>
      </c>
    </row>
    <row r="1467" spans="1:11" ht="42" customHeight="1">
      <c r="A1467" s="4" t="s">
        <v>3377</v>
      </c>
      <c r="B1467" s="5" t="s">
        <v>3377</v>
      </c>
      <c r="C1467" s="5" t="s">
        <v>32</v>
      </c>
      <c r="D1467" s="5" t="s">
        <v>33</v>
      </c>
      <c r="E1467" s="5" t="s">
        <v>90</v>
      </c>
      <c r="F1467" s="9">
        <v>1</v>
      </c>
      <c r="G1467" s="9">
        <v>8</v>
      </c>
      <c r="H1467" s="5" t="s">
        <v>21</v>
      </c>
      <c r="I1467" s="5" t="s">
        <v>3378</v>
      </c>
      <c r="J1467" s="12" t="str">
        <f>HYPERLINK("https://www.boe.es/gazeta/dias/1801/01/02/pdfs/GMD-1801-1.pdf#page=8","Abrir facsímil")</f>
        <v>Abrir facsímil</v>
      </c>
      <c r="K1467" s="15" t="s">
        <v>23</v>
      </c>
    </row>
    <row r="1468" spans="1:11" ht="42" customHeight="1">
      <c r="A1468" s="4" t="s">
        <v>3379</v>
      </c>
      <c r="B1468" s="5" t="s">
        <v>3379</v>
      </c>
      <c r="C1468" s="5" t="s">
        <v>38</v>
      </c>
      <c r="D1468" s="5" t="s">
        <v>39</v>
      </c>
      <c r="E1468" s="5" t="s">
        <v>77</v>
      </c>
      <c r="F1468" s="9">
        <v>93</v>
      </c>
      <c r="G1468" s="9">
        <v>1019</v>
      </c>
      <c r="H1468" s="5" t="s">
        <v>21</v>
      </c>
      <c r="I1468" s="5" t="s">
        <v>3380</v>
      </c>
      <c r="J1468" s="12" t="str">
        <f>HYPERLINK("https://www.boe.es/gazeta/dias/1801/09/29/pdfs/GMD-1801-93.pdf#page=6","Abrir facsímil")</f>
        <v>Abrir facsímil</v>
      </c>
      <c r="K1468" s="15" t="s">
        <v>23</v>
      </c>
    </row>
    <row r="1469" spans="1:11" ht="42" customHeight="1">
      <c r="A1469" s="4" t="s">
        <v>3381</v>
      </c>
      <c r="B1469" s="5" t="s">
        <v>3381</v>
      </c>
      <c r="C1469" s="5" t="s">
        <v>38</v>
      </c>
      <c r="D1469" s="5" t="s">
        <v>39</v>
      </c>
      <c r="E1469" s="5" t="s">
        <v>120</v>
      </c>
      <c r="F1469" s="9">
        <v>7</v>
      </c>
      <c r="G1469" s="9">
        <v>88</v>
      </c>
      <c r="H1469" s="5" t="s">
        <v>21</v>
      </c>
      <c r="I1469" s="5" t="s">
        <v>3382</v>
      </c>
      <c r="J1469" s="12" t="str">
        <f>HYPERLINK("https://www.boe.es/gazeta/dias/1801/01/23/pdfs/GMD-1801-7.pdf#page=12","Abrir facsímil")</f>
        <v>Abrir facsímil</v>
      </c>
      <c r="K1469" s="15" t="s">
        <v>23</v>
      </c>
    </row>
    <row r="1470" spans="1:11" ht="42" customHeight="1">
      <c r="A1470" s="4" t="s">
        <v>3383</v>
      </c>
      <c r="B1470" s="5" t="s">
        <v>3383</v>
      </c>
      <c r="C1470" s="5" t="s">
        <v>38</v>
      </c>
      <c r="D1470" s="5" t="s">
        <v>39</v>
      </c>
      <c r="E1470" s="5" t="s">
        <v>309</v>
      </c>
      <c r="F1470" s="9">
        <v>118</v>
      </c>
      <c r="G1470" s="9">
        <v>1291</v>
      </c>
      <c r="H1470" s="5" t="s">
        <v>21</v>
      </c>
      <c r="I1470" s="5" t="s">
        <v>3384</v>
      </c>
      <c r="J1470" s="12" t="str">
        <f>HYPERLINK("https://www.boe.es/gazeta/dias/1801/12/25/pdfs/GMD-1801-118.pdf#page=6","Abrir facsímil")</f>
        <v>Abrir facsímil</v>
      </c>
      <c r="K1470" s="15" t="s">
        <v>23</v>
      </c>
    </row>
    <row r="1471" spans="1:11" ht="42" customHeight="1">
      <c r="A1471" s="4" t="s">
        <v>3385</v>
      </c>
      <c r="B1471" s="5" t="s">
        <v>3385</v>
      </c>
      <c r="C1471" s="5" t="s">
        <v>75</v>
      </c>
      <c r="D1471" s="5" t="s">
        <v>76</v>
      </c>
      <c r="E1471" s="5" t="s">
        <v>924</v>
      </c>
      <c r="F1471" s="9">
        <v>90</v>
      </c>
      <c r="G1471" s="9">
        <v>989</v>
      </c>
      <c r="H1471" s="5" t="s">
        <v>21</v>
      </c>
      <c r="I1471" s="5" t="s">
        <v>3386</v>
      </c>
      <c r="J1471" s="12" t="str">
        <f>HYPERLINK("https://www.boe.es/gazeta/dias/1801/09/18/pdfs/GMD-1801-90.pdf#page=4","Abrir facsímil")</f>
        <v>Abrir facsímil</v>
      </c>
      <c r="K1471" s="15" t="s">
        <v>23</v>
      </c>
    </row>
    <row r="1472" spans="1:11" ht="42" customHeight="1">
      <c r="A1472" s="4" t="s">
        <v>3387</v>
      </c>
      <c r="B1472" s="5" t="s">
        <v>3387</v>
      </c>
      <c r="C1472" s="5" t="s">
        <v>32</v>
      </c>
      <c r="D1472" s="5" t="s">
        <v>33</v>
      </c>
      <c r="E1472" s="5" t="s">
        <v>480</v>
      </c>
      <c r="F1472" s="9">
        <v>10</v>
      </c>
      <c r="G1472" s="9">
        <v>120</v>
      </c>
      <c r="H1472" s="5" t="s">
        <v>21</v>
      </c>
      <c r="I1472" s="5" t="s">
        <v>3388</v>
      </c>
      <c r="J1472" s="12" t="str">
        <f>HYPERLINK("https://www.boe.es/gazeta/dias/1801/02/03/pdfs/GMD-1801-10.pdf#page=5","Abrir facsímil")</f>
        <v>Abrir facsímil</v>
      </c>
      <c r="K1472" s="15" t="s">
        <v>23</v>
      </c>
    </row>
    <row r="1473" spans="1:11" ht="42" customHeight="1">
      <c r="A1473" s="4" t="s">
        <v>3387</v>
      </c>
      <c r="B1473" s="5" t="s">
        <v>3387</v>
      </c>
      <c r="C1473" s="5" t="s">
        <v>18</v>
      </c>
      <c r="D1473" s="5" t="s">
        <v>19</v>
      </c>
      <c r="E1473" s="5" t="s">
        <v>28</v>
      </c>
      <c r="F1473" s="9">
        <v>77</v>
      </c>
      <c r="G1473" s="9">
        <v>860</v>
      </c>
      <c r="H1473" s="5" t="s">
        <v>21</v>
      </c>
      <c r="I1473" s="5" t="s">
        <v>3389</v>
      </c>
      <c r="J1473" s="12" t="str">
        <f>HYPERLINK("https://www.boe.es/gazeta/dias/1801/08/11/pdfs/GMD-1801-77.pdf#page=5","Abrir facsímil")</f>
        <v>Abrir facsímil</v>
      </c>
      <c r="K1473" s="15" t="s">
        <v>23</v>
      </c>
    </row>
    <row r="1474" spans="1:11" ht="42" customHeight="1">
      <c r="A1474" s="4" t="s">
        <v>3390</v>
      </c>
      <c r="B1474" s="5" t="s">
        <v>3390</v>
      </c>
      <c r="C1474" s="5" t="s">
        <v>38</v>
      </c>
      <c r="D1474" s="5" t="s">
        <v>39</v>
      </c>
      <c r="E1474" s="5" t="s">
        <v>1939</v>
      </c>
      <c r="F1474" s="9">
        <v>107</v>
      </c>
      <c r="G1474" s="9">
        <v>1181</v>
      </c>
      <c r="H1474" s="5" t="s">
        <v>21</v>
      </c>
      <c r="I1474" s="5" t="s">
        <v>3391</v>
      </c>
      <c r="J1474" s="12" t="str">
        <f>HYPERLINK("https://www.boe.es/gazeta/dias/1801/11/17/pdfs/GMD-1801-107.pdf#page=10","Abrir facsímil")</f>
        <v>Abrir facsímil</v>
      </c>
      <c r="K1474" s="15" t="s">
        <v>23</v>
      </c>
    </row>
    <row r="1475" spans="1:11" ht="42" customHeight="1">
      <c r="A1475" s="4" t="s">
        <v>3392</v>
      </c>
      <c r="B1475" s="5" t="s">
        <v>3392</v>
      </c>
      <c r="C1475" s="5" t="s">
        <v>75</v>
      </c>
      <c r="D1475" s="5" t="s">
        <v>76</v>
      </c>
      <c r="E1475" s="5" t="s">
        <v>292</v>
      </c>
      <c r="F1475" s="9">
        <v>25</v>
      </c>
      <c r="G1475" s="9">
        <v>329</v>
      </c>
      <c r="H1475" s="5" t="s">
        <v>21</v>
      </c>
      <c r="I1475" s="5" t="s">
        <v>3393</v>
      </c>
      <c r="J1475" s="12" t="str">
        <f>HYPERLINK("https://www.boe.es/gazeta/dias/1801/03/27/pdfs/GMD-1801-25.pdf#page=8","Abrir facsímil")</f>
        <v>Abrir facsímil</v>
      </c>
      <c r="K1475" s="15" t="s">
        <v>23</v>
      </c>
    </row>
    <row r="1476" spans="1:11" ht="42" customHeight="1">
      <c r="A1476" s="4" t="s">
        <v>3394</v>
      </c>
      <c r="B1476" s="5" t="s">
        <v>3394</v>
      </c>
      <c r="C1476" s="5" t="s">
        <v>32</v>
      </c>
      <c r="D1476" s="5" t="s">
        <v>33</v>
      </c>
      <c r="E1476" s="5" t="s">
        <v>122</v>
      </c>
      <c r="F1476" s="9">
        <v>8</v>
      </c>
      <c r="G1476" s="9">
        <v>97</v>
      </c>
      <c r="H1476" s="5" t="s">
        <v>21</v>
      </c>
      <c r="I1476" s="5" t="s">
        <v>3395</v>
      </c>
      <c r="J1476" s="12" t="str">
        <f>HYPERLINK("https://www.boe.es/gazeta/dias/1801/01/27/pdfs/GMD-1801-8.pdf#page=9","Abrir facsímil")</f>
        <v>Abrir facsímil</v>
      </c>
      <c r="K1476" s="15" t="s">
        <v>23</v>
      </c>
    </row>
    <row r="1477" spans="1:11" ht="42" customHeight="1">
      <c r="A1477" s="4" t="s">
        <v>3396</v>
      </c>
      <c r="B1477" s="5" t="s">
        <v>3396</v>
      </c>
      <c r="C1477" s="5" t="s">
        <v>38</v>
      </c>
      <c r="D1477" s="5" t="s">
        <v>39</v>
      </c>
      <c r="E1477" s="5" t="s">
        <v>82</v>
      </c>
      <c r="F1477" s="9">
        <v>75</v>
      </c>
      <c r="G1477" s="9">
        <v>841</v>
      </c>
      <c r="H1477" s="5" t="s">
        <v>21</v>
      </c>
      <c r="I1477" s="5" t="s">
        <v>3397</v>
      </c>
      <c r="J1477" s="12" t="str">
        <f>HYPERLINK("https://www.boe.es/gazeta/dias/1801/08/04/pdfs/GMD-1801-75.pdf#page=10","Abrir facsímil")</f>
        <v>Abrir facsímil</v>
      </c>
      <c r="K1477" s="15" t="s">
        <v>23</v>
      </c>
    </row>
    <row r="1478" spans="1:11" ht="42" customHeight="1">
      <c r="A1478" s="4" t="s">
        <v>3398</v>
      </c>
      <c r="B1478" s="5" t="s">
        <v>3398</v>
      </c>
      <c r="C1478" s="5" t="s">
        <v>32</v>
      </c>
      <c r="D1478" s="5" t="s">
        <v>33</v>
      </c>
      <c r="E1478" s="5" t="s">
        <v>135</v>
      </c>
      <c r="F1478" s="9">
        <v>24</v>
      </c>
      <c r="G1478" s="9">
        <v>310</v>
      </c>
      <c r="H1478" s="5" t="s">
        <v>21</v>
      </c>
      <c r="I1478" s="5" t="s">
        <v>3399</v>
      </c>
      <c r="J1478" s="12" t="str">
        <f>HYPERLINK("https://www.boe.es/gazeta/dias/1801/03/24/pdfs/GMD-1801-24.pdf#page=1","Abrir facsímil")</f>
        <v>Abrir facsímil</v>
      </c>
      <c r="K1478" s="15" t="s">
        <v>23</v>
      </c>
    </row>
    <row r="1479" spans="1:11" ht="42" customHeight="1">
      <c r="A1479" s="4" t="s">
        <v>3400</v>
      </c>
      <c r="B1479" s="5" t="s">
        <v>3400</v>
      </c>
      <c r="C1479" s="5" t="s">
        <v>75</v>
      </c>
      <c r="D1479" s="5" t="s">
        <v>76</v>
      </c>
      <c r="E1479" s="5" t="s">
        <v>254</v>
      </c>
      <c r="F1479" s="9">
        <v>73</v>
      </c>
      <c r="G1479" s="9">
        <v>812</v>
      </c>
      <c r="H1479" s="5" t="s">
        <v>21</v>
      </c>
      <c r="I1479" s="5" t="s">
        <v>3401</v>
      </c>
      <c r="J1479" s="12" t="str">
        <f>HYPERLINK("https://www.boe.es/gazeta/dias/1801/07/28/pdfs/GMD-1801-73.pdf#page=5","Abrir facsímil")</f>
        <v>Abrir facsímil</v>
      </c>
      <c r="K1479" s="15" t="s">
        <v>23</v>
      </c>
    </row>
    <row r="1480" spans="1:11" ht="42" customHeight="1">
      <c r="A1480" s="4" t="s">
        <v>3402</v>
      </c>
      <c r="B1480" s="5" t="s">
        <v>3402</v>
      </c>
      <c r="C1480" s="5" t="s">
        <v>38</v>
      </c>
      <c r="D1480" s="5" t="s">
        <v>39</v>
      </c>
      <c r="E1480" s="5" t="s">
        <v>72</v>
      </c>
      <c r="F1480" s="9">
        <v>60</v>
      </c>
      <c r="G1480" s="9">
        <v>687</v>
      </c>
      <c r="H1480" s="5" t="s">
        <v>21</v>
      </c>
      <c r="I1480" s="5" t="s">
        <v>3403</v>
      </c>
      <c r="J1480" s="12" t="str">
        <f>HYPERLINK("https://www.boe.es/gazeta/dias/1801/06/26/pdfs/GMD-1801-60.pdf#page=8","Abrir facsímil")</f>
        <v>Abrir facsímil</v>
      </c>
      <c r="K1480" s="15" t="s">
        <v>23</v>
      </c>
    </row>
    <row r="1481" spans="1:11" ht="42" customHeight="1">
      <c r="A1481" s="4" t="s">
        <v>3404</v>
      </c>
      <c r="B1481" s="5" t="s">
        <v>3404</v>
      </c>
      <c r="C1481" s="5" t="s">
        <v>32</v>
      </c>
      <c r="D1481" s="5" t="s">
        <v>33</v>
      </c>
      <c r="E1481" s="5" t="s">
        <v>292</v>
      </c>
      <c r="F1481" s="9">
        <v>25</v>
      </c>
      <c r="G1481" s="9">
        <v>330</v>
      </c>
      <c r="H1481" s="5" t="s">
        <v>21</v>
      </c>
      <c r="I1481" s="5" t="s">
        <v>3405</v>
      </c>
      <c r="J1481" s="12" t="str">
        <f>HYPERLINK("https://www.boe.es/gazeta/dias/1801/03/27/pdfs/GMD-1801-25.pdf#page=9","Abrir facsímil")</f>
        <v>Abrir facsímil</v>
      </c>
      <c r="K1481" s="15" t="s">
        <v>23</v>
      </c>
    </row>
    <row r="1482" spans="1:11" ht="42" customHeight="1">
      <c r="A1482" s="4" t="s">
        <v>3406</v>
      </c>
      <c r="B1482" s="5" t="s">
        <v>3406</v>
      </c>
      <c r="C1482" s="5" t="s">
        <v>32</v>
      </c>
      <c r="D1482" s="5" t="s">
        <v>33</v>
      </c>
      <c r="E1482" s="5" t="s">
        <v>122</v>
      </c>
      <c r="F1482" s="9">
        <v>8</v>
      </c>
      <c r="G1482" s="9">
        <v>90</v>
      </c>
      <c r="H1482" s="5" t="s">
        <v>21</v>
      </c>
      <c r="I1482" s="5" t="s">
        <v>3407</v>
      </c>
      <c r="J1482" s="12" t="str">
        <f>HYPERLINK("https://www.boe.es/gazeta/dias/1801/01/27/pdfs/GMD-1801-8.pdf#page=2","Abrir facsímil")</f>
        <v>Abrir facsímil</v>
      </c>
      <c r="K1482" s="15" t="s">
        <v>23</v>
      </c>
    </row>
    <row r="1483" spans="1:11" ht="42" customHeight="1">
      <c r="A1483" s="4" t="s">
        <v>3408</v>
      </c>
      <c r="B1483" s="5" t="s">
        <v>3408</v>
      </c>
      <c r="C1483" s="5" t="s">
        <v>38</v>
      </c>
      <c r="D1483" s="5" t="s">
        <v>39</v>
      </c>
      <c r="E1483" s="5" t="s">
        <v>2185</v>
      </c>
      <c r="F1483" s="9">
        <v>84</v>
      </c>
      <c r="G1483" s="9">
        <v>941</v>
      </c>
      <c r="H1483" s="5" t="s">
        <v>21</v>
      </c>
      <c r="I1483" s="5" t="s">
        <v>3409</v>
      </c>
      <c r="J1483" s="12" t="str">
        <f>HYPERLINK("https://www.boe.es/gazeta/dias/1801/09/04/pdfs/GMD-1801-84.pdf#page=4","Abrir facsímil")</f>
        <v>Abrir facsímil</v>
      </c>
      <c r="K1483" s="15" t="s">
        <v>23</v>
      </c>
    </row>
    <row r="1484" spans="1:11" ht="42" customHeight="1">
      <c r="A1484" s="4" t="s">
        <v>3410</v>
      </c>
      <c r="B1484" s="5" t="s">
        <v>3410</v>
      </c>
      <c r="C1484" s="5" t="s">
        <v>75</v>
      </c>
      <c r="D1484" s="5" t="s">
        <v>76</v>
      </c>
      <c r="E1484" s="5" t="s">
        <v>77</v>
      </c>
      <c r="F1484" s="9">
        <v>93</v>
      </c>
      <c r="G1484" s="9">
        <v>1017</v>
      </c>
      <c r="H1484" s="5" t="s">
        <v>21</v>
      </c>
      <c r="I1484" s="5" t="s">
        <v>3411</v>
      </c>
      <c r="J1484" s="12" t="str">
        <f>HYPERLINK("https://www.boe.es/gazeta/dias/1801/09/29/pdfs/GMD-1801-93.pdf#page=4","Abrir facsímil")</f>
        <v>Abrir facsímil</v>
      </c>
      <c r="K1484" s="15" t="s">
        <v>23</v>
      </c>
    </row>
    <row r="1485" spans="1:11" ht="42" customHeight="1">
      <c r="A1485" s="4" t="s">
        <v>3412</v>
      </c>
      <c r="B1485" s="5" t="s">
        <v>3412</v>
      </c>
      <c r="C1485" s="5" t="s">
        <v>75</v>
      </c>
      <c r="D1485" s="5" t="s">
        <v>76</v>
      </c>
      <c r="E1485" s="5" t="s">
        <v>292</v>
      </c>
      <c r="F1485" s="9">
        <v>25</v>
      </c>
      <c r="G1485" s="9">
        <v>329</v>
      </c>
      <c r="H1485" s="5" t="s">
        <v>21</v>
      </c>
      <c r="I1485" s="5" t="s">
        <v>3413</v>
      </c>
      <c r="J1485" s="12" t="str">
        <f>HYPERLINK("https://www.boe.es/gazeta/dias/1801/03/27/pdfs/GMD-1801-25.pdf#page=8","Abrir facsímil")</f>
        <v>Abrir facsímil</v>
      </c>
      <c r="K1485" s="15" t="s">
        <v>23</v>
      </c>
    </row>
    <row r="1486" spans="1:11" ht="42" customHeight="1">
      <c r="A1486" s="4" t="s">
        <v>3414</v>
      </c>
      <c r="B1486" s="5" t="s">
        <v>3414</v>
      </c>
      <c r="C1486" s="5" t="s">
        <v>18</v>
      </c>
      <c r="D1486" s="5" t="s">
        <v>19</v>
      </c>
      <c r="E1486" s="5" t="s">
        <v>349</v>
      </c>
      <c r="F1486" s="9">
        <v>112</v>
      </c>
      <c r="G1486" s="9">
        <v>1225</v>
      </c>
      <c r="H1486" s="5" t="s">
        <v>21</v>
      </c>
      <c r="I1486" s="5" t="s">
        <v>3415</v>
      </c>
      <c r="J1486" s="12" t="str">
        <f>HYPERLINK("https://www.boe.es/gazeta/dias/1801/12/04/pdfs/GMD-1801-112.pdf#page=6","Abrir facsímil")</f>
        <v>Abrir facsímil</v>
      </c>
      <c r="K1486" s="15" t="s">
        <v>23</v>
      </c>
    </row>
    <row r="1487" spans="1:11" ht="42" customHeight="1">
      <c r="A1487" s="4" t="s">
        <v>3416</v>
      </c>
      <c r="B1487" s="5" t="s">
        <v>3416</v>
      </c>
      <c r="C1487" s="5" t="s">
        <v>75</v>
      </c>
      <c r="D1487" s="5" t="s">
        <v>76</v>
      </c>
      <c r="E1487" s="5" t="s">
        <v>20</v>
      </c>
      <c r="F1487" s="9">
        <v>37</v>
      </c>
      <c r="G1487" s="9">
        <v>480</v>
      </c>
      <c r="H1487" s="5" t="s">
        <v>21</v>
      </c>
      <c r="I1487" s="5" t="s">
        <v>3417</v>
      </c>
      <c r="J1487" s="12" t="str">
        <f>HYPERLINK("https://www.boe.es/gazeta/dias/1801/05/08/pdfs/GMD-1801-37.pdf#page=8","Abrir facsímil")</f>
        <v>Abrir facsímil</v>
      </c>
      <c r="K1487" s="15" t="s">
        <v>23</v>
      </c>
    </row>
    <row r="1488" spans="1:11" ht="42" customHeight="1">
      <c r="A1488" s="4" t="s">
        <v>3418</v>
      </c>
      <c r="B1488" s="5" t="s">
        <v>3418</v>
      </c>
      <c r="C1488" s="5" t="s">
        <v>75</v>
      </c>
      <c r="D1488" s="5" t="s">
        <v>76</v>
      </c>
      <c r="E1488" s="5" t="s">
        <v>1015</v>
      </c>
      <c r="F1488" s="9">
        <v>15</v>
      </c>
      <c r="G1488" s="9">
        <v>184</v>
      </c>
      <c r="H1488" s="5" t="s">
        <v>21</v>
      </c>
      <c r="I1488" s="5" t="s">
        <v>3419</v>
      </c>
      <c r="J1488" s="12" t="str">
        <f>HYPERLINK("https://www.boe.es/gazeta/dias/1801/02/20/pdfs/GMD-1801-15.pdf#page=3","Abrir facsímil")</f>
        <v>Abrir facsímil</v>
      </c>
      <c r="K1488" s="15" t="s">
        <v>23</v>
      </c>
    </row>
    <row r="1489" spans="1:11" ht="42" customHeight="1">
      <c r="A1489" s="4" t="s">
        <v>3420</v>
      </c>
      <c r="B1489" s="5" t="s">
        <v>3420</v>
      </c>
      <c r="C1489" s="5" t="s">
        <v>38</v>
      </c>
      <c r="D1489" s="5" t="s">
        <v>39</v>
      </c>
      <c r="E1489" s="5" t="s">
        <v>735</v>
      </c>
      <c r="F1489" s="9">
        <v>97</v>
      </c>
      <c r="G1489" s="9">
        <v>1063</v>
      </c>
      <c r="H1489" s="5" t="s">
        <v>21</v>
      </c>
      <c r="I1489" s="5" t="s">
        <v>3421</v>
      </c>
      <c r="J1489" s="12" t="str">
        <f>HYPERLINK("https://www.boe.es/gazeta/dias/1801/10/13/pdfs/GMD-1801-97.pdf#page=7","Abrir facsímil")</f>
        <v>Abrir facsímil</v>
      </c>
      <c r="K1489" s="15" t="s">
        <v>23</v>
      </c>
    </row>
    <row r="1490" spans="1:11" ht="42" customHeight="1">
      <c r="A1490" s="4" t="s">
        <v>3422</v>
      </c>
      <c r="B1490" s="5" t="s">
        <v>3422</v>
      </c>
      <c r="C1490" s="5" t="s">
        <v>18</v>
      </c>
      <c r="D1490" s="5" t="s">
        <v>19</v>
      </c>
      <c r="E1490" s="5" t="s">
        <v>179</v>
      </c>
      <c r="F1490" s="9">
        <v>11</v>
      </c>
      <c r="G1490" s="9">
        <v>135</v>
      </c>
      <c r="H1490" s="5" t="s">
        <v>21</v>
      </c>
      <c r="I1490" s="5" t="s">
        <v>3423</v>
      </c>
      <c r="J1490" s="12" t="str">
        <f>HYPERLINK("https://www.boe.es/gazeta/dias/1801/02/06/pdfs/GMD-1801-11.pdf#page=8","Abrir facsímil")</f>
        <v>Abrir facsímil</v>
      </c>
      <c r="K1490" s="15" t="s">
        <v>23</v>
      </c>
    </row>
    <row r="1491" spans="1:11" ht="42" customHeight="1">
      <c r="A1491" s="4" t="s">
        <v>3424</v>
      </c>
      <c r="B1491" s="5" t="s">
        <v>3424</v>
      </c>
      <c r="C1491" s="5" t="s">
        <v>75</v>
      </c>
      <c r="D1491" s="5" t="s">
        <v>76</v>
      </c>
      <c r="E1491" s="5" t="s">
        <v>313</v>
      </c>
      <c r="F1491" s="9">
        <v>39</v>
      </c>
      <c r="G1491" s="9">
        <v>497</v>
      </c>
      <c r="H1491" s="5" t="s">
        <v>21</v>
      </c>
      <c r="I1491" s="5" t="s">
        <v>3425</v>
      </c>
      <c r="J1491" s="12" t="str">
        <f>HYPERLINK("https://www.boe.es/gazeta/dias/1801/05/15/pdfs/GMD-1801-39.pdf#page=1","Abrir facsímil")</f>
        <v>Abrir facsímil</v>
      </c>
      <c r="K1491" s="15" t="s">
        <v>23</v>
      </c>
    </row>
    <row r="1492" spans="1:11" ht="42" customHeight="1">
      <c r="A1492" s="4" t="s">
        <v>3426</v>
      </c>
      <c r="B1492" s="5" t="s">
        <v>3426</v>
      </c>
      <c r="C1492" s="5" t="s">
        <v>38</v>
      </c>
      <c r="D1492" s="5" t="s">
        <v>39</v>
      </c>
      <c r="E1492" s="5" t="s">
        <v>735</v>
      </c>
      <c r="F1492" s="9">
        <v>97</v>
      </c>
      <c r="G1492" s="9">
        <v>1062</v>
      </c>
      <c r="H1492" s="5" t="s">
        <v>21</v>
      </c>
      <c r="I1492" s="5" t="s">
        <v>3427</v>
      </c>
      <c r="J1492" s="12" t="str">
        <f>HYPERLINK("https://www.boe.es/gazeta/dias/1801/10/13/pdfs/GMD-1801-97.pdf#page=6","Abrir facsímil")</f>
        <v>Abrir facsímil</v>
      </c>
      <c r="K1492" s="15" t="s">
        <v>23</v>
      </c>
    </row>
    <row r="1493" spans="1:11" ht="42" customHeight="1">
      <c r="A1493" s="4" t="s">
        <v>3428</v>
      </c>
      <c r="B1493" s="5" t="s">
        <v>3428</v>
      </c>
      <c r="C1493" s="5" t="s">
        <v>38</v>
      </c>
      <c r="D1493" s="5" t="s">
        <v>39</v>
      </c>
      <c r="E1493" s="5" t="s">
        <v>352</v>
      </c>
      <c r="F1493" s="9">
        <v>43</v>
      </c>
      <c r="G1493" s="9">
        <v>535</v>
      </c>
      <c r="H1493" s="5" t="s">
        <v>21</v>
      </c>
      <c r="I1493" s="5" t="s">
        <v>3429</v>
      </c>
      <c r="J1493" s="12" t="str">
        <f>HYPERLINK("https://www.boe.es/gazeta/dias/1801/05/26/pdfs/GMD-1801-43.pdf#page=7","Abrir facsímil")</f>
        <v>Abrir facsímil</v>
      </c>
      <c r="K1493" s="15" t="s">
        <v>23</v>
      </c>
    </row>
    <row r="1494" spans="1:11" ht="42" customHeight="1">
      <c r="A1494" s="4" t="s">
        <v>3430</v>
      </c>
      <c r="B1494" s="5" t="s">
        <v>3430</v>
      </c>
      <c r="C1494" s="5" t="s">
        <v>18</v>
      </c>
      <c r="D1494" s="5" t="s">
        <v>19</v>
      </c>
      <c r="E1494" s="5" t="s">
        <v>640</v>
      </c>
      <c r="F1494" s="9">
        <v>81</v>
      </c>
      <c r="G1494" s="9">
        <v>909</v>
      </c>
      <c r="H1494" s="5" t="s">
        <v>21</v>
      </c>
      <c r="I1494" s="5" t="s">
        <v>3431</v>
      </c>
      <c r="J1494" s="12" t="str">
        <f>HYPERLINK("https://www.boe.es/gazeta/dias/1801/08/25/pdfs/GMD-1801-81.pdf#page=6","Abrir facsímil")</f>
        <v>Abrir facsímil</v>
      </c>
      <c r="K1494" s="15" t="s">
        <v>23</v>
      </c>
    </row>
    <row r="1495" spans="1:11" ht="42" customHeight="1">
      <c r="A1495" s="4" t="s">
        <v>3432</v>
      </c>
      <c r="B1495" s="5" t="s">
        <v>3432</v>
      </c>
      <c r="C1495" s="5" t="s">
        <v>1481</v>
      </c>
      <c r="D1495" s="5" t="s">
        <v>1482</v>
      </c>
      <c r="E1495" s="5" t="s">
        <v>2225</v>
      </c>
      <c r="F1495" s="9" t="s">
        <v>2226</v>
      </c>
      <c r="G1495" s="9">
        <v>571</v>
      </c>
      <c r="H1495" s="5" t="s">
        <v>21</v>
      </c>
      <c r="I1495" s="5" t="s">
        <v>3433</v>
      </c>
      <c r="J1495" s="12" t="str">
        <f>HYPERLINK("https://www.boe.es/gazeta/dias/1801/06/03/pdfs/GMD-1801-47E.pdf#page=1","Abrir facsímil")</f>
        <v>Abrir facsímil</v>
      </c>
      <c r="K1495" s="15" t="s">
        <v>23</v>
      </c>
    </row>
    <row r="1496" spans="1:11" ht="42" customHeight="1">
      <c r="A1496" s="4" t="s">
        <v>3434</v>
      </c>
      <c r="B1496" s="5" t="s">
        <v>3434</v>
      </c>
      <c r="C1496" s="5" t="s">
        <v>38</v>
      </c>
      <c r="D1496" s="5" t="s">
        <v>39</v>
      </c>
      <c r="E1496" s="5" t="s">
        <v>155</v>
      </c>
      <c r="F1496" s="9">
        <v>50</v>
      </c>
      <c r="G1496" s="9">
        <v>596</v>
      </c>
      <c r="H1496" s="5" t="s">
        <v>21</v>
      </c>
      <c r="I1496" s="5" t="s">
        <v>3435</v>
      </c>
      <c r="J1496" s="12" t="str">
        <f>HYPERLINK("https://www.boe.es/gazeta/dias/1801/06/09/pdfs/GMD-1801-50.pdf#page=8","Abrir facsímil")</f>
        <v>Abrir facsímil</v>
      </c>
      <c r="K1496" s="15" t="s">
        <v>23</v>
      </c>
    </row>
    <row r="1497" spans="1:11" ht="42" customHeight="1">
      <c r="A1497" s="4" t="s">
        <v>3436</v>
      </c>
      <c r="B1497" s="5" t="s">
        <v>3436</v>
      </c>
      <c r="C1497" s="5" t="s">
        <v>75</v>
      </c>
      <c r="D1497" s="5" t="s">
        <v>76</v>
      </c>
      <c r="E1497" s="5" t="s">
        <v>66</v>
      </c>
      <c r="F1497" s="9">
        <v>52</v>
      </c>
      <c r="G1497" s="9">
        <v>604</v>
      </c>
      <c r="H1497" s="5" t="s">
        <v>21</v>
      </c>
      <c r="I1497" s="5" t="s">
        <v>3437</v>
      </c>
      <c r="J1497" s="12" t="str">
        <f>HYPERLINK("https://www.boe.es/gazeta/dias/1801/06/12/pdfs/GMD-1801-52.pdf#page=3","Abrir facsímil")</f>
        <v>Abrir facsímil</v>
      </c>
      <c r="K1497" s="15" t="s">
        <v>23</v>
      </c>
    </row>
    <row r="1498" spans="1:11" ht="42" customHeight="1">
      <c r="A1498" s="4" t="s">
        <v>3438</v>
      </c>
      <c r="B1498" s="5" t="s">
        <v>3438</v>
      </c>
      <c r="C1498" s="5" t="s">
        <v>75</v>
      </c>
      <c r="D1498" s="5" t="s">
        <v>76</v>
      </c>
      <c r="E1498" s="5" t="s">
        <v>215</v>
      </c>
      <c r="F1498" s="9">
        <v>71</v>
      </c>
      <c r="G1498" s="9">
        <v>781</v>
      </c>
      <c r="H1498" s="5" t="s">
        <v>21</v>
      </c>
      <c r="I1498" s="5" t="s">
        <v>3439</v>
      </c>
      <c r="J1498" s="12" t="str">
        <f>HYPERLINK("https://www.boe.es/gazeta/dias/1801/07/21/pdfs/GMD-1801-71.pdf#page=2","Abrir facsímil")</f>
        <v>Abrir facsímil</v>
      </c>
      <c r="K1498" s="15" t="s">
        <v>23</v>
      </c>
    </row>
    <row r="1499" spans="1:11" ht="42" customHeight="1">
      <c r="A1499" s="4" t="s">
        <v>3440</v>
      </c>
      <c r="B1499" s="5" t="s">
        <v>3440</v>
      </c>
      <c r="C1499" s="5" t="s">
        <v>32</v>
      </c>
      <c r="D1499" s="5" t="s">
        <v>33</v>
      </c>
      <c r="E1499" s="5" t="s">
        <v>751</v>
      </c>
      <c r="F1499" s="9">
        <v>106</v>
      </c>
      <c r="G1499" s="9">
        <v>1162</v>
      </c>
      <c r="H1499" s="5" t="s">
        <v>21</v>
      </c>
      <c r="I1499" s="5" t="s">
        <v>3441</v>
      </c>
      <c r="J1499" s="12" t="str">
        <f>HYPERLINK("https://www.boe.es/gazeta/dias/1801/11/13/pdfs/GMD-1801-106.pdf#page=3","Abrir facsímil")</f>
        <v>Abrir facsímil</v>
      </c>
      <c r="K1499" s="15" t="s">
        <v>23</v>
      </c>
    </row>
    <row r="1500" spans="1:11" ht="42" customHeight="1">
      <c r="A1500" s="4" t="s">
        <v>3442</v>
      </c>
      <c r="B1500" s="5" t="s">
        <v>3442</v>
      </c>
      <c r="C1500" s="5" t="s">
        <v>38</v>
      </c>
      <c r="D1500" s="5" t="s">
        <v>39</v>
      </c>
      <c r="E1500" s="5" t="s">
        <v>82</v>
      </c>
      <c r="F1500" s="9">
        <v>75</v>
      </c>
      <c r="G1500" s="9">
        <v>835</v>
      </c>
      <c r="H1500" s="5" t="s">
        <v>21</v>
      </c>
      <c r="I1500" s="5" t="s">
        <v>3443</v>
      </c>
      <c r="J1500" s="12" t="str">
        <f>HYPERLINK("https://www.boe.es/gazeta/dias/1801/08/04/pdfs/GMD-1801-75.pdf#page=4","Abrir facsímil")</f>
        <v>Abrir facsímil</v>
      </c>
      <c r="K1500" s="15" t="s">
        <v>23</v>
      </c>
    </row>
    <row r="1501" spans="1:11" ht="42" customHeight="1">
      <c r="A1501" s="4" t="s">
        <v>3444</v>
      </c>
      <c r="B1501" s="5" t="s">
        <v>3444</v>
      </c>
      <c r="C1501" s="5" t="s">
        <v>32</v>
      </c>
      <c r="D1501" s="5" t="s">
        <v>33</v>
      </c>
      <c r="E1501" s="5" t="s">
        <v>258</v>
      </c>
      <c r="F1501" s="9">
        <v>96</v>
      </c>
      <c r="G1501" s="9">
        <v>1045</v>
      </c>
      <c r="H1501" s="5" t="s">
        <v>21</v>
      </c>
      <c r="I1501" s="5" t="s">
        <v>3445</v>
      </c>
      <c r="J1501" s="12" t="str">
        <f>HYPERLINK("https://www.boe.es/gazeta/dias/1801/10/09/pdfs/GMD-1801-96.pdf#page=1","Abrir facsímil")</f>
        <v>Abrir facsímil</v>
      </c>
      <c r="K1501" s="15" t="s">
        <v>23</v>
      </c>
    </row>
    <row r="1502" spans="1:11" ht="42" customHeight="1">
      <c r="A1502" s="4" t="s">
        <v>3446</v>
      </c>
      <c r="B1502" s="5" t="s">
        <v>3446</v>
      </c>
      <c r="C1502" s="5" t="s">
        <v>32</v>
      </c>
      <c r="D1502" s="5" t="s">
        <v>33</v>
      </c>
      <c r="E1502" s="5" t="s">
        <v>453</v>
      </c>
      <c r="F1502" s="9">
        <v>100</v>
      </c>
      <c r="G1502" s="9">
        <v>1097</v>
      </c>
      <c r="H1502" s="5" t="s">
        <v>21</v>
      </c>
      <c r="I1502" s="5" t="s">
        <v>3447</v>
      </c>
      <c r="J1502" s="12" t="str">
        <f>HYPERLINK("https://www.boe.es/gazeta/dias/1801/10/23/pdfs/GMD-1801-100.pdf#page=6","Abrir facsímil")</f>
        <v>Abrir facsímil</v>
      </c>
      <c r="K1502" s="15" t="s">
        <v>23</v>
      </c>
    </row>
    <row r="1503" spans="1:11" ht="42" customHeight="1">
      <c r="A1503" s="4" t="s">
        <v>3448</v>
      </c>
      <c r="B1503" s="5" t="s">
        <v>3448</v>
      </c>
      <c r="C1503" s="5" t="s">
        <v>18</v>
      </c>
      <c r="D1503" s="5" t="s">
        <v>19</v>
      </c>
      <c r="E1503" s="5" t="s">
        <v>155</v>
      </c>
      <c r="F1503" s="9">
        <v>50</v>
      </c>
      <c r="G1503" s="9">
        <v>592</v>
      </c>
      <c r="H1503" s="5" t="s">
        <v>21</v>
      </c>
      <c r="I1503" s="5" t="s">
        <v>3449</v>
      </c>
      <c r="J1503" s="12" t="str">
        <f>HYPERLINK("https://www.boe.es/gazeta/dias/1801/06/09/pdfs/GMD-1801-50.pdf#page=4","Abrir facsímil")</f>
        <v>Abrir facsímil</v>
      </c>
      <c r="K1503" s="15" t="s">
        <v>23</v>
      </c>
    </row>
    <row r="1504" spans="1:11" ht="42" customHeight="1">
      <c r="A1504" s="4" t="s">
        <v>3450</v>
      </c>
      <c r="B1504" s="5" t="s">
        <v>3450</v>
      </c>
      <c r="C1504" s="5" t="s">
        <v>1481</v>
      </c>
      <c r="D1504" s="5" t="s">
        <v>1482</v>
      </c>
      <c r="E1504" s="5" t="s">
        <v>434</v>
      </c>
      <c r="F1504" s="9" t="s">
        <v>435</v>
      </c>
      <c r="G1504" s="9">
        <v>650</v>
      </c>
      <c r="H1504" s="5" t="s">
        <v>21</v>
      </c>
      <c r="I1504" s="5" t="s">
        <v>3451</v>
      </c>
      <c r="J1504" s="12" t="str">
        <f>HYPERLINK("https://www.boe.es/gazeta/dias/1801/06/18/pdfs/GMD-1801-57E.pdf#page=2","Abrir facsímil")</f>
        <v>Abrir facsímil</v>
      </c>
      <c r="K1504" s="15" t="s">
        <v>23</v>
      </c>
    </row>
    <row r="1505" spans="1:11" ht="42" customHeight="1">
      <c r="A1505" s="4" t="s">
        <v>3452</v>
      </c>
      <c r="B1505" s="5" t="s">
        <v>3452</v>
      </c>
      <c r="C1505" s="5" t="s">
        <v>1481</v>
      </c>
      <c r="D1505" s="5" t="s">
        <v>1482</v>
      </c>
      <c r="E1505" s="5" t="s">
        <v>434</v>
      </c>
      <c r="F1505" s="9" t="s">
        <v>435</v>
      </c>
      <c r="G1505" s="9">
        <v>649</v>
      </c>
      <c r="H1505" s="5" t="s">
        <v>21</v>
      </c>
      <c r="I1505" s="5" t="s">
        <v>3453</v>
      </c>
      <c r="J1505" s="12" t="str">
        <f>HYPERLINK("https://www.boe.es/gazeta/dias/1801/06/18/pdfs/GMD-1801-57E.pdf#page=1","Abrir facsímil")</f>
        <v>Abrir facsímil</v>
      </c>
      <c r="K1505" s="15" t="s">
        <v>23</v>
      </c>
    </row>
    <row r="1506" spans="1:11" ht="42" customHeight="1">
      <c r="A1506" s="4" t="s">
        <v>3454</v>
      </c>
      <c r="B1506" s="5" t="s">
        <v>3454</v>
      </c>
      <c r="C1506" s="5" t="s">
        <v>32</v>
      </c>
      <c r="D1506" s="5" t="s">
        <v>33</v>
      </c>
      <c r="E1506" s="5" t="s">
        <v>155</v>
      </c>
      <c r="F1506" s="9">
        <v>50</v>
      </c>
      <c r="G1506" s="9">
        <v>597</v>
      </c>
      <c r="H1506" s="5" t="s">
        <v>21</v>
      </c>
      <c r="I1506" s="5" t="s">
        <v>3455</v>
      </c>
      <c r="J1506" s="12" t="str">
        <f>HYPERLINK("https://www.boe.es/gazeta/dias/1801/06/09/pdfs/GMD-1801-50.pdf#page=9","Abrir facsímil")</f>
        <v>Abrir facsímil</v>
      </c>
      <c r="K1506" s="15" t="s">
        <v>23</v>
      </c>
    </row>
    <row r="1507" spans="1:11" ht="42" customHeight="1">
      <c r="A1507" s="4" t="s">
        <v>3456</v>
      </c>
      <c r="B1507" s="5" t="s">
        <v>3456</v>
      </c>
      <c r="C1507" s="5" t="s">
        <v>38</v>
      </c>
      <c r="D1507" s="5" t="s">
        <v>39</v>
      </c>
      <c r="E1507" s="5" t="s">
        <v>453</v>
      </c>
      <c r="F1507" s="9">
        <v>100</v>
      </c>
      <c r="G1507" s="9">
        <v>1094</v>
      </c>
      <c r="H1507" s="5" t="s">
        <v>21</v>
      </c>
      <c r="I1507" s="5" t="s">
        <v>3457</v>
      </c>
      <c r="J1507" s="12" t="str">
        <f>HYPERLINK("https://www.boe.es/gazeta/dias/1801/10/23/pdfs/GMD-1801-100.pdf#page=3","Abrir facsímil")</f>
        <v>Abrir facsímil</v>
      </c>
      <c r="K1507" s="15" t="s">
        <v>23</v>
      </c>
    </row>
    <row r="1508" spans="1:11" ht="42" customHeight="1">
      <c r="A1508" s="4" t="s">
        <v>3458</v>
      </c>
      <c r="B1508" s="5" t="s">
        <v>3458</v>
      </c>
      <c r="C1508" s="5" t="s">
        <v>32</v>
      </c>
      <c r="D1508" s="5" t="s">
        <v>33</v>
      </c>
      <c r="E1508" s="5" t="s">
        <v>1058</v>
      </c>
      <c r="F1508" s="9">
        <v>108</v>
      </c>
      <c r="G1508" s="9">
        <v>1185</v>
      </c>
      <c r="H1508" s="5" t="s">
        <v>21</v>
      </c>
      <c r="I1508" s="5" t="s">
        <v>3459</v>
      </c>
      <c r="J1508" s="12" t="str">
        <f>HYPERLINK("https://www.boe.es/gazeta/dias/1801/11/20/pdfs/GMD-1801-108.pdf#page=2","Abrir facsímil")</f>
        <v>Abrir facsímil</v>
      </c>
      <c r="K1508" s="15" t="s">
        <v>23</v>
      </c>
    </row>
    <row r="1509" spans="1:11" ht="42" customHeight="1">
      <c r="A1509" s="4" t="s">
        <v>3460</v>
      </c>
      <c r="B1509" s="5" t="s">
        <v>3460</v>
      </c>
      <c r="C1509" s="5" t="s">
        <v>32</v>
      </c>
      <c r="D1509" s="5" t="s">
        <v>33</v>
      </c>
      <c r="E1509" s="5" t="s">
        <v>131</v>
      </c>
      <c r="F1509" s="9">
        <v>22</v>
      </c>
      <c r="G1509" s="9">
        <v>284</v>
      </c>
      <c r="H1509" s="5" t="s">
        <v>21</v>
      </c>
      <c r="I1509" s="5" t="s">
        <v>3461</v>
      </c>
      <c r="J1509" s="12" t="str">
        <f>HYPERLINK("https://www.boe.es/gazeta/dias/1801/03/17/pdfs/GMD-1801-22.pdf#page=1","Abrir facsímil")</f>
        <v>Abrir facsímil</v>
      </c>
      <c r="K1509" s="15" t="s">
        <v>23</v>
      </c>
    </row>
    <row r="1510" spans="1:11" ht="42" customHeight="1">
      <c r="A1510" s="4" t="s">
        <v>3462</v>
      </c>
      <c r="B1510" s="5" t="s">
        <v>3462</v>
      </c>
      <c r="C1510" s="5" t="s">
        <v>32</v>
      </c>
      <c r="D1510" s="5" t="s">
        <v>33</v>
      </c>
      <c r="E1510" s="5" t="s">
        <v>145</v>
      </c>
      <c r="F1510" s="9">
        <v>36</v>
      </c>
      <c r="G1510" s="9">
        <v>460</v>
      </c>
      <c r="H1510" s="5" t="s">
        <v>21</v>
      </c>
      <c r="I1510" s="5" t="s">
        <v>3463</v>
      </c>
      <c r="J1510" s="12" t="str">
        <f>HYPERLINK("https://www.boe.es/gazeta/dias/1801/05/05/pdfs/GMD-1801-36.pdf#page=4","Abrir facsímil")</f>
        <v>Abrir facsímil</v>
      </c>
      <c r="K1510" s="15" t="s">
        <v>23</v>
      </c>
    </row>
    <row r="1511" spans="1:11" ht="42" customHeight="1">
      <c r="A1511" s="4" t="s">
        <v>3464</v>
      </c>
      <c r="B1511" s="5" t="s">
        <v>3464</v>
      </c>
      <c r="C1511" s="5" t="s">
        <v>32</v>
      </c>
      <c r="D1511" s="5" t="s">
        <v>33</v>
      </c>
      <c r="E1511" s="5" t="s">
        <v>128</v>
      </c>
      <c r="F1511" s="9">
        <v>17</v>
      </c>
      <c r="G1511" s="9">
        <v>213</v>
      </c>
      <c r="H1511" s="5" t="s">
        <v>21</v>
      </c>
      <c r="I1511" s="5" t="s">
        <v>3465</v>
      </c>
      <c r="J1511" s="12" t="str">
        <f>HYPERLINK("https://www.boe.es/gazeta/dias/1801/02/27/pdfs/GMD-1801-17.pdf#page=8","Abrir facsímil")</f>
        <v>Abrir facsímil</v>
      </c>
      <c r="K1511" s="15" t="s">
        <v>23</v>
      </c>
    </row>
    <row r="1512" spans="1:11" ht="42" customHeight="1">
      <c r="A1512" s="4" t="s">
        <v>3466</v>
      </c>
      <c r="B1512" s="5" t="s">
        <v>3466</v>
      </c>
      <c r="C1512" s="5" t="s">
        <v>75</v>
      </c>
      <c r="D1512" s="5" t="s">
        <v>76</v>
      </c>
      <c r="E1512" s="5" t="s">
        <v>20</v>
      </c>
      <c r="F1512" s="9">
        <v>37</v>
      </c>
      <c r="G1512" s="9">
        <v>476</v>
      </c>
      <c r="H1512" s="5" t="s">
        <v>21</v>
      </c>
      <c r="I1512" s="5" t="s">
        <v>3467</v>
      </c>
      <c r="J1512" s="12" t="str">
        <f>HYPERLINK("https://www.boe.es/gazeta/dias/1801/05/08/pdfs/GMD-1801-37.pdf#page=4","Abrir facsímil")</f>
        <v>Abrir facsímil</v>
      </c>
      <c r="K1512" s="15" t="s">
        <v>23</v>
      </c>
    </row>
    <row r="1513" spans="1:11" ht="42" customHeight="1">
      <c r="A1513" s="4" t="s">
        <v>3468</v>
      </c>
      <c r="B1513" s="5" t="s">
        <v>3468</v>
      </c>
      <c r="C1513" s="5" t="s">
        <v>75</v>
      </c>
      <c r="D1513" s="5" t="s">
        <v>76</v>
      </c>
      <c r="E1513" s="5" t="s">
        <v>161</v>
      </c>
      <c r="F1513" s="9">
        <v>58</v>
      </c>
      <c r="G1513" s="9">
        <v>657</v>
      </c>
      <c r="H1513" s="5" t="s">
        <v>21</v>
      </c>
      <c r="I1513" s="5" t="s">
        <v>3469</v>
      </c>
      <c r="J1513" s="12" t="str">
        <f>HYPERLINK("https://www.boe.es/gazeta/dias/1801/06/19/pdfs/GMD-1801-58.pdf#page=2","Abrir facsímil")</f>
        <v>Abrir facsímil</v>
      </c>
      <c r="K1513" s="15" t="s">
        <v>23</v>
      </c>
    </row>
    <row r="1514" spans="1:11" ht="42" customHeight="1">
      <c r="A1514" s="4" t="s">
        <v>3470</v>
      </c>
      <c r="B1514" s="5" t="s">
        <v>3470</v>
      </c>
      <c r="C1514" s="5" t="s">
        <v>38</v>
      </c>
      <c r="D1514" s="5" t="s">
        <v>39</v>
      </c>
      <c r="E1514" s="5" t="s">
        <v>309</v>
      </c>
      <c r="F1514" s="9">
        <v>118</v>
      </c>
      <c r="G1514" s="9">
        <v>1289</v>
      </c>
      <c r="H1514" s="5" t="s">
        <v>21</v>
      </c>
      <c r="I1514" s="5" t="s">
        <v>3471</v>
      </c>
      <c r="J1514" s="12" t="str">
        <f>HYPERLINK("https://www.boe.es/gazeta/dias/1801/12/25/pdfs/GMD-1801-118.pdf#page=4","Abrir facsímil")</f>
        <v>Abrir facsímil</v>
      </c>
      <c r="K1514" s="15" t="s">
        <v>23</v>
      </c>
    </row>
    <row r="1515" spans="1:11" ht="42" customHeight="1">
      <c r="A1515" s="4" t="s">
        <v>3472</v>
      </c>
      <c r="B1515" s="5" t="s">
        <v>3472</v>
      </c>
      <c r="C1515" s="5" t="s">
        <v>38</v>
      </c>
      <c r="D1515" s="5" t="s">
        <v>39</v>
      </c>
      <c r="E1515" s="5" t="s">
        <v>266</v>
      </c>
      <c r="F1515" s="9">
        <v>119</v>
      </c>
      <c r="G1515" s="9">
        <v>1300</v>
      </c>
      <c r="H1515" s="5" t="s">
        <v>21</v>
      </c>
      <c r="I1515" s="5" t="s">
        <v>3473</v>
      </c>
      <c r="J1515" s="12" t="str">
        <f>HYPERLINK("https://www.boe.es/gazeta/dias/1801/12/29/pdfs/GMD-1801-119.pdf#page=4","Abrir facsímil")</f>
        <v>Abrir facsímil</v>
      </c>
      <c r="K1515" s="15" t="s">
        <v>23</v>
      </c>
    </row>
    <row r="1516" spans="1:11" ht="42" customHeight="1">
      <c r="A1516" s="4" t="s">
        <v>3474</v>
      </c>
      <c r="B1516" s="5" t="s">
        <v>3474</v>
      </c>
      <c r="C1516" s="5" t="s">
        <v>75</v>
      </c>
      <c r="D1516" s="5" t="s">
        <v>76</v>
      </c>
      <c r="E1516" s="5" t="s">
        <v>141</v>
      </c>
      <c r="F1516" s="9">
        <v>33</v>
      </c>
      <c r="G1516" s="9">
        <v>423</v>
      </c>
      <c r="H1516" s="5" t="s">
        <v>21</v>
      </c>
      <c r="I1516" s="5" t="s">
        <v>3475</v>
      </c>
      <c r="J1516" s="12" t="str">
        <f>HYPERLINK("https://www.boe.es/gazeta/dias/1801/04/24/pdfs/GMD-1801-33.pdf#page=7","Abrir facsímil")</f>
        <v>Abrir facsímil</v>
      </c>
      <c r="K1516" s="15" t="s">
        <v>23</v>
      </c>
    </row>
    <row r="1517" spans="1:11" ht="42" customHeight="1">
      <c r="A1517" s="4" t="s">
        <v>3476</v>
      </c>
      <c r="B1517" s="5" t="s">
        <v>3476</v>
      </c>
      <c r="C1517" s="5" t="s">
        <v>75</v>
      </c>
      <c r="D1517" s="5" t="s">
        <v>76</v>
      </c>
      <c r="E1517" s="5" t="s">
        <v>70</v>
      </c>
      <c r="F1517" s="9">
        <v>2</v>
      </c>
      <c r="G1517" s="9">
        <v>18</v>
      </c>
      <c r="H1517" s="5" t="s">
        <v>21</v>
      </c>
      <c r="I1517" s="5" t="s">
        <v>3477</v>
      </c>
      <c r="J1517" s="12" t="str">
        <f>HYPERLINK("https://www.boe.es/gazeta/dias/1801/01/06/pdfs/GMD-1801-2.pdf#page=6","Abrir facsímil")</f>
        <v>Abrir facsímil</v>
      </c>
      <c r="K1517" s="15" t="s">
        <v>23</v>
      </c>
    </row>
    <row r="1518" spans="1:11" ht="42" customHeight="1">
      <c r="A1518" s="4" t="s">
        <v>3478</v>
      </c>
      <c r="B1518" s="5" t="s">
        <v>3478</v>
      </c>
      <c r="C1518" s="5" t="s">
        <v>75</v>
      </c>
      <c r="D1518" s="5" t="s">
        <v>76</v>
      </c>
      <c r="E1518" s="5" t="s">
        <v>66</v>
      </c>
      <c r="F1518" s="9">
        <v>52</v>
      </c>
      <c r="G1518" s="9">
        <v>603</v>
      </c>
      <c r="H1518" s="5" t="s">
        <v>21</v>
      </c>
      <c r="I1518" s="5" t="s">
        <v>3479</v>
      </c>
      <c r="J1518" s="12" t="str">
        <f>HYPERLINK("https://www.boe.es/gazeta/dias/1801/06/12/pdfs/GMD-1801-52.pdf#page=2","Abrir facsímil")</f>
        <v>Abrir facsímil</v>
      </c>
      <c r="K1518" s="15" t="s">
        <v>23</v>
      </c>
    </row>
    <row r="1519" spans="1:11" ht="42" customHeight="1">
      <c r="A1519" s="4" t="s">
        <v>3480</v>
      </c>
      <c r="B1519" s="5" t="s">
        <v>3480</v>
      </c>
      <c r="C1519" s="5" t="s">
        <v>75</v>
      </c>
      <c r="D1519" s="5" t="s">
        <v>76</v>
      </c>
      <c r="E1519" s="5" t="s">
        <v>262</v>
      </c>
      <c r="F1519" s="9">
        <v>109</v>
      </c>
      <c r="G1519" s="9">
        <v>1197</v>
      </c>
      <c r="H1519" s="5" t="s">
        <v>21</v>
      </c>
      <c r="I1519" s="5" t="s">
        <v>3481</v>
      </c>
      <c r="J1519" s="12" t="str">
        <f>HYPERLINK("https://www.boe.es/gazeta/dias/1801/11/24/pdfs/GMD-1801-109.pdf#page=2","Abrir facsímil")</f>
        <v>Abrir facsímil</v>
      </c>
      <c r="K1519" s="15" t="s">
        <v>23</v>
      </c>
    </row>
    <row r="1520" spans="1:11" ht="42" customHeight="1">
      <c r="A1520" s="4" t="s">
        <v>3482</v>
      </c>
      <c r="B1520" s="5" t="s">
        <v>3482</v>
      </c>
      <c r="C1520" s="5" t="s">
        <v>75</v>
      </c>
      <c r="D1520" s="5" t="s">
        <v>76</v>
      </c>
      <c r="E1520" s="5" t="s">
        <v>1015</v>
      </c>
      <c r="F1520" s="9">
        <v>15</v>
      </c>
      <c r="G1520" s="9">
        <v>182</v>
      </c>
      <c r="H1520" s="5" t="s">
        <v>21</v>
      </c>
      <c r="I1520" s="5" t="s">
        <v>3483</v>
      </c>
      <c r="J1520" s="12" t="str">
        <f>HYPERLINK("https://www.boe.es/gazeta/dias/1801/02/20/pdfs/GMD-1801-15.pdf#page=1","Abrir facsímil")</f>
        <v>Abrir facsímil</v>
      </c>
      <c r="K1520" s="15" t="s">
        <v>23</v>
      </c>
    </row>
    <row r="1521" spans="1:11" ht="42" customHeight="1">
      <c r="A1521" s="4" t="s">
        <v>3484</v>
      </c>
      <c r="B1521" s="5" t="s">
        <v>3484</v>
      </c>
      <c r="C1521" s="5" t="s">
        <v>75</v>
      </c>
      <c r="D1521" s="5" t="s">
        <v>76</v>
      </c>
      <c r="E1521" s="5" t="s">
        <v>70</v>
      </c>
      <c r="F1521" s="9">
        <v>2</v>
      </c>
      <c r="G1521" s="9">
        <v>17</v>
      </c>
      <c r="H1521" s="5" t="s">
        <v>21</v>
      </c>
      <c r="I1521" s="5" t="s">
        <v>3485</v>
      </c>
      <c r="J1521" s="12" t="str">
        <f>HYPERLINK("https://www.boe.es/gazeta/dias/1801/01/06/pdfs/GMD-1801-2.pdf#page=5","Abrir facsímil")</f>
        <v>Abrir facsímil</v>
      </c>
      <c r="K1521" s="15" t="s">
        <v>23</v>
      </c>
    </row>
    <row r="1522" spans="1:11" ht="42" customHeight="1">
      <c r="A1522" s="4" t="s">
        <v>3486</v>
      </c>
      <c r="B1522" s="5" t="s">
        <v>3486</v>
      </c>
      <c r="C1522" s="5" t="s">
        <v>38</v>
      </c>
      <c r="D1522" s="5" t="s">
        <v>39</v>
      </c>
      <c r="E1522" s="5" t="s">
        <v>135</v>
      </c>
      <c r="F1522" s="9">
        <v>24</v>
      </c>
      <c r="G1522" s="9">
        <v>319</v>
      </c>
      <c r="H1522" s="5" t="s">
        <v>21</v>
      </c>
      <c r="I1522" s="5" t="s">
        <v>3487</v>
      </c>
      <c r="J1522" s="12" t="str">
        <f>HYPERLINK("https://www.boe.es/gazeta/dias/1801/03/24/pdfs/GMD-1801-24.pdf#page=10","Abrir facsímil")</f>
        <v>Abrir facsímil</v>
      </c>
      <c r="K1522" s="15" t="s">
        <v>23</v>
      </c>
    </row>
    <row r="1523" spans="1:11" ht="42" customHeight="1">
      <c r="A1523" s="4" t="s">
        <v>3488</v>
      </c>
      <c r="B1523" s="5" t="s">
        <v>3488</v>
      </c>
      <c r="C1523" s="5" t="s">
        <v>75</v>
      </c>
      <c r="D1523" s="5" t="s">
        <v>76</v>
      </c>
      <c r="E1523" s="5" t="s">
        <v>764</v>
      </c>
      <c r="F1523" s="9">
        <v>80</v>
      </c>
      <c r="G1523" s="9">
        <v>896</v>
      </c>
      <c r="H1523" s="5" t="s">
        <v>21</v>
      </c>
      <c r="I1523" s="5" t="s">
        <v>3489</v>
      </c>
      <c r="J1523" s="12" t="str">
        <f>HYPERLINK("https://www.boe.es/gazeta/dias/1801/08/21/pdfs/GMD-1801-80.pdf#page=5","Abrir facsímil")</f>
        <v>Abrir facsímil</v>
      </c>
      <c r="K1523" s="15" t="s">
        <v>23</v>
      </c>
    </row>
    <row r="1524" spans="1:11" ht="42" customHeight="1">
      <c r="A1524" s="4" t="s">
        <v>3490</v>
      </c>
      <c r="B1524" s="5" t="s">
        <v>3490</v>
      </c>
      <c r="C1524" s="5" t="s">
        <v>38</v>
      </c>
      <c r="D1524" s="5" t="s">
        <v>39</v>
      </c>
      <c r="E1524" s="5" t="s">
        <v>126</v>
      </c>
      <c r="F1524" s="9">
        <v>13</v>
      </c>
      <c r="G1524" s="9">
        <v>162</v>
      </c>
      <c r="H1524" s="5" t="s">
        <v>21</v>
      </c>
      <c r="I1524" s="5" t="s">
        <v>3491</v>
      </c>
      <c r="J1524" s="12" t="str">
        <f>HYPERLINK("https://www.boe.es/gazeta/dias/1801/02/13/pdfs/GMD-1801-13.pdf#page=9","Abrir facsímil")</f>
        <v>Abrir facsímil</v>
      </c>
      <c r="K1524" s="15" t="s">
        <v>23</v>
      </c>
    </row>
    <row r="1525" spans="1:11" ht="42" customHeight="1">
      <c r="A1525" s="4" t="s">
        <v>3492</v>
      </c>
      <c r="B1525" s="5" t="s">
        <v>3492</v>
      </c>
      <c r="C1525" s="5" t="s">
        <v>75</v>
      </c>
      <c r="D1525" s="5" t="s">
        <v>76</v>
      </c>
      <c r="E1525" s="5" t="s">
        <v>70</v>
      </c>
      <c r="F1525" s="9">
        <v>2</v>
      </c>
      <c r="G1525" s="9">
        <v>17</v>
      </c>
      <c r="H1525" s="5" t="s">
        <v>21</v>
      </c>
      <c r="I1525" s="5" t="s">
        <v>3493</v>
      </c>
      <c r="J1525" s="12" t="str">
        <f>HYPERLINK("https://www.boe.es/gazeta/dias/1801/01/06/pdfs/GMD-1801-2.pdf#page=5","Abrir facsímil")</f>
        <v>Abrir facsímil</v>
      </c>
      <c r="K1525" s="15" t="s">
        <v>23</v>
      </c>
    </row>
    <row r="1526" spans="1:11" ht="42" customHeight="1">
      <c r="A1526" s="4" t="s">
        <v>3494</v>
      </c>
      <c r="B1526" s="5" t="s">
        <v>3494</v>
      </c>
      <c r="C1526" s="5" t="s">
        <v>75</v>
      </c>
      <c r="D1526" s="5" t="s">
        <v>76</v>
      </c>
      <c r="E1526" s="5" t="s">
        <v>262</v>
      </c>
      <c r="F1526" s="9">
        <v>109</v>
      </c>
      <c r="G1526" s="9">
        <v>1197</v>
      </c>
      <c r="H1526" s="5" t="s">
        <v>21</v>
      </c>
      <c r="I1526" s="5" t="s">
        <v>3495</v>
      </c>
      <c r="J1526" s="12" t="str">
        <f>HYPERLINK("https://www.boe.es/gazeta/dias/1801/11/24/pdfs/GMD-1801-109.pdf#page=2","Abrir facsímil")</f>
        <v>Abrir facsímil</v>
      </c>
      <c r="K1526" s="15" t="s">
        <v>23</v>
      </c>
    </row>
    <row r="1527" spans="1:11" ht="42" customHeight="1">
      <c r="A1527" s="4" t="s">
        <v>3496</v>
      </c>
      <c r="B1527" s="5" t="s">
        <v>3496</v>
      </c>
      <c r="C1527" s="5" t="s">
        <v>75</v>
      </c>
      <c r="D1527" s="5" t="s">
        <v>76</v>
      </c>
      <c r="E1527" s="5" t="s">
        <v>919</v>
      </c>
      <c r="F1527" s="9">
        <v>91</v>
      </c>
      <c r="G1527" s="9">
        <v>1000</v>
      </c>
      <c r="H1527" s="5" t="s">
        <v>21</v>
      </c>
      <c r="I1527" s="5" t="s">
        <v>3497</v>
      </c>
      <c r="J1527" s="12" t="str">
        <f>HYPERLINK("https://www.boe.es/gazeta/dias/1801/09/22/pdfs/GMD-1801-91.pdf#page=3","Abrir facsímil")</f>
        <v>Abrir facsímil</v>
      </c>
      <c r="K1527" s="15" t="s">
        <v>23</v>
      </c>
    </row>
    <row r="1528" spans="1:11" ht="42" customHeight="1">
      <c r="A1528" s="4" t="s">
        <v>3498</v>
      </c>
      <c r="B1528" s="5" t="s">
        <v>3498</v>
      </c>
      <c r="C1528" s="5" t="s">
        <v>75</v>
      </c>
      <c r="D1528" s="5" t="s">
        <v>76</v>
      </c>
      <c r="E1528" s="5" t="s">
        <v>70</v>
      </c>
      <c r="F1528" s="9">
        <v>2</v>
      </c>
      <c r="G1528" s="9">
        <v>17</v>
      </c>
      <c r="H1528" s="5" t="s">
        <v>21</v>
      </c>
      <c r="I1528" s="5" t="s">
        <v>3485</v>
      </c>
      <c r="J1528" s="12" t="str">
        <f>HYPERLINK("https://www.boe.es/gazeta/dias/1801/01/06/pdfs/GMD-1801-2.pdf#page=5","Abrir facsímil")</f>
        <v>Abrir facsímil</v>
      </c>
      <c r="K1528" s="15" t="s">
        <v>23</v>
      </c>
    </row>
    <row r="1529" spans="1:11" ht="42" customHeight="1">
      <c r="A1529" s="4" t="s">
        <v>3499</v>
      </c>
      <c r="B1529" s="5" t="s">
        <v>3499</v>
      </c>
      <c r="C1529" s="5" t="s">
        <v>38</v>
      </c>
      <c r="D1529" s="5" t="s">
        <v>39</v>
      </c>
      <c r="E1529" s="5" t="s">
        <v>1085</v>
      </c>
      <c r="F1529" s="9">
        <v>99</v>
      </c>
      <c r="G1529" s="9">
        <v>1088</v>
      </c>
      <c r="H1529" s="5" t="s">
        <v>21</v>
      </c>
      <c r="I1529" s="5" t="s">
        <v>3500</v>
      </c>
      <c r="J1529" s="12" t="str">
        <f>HYPERLINK("https://www.boe.es/gazeta/dias/1801/10/20/pdfs/GMD-1801-99.pdf#page=5","Abrir facsímil")</f>
        <v>Abrir facsímil</v>
      </c>
      <c r="K1529" s="15" t="s">
        <v>23</v>
      </c>
    </row>
    <row r="1530" spans="1:11" ht="42" customHeight="1">
      <c r="A1530" s="4" t="s">
        <v>3501</v>
      </c>
      <c r="B1530" s="5" t="s">
        <v>3501</v>
      </c>
      <c r="C1530" s="5" t="s">
        <v>32</v>
      </c>
      <c r="D1530" s="5" t="s">
        <v>33</v>
      </c>
      <c r="E1530" s="5" t="s">
        <v>155</v>
      </c>
      <c r="F1530" s="9">
        <v>50</v>
      </c>
      <c r="G1530" s="9">
        <v>594</v>
      </c>
      <c r="H1530" s="5" t="s">
        <v>21</v>
      </c>
      <c r="I1530" s="5" t="s">
        <v>3502</v>
      </c>
      <c r="J1530" s="12" t="str">
        <f>HYPERLINK("https://www.boe.es/gazeta/dias/1801/06/09/pdfs/GMD-1801-50.pdf#page=6","Abrir facsímil")</f>
        <v>Abrir facsímil</v>
      </c>
      <c r="K1530" s="15" t="s">
        <v>23</v>
      </c>
    </row>
    <row r="1531" spans="1:11" ht="42" customHeight="1">
      <c r="A1531" s="4" t="s">
        <v>3503</v>
      </c>
      <c r="B1531" s="5" t="s">
        <v>3503</v>
      </c>
      <c r="C1531" s="5" t="s">
        <v>38</v>
      </c>
      <c r="D1531" s="5" t="s">
        <v>39</v>
      </c>
      <c r="E1531" s="5" t="s">
        <v>143</v>
      </c>
      <c r="F1531" s="9">
        <v>34</v>
      </c>
      <c r="G1531" s="9">
        <v>434</v>
      </c>
      <c r="H1531" s="5" t="s">
        <v>21</v>
      </c>
      <c r="I1531" s="5" t="s">
        <v>3504</v>
      </c>
      <c r="J1531" s="12" t="str">
        <f>HYPERLINK("https://www.boe.es/gazeta/dias/1801/04/28/pdfs/GMD-1801-34.pdf#page=6","Abrir facsímil")</f>
        <v>Abrir facsímil</v>
      </c>
      <c r="K1531" s="15" t="s">
        <v>23</v>
      </c>
    </row>
    <row r="1532" spans="1:11" ht="42" customHeight="1">
      <c r="A1532" s="4" t="s">
        <v>3505</v>
      </c>
      <c r="B1532" s="5" t="s">
        <v>3505</v>
      </c>
      <c r="C1532" s="5" t="s">
        <v>75</v>
      </c>
      <c r="D1532" s="5" t="s">
        <v>76</v>
      </c>
      <c r="E1532" s="5" t="s">
        <v>924</v>
      </c>
      <c r="F1532" s="9">
        <v>90</v>
      </c>
      <c r="G1532" s="9">
        <v>988</v>
      </c>
      <c r="H1532" s="5" t="s">
        <v>21</v>
      </c>
      <c r="I1532" s="5" t="s">
        <v>3506</v>
      </c>
      <c r="J1532" s="12" t="str">
        <f>HYPERLINK("https://www.boe.es/gazeta/dias/1801/09/18/pdfs/GMD-1801-90.pdf#page=3","Abrir facsímil")</f>
        <v>Abrir facsímil</v>
      </c>
      <c r="K1532" s="15" t="s">
        <v>23</v>
      </c>
    </row>
    <row r="1533" spans="1:11" ht="42" customHeight="1">
      <c r="A1533" s="4" t="s">
        <v>3507</v>
      </c>
      <c r="B1533" s="5" t="s">
        <v>3507</v>
      </c>
      <c r="C1533" s="5" t="s">
        <v>75</v>
      </c>
      <c r="D1533" s="5" t="s">
        <v>76</v>
      </c>
      <c r="E1533" s="5" t="s">
        <v>781</v>
      </c>
      <c r="F1533" s="9">
        <v>14</v>
      </c>
      <c r="G1533" s="9">
        <v>169</v>
      </c>
      <c r="H1533" s="5" t="s">
        <v>21</v>
      </c>
      <c r="I1533" s="5" t="s">
        <v>3508</v>
      </c>
      <c r="J1533" s="12" t="str">
        <f>HYPERLINK("https://www.boe.es/gazeta/dias/1801/02/17/pdfs/GMD-1801-14.pdf#page=4","Abrir facsímil")</f>
        <v>Abrir facsímil</v>
      </c>
      <c r="K1533" s="15" t="s">
        <v>23</v>
      </c>
    </row>
    <row r="1534" spans="1:11" ht="42" customHeight="1">
      <c r="A1534" s="4" t="s">
        <v>3509</v>
      </c>
      <c r="B1534" s="5" t="s">
        <v>3509</v>
      </c>
      <c r="C1534" s="5" t="s">
        <v>18</v>
      </c>
      <c r="D1534" s="5" t="s">
        <v>19</v>
      </c>
      <c r="E1534" s="5" t="s">
        <v>173</v>
      </c>
      <c r="F1534" s="9">
        <v>98</v>
      </c>
      <c r="G1534" s="9">
        <v>1074</v>
      </c>
      <c r="H1534" s="5" t="s">
        <v>21</v>
      </c>
      <c r="I1534" s="5" t="s">
        <v>3315</v>
      </c>
      <c r="J1534" s="12" t="str">
        <f>HYPERLINK("https://www.boe.es/gazeta/dias/1801/10/16/pdfs/GMD-1801-98.pdf#page=6","Abrir facsímil")</f>
        <v>Abrir facsímil</v>
      </c>
      <c r="K1534" s="15" t="s">
        <v>23</v>
      </c>
    </row>
    <row r="1535" spans="1:11" ht="42" customHeight="1">
      <c r="A1535" s="4" t="s">
        <v>3510</v>
      </c>
      <c r="B1535" s="5" t="s">
        <v>3510</v>
      </c>
      <c r="C1535" s="5" t="s">
        <v>75</v>
      </c>
      <c r="D1535" s="5" t="s">
        <v>76</v>
      </c>
      <c r="E1535" s="5" t="s">
        <v>40</v>
      </c>
      <c r="F1535" s="9">
        <v>63</v>
      </c>
      <c r="G1535" s="9">
        <v>711</v>
      </c>
      <c r="H1535" s="5" t="s">
        <v>21</v>
      </c>
      <c r="I1535" s="5" t="s">
        <v>3352</v>
      </c>
      <c r="J1535" s="12" t="str">
        <f>HYPERLINK("https://www.boe.es/gazeta/dias/1801/07/03/pdfs/GMD-1801-63.pdf#page=8","Abrir facsímil")</f>
        <v>Abrir facsímil</v>
      </c>
      <c r="K1535" s="15" t="s">
        <v>23</v>
      </c>
    </row>
    <row r="1536" spans="1:11" ht="42" customHeight="1">
      <c r="A1536" s="4" t="s">
        <v>3511</v>
      </c>
      <c r="B1536" s="5" t="s">
        <v>3511</v>
      </c>
      <c r="C1536" s="5" t="s">
        <v>75</v>
      </c>
      <c r="D1536" s="5" t="s">
        <v>76</v>
      </c>
      <c r="E1536" s="5" t="s">
        <v>44</v>
      </c>
      <c r="F1536" s="9">
        <v>117</v>
      </c>
      <c r="G1536" s="9">
        <v>1278</v>
      </c>
      <c r="H1536" s="5" t="s">
        <v>21</v>
      </c>
      <c r="I1536" s="5" t="s">
        <v>3512</v>
      </c>
      <c r="J1536" s="12" t="str">
        <f>HYPERLINK("https://www.boe.es/gazeta/dias/1801/12/22/pdfs/GMD-1801-117.pdf#page=5","Abrir facsímil")</f>
        <v>Abrir facsímil</v>
      </c>
      <c r="K1536" s="15" t="s">
        <v>23</v>
      </c>
    </row>
    <row r="1537" spans="1:11" ht="42" customHeight="1">
      <c r="A1537" s="4" t="s">
        <v>3513</v>
      </c>
      <c r="B1537" s="5" t="s">
        <v>3513</v>
      </c>
      <c r="C1537" s="5" t="s">
        <v>18</v>
      </c>
      <c r="D1537" s="5" t="s">
        <v>19</v>
      </c>
      <c r="E1537" s="5" t="s">
        <v>82</v>
      </c>
      <c r="F1537" s="9">
        <v>75</v>
      </c>
      <c r="G1537" s="9">
        <v>833</v>
      </c>
      <c r="H1537" s="5" t="s">
        <v>21</v>
      </c>
      <c r="I1537" s="5" t="s">
        <v>3514</v>
      </c>
      <c r="J1537" s="12" t="str">
        <f>HYPERLINK("https://www.boe.es/gazeta/dias/1801/08/04/pdfs/GMD-1801-75.pdf#page=2","Abrir facsímil")</f>
        <v>Abrir facsímil</v>
      </c>
      <c r="K1537" s="15" t="s">
        <v>23</v>
      </c>
    </row>
    <row r="1538" spans="1:11" ht="42" customHeight="1">
      <c r="A1538" s="4" t="s">
        <v>3515</v>
      </c>
      <c r="B1538" s="5" t="s">
        <v>3515</v>
      </c>
      <c r="C1538" s="5" t="s">
        <v>32</v>
      </c>
      <c r="D1538" s="5" t="s">
        <v>33</v>
      </c>
      <c r="E1538" s="5" t="s">
        <v>62</v>
      </c>
      <c r="F1538" s="9">
        <v>6</v>
      </c>
      <c r="G1538" s="9">
        <v>73</v>
      </c>
      <c r="H1538" s="5" t="s">
        <v>21</v>
      </c>
      <c r="I1538" s="5" t="s">
        <v>3516</v>
      </c>
      <c r="J1538" s="12" t="str">
        <f>HYPERLINK("https://www.boe.es/gazeta/dias/1801/01/20/pdfs/GMD-1801-6.pdf#page=9","Abrir facsímil")</f>
        <v>Abrir facsímil</v>
      </c>
      <c r="K1538" s="15" t="s">
        <v>23</v>
      </c>
    </row>
    <row r="1539" spans="1:11" ht="42" customHeight="1">
      <c r="A1539" s="4" t="s">
        <v>3517</v>
      </c>
      <c r="B1539" s="5" t="s">
        <v>3517</v>
      </c>
      <c r="C1539" s="5" t="s">
        <v>75</v>
      </c>
      <c r="D1539" s="5" t="s">
        <v>76</v>
      </c>
      <c r="E1539" s="5" t="s">
        <v>70</v>
      </c>
      <c r="F1539" s="9">
        <v>2</v>
      </c>
      <c r="G1539" s="9">
        <v>17</v>
      </c>
      <c r="H1539" s="5" t="s">
        <v>21</v>
      </c>
      <c r="I1539" s="5" t="s">
        <v>3493</v>
      </c>
      <c r="J1539" s="12" t="str">
        <f>HYPERLINK("https://www.boe.es/gazeta/dias/1801/01/06/pdfs/GMD-1801-2.pdf#page=5","Abrir facsímil")</f>
        <v>Abrir facsímil</v>
      </c>
      <c r="K1539" s="15" t="s">
        <v>23</v>
      </c>
    </row>
    <row r="1540" spans="1:11" ht="42" customHeight="1">
      <c r="A1540" s="4" t="s">
        <v>3518</v>
      </c>
      <c r="B1540" s="5" t="s">
        <v>3518</v>
      </c>
      <c r="C1540" s="5" t="s">
        <v>75</v>
      </c>
      <c r="D1540" s="5" t="s">
        <v>76</v>
      </c>
      <c r="E1540" s="5" t="s">
        <v>924</v>
      </c>
      <c r="F1540" s="9">
        <v>90</v>
      </c>
      <c r="G1540" s="9">
        <v>988</v>
      </c>
      <c r="H1540" s="5" t="s">
        <v>21</v>
      </c>
      <c r="I1540" s="5" t="s">
        <v>3506</v>
      </c>
      <c r="J1540" s="12" t="str">
        <f>HYPERLINK("https://www.boe.es/gazeta/dias/1801/09/18/pdfs/GMD-1801-90.pdf#page=3","Abrir facsímil")</f>
        <v>Abrir facsímil</v>
      </c>
      <c r="K1540" s="15" t="s">
        <v>23</v>
      </c>
    </row>
    <row r="1541" spans="1:11" ht="42" customHeight="1">
      <c r="A1541" s="4" t="s">
        <v>3519</v>
      </c>
      <c r="B1541" s="5" t="s">
        <v>3519</v>
      </c>
      <c r="C1541" s="5" t="s">
        <v>32</v>
      </c>
      <c r="D1541" s="5" t="s">
        <v>33</v>
      </c>
      <c r="E1541" s="5" t="s">
        <v>924</v>
      </c>
      <c r="F1541" s="9">
        <v>90</v>
      </c>
      <c r="G1541" s="9">
        <v>989</v>
      </c>
      <c r="H1541" s="5" t="s">
        <v>21</v>
      </c>
      <c r="I1541" s="5" t="s">
        <v>3520</v>
      </c>
      <c r="J1541" s="12" t="str">
        <f>HYPERLINK("https://www.boe.es/gazeta/dias/1801/09/18/pdfs/GMD-1801-90.pdf#page=4","Abrir facsímil")</f>
        <v>Abrir facsímil</v>
      </c>
      <c r="K1541" s="15" t="s">
        <v>23</v>
      </c>
    </row>
    <row r="1542" spans="1:11" ht="42" customHeight="1">
      <c r="A1542" s="4" t="s">
        <v>3521</v>
      </c>
      <c r="B1542" s="5" t="s">
        <v>3521</v>
      </c>
      <c r="C1542" s="5" t="s">
        <v>32</v>
      </c>
      <c r="D1542" s="5" t="s">
        <v>33</v>
      </c>
      <c r="E1542" s="5" t="s">
        <v>155</v>
      </c>
      <c r="F1542" s="9">
        <v>50</v>
      </c>
      <c r="G1542" s="9">
        <v>592</v>
      </c>
      <c r="H1542" s="5" t="s">
        <v>21</v>
      </c>
      <c r="I1542" s="5" t="s">
        <v>3522</v>
      </c>
      <c r="J1542" s="12" t="str">
        <f>HYPERLINK("https://www.boe.es/gazeta/dias/1801/06/09/pdfs/GMD-1801-50.pdf#page=4","Abrir facsímil")</f>
        <v>Abrir facsímil</v>
      </c>
      <c r="K1542" s="15" t="s">
        <v>23</v>
      </c>
    </row>
    <row r="1543" spans="1:11" ht="42" customHeight="1">
      <c r="A1543" s="4" t="s">
        <v>3523</v>
      </c>
      <c r="B1543" s="5" t="s">
        <v>3523</v>
      </c>
      <c r="C1543" s="5" t="s">
        <v>38</v>
      </c>
      <c r="D1543" s="5" t="s">
        <v>39</v>
      </c>
      <c r="E1543" s="5" t="s">
        <v>751</v>
      </c>
      <c r="F1543" s="9">
        <v>106</v>
      </c>
      <c r="G1543" s="9">
        <v>1163</v>
      </c>
      <c r="H1543" s="5" t="s">
        <v>21</v>
      </c>
      <c r="I1543" s="5" t="s">
        <v>3524</v>
      </c>
      <c r="J1543" s="12" t="str">
        <f>HYPERLINK("https://www.boe.es/gazeta/dias/1801/11/13/pdfs/GMD-1801-106.pdf#page=4","Abrir facsímil")</f>
        <v>Abrir facsímil</v>
      </c>
      <c r="K1543" s="15" t="s">
        <v>23</v>
      </c>
    </row>
    <row r="1544" spans="1:11" ht="42" customHeight="1">
      <c r="A1544" s="4" t="s">
        <v>3525</v>
      </c>
      <c r="B1544" s="5" t="s">
        <v>3525</v>
      </c>
      <c r="C1544" s="5" t="s">
        <v>75</v>
      </c>
      <c r="D1544" s="5" t="s">
        <v>76</v>
      </c>
      <c r="E1544" s="5" t="s">
        <v>764</v>
      </c>
      <c r="F1544" s="9">
        <v>80</v>
      </c>
      <c r="G1544" s="9">
        <v>894</v>
      </c>
      <c r="H1544" s="5" t="s">
        <v>21</v>
      </c>
      <c r="I1544" s="5" t="s">
        <v>3526</v>
      </c>
      <c r="J1544" s="12" t="str">
        <f>HYPERLINK("https://www.boe.es/gazeta/dias/1801/08/21/pdfs/GMD-1801-80.pdf#page=3","Abrir facsímil")</f>
        <v>Abrir facsímil</v>
      </c>
      <c r="K1544" s="15" t="s">
        <v>23</v>
      </c>
    </row>
    <row r="1545" spans="1:11" ht="42" customHeight="1">
      <c r="A1545" s="4" t="s">
        <v>3527</v>
      </c>
      <c r="B1545" s="5" t="s">
        <v>3527</v>
      </c>
      <c r="C1545" s="5" t="s">
        <v>75</v>
      </c>
      <c r="D1545" s="5" t="s">
        <v>76</v>
      </c>
      <c r="E1545" s="5" t="s">
        <v>764</v>
      </c>
      <c r="F1545" s="9">
        <v>80</v>
      </c>
      <c r="G1545" s="9">
        <v>894</v>
      </c>
      <c r="H1545" s="5" t="s">
        <v>21</v>
      </c>
      <c r="I1545" s="5" t="s">
        <v>3528</v>
      </c>
      <c r="J1545" s="12" t="str">
        <f>HYPERLINK("https://www.boe.es/gazeta/dias/1801/08/21/pdfs/GMD-1801-80.pdf#page=3","Abrir facsímil")</f>
        <v>Abrir facsímil</v>
      </c>
      <c r="K1545" s="15" t="s">
        <v>23</v>
      </c>
    </row>
    <row r="1546" spans="1:11" ht="42" customHeight="1">
      <c r="A1546" s="4" t="s">
        <v>3529</v>
      </c>
      <c r="B1546" s="5" t="s">
        <v>3529</v>
      </c>
      <c r="C1546" s="5" t="s">
        <v>32</v>
      </c>
      <c r="D1546" s="5" t="s">
        <v>33</v>
      </c>
      <c r="E1546" s="5" t="s">
        <v>201</v>
      </c>
      <c r="F1546" s="9">
        <v>79</v>
      </c>
      <c r="G1546" s="9">
        <v>886</v>
      </c>
      <c r="H1546" s="5" t="s">
        <v>21</v>
      </c>
      <c r="I1546" s="5" t="s">
        <v>3530</v>
      </c>
      <c r="J1546" s="12" t="str">
        <f>HYPERLINK("https://www.boe.es/gazeta/dias/1801/08/18/pdfs/GMD-1801-79.pdf#page=3","Abrir facsímil")</f>
        <v>Abrir facsímil</v>
      </c>
      <c r="K1546" s="15" t="s">
        <v>23</v>
      </c>
    </row>
    <row r="1547" spans="1:11" ht="42" customHeight="1">
      <c r="A1547" s="4" t="s">
        <v>3531</v>
      </c>
      <c r="B1547" s="5" t="s">
        <v>3531</v>
      </c>
      <c r="C1547" s="5" t="s">
        <v>75</v>
      </c>
      <c r="D1547" s="5" t="s">
        <v>76</v>
      </c>
      <c r="E1547" s="5" t="s">
        <v>462</v>
      </c>
      <c r="F1547" s="9">
        <v>5</v>
      </c>
      <c r="G1547" s="9">
        <v>54</v>
      </c>
      <c r="H1547" s="5" t="s">
        <v>21</v>
      </c>
      <c r="I1547" s="5" t="s">
        <v>3532</v>
      </c>
      <c r="J1547" s="12" t="str">
        <f>HYPERLINK("https://www.boe.es/gazeta/dias/1801/01/16/pdfs/GMD-1801-5.pdf#page=6","Abrir facsímil")</f>
        <v>Abrir facsímil</v>
      </c>
      <c r="K1547" s="15" t="s">
        <v>23</v>
      </c>
    </row>
    <row r="1548" spans="1:11" ht="42" customHeight="1">
      <c r="A1548" s="4" t="s">
        <v>3533</v>
      </c>
      <c r="B1548" s="5" t="s">
        <v>3533</v>
      </c>
      <c r="C1548" s="5" t="s">
        <v>69</v>
      </c>
      <c r="D1548" s="5" t="s">
        <v>19</v>
      </c>
      <c r="E1548" s="5" t="s">
        <v>1487</v>
      </c>
      <c r="F1548" s="9" t="s">
        <v>1488</v>
      </c>
      <c r="G1548" s="9">
        <v>642</v>
      </c>
      <c r="H1548" s="5" t="s">
        <v>21</v>
      </c>
      <c r="I1548" s="5" t="s">
        <v>3534</v>
      </c>
      <c r="J1548" s="12" t="str">
        <f>HYPERLINK("https://www.boe.es/gazeta/dias/1801/06/17/pdfs/GMD-1801-56E.pdf#page=2","Abrir facsímil")</f>
        <v>Abrir facsímil</v>
      </c>
      <c r="K1548" s="15" t="s">
        <v>23</v>
      </c>
    </row>
    <row r="1549" spans="1:11" ht="42" customHeight="1">
      <c r="A1549" s="4" t="s">
        <v>3535</v>
      </c>
      <c r="B1549" s="5" t="s">
        <v>3535</v>
      </c>
      <c r="C1549" s="5" t="s">
        <v>38</v>
      </c>
      <c r="D1549" s="5" t="s">
        <v>39</v>
      </c>
      <c r="E1549" s="5" t="s">
        <v>112</v>
      </c>
      <c r="F1549" s="9">
        <v>114</v>
      </c>
      <c r="G1549" s="9">
        <v>1244</v>
      </c>
      <c r="H1549" s="5" t="s">
        <v>21</v>
      </c>
      <c r="I1549" s="5" t="s">
        <v>3536</v>
      </c>
      <c r="J1549" s="12" t="str">
        <f>HYPERLINK("https://www.boe.es/gazeta/dias/1801/12/11/pdfs/GMD-1801-114.pdf#page=6","Abrir facsímil")</f>
        <v>Abrir facsímil</v>
      </c>
      <c r="K1549" s="15" t="s">
        <v>23</v>
      </c>
    </row>
    <row r="1550" spans="1:11" ht="42" customHeight="1">
      <c r="A1550" s="4" t="s">
        <v>3537</v>
      </c>
      <c r="B1550" s="5" t="s">
        <v>3537</v>
      </c>
      <c r="C1550" s="5" t="s">
        <v>38</v>
      </c>
      <c r="D1550" s="5" t="s">
        <v>39</v>
      </c>
      <c r="E1550" s="5" t="s">
        <v>62</v>
      </c>
      <c r="F1550" s="9">
        <v>6</v>
      </c>
      <c r="G1550" s="9">
        <v>73</v>
      </c>
      <c r="H1550" s="5" t="s">
        <v>21</v>
      </c>
      <c r="I1550" s="5" t="s">
        <v>3538</v>
      </c>
      <c r="J1550" s="12" t="str">
        <f>HYPERLINK("https://www.boe.es/gazeta/dias/1801/01/20/pdfs/GMD-1801-6.pdf#page=9","Abrir facsímil")</f>
        <v>Abrir facsímil</v>
      </c>
      <c r="K1550" s="15" t="s">
        <v>23</v>
      </c>
    </row>
    <row r="1551" spans="1:11" ht="42" customHeight="1">
      <c r="A1551" s="4" t="s">
        <v>3539</v>
      </c>
      <c r="B1551" s="5" t="s">
        <v>3539</v>
      </c>
      <c r="C1551" s="5" t="s">
        <v>32</v>
      </c>
      <c r="D1551" s="5" t="s">
        <v>33</v>
      </c>
      <c r="E1551" s="5" t="s">
        <v>480</v>
      </c>
      <c r="F1551" s="9">
        <v>10</v>
      </c>
      <c r="G1551" s="9">
        <v>123</v>
      </c>
      <c r="H1551" s="5" t="s">
        <v>21</v>
      </c>
      <c r="I1551" s="5" t="s">
        <v>3540</v>
      </c>
      <c r="J1551" s="12" t="str">
        <f>HYPERLINK("https://www.boe.es/gazeta/dias/1801/02/03/pdfs/GMD-1801-10.pdf#page=8","Abrir facsímil")</f>
        <v>Abrir facsímil</v>
      </c>
      <c r="K1551" s="15" t="s">
        <v>23</v>
      </c>
    </row>
    <row r="1552" spans="1:11" ht="42" customHeight="1">
      <c r="A1552" s="4" t="s">
        <v>3541</v>
      </c>
      <c r="B1552" s="5" t="s">
        <v>3541</v>
      </c>
      <c r="C1552" s="5" t="s">
        <v>32</v>
      </c>
      <c r="D1552" s="5" t="s">
        <v>33</v>
      </c>
      <c r="E1552" s="5" t="s">
        <v>82</v>
      </c>
      <c r="F1552" s="9">
        <v>75</v>
      </c>
      <c r="G1552" s="9">
        <v>841</v>
      </c>
      <c r="H1552" s="5" t="s">
        <v>21</v>
      </c>
      <c r="I1552" s="5" t="s">
        <v>3542</v>
      </c>
      <c r="J1552" s="12" t="str">
        <f>HYPERLINK("https://www.boe.es/gazeta/dias/1801/08/04/pdfs/GMD-1801-75.pdf#page=10","Abrir facsímil")</f>
        <v>Abrir facsímil</v>
      </c>
      <c r="K1552" s="15" t="s">
        <v>23</v>
      </c>
    </row>
    <row r="1553" spans="1:11" ht="42" customHeight="1">
      <c r="A1553" s="4" t="s">
        <v>3543</v>
      </c>
      <c r="B1553" s="5" t="s">
        <v>3543</v>
      </c>
      <c r="C1553" s="5" t="s">
        <v>38</v>
      </c>
      <c r="D1553" s="5" t="s">
        <v>39</v>
      </c>
      <c r="E1553" s="5" t="s">
        <v>3544</v>
      </c>
      <c r="F1553" s="9">
        <v>110</v>
      </c>
      <c r="G1553" s="9">
        <v>1208</v>
      </c>
      <c r="H1553" s="5" t="s">
        <v>21</v>
      </c>
      <c r="I1553" s="5" t="s">
        <v>3545</v>
      </c>
      <c r="J1553" s="12" t="str">
        <f>HYPERLINK("https://www.boe.es/gazeta/dias/1801/11/27/pdfs/GMD-1801-110.pdf#page=1","Abrir facsímil")</f>
        <v>Abrir facsímil</v>
      </c>
      <c r="K1553" s="15" t="s">
        <v>23</v>
      </c>
    </row>
    <row r="1554" spans="1:11" ht="42" customHeight="1">
      <c r="A1554" s="4" t="s">
        <v>3546</v>
      </c>
      <c r="B1554" s="5" t="s">
        <v>3546</v>
      </c>
      <c r="C1554" s="5" t="s">
        <v>75</v>
      </c>
      <c r="D1554" s="5" t="s">
        <v>76</v>
      </c>
      <c r="E1554" s="5" t="s">
        <v>137</v>
      </c>
      <c r="F1554" s="9">
        <v>30</v>
      </c>
      <c r="G1554" s="9">
        <v>392</v>
      </c>
      <c r="H1554" s="5" t="s">
        <v>21</v>
      </c>
      <c r="I1554" s="5" t="s">
        <v>3547</v>
      </c>
      <c r="J1554" s="12" t="str">
        <f>HYPERLINK("https://www.boe.es/gazeta/dias/1801/04/14/pdfs/GMD-1801-30.pdf#page=8","Abrir facsímil")</f>
        <v>Abrir facsímil</v>
      </c>
      <c r="K1554" s="15" t="s">
        <v>23</v>
      </c>
    </row>
    <row r="1555" spans="1:11" ht="42" customHeight="1">
      <c r="A1555" s="4" t="s">
        <v>3548</v>
      </c>
      <c r="B1555" s="5" t="s">
        <v>3548</v>
      </c>
      <c r="C1555" s="5" t="s">
        <v>18</v>
      </c>
      <c r="D1555" s="5" t="s">
        <v>19</v>
      </c>
      <c r="E1555" s="5" t="s">
        <v>465</v>
      </c>
      <c r="F1555" s="9">
        <v>4</v>
      </c>
      <c r="G1555" s="9">
        <v>40</v>
      </c>
      <c r="H1555" s="5" t="s">
        <v>21</v>
      </c>
      <c r="I1555" s="5" t="s">
        <v>3549</v>
      </c>
      <c r="J1555" s="12" t="str">
        <f>HYPERLINK("https://www.boe.es/gazeta/dias/1801/01/13/pdfs/GMD-1801-4.pdf#page=4","Abrir facsímil")</f>
        <v>Abrir facsímil</v>
      </c>
      <c r="K1555" s="15" t="s">
        <v>23</v>
      </c>
    </row>
    <row r="1556" spans="1:11" ht="42" customHeight="1">
      <c r="A1556" s="4" t="s">
        <v>3548</v>
      </c>
      <c r="B1556" s="5" t="s">
        <v>3548</v>
      </c>
      <c r="C1556" s="5" t="s">
        <v>38</v>
      </c>
      <c r="D1556" s="5" t="s">
        <v>39</v>
      </c>
      <c r="E1556" s="5" t="s">
        <v>143</v>
      </c>
      <c r="F1556" s="9">
        <v>34</v>
      </c>
      <c r="G1556" s="9">
        <v>429</v>
      </c>
      <c r="H1556" s="5" t="s">
        <v>21</v>
      </c>
      <c r="I1556" s="5" t="s">
        <v>3550</v>
      </c>
      <c r="J1556" s="12" t="str">
        <f>HYPERLINK("https://www.boe.es/gazeta/dias/1801/04/28/pdfs/GMD-1801-34.pdf#page=1","Abrir facsímil")</f>
        <v>Abrir facsímil</v>
      </c>
      <c r="K1556" s="15" t="s">
        <v>23</v>
      </c>
    </row>
    <row r="1557" spans="1:11" ht="42" customHeight="1">
      <c r="A1557" s="4" t="s">
        <v>3551</v>
      </c>
      <c r="B1557" s="5" t="s">
        <v>3551</v>
      </c>
      <c r="C1557" s="5" t="s">
        <v>38</v>
      </c>
      <c r="D1557" s="5" t="s">
        <v>39</v>
      </c>
      <c r="E1557" s="5" t="s">
        <v>48</v>
      </c>
      <c r="F1557" s="9">
        <v>20</v>
      </c>
      <c r="G1557" s="9">
        <v>264</v>
      </c>
      <c r="H1557" s="5" t="s">
        <v>21</v>
      </c>
      <c r="I1557" s="5" t="s">
        <v>3552</v>
      </c>
      <c r="J1557" s="12" t="str">
        <f>HYPERLINK("https://www.boe.es/gazeta/dias/1801/03/10/pdfs/GMD-1801-20.pdf#page=9","Abrir facsímil")</f>
        <v>Abrir facsímil</v>
      </c>
      <c r="K1557" s="15" t="s">
        <v>23</v>
      </c>
    </row>
    <row r="1558" spans="1:11" ht="42" customHeight="1">
      <c r="A1558" s="4" t="s">
        <v>3553</v>
      </c>
      <c r="B1558" s="5" t="s">
        <v>3553</v>
      </c>
      <c r="C1558" s="5" t="s">
        <v>75</v>
      </c>
      <c r="D1558" s="5" t="s">
        <v>76</v>
      </c>
      <c r="E1558" s="5" t="s">
        <v>735</v>
      </c>
      <c r="F1558" s="9">
        <v>97</v>
      </c>
      <c r="G1558" s="9">
        <v>1059</v>
      </c>
      <c r="H1558" s="5" t="s">
        <v>21</v>
      </c>
      <c r="I1558" s="5" t="s">
        <v>3554</v>
      </c>
      <c r="J1558" s="12" t="str">
        <f>HYPERLINK("https://www.boe.es/gazeta/dias/1801/10/13/pdfs/GMD-1801-97.pdf#page=3","Abrir facsímil")</f>
        <v>Abrir facsímil</v>
      </c>
      <c r="K1558" s="15" t="s">
        <v>23</v>
      </c>
    </row>
    <row r="1559" spans="1:11" ht="42" customHeight="1">
      <c r="A1559" s="4" t="s">
        <v>3555</v>
      </c>
      <c r="B1559" s="5" t="s">
        <v>3555</v>
      </c>
      <c r="C1559" s="5" t="s">
        <v>75</v>
      </c>
      <c r="D1559" s="5" t="s">
        <v>76</v>
      </c>
      <c r="E1559" s="5" t="s">
        <v>258</v>
      </c>
      <c r="F1559" s="9">
        <v>96</v>
      </c>
      <c r="G1559" s="9">
        <v>1049</v>
      </c>
      <c r="H1559" s="5" t="s">
        <v>21</v>
      </c>
      <c r="I1559" s="5" t="s">
        <v>3556</v>
      </c>
      <c r="J1559" s="12" t="str">
        <f>HYPERLINK("https://www.boe.es/gazeta/dias/1801/10/09/pdfs/GMD-1801-96.pdf#page=5","Abrir facsímil")</f>
        <v>Abrir facsímil</v>
      </c>
      <c r="K1559" s="15" t="s">
        <v>23</v>
      </c>
    </row>
    <row r="1560" spans="1:11" ht="42" customHeight="1">
      <c r="A1560" s="4" t="s">
        <v>3557</v>
      </c>
      <c r="B1560" s="5" t="s">
        <v>3557</v>
      </c>
      <c r="C1560" s="5" t="s">
        <v>75</v>
      </c>
      <c r="D1560" s="5" t="s">
        <v>76</v>
      </c>
      <c r="E1560" s="5" t="s">
        <v>128</v>
      </c>
      <c r="F1560" s="9">
        <v>17</v>
      </c>
      <c r="G1560" s="9">
        <v>209</v>
      </c>
      <c r="H1560" s="5" t="s">
        <v>21</v>
      </c>
      <c r="I1560" s="5" t="s">
        <v>3558</v>
      </c>
      <c r="J1560" s="12" t="str">
        <f>HYPERLINK("https://www.boe.es/gazeta/dias/1801/02/27/pdfs/GMD-1801-17.pdf#page=4","Abrir facsímil")</f>
        <v>Abrir facsímil</v>
      </c>
      <c r="K1560" s="15" t="s">
        <v>23</v>
      </c>
    </row>
    <row r="1561" spans="1:11" ht="42" customHeight="1">
      <c r="A1561" s="4" t="s">
        <v>3559</v>
      </c>
      <c r="B1561" s="5" t="s">
        <v>3559</v>
      </c>
      <c r="C1561" s="5" t="s">
        <v>32</v>
      </c>
      <c r="D1561" s="5" t="s">
        <v>33</v>
      </c>
      <c r="E1561" s="5" t="s">
        <v>153</v>
      </c>
      <c r="F1561" s="9">
        <v>48</v>
      </c>
      <c r="G1561" s="9">
        <v>582</v>
      </c>
      <c r="H1561" s="5" t="s">
        <v>21</v>
      </c>
      <c r="I1561" s="5" t="s">
        <v>3560</v>
      </c>
      <c r="J1561" s="12" t="str">
        <f>HYPERLINK("https://www.boe.es/gazeta/dias/1801/06/05/pdfs/GMD-1801-48.pdf#page=4","Abrir facsímil")</f>
        <v>Abrir facsímil</v>
      </c>
      <c r="K1561" s="15" t="s">
        <v>23</v>
      </c>
    </row>
    <row r="1562" spans="1:11" ht="42" customHeight="1">
      <c r="A1562" s="4" t="s">
        <v>3561</v>
      </c>
      <c r="B1562" s="5" t="s">
        <v>3561</v>
      </c>
      <c r="C1562" s="5" t="s">
        <v>32</v>
      </c>
      <c r="D1562" s="5" t="s">
        <v>33</v>
      </c>
      <c r="E1562" s="5" t="s">
        <v>223</v>
      </c>
      <c r="F1562" s="9">
        <v>74</v>
      </c>
      <c r="G1562" s="9">
        <v>827</v>
      </c>
      <c r="H1562" s="5" t="s">
        <v>21</v>
      </c>
      <c r="I1562" s="5" t="s">
        <v>3562</v>
      </c>
      <c r="J1562" s="12" t="str">
        <f>HYPERLINK("https://www.boe.es/gazeta/dias/1801/07/31/pdfs/GMD-1801-74.pdf#page=8","Abrir facsímil")</f>
        <v>Abrir facsímil</v>
      </c>
      <c r="K1562" s="15" t="s">
        <v>23</v>
      </c>
    </row>
    <row r="1563" spans="1:11" ht="42" customHeight="1">
      <c r="A1563" s="4" t="s">
        <v>3563</v>
      </c>
      <c r="B1563" s="5" t="s">
        <v>3563</v>
      </c>
      <c r="C1563" s="5" t="s">
        <v>75</v>
      </c>
      <c r="D1563" s="5" t="s">
        <v>76</v>
      </c>
      <c r="E1563" s="5" t="s">
        <v>764</v>
      </c>
      <c r="F1563" s="9">
        <v>80</v>
      </c>
      <c r="G1563" s="9">
        <v>894</v>
      </c>
      <c r="H1563" s="5" t="s">
        <v>21</v>
      </c>
      <c r="I1563" s="5" t="s">
        <v>3564</v>
      </c>
      <c r="J1563" s="12" t="str">
        <f>HYPERLINK("https://www.boe.es/gazeta/dias/1801/08/21/pdfs/GMD-1801-80.pdf#page=3","Abrir facsímil")</f>
        <v>Abrir facsímil</v>
      </c>
      <c r="K1563" s="15" t="s">
        <v>23</v>
      </c>
    </row>
    <row r="1564" spans="1:11" ht="42" customHeight="1">
      <c r="A1564" s="4" t="s">
        <v>3565</v>
      </c>
      <c r="B1564" s="5" t="s">
        <v>3565</v>
      </c>
      <c r="C1564" s="5" t="s">
        <v>32</v>
      </c>
      <c r="D1564" s="5" t="s">
        <v>33</v>
      </c>
      <c r="E1564" s="5" t="s">
        <v>201</v>
      </c>
      <c r="F1564" s="9">
        <v>79</v>
      </c>
      <c r="G1564" s="9">
        <v>888</v>
      </c>
      <c r="H1564" s="5" t="s">
        <v>21</v>
      </c>
      <c r="I1564" s="5" t="s">
        <v>3566</v>
      </c>
      <c r="J1564" s="12" t="str">
        <f>HYPERLINK("https://www.boe.es/gazeta/dias/1801/08/18/pdfs/GMD-1801-79.pdf#page=5","Abrir facsímil")</f>
        <v>Abrir facsímil</v>
      </c>
      <c r="K1564" s="15" t="s">
        <v>23</v>
      </c>
    </row>
    <row r="1565" spans="1:11" ht="42" customHeight="1">
      <c r="A1565" s="4" t="s">
        <v>3567</v>
      </c>
      <c r="B1565" s="5" t="s">
        <v>3567</v>
      </c>
      <c r="C1565" s="5" t="s">
        <v>32</v>
      </c>
      <c r="D1565" s="5" t="s">
        <v>33</v>
      </c>
      <c r="E1565" s="5" t="s">
        <v>289</v>
      </c>
      <c r="F1565" s="9">
        <v>40</v>
      </c>
      <c r="G1565" s="9">
        <v>510</v>
      </c>
      <c r="H1565" s="5" t="s">
        <v>21</v>
      </c>
      <c r="I1565" s="5" t="s">
        <v>3568</v>
      </c>
      <c r="J1565" s="12" t="str">
        <f>HYPERLINK("https://www.boe.es/gazeta/dias/1801/05/19/pdfs/GMD-1801-40.pdf#page=2","Abrir facsímil")</f>
        <v>Abrir facsímil</v>
      </c>
      <c r="K1565" s="15" t="s">
        <v>23</v>
      </c>
    </row>
    <row r="1566" spans="1:11" ht="42" customHeight="1">
      <c r="A1566" s="4" t="s">
        <v>3569</v>
      </c>
      <c r="B1566" s="5" t="s">
        <v>3569</v>
      </c>
      <c r="C1566" s="5" t="s">
        <v>75</v>
      </c>
      <c r="D1566" s="5" t="s">
        <v>76</v>
      </c>
      <c r="E1566" s="5" t="s">
        <v>1939</v>
      </c>
      <c r="F1566" s="9">
        <v>107</v>
      </c>
      <c r="G1566" s="9">
        <v>1177</v>
      </c>
      <c r="H1566" s="5" t="s">
        <v>21</v>
      </c>
      <c r="I1566" s="5" t="s">
        <v>3570</v>
      </c>
      <c r="J1566" s="12" t="str">
        <f>HYPERLINK("https://www.boe.es/gazeta/dias/1801/11/17/pdfs/GMD-1801-107.pdf#page=6","Abrir facsímil")</f>
        <v>Abrir facsímil</v>
      </c>
      <c r="K1566" s="15" t="s">
        <v>23</v>
      </c>
    </row>
    <row r="1567" spans="1:11" ht="42" customHeight="1">
      <c r="A1567" s="4" t="s">
        <v>3571</v>
      </c>
      <c r="B1567" s="5" t="s">
        <v>3571</v>
      </c>
      <c r="C1567" s="5" t="s">
        <v>32</v>
      </c>
      <c r="D1567" s="5" t="s">
        <v>33</v>
      </c>
      <c r="E1567" s="5" t="s">
        <v>182</v>
      </c>
      <c r="F1567" s="9">
        <v>18</v>
      </c>
      <c r="G1567" s="9">
        <v>224</v>
      </c>
      <c r="H1567" s="5" t="s">
        <v>21</v>
      </c>
      <c r="I1567" s="5" t="s">
        <v>3572</v>
      </c>
      <c r="J1567" s="12" t="str">
        <f>HYPERLINK("https://www.boe.es/gazeta/dias/1801/03/03/pdfs/GMD-1801-18.pdf#page=5","Abrir facsímil")</f>
        <v>Abrir facsímil</v>
      </c>
      <c r="K1567" s="15" t="s">
        <v>23</v>
      </c>
    </row>
    <row r="1568" spans="1:11" ht="42" customHeight="1">
      <c r="A1568" s="4" t="s">
        <v>3573</v>
      </c>
      <c r="B1568" s="5" t="s">
        <v>3573</v>
      </c>
      <c r="C1568" s="5" t="s">
        <v>32</v>
      </c>
      <c r="D1568" s="5" t="s">
        <v>33</v>
      </c>
      <c r="E1568" s="5" t="s">
        <v>465</v>
      </c>
      <c r="F1568" s="9">
        <v>4</v>
      </c>
      <c r="G1568" s="9">
        <v>46</v>
      </c>
      <c r="H1568" s="5" t="s">
        <v>21</v>
      </c>
      <c r="I1568" s="5" t="s">
        <v>3574</v>
      </c>
      <c r="J1568" s="12" t="str">
        <f>HYPERLINK("https://www.boe.es/gazeta/dias/1801/01/13/pdfs/GMD-1801-4.pdf#page=10","Abrir facsímil")</f>
        <v>Abrir facsímil</v>
      </c>
      <c r="K1568" s="15" t="s">
        <v>23</v>
      </c>
    </row>
    <row r="1569" spans="1:11" ht="42" customHeight="1">
      <c r="A1569" s="4" t="s">
        <v>3573</v>
      </c>
      <c r="B1569" s="5" t="s">
        <v>3573</v>
      </c>
      <c r="C1569" s="5" t="s">
        <v>32</v>
      </c>
      <c r="D1569" s="5" t="s">
        <v>33</v>
      </c>
      <c r="E1569" s="5" t="s">
        <v>145</v>
      </c>
      <c r="F1569" s="9">
        <v>36</v>
      </c>
      <c r="G1569" s="9">
        <v>468</v>
      </c>
      <c r="H1569" s="5" t="s">
        <v>21</v>
      </c>
      <c r="I1569" s="5" t="s">
        <v>3575</v>
      </c>
      <c r="J1569" s="12" t="str">
        <f>HYPERLINK("https://www.boe.es/gazeta/dias/1801/05/05/pdfs/GMD-1801-36.pdf#page=12","Abrir facsímil")</f>
        <v>Abrir facsímil</v>
      </c>
      <c r="K1569" s="15" t="s">
        <v>23</v>
      </c>
    </row>
    <row r="1570" spans="1:11" ht="42" customHeight="1">
      <c r="A1570" s="4" t="s">
        <v>3576</v>
      </c>
      <c r="B1570" s="5" t="s">
        <v>3576</v>
      </c>
      <c r="C1570" s="5" t="s">
        <v>38</v>
      </c>
      <c r="D1570" s="5" t="s">
        <v>39</v>
      </c>
      <c r="E1570" s="5" t="s">
        <v>62</v>
      </c>
      <c r="F1570" s="9">
        <v>6</v>
      </c>
      <c r="G1570" s="9">
        <v>73</v>
      </c>
      <c r="H1570" s="5" t="s">
        <v>21</v>
      </c>
      <c r="I1570" s="5" t="s">
        <v>3577</v>
      </c>
      <c r="J1570" s="12" t="str">
        <f>HYPERLINK("https://www.boe.es/gazeta/dias/1801/01/20/pdfs/GMD-1801-6.pdf#page=9","Abrir facsímil")</f>
        <v>Abrir facsímil</v>
      </c>
      <c r="K1570" s="15" t="s">
        <v>23</v>
      </c>
    </row>
    <row r="1571" spans="1:11" ht="42" customHeight="1">
      <c r="A1571" s="4" t="s">
        <v>3578</v>
      </c>
      <c r="B1571" s="5" t="s">
        <v>3578</v>
      </c>
      <c r="C1571" s="5" t="s">
        <v>32</v>
      </c>
      <c r="D1571" s="5" t="s">
        <v>33</v>
      </c>
      <c r="E1571" s="5" t="s">
        <v>62</v>
      </c>
      <c r="F1571" s="9">
        <v>6</v>
      </c>
      <c r="G1571" s="9">
        <v>73</v>
      </c>
      <c r="H1571" s="5" t="s">
        <v>21</v>
      </c>
      <c r="I1571" s="5" t="s">
        <v>3579</v>
      </c>
      <c r="J1571" s="12" t="str">
        <f>HYPERLINK("https://www.boe.es/gazeta/dias/1801/01/20/pdfs/GMD-1801-6.pdf#page=9","Abrir facsímil")</f>
        <v>Abrir facsímil</v>
      </c>
      <c r="K1571" s="15" t="s">
        <v>23</v>
      </c>
    </row>
    <row r="1572" spans="1:11" ht="42" customHeight="1">
      <c r="A1572" s="4" t="s">
        <v>3580</v>
      </c>
      <c r="B1572" s="5" t="s">
        <v>3580</v>
      </c>
      <c r="C1572" s="5" t="s">
        <v>32</v>
      </c>
      <c r="D1572" s="5" t="s">
        <v>33</v>
      </c>
      <c r="E1572" s="5" t="s">
        <v>256</v>
      </c>
      <c r="F1572" s="9">
        <v>78</v>
      </c>
      <c r="G1572" s="9">
        <v>881</v>
      </c>
      <c r="H1572" s="5" t="s">
        <v>21</v>
      </c>
      <c r="I1572" s="5" t="s">
        <v>3581</v>
      </c>
      <c r="J1572" s="12" t="str">
        <f>HYPERLINK("https://www.boe.es/gazeta/dias/1801/08/14/pdfs/GMD-1801-78.pdf#page=10","Abrir facsímil")</f>
        <v>Abrir facsímil</v>
      </c>
      <c r="K1572" s="15" t="s">
        <v>23</v>
      </c>
    </row>
    <row r="1573" spans="1:11" ht="42" customHeight="1">
      <c r="A1573" s="4" t="s">
        <v>3582</v>
      </c>
      <c r="B1573" s="5" t="s">
        <v>3582</v>
      </c>
      <c r="C1573" s="5" t="s">
        <v>32</v>
      </c>
      <c r="D1573" s="5" t="s">
        <v>33</v>
      </c>
      <c r="E1573" s="5" t="s">
        <v>44</v>
      </c>
      <c r="F1573" s="9">
        <v>117</v>
      </c>
      <c r="G1573" s="9">
        <v>1282</v>
      </c>
      <c r="H1573" s="5" t="s">
        <v>21</v>
      </c>
      <c r="I1573" s="5" t="s">
        <v>3583</v>
      </c>
      <c r="J1573" s="12" t="str">
        <f>HYPERLINK("https://www.boe.es/gazeta/dias/1801/12/22/pdfs/GMD-1801-117.pdf#page=9","Abrir facsímil")</f>
        <v>Abrir facsímil</v>
      </c>
      <c r="K1573" s="15" t="s">
        <v>23</v>
      </c>
    </row>
    <row r="1574" spans="1:11" ht="42" customHeight="1">
      <c r="A1574" s="4" t="s">
        <v>3584</v>
      </c>
      <c r="B1574" s="5" t="s">
        <v>3584</v>
      </c>
      <c r="C1574" s="5" t="s">
        <v>32</v>
      </c>
      <c r="D1574" s="5" t="s">
        <v>33</v>
      </c>
      <c r="E1574" s="5" t="s">
        <v>289</v>
      </c>
      <c r="F1574" s="9">
        <v>40</v>
      </c>
      <c r="G1574" s="9">
        <v>510</v>
      </c>
      <c r="H1574" s="5" t="s">
        <v>21</v>
      </c>
      <c r="I1574" s="5" t="s">
        <v>3568</v>
      </c>
      <c r="J1574" s="12" t="str">
        <f>HYPERLINK("https://www.boe.es/gazeta/dias/1801/05/19/pdfs/GMD-1801-40.pdf#page=2","Abrir facsímil")</f>
        <v>Abrir facsímil</v>
      </c>
      <c r="K1574" s="15" t="s">
        <v>23</v>
      </c>
    </row>
    <row r="1575" spans="1:11" ht="42" customHeight="1">
      <c r="A1575" s="4" t="s">
        <v>3585</v>
      </c>
      <c r="B1575" s="5" t="s">
        <v>3585</v>
      </c>
      <c r="C1575" s="5" t="s">
        <v>75</v>
      </c>
      <c r="D1575" s="5" t="s">
        <v>76</v>
      </c>
      <c r="E1575" s="5" t="s">
        <v>313</v>
      </c>
      <c r="F1575" s="9">
        <v>39</v>
      </c>
      <c r="G1575" s="9">
        <v>497</v>
      </c>
      <c r="H1575" s="5" t="s">
        <v>21</v>
      </c>
      <c r="I1575" s="5" t="s">
        <v>3586</v>
      </c>
      <c r="J1575" s="12" t="str">
        <f>HYPERLINK("https://www.boe.es/gazeta/dias/1801/05/15/pdfs/GMD-1801-39.pdf#page=1","Abrir facsímil")</f>
        <v>Abrir facsímil</v>
      </c>
      <c r="K1575" s="15" t="s">
        <v>23</v>
      </c>
    </row>
    <row r="1576" spans="1:11" ht="42" customHeight="1">
      <c r="A1576" s="4" t="s">
        <v>3587</v>
      </c>
      <c r="B1576" s="5" t="s">
        <v>3587</v>
      </c>
      <c r="C1576" s="5" t="s">
        <v>75</v>
      </c>
      <c r="D1576" s="5" t="s">
        <v>76</v>
      </c>
      <c r="E1576" s="5" t="s">
        <v>321</v>
      </c>
      <c r="F1576" s="9">
        <v>3</v>
      </c>
      <c r="G1576" s="9">
        <v>26</v>
      </c>
      <c r="H1576" s="5" t="s">
        <v>21</v>
      </c>
      <c r="I1576" s="5" t="s">
        <v>3588</v>
      </c>
      <c r="J1576" s="12" t="str">
        <f>HYPERLINK("https://www.boe.es/gazeta/dias/1801/01/09/pdfs/GMD-1801-3.pdf#page=2","Abrir facsímil")</f>
        <v>Abrir facsímil</v>
      </c>
      <c r="K1576" s="15" t="s">
        <v>23</v>
      </c>
    </row>
    <row r="1577" spans="1:11" ht="42" customHeight="1">
      <c r="A1577" s="4" t="s">
        <v>3589</v>
      </c>
      <c r="B1577" s="5" t="s">
        <v>3589</v>
      </c>
      <c r="C1577" s="5" t="s">
        <v>32</v>
      </c>
      <c r="D1577" s="5" t="s">
        <v>33</v>
      </c>
      <c r="E1577" s="5" t="s">
        <v>448</v>
      </c>
      <c r="F1577" s="9">
        <v>35</v>
      </c>
      <c r="G1577" s="9">
        <v>454</v>
      </c>
      <c r="H1577" s="5" t="s">
        <v>21</v>
      </c>
      <c r="I1577" s="5" t="s">
        <v>3590</v>
      </c>
      <c r="J1577" s="12" t="str">
        <f>HYPERLINK("https://www.boe.es/gazeta/dias/1801/05/01/pdfs/GMD-1801-35.pdf#page=10","Abrir facsímil")</f>
        <v>Abrir facsímil</v>
      </c>
      <c r="K1577" s="15" t="s">
        <v>23</v>
      </c>
    </row>
    <row r="1578" spans="1:11" ht="42" customHeight="1">
      <c r="A1578" s="4" t="s">
        <v>3591</v>
      </c>
      <c r="B1578" s="5" t="s">
        <v>3591</v>
      </c>
      <c r="C1578" s="5" t="s">
        <v>38</v>
      </c>
      <c r="D1578" s="5" t="s">
        <v>39</v>
      </c>
      <c r="E1578" s="5" t="s">
        <v>48</v>
      </c>
      <c r="F1578" s="9">
        <v>20</v>
      </c>
      <c r="G1578" s="9">
        <v>264</v>
      </c>
      <c r="H1578" s="5" t="s">
        <v>21</v>
      </c>
      <c r="I1578" s="5" t="s">
        <v>3592</v>
      </c>
      <c r="J1578" s="12" t="str">
        <f>HYPERLINK("https://www.boe.es/gazeta/dias/1801/03/10/pdfs/GMD-1801-20.pdf#page=9","Abrir facsímil")</f>
        <v>Abrir facsímil</v>
      </c>
      <c r="K1578" s="15" t="s">
        <v>23</v>
      </c>
    </row>
    <row r="1579" spans="1:11" ht="42" customHeight="1">
      <c r="A1579" s="4" t="s">
        <v>3593</v>
      </c>
      <c r="B1579" s="5" t="s">
        <v>3593</v>
      </c>
      <c r="C1579" s="5" t="s">
        <v>32</v>
      </c>
      <c r="D1579" s="5" t="s">
        <v>33</v>
      </c>
      <c r="E1579" s="5" t="s">
        <v>352</v>
      </c>
      <c r="F1579" s="9">
        <v>43</v>
      </c>
      <c r="G1579" s="9">
        <v>531</v>
      </c>
      <c r="H1579" s="5" t="s">
        <v>21</v>
      </c>
      <c r="I1579" s="5" t="s">
        <v>3594</v>
      </c>
      <c r="J1579" s="12" t="str">
        <f>HYPERLINK("https://www.boe.es/gazeta/dias/1801/05/26/pdfs/GMD-1801-43.pdf#page=3","Abrir facsímil")</f>
        <v>Abrir facsímil</v>
      </c>
      <c r="K1579" s="15" t="s">
        <v>23</v>
      </c>
    </row>
    <row r="1580" spans="1:11" ht="42" customHeight="1">
      <c r="A1580" s="4" t="s">
        <v>3595</v>
      </c>
      <c r="B1580" s="5" t="s">
        <v>3595</v>
      </c>
      <c r="C1580" s="5" t="s">
        <v>75</v>
      </c>
      <c r="D1580" s="5" t="s">
        <v>76</v>
      </c>
      <c r="E1580" s="5" t="s">
        <v>640</v>
      </c>
      <c r="F1580" s="9">
        <v>81</v>
      </c>
      <c r="G1580" s="9">
        <v>906</v>
      </c>
      <c r="H1580" s="5" t="s">
        <v>21</v>
      </c>
      <c r="I1580" s="5" t="s">
        <v>3596</v>
      </c>
      <c r="J1580" s="12" t="str">
        <f>HYPERLINK("https://www.boe.es/gazeta/dias/1801/08/25/pdfs/GMD-1801-81.pdf#page=3","Abrir facsímil")</f>
        <v>Abrir facsímil</v>
      </c>
      <c r="K1580" s="15" t="s">
        <v>23</v>
      </c>
    </row>
    <row r="1581" spans="1:11" ht="42" customHeight="1">
      <c r="A1581" s="4" t="s">
        <v>3597</v>
      </c>
      <c r="B1581" s="5" t="s">
        <v>3597</v>
      </c>
      <c r="C1581" s="5" t="s">
        <v>75</v>
      </c>
      <c r="D1581" s="5" t="s">
        <v>76</v>
      </c>
      <c r="E1581" s="5" t="s">
        <v>219</v>
      </c>
      <c r="F1581" s="9">
        <v>26</v>
      </c>
      <c r="G1581" s="9">
        <v>341</v>
      </c>
      <c r="H1581" s="5" t="s">
        <v>21</v>
      </c>
      <c r="I1581" s="5" t="s">
        <v>3598</v>
      </c>
      <c r="J1581" s="12" t="str">
        <f>HYPERLINK("https://www.boe.es/gazeta/dias/1801/03/31/pdfs/GMD-1801-26.pdf#page=5","Abrir facsímil")</f>
        <v>Abrir facsímil</v>
      </c>
      <c r="K1581" s="15" t="s">
        <v>23</v>
      </c>
    </row>
    <row r="1582" spans="1:11" ht="42" customHeight="1">
      <c r="A1582" s="4" t="s">
        <v>3599</v>
      </c>
      <c r="B1582" s="5" t="s">
        <v>3599</v>
      </c>
      <c r="C1582" s="5" t="s">
        <v>32</v>
      </c>
      <c r="D1582" s="5" t="s">
        <v>33</v>
      </c>
      <c r="E1582" s="5" t="s">
        <v>94</v>
      </c>
      <c r="F1582" s="9">
        <v>19</v>
      </c>
      <c r="G1582" s="9">
        <v>239</v>
      </c>
      <c r="H1582" s="5" t="s">
        <v>21</v>
      </c>
      <c r="I1582" s="5" t="s">
        <v>3600</v>
      </c>
      <c r="J1582" s="12" t="str">
        <f>HYPERLINK("https://www.boe.es/gazeta/dias/1801/03/06/pdfs/GMD-1801-19.pdf#page=4","Abrir facsímil")</f>
        <v>Abrir facsímil</v>
      </c>
      <c r="K1582" s="15" t="s">
        <v>23</v>
      </c>
    </row>
    <row r="1583" spans="1:11" ht="42" customHeight="1">
      <c r="A1583" s="4" t="s">
        <v>3601</v>
      </c>
      <c r="B1583" s="5" t="s">
        <v>3601</v>
      </c>
      <c r="C1583" s="5" t="s">
        <v>75</v>
      </c>
      <c r="D1583" s="5" t="s">
        <v>76</v>
      </c>
      <c r="E1583" s="5" t="s">
        <v>2430</v>
      </c>
      <c r="F1583" s="9">
        <v>27</v>
      </c>
      <c r="G1583" s="9">
        <v>351</v>
      </c>
      <c r="H1583" s="5" t="s">
        <v>21</v>
      </c>
      <c r="I1583" s="5" t="s">
        <v>3602</v>
      </c>
      <c r="J1583" s="12" t="str">
        <f>HYPERLINK("https://www.boe.es/gazeta/dias/1801/04/03/pdfs/GMD-1801-27.pdf#page=3","Abrir facsímil")</f>
        <v>Abrir facsímil</v>
      </c>
      <c r="K1583" s="15" t="s">
        <v>23</v>
      </c>
    </row>
    <row r="1584" spans="1:11" ht="42" customHeight="1">
      <c r="A1584" s="4" t="s">
        <v>3601</v>
      </c>
      <c r="B1584" s="5" t="s">
        <v>3601</v>
      </c>
      <c r="C1584" s="5" t="s">
        <v>38</v>
      </c>
      <c r="D1584" s="5" t="s">
        <v>39</v>
      </c>
      <c r="E1584" s="5" t="s">
        <v>97</v>
      </c>
      <c r="F1584" s="9">
        <v>31</v>
      </c>
      <c r="G1584" s="9">
        <v>401</v>
      </c>
      <c r="H1584" s="5" t="s">
        <v>21</v>
      </c>
      <c r="I1584" s="5" t="s">
        <v>3603</v>
      </c>
      <c r="J1584" s="12" t="str">
        <f>HYPERLINK("https://www.boe.es/gazeta/dias/1801/04/17/pdfs/GMD-1801-31.pdf#page=5","Abrir facsímil")</f>
        <v>Abrir facsímil</v>
      </c>
      <c r="K1584" s="15" t="s">
        <v>23</v>
      </c>
    </row>
    <row r="1585" spans="1:11" ht="42" customHeight="1">
      <c r="A1585" s="4" t="s">
        <v>3601</v>
      </c>
      <c r="B1585" s="5" t="s">
        <v>3601</v>
      </c>
      <c r="C1585" s="5" t="s">
        <v>75</v>
      </c>
      <c r="D1585" s="5" t="s">
        <v>76</v>
      </c>
      <c r="E1585" s="5" t="s">
        <v>66</v>
      </c>
      <c r="F1585" s="9">
        <v>52</v>
      </c>
      <c r="G1585" s="9">
        <v>604</v>
      </c>
      <c r="H1585" s="5" t="s">
        <v>21</v>
      </c>
      <c r="I1585" s="5" t="s">
        <v>3604</v>
      </c>
      <c r="J1585" s="12" t="str">
        <f>HYPERLINK("https://www.boe.es/gazeta/dias/1801/06/12/pdfs/GMD-1801-52.pdf#page=3","Abrir facsímil")</f>
        <v>Abrir facsímil</v>
      </c>
      <c r="K1585" s="15" t="s">
        <v>23</v>
      </c>
    </row>
    <row r="1586" spans="1:11" ht="42" customHeight="1">
      <c r="A1586" s="4" t="s">
        <v>3605</v>
      </c>
      <c r="B1586" s="5" t="s">
        <v>3605</v>
      </c>
      <c r="C1586" s="5" t="s">
        <v>32</v>
      </c>
      <c r="D1586" s="5" t="s">
        <v>33</v>
      </c>
      <c r="E1586" s="5" t="s">
        <v>169</v>
      </c>
      <c r="F1586" s="9">
        <v>70</v>
      </c>
      <c r="G1586" s="9">
        <v>771</v>
      </c>
      <c r="H1586" s="5" t="s">
        <v>21</v>
      </c>
      <c r="I1586" s="5" t="s">
        <v>3606</v>
      </c>
      <c r="J1586" s="12" t="str">
        <f>HYPERLINK("https://www.boe.es/gazeta/dias/1801/07/17/pdfs/GMD-1801-70.pdf#page=4","Abrir facsímil")</f>
        <v>Abrir facsímil</v>
      </c>
      <c r="K1586" s="15" t="s">
        <v>23</v>
      </c>
    </row>
    <row r="1587" spans="1:11" ht="42" customHeight="1">
      <c r="A1587" s="4" t="s">
        <v>3607</v>
      </c>
      <c r="B1587" s="5" t="s">
        <v>3607</v>
      </c>
      <c r="C1587" s="5" t="s">
        <v>75</v>
      </c>
      <c r="D1587" s="5" t="s">
        <v>76</v>
      </c>
      <c r="E1587" s="5" t="s">
        <v>66</v>
      </c>
      <c r="F1587" s="9">
        <v>52</v>
      </c>
      <c r="G1587" s="9">
        <v>603</v>
      </c>
      <c r="H1587" s="5" t="s">
        <v>21</v>
      </c>
      <c r="I1587" s="5" t="s">
        <v>3608</v>
      </c>
      <c r="J1587" s="12" t="str">
        <f>HYPERLINK("https://www.boe.es/gazeta/dias/1801/06/12/pdfs/GMD-1801-52.pdf#page=2","Abrir facsímil")</f>
        <v>Abrir facsímil</v>
      </c>
      <c r="K1587" s="15" t="s">
        <v>23</v>
      </c>
    </row>
    <row r="1588" spans="1:11" ht="42" customHeight="1">
      <c r="A1588" s="4" t="s">
        <v>3609</v>
      </c>
      <c r="B1588" s="5" t="s">
        <v>3609</v>
      </c>
      <c r="C1588" s="5" t="s">
        <v>18</v>
      </c>
      <c r="D1588" s="5" t="s">
        <v>19</v>
      </c>
      <c r="E1588" s="5" t="s">
        <v>735</v>
      </c>
      <c r="F1588" s="9">
        <v>97</v>
      </c>
      <c r="G1588" s="9">
        <v>1063</v>
      </c>
      <c r="H1588" s="5" t="s">
        <v>21</v>
      </c>
      <c r="I1588" s="5" t="s">
        <v>3610</v>
      </c>
      <c r="J1588" s="12" t="str">
        <f>HYPERLINK("https://www.boe.es/gazeta/dias/1801/10/13/pdfs/GMD-1801-97.pdf#page=7","Abrir facsímil")</f>
        <v>Abrir facsímil</v>
      </c>
      <c r="K1588" s="15" t="s">
        <v>23</v>
      </c>
    </row>
    <row r="1589" spans="1:11" ht="42" customHeight="1">
      <c r="A1589" s="4" t="s">
        <v>3611</v>
      </c>
      <c r="B1589" s="5" t="s">
        <v>3611</v>
      </c>
      <c r="C1589" s="5" t="s">
        <v>38</v>
      </c>
      <c r="D1589" s="5" t="s">
        <v>39</v>
      </c>
      <c r="E1589" s="5" t="s">
        <v>505</v>
      </c>
      <c r="F1589" s="9">
        <v>94</v>
      </c>
      <c r="G1589" s="9">
        <v>1031</v>
      </c>
      <c r="H1589" s="5" t="s">
        <v>21</v>
      </c>
      <c r="I1589" s="5" t="s">
        <v>3612</v>
      </c>
      <c r="J1589" s="12" t="str">
        <f>HYPERLINK("https://www.boe.es/gazeta/dias/1801/10/02/pdfs/GMD-1801-94.pdf#page=7","Abrir facsímil")</f>
        <v>Abrir facsímil</v>
      </c>
      <c r="K1589" s="15" t="s">
        <v>23</v>
      </c>
    </row>
    <row r="1590" spans="1:11" ht="42" customHeight="1">
      <c r="A1590" s="4" t="s">
        <v>3613</v>
      </c>
      <c r="B1590" s="5" t="s">
        <v>3613</v>
      </c>
      <c r="C1590" s="5" t="s">
        <v>32</v>
      </c>
      <c r="D1590" s="5" t="s">
        <v>33</v>
      </c>
      <c r="E1590" s="5" t="s">
        <v>158</v>
      </c>
      <c r="F1590" s="9">
        <v>55</v>
      </c>
      <c r="G1590" s="9">
        <v>626</v>
      </c>
      <c r="H1590" s="5" t="s">
        <v>21</v>
      </c>
      <c r="I1590" s="5" t="s">
        <v>3614</v>
      </c>
      <c r="J1590" s="12" t="str">
        <f>HYPERLINK("https://www.boe.es/gazeta/dias/1801/06/16/pdfs/GMD-1801-55.pdf#page=2","Abrir facsímil")</f>
        <v>Abrir facsímil</v>
      </c>
      <c r="K1590" s="15" t="s">
        <v>23</v>
      </c>
    </row>
    <row r="1591" spans="1:11" ht="42" customHeight="1">
      <c r="A1591" s="4" t="s">
        <v>3615</v>
      </c>
      <c r="B1591" s="5" t="s">
        <v>3615</v>
      </c>
      <c r="C1591" s="5" t="s">
        <v>38</v>
      </c>
      <c r="D1591" s="5" t="s">
        <v>39</v>
      </c>
      <c r="E1591" s="5" t="s">
        <v>143</v>
      </c>
      <c r="F1591" s="9">
        <v>34</v>
      </c>
      <c r="G1591" s="9">
        <v>432</v>
      </c>
      <c r="H1591" s="5" t="s">
        <v>21</v>
      </c>
      <c r="I1591" s="5" t="s">
        <v>3616</v>
      </c>
      <c r="J1591" s="12" t="str">
        <f>HYPERLINK("https://www.boe.es/gazeta/dias/1801/04/28/pdfs/GMD-1801-34.pdf#page=4","Abrir facsímil")</f>
        <v>Abrir facsímil</v>
      </c>
      <c r="K1591" s="15" t="s">
        <v>23</v>
      </c>
    </row>
    <row r="1592" spans="1:11" ht="42" customHeight="1">
      <c r="A1592" s="4" t="s">
        <v>3617</v>
      </c>
      <c r="B1592" s="5" t="s">
        <v>3617</v>
      </c>
      <c r="C1592" s="5" t="s">
        <v>32</v>
      </c>
      <c r="D1592" s="5" t="s">
        <v>33</v>
      </c>
      <c r="E1592" s="5" t="s">
        <v>919</v>
      </c>
      <c r="F1592" s="9">
        <v>91</v>
      </c>
      <c r="G1592" s="9">
        <v>1001</v>
      </c>
      <c r="H1592" s="5" t="s">
        <v>21</v>
      </c>
      <c r="I1592" s="5" t="s">
        <v>3618</v>
      </c>
      <c r="J1592" s="12" t="str">
        <f>HYPERLINK("https://www.boe.es/gazeta/dias/1801/09/22/pdfs/GMD-1801-91.pdf#page=4","Abrir facsímil")</f>
        <v>Abrir facsímil</v>
      </c>
      <c r="K1592" s="15" t="s">
        <v>23</v>
      </c>
    </row>
    <row r="1593" spans="1:11" ht="42" customHeight="1">
      <c r="A1593" s="4" t="s">
        <v>3619</v>
      </c>
      <c r="B1593" s="5" t="s">
        <v>3619</v>
      </c>
      <c r="C1593" s="5" t="s">
        <v>32</v>
      </c>
      <c r="D1593" s="5" t="s">
        <v>33</v>
      </c>
      <c r="E1593" s="5" t="s">
        <v>1058</v>
      </c>
      <c r="F1593" s="9">
        <v>108</v>
      </c>
      <c r="G1593" s="9">
        <v>1186</v>
      </c>
      <c r="H1593" s="5" t="s">
        <v>21</v>
      </c>
      <c r="I1593" s="5" t="s">
        <v>3620</v>
      </c>
      <c r="J1593" s="12" t="str">
        <f>HYPERLINK("https://www.boe.es/gazeta/dias/1801/11/20/pdfs/GMD-1801-108.pdf#page=3","Abrir facsímil")</f>
        <v>Abrir facsímil</v>
      </c>
      <c r="K1593" s="15" t="s">
        <v>23</v>
      </c>
    </row>
    <row r="1594" spans="1:11" ht="42" customHeight="1">
      <c r="A1594" s="4" t="s">
        <v>3621</v>
      </c>
      <c r="B1594" s="5" t="s">
        <v>3621</v>
      </c>
      <c r="C1594" s="5" t="s">
        <v>38</v>
      </c>
      <c r="D1594" s="5" t="s">
        <v>39</v>
      </c>
      <c r="E1594" s="5" t="s">
        <v>219</v>
      </c>
      <c r="F1594" s="9">
        <v>26</v>
      </c>
      <c r="G1594" s="9">
        <v>343</v>
      </c>
      <c r="H1594" s="5" t="s">
        <v>21</v>
      </c>
      <c r="I1594" s="5" t="s">
        <v>3622</v>
      </c>
      <c r="J1594" s="12" t="str">
        <f>HYPERLINK("https://www.boe.es/gazeta/dias/1801/03/31/pdfs/GMD-1801-26.pdf#page=7","Abrir facsímil")</f>
        <v>Abrir facsímil</v>
      </c>
      <c r="K1594" s="15" t="s">
        <v>23</v>
      </c>
    </row>
    <row r="1595" spans="1:11" ht="42" customHeight="1">
      <c r="A1595" s="4" t="s">
        <v>3623</v>
      </c>
      <c r="B1595" s="5" t="s">
        <v>3623</v>
      </c>
      <c r="C1595" s="5" t="s">
        <v>75</v>
      </c>
      <c r="D1595" s="5" t="s">
        <v>76</v>
      </c>
      <c r="E1595" s="5" t="s">
        <v>321</v>
      </c>
      <c r="F1595" s="9">
        <v>3</v>
      </c>
      <c r="G1595" s="9">
        <v>28</v>
      </c>
      <c r="H1595" s="5" t="s">
        <v>21</v>
      </c>
      <c r="I1595" s="5" t="s">
        <v>3624</v>
      </c>
      <c r="J1595" s="12" t="str">
        <f>HYPERLINK("https://www.boe.es/gazeta/dias/1801/01/09/pdfs/GMD-1801-3.pdf#page=4","Abrir facsímil")</f>
        <v>Abrir facsímil</v>
      </c>
      <c r="K1595" s="15" t="s">
        <v>23</v>
      </c>
    </row>
    <row r="1596" spans="1:11" ht="42" customHeight="1">
      <c r="A1596" s="4" t="s">
        <v>3625</v>
      </c>
      <c r="B1596" s="5" t="s">
        <v>3625</v>
      </c>
      <c r="C1596" s="5" t="s">
        <v>75</v>
      </c>
      <c r="D1596" s="5" t="s">
        <v>76</v>
      </c>
      <c r="E1596" s="5" t="s">
        <v>924</v>
      </c>
      <c r="F1596" s="9">
        <v>90</v>
      </c>
      <c r="G1596" s="9">
        <v>988</v>
      </c>
      <c r="H1596" s="5" t="s">
        <v>21</v>
      </c>
      <c r="I1596" s="5" t="s">
        <v>3626</v>
      </c>
      <c r="J1596" s="12" t="str">
        <f>HYPERLINK("https://www.boe.es/gazeta/dias/1801/09/18/pdfs/GMD-1801-90.pdf#page=3","Abrir facsímil")</f>
        <v>Abrir facsímil</v>
      </c>
      <c r="K1596" s="15" t="s">
        <v>23</v>
      </c>
    </row>
    <row r="1597" spans="1:11" ht="42" customHeight="1">
      <c r="A1597" s="4" t="s">
        <v>3627</v>
      </c>
      <c r="B1597" s="5" t="s">
        <v>3627</v>
      </c>
      <c r="C1597" s="5" t="s">
        <v>32</v>
      </c>
      <c r="D1597" s="5" t="s">
        <v>33</v>
      </c>
      <c r="E1597" s="5" t="s">
        <v>182</v>
      </c>
      <c r="F1597" s="9">
        <v>18</v>
      </c>
      <c r="G1597" s="9">
        <v>223</v>
      </c>
      <c r="H1597" s="5" t="s">
        <v>21</v>
      </c>
      <c r="I1597" s="5" t="s">
        <v>3628</v>
      </c>
      <c r="J1597" s="12" t="str">
        <f>HYPERLINK("https://www.boe.es/gazeta/dias/1801/03/03/pdfs/GMD-1801-18.pdf#page=4","Abrir facsímil")</f>
        <v>Abrir facsímil</v>
      </c>
      <c r="K1597" s="15" t="s">
        <v>23</v>
      </c>
    </row>
    <row r="1598" spans="1:11" ht="42" customHeight="1">
      <c r="A1598" s="4" t="s">
        <v>3629</v>
      </c>
      <c r="B1598" s="5" t="s">
        <v>3629</v>
      </c>
      <c r="C1598" s="5" t="s">
        <v>75</v>
      </c>
      <c r="D1598" s="5" t="s">
        <v>76</v>
      </c>
      <c r="E1598" s="5" t="s">
        <v>161</v>
      </c>
      <c r="F1598" s="9">
        <v>58</v>
      </c>
      <c r="G1598" s="9">
        <v>660</v>
      </c>
      <c r="H1598" s="5" t="s">
        <v>21</v>
      </c>
      <c r="I1598" s="5" t="s">
        <v>3630</v>
      </c>
      <c r="J1598" s="12" t="str">
        <f>HYPERLINK("https://www.boe.es/gazeta/dias/1801/06/19/pdfs/GMD-1801-58.pdf#page=5","Abrir facsímil")</f>
        <v>Abrir facsímil</v>
      </c>
      <c r="K1598" s="15" t="s">
        <v>23</v>
      </c>
    </row>
    <row r="1599" spans="1:11" ht="42" customHeight="1">
      <c r="A1599" s="4" t="s">
        <v>3631</v>
      </c>
      <c r="B1599" s="5" t="s">
        <v>3631</v>
      </c>
      <c r="C1599" s="5" t="s">
        <v>32</v>
      </c>
      <c r="D1599" s="5" t="s">
        <v>33</v>
      </c>
      <c r="E1599" s="5" t="s">
        <v>215</v>
      </c>
      <c r="F1599" s="9">
        <v>71</v>
      </c>
      <c r="G1599" s="9">
        <v>784</v>
      </c>
      <c r="H1599" s="5" t="s">
        <v>21</v>
      </c>
      <c r="I1599" s="5" t="s">
        <v>3632</v>
      </c>
      <c r="J1599" s="12" t="str">
        <f>HYPERLINK("https://www.boe.es/gazeta/dias/1801/07/21/pdfs/GMD-1801-71.pdf#page=5","Abrir facsímil")</f>
        <v>Abrir facsímil</v>
      </c>
      <c r="K1599" s="15" t="s">
        <v>23</v>
      </c>
    </row>
    <row r="1600" spans="1:11" ht="42" customHeight="1">
      <c r="A1600" s="4" t="s">
        <v>3633</v>
      </c>
      <c r="B1600" s="5" t="s">
        <v>3633</v>
      </c>
      <c r="C1600" s="5" t="s">
        <v>69</v>
      </c>
      <c r="D1600" s="5" t="s">
        <v>19</v>
      </c>
      <c r="E1600" s="5" t="s">
        <v>723</v>
      </c>
      <c r="F1600" s="9">
        <v>113</v>
      </c>
      <c r="G1600" s="9">
        <v>1232</v>
      </c>
      <c r="H1600" s="5" t="s">
        <v>21</v>
      </c>
      <c r="I1600" s="5" t="s">
        <v>3634</v>
      </c>
      <c r="J1600" s="12" t="str">
        <f>HYPERLINK("https://www.boe.es/gazeta/dias/1801/12/08/pdfs/GMD-1801-113.pdf#page=5","Abrir facsímil")</f>
        <v>Abrir facsímil</v>
      </c>
      <c r="K1600" s="15" t="s">
        <v>23</v>
      </c>
    </row>
    <row r="1601" spans="1:11" ht="42" customHeight="1">
      <c r="A1601" s="4" t="s">
        <v>3635</v>
      </c>
      <c r="B1601" s="5" t="s">
        <v>3635</v>
      </c>
      <c r="C1601" s="5" t="s">
        <v>69</v>
      </c>
      <c r="D1601" s="5" t="s">
        <v>19</v>
      </c>
      <c r="E1601" s="5" t="s">
        <v>66</v>
      </c>
      <c r="F1601" s="9">
        <v>52</v>
      </c>
      <c r="G1601" s="9">
        <v>605</v>
      </c>
      <c r="H1601" s="5" t="s">
        <v>21</v>
      </c>
      <c r="I1601" s="5" t="s">
        <v>3636</v>
      </c>
      <c r="J1601" s="12" t="str">
        <f>HYPERLINK("https://www.boe.es/gazeta/dias/1801/06/12/pdfs/GMD-1801-52.pdf#page=4","Abrir facsímil")</f>
        <v>Abrir facsímil</v>
      </c>
      <c r="K1601" s="15" t="s">
        <v>23</v>
      </c>
    </row>
    <row r="1602" spans="1:11" ht="42" customHeight="1">
      <c r="A1602" s="4" t="s">
        <v>3637</v>
      </c>
      <c r="B1602" s="5" t="s">
        <v>3637</v>
      </c>
      <c r="C1602" s="5" t="s">
        <v>32</v>
      </c>
      <c r="D1602" s="5" t="s">
        <v>33</v>
      </c>
      <c r="E1602" s="5" t="s">
        <v>50</v>
      </c>
      <c r="F1602" s="9">
        <v>29</v>
      </c>
      <c r="G1602" s="9">
        <v>380</v>
      </c>
      <c r="H1602" s="5" t="s">
        <v>21</v>
      </c>
      <c r="I1602" s="5" t="s">
        <v>3638</v>
      </c>
      <c r="J1602" s="12" t="str">
        <f>HYPERLINK("https://www.boe.es/gazeta/dias/1801/04/10/pdfs/GMD-1801-29.pdf#page=8","Abrir facsímil")</f>
        <v>Abrir facsímil</v>
      </c>
      <c r="K1602" s="15" t="s">
        <v>23</v>
      </c>
    </row>
    <row r="1603" spans="1:11" ht="42" customHeight="1">
      <c r="A1603" s="4" t="s">
        <v>3639</v>
      </c>
      <c r="B1603" s="5" t="s">
        <v>3639</v>
      </c>
      <c r="C1603" s="5" t="s">
        <v>75</v>
      </c>
      <c r="D1603" s="5" t="s">
        <v>76</v>
      </c>
      <c r="E1603" s="5" t="s">
        <v>1015</v>
      </c>
      <c r="F1603" s="9">
        <v>15</v>
      </c>
      <c r="G1603" s="9">
        <v>189</v>
      </c>
      <c r="H1603" s="5" t="s">
        <v>21</v>
      </c>
      <c r="I1603" s="5" t="s">
        <v>3640</v>
      </c>
      <c r="J1603" s="12" t="str">
        <f>HYPERLINK("https://www.boe.es/gazeta/dias/1801/02/20/pdfs/GMD-1801-15.pdf#page=8","Abrir facsímil")</f>
        <v>Abrir facsímil</v>
      </c>
      <c r="K1603" s="15" t="s">
        <v>23</v>
      </c>
    </row>
    <row r="1604" spans="1:11" ht="42" customHeight="1">
      <c r="A1604" s="4" t="s">
        <v>3641</v>
      </c>
      <c r="B1604" s="5" t="s">
        <v>3641</v>
      </c>
      <c r="C1604" s="5" t="s">
        <v>75</v>
      </c>
      <c r="D1604" s="5" t="s">
        <v>76</v>
      </c>
      <c r="E1604" s="5" t="s">
        <v>465</v>
      </c>
      <c r="F1604" s="9">
        <v>4</v>
      </c>
      <c r="G1604" s="9">
        <v>42</v>
      </c>
      <c r="H1604" s="5" t="s">
        <v>21</v>
      </c>
      <c r="I1604" s="5" t="s">
        <v>3642</v>
      </c>
      <c r="J1604" s="12" t="str">
        <f>HYPERLINK("https://www.boe.es/gazeta/dias/1801/01/13/pdfs/GMD-1801-4.pdf#page=6","Abrir facsímil")</f>
        <v>Abrir facsímil</v>
      </c>
      <c r="K1604" s="15" t="s">
        <v>23</v>
      </c>
    </row>
    <row r="1605" spans="1:11" ht="42" customHeight="1">
      <c r="A1605" s="4" t="s">
        <v>3643</v>
      </c>
      <c r="B1605" s="5" t="s">
        <v>3643</v>
      </c>
      <c r="C1605" s="5" t="s">
        <v>38</v>
      </c>
      <c r="D1605" s="5" t="s">
        <v>39</v>
      </c>
      <c r="E1605" s="5" t="s">
        <v>378</v>
      </c>
      <c r="F1605" s="9">
        <v>23</v>
      </c>
      <c r="G1605" s="9">
        <v>303</v>
      </c>
      <c r="H1605" s="5" t="s">
        <v>21</v>
      </c>
      <c r="I1605" s="5" t="s">
        <v>3644</v>
      </c>
      <c r="J1605" s="12" t="str">
        <f>HYPERLINK("https://www.boe.es/gazeta/dias/1801/03/20/pdfs/GMD-1801-23.pdf#page=6","Abrir facsímil")</f>
        <v>Abrir facsímil</v>
      </c>
      <c r="K1605" s="15" t="s">
        <v>23</v>
      </c>
    </row>
    <row r="1606" spans="1:11" ht="42" customHeight="1">
      <c r="A1606" s="4" t="s">
        <v>3645</v>
      </c>
      <c r="B1606" s="5" t="s">
        <v>3645</v>
      </c>
      <c r="C1606" s="5" t="s">
        <v>75</v>
      </c>
      <c r="D1606" s="5" t="s">
        <v>76</v>
      </c>
      <c r="E1606" s="5" t="s">
        <v>105</v>
      </c>
      <c r="F1606" s="9">
        <v>44</v>
      </c>
      <c r="G1606" s="9">
        <v>547</v>
      </c>
      <c r="H1606" s="5" t="s">
        <v>21</v>
      </c>
      <c r="I1606" s="5" t="s">
        <v>3313</v>
      </c>
      <c r="J1606" s="12" t="str">
        <f>HYPERLINK("https://www.boe.es/gazeta/dias/1801/05/29/pdfs/GMD-1801-44.pdf#page=7","Abrir facsímil")</f>
        <v>Abrir facsímil</v>
      </c>
      <c r="K1606" s="15" t="s">
        <v>23</v>
      </c>
    </row>
    <row r="1607" spans="1:11" ht="42" customHeight="1">
      <c r="A1607" s="4" t="s">
        <v>3646</v>
      </c>
      <c r="B1607" s="5" t="s">
        <v>3646</v>
      </c>
      <c r="C1607" s="5" t="s">
        <v>32</v>
      </c>
      <c r="D1607" s="5" t="s">
        <v>33</v>
      </c>
      <c r="E1607" s="5" t="s">
        <v>105</v>
      </c>
      <c r="F1607" s="9">
        <v>44</v>
      </c>
      <c r="G1607" s="9">
        <v>549</v>
      </c>
      <c r="H1607" s="5" t="s">
        <v>21</v>
      </c>
      <c r="I1607" s="5" t="s">
        <v>3647</v>
      </c>
      <c r="J1607" s="12" t="str">
        <f>HYPERLINK("https://www.boe.es/gazeta/dias/1801/05/29/pdfs/GMD-1801-44.pdf#page=9","Abrir facsímil")</f>
        <v>Abrir facsímil</v>
      </c>
      <c r="K1607" s="15" t="s">
        <v>23</v>
      </c>
    </row>
    <row r="1608" spans="1:11" ht="42" customHeight="1">
      <c r="A1608" s="4" t="s">
        <v>3648</v>
      </c>
      <c r="B1608" s="5" t="s">
        <v>3648</v>
      </c>
      <c r="C1608" s="5" t="s">
        <v>75</v>
      </c>
      <c r="D1608" s="5" t="s">
        <v>76</v>
      </c>
      <c r="E1608" s="5" t="s">
        <v>501</v>
      </c>
      <c r="F1608" s="9">
        <v>115</v>
      </c>
      <c r="G1608" s="9">
        <v>1252</v>
      </c>
      <c r="H1608" s="5" t="s">
        <v>21</v>
      </c>
      <c r="I1608" s="5" t="s">
        <v>3649</v>
      </c>
      <c r="J1608" s="12" t="str">
        <f>HYPERLINK("https://www.boe.es/gazeta/dias/1801/12/15/pdfs/GMD-1801-115.pdf#page=2","Abrir facsímil")</f>
        <v>Abrir facsímil</v>
      </c>
      <c r="K1608" s="15" t="s">
        <v>23</v>
      </c>
    </row>
    <row r="1609" spans="1:11" ht="42" customHeight="1">
      <c r="A1609" s="4" t="s">
        <v>3650</v>
      </c>
      <c r="B1609" s="5" t="s">
        <v>3650</v>
      </c>
      <c r="C1609" s="5" t="s">
        <v>32</v>
      </c>
      <c r="D1609" s="5" t="s">
        <v>33</v>
      </c>
      <c r="E1609" s="5" t="s">
        <v>1939</v>
      </c>
      <c r="F1609" s="9">
        <v>107</v>
      </c>
      <c r="G1609" s="9">
        <v>1181</v>
      </c>
      <c r="H1609" s="5" t="s">
        <v>21</v>
      </c>
      <c r="I1609" s="5" t="s">
        <v>3651</v>
      </c>
      <c r="J1609" s="12" t="str">
        <f>HYPERLINK("https://www.boe.es/gazeta/dias/1801/11/17/pdfs/GMD-1801-107.pdf#page=10","Abrir facsímil")</f>
        <v>Abrir facsímil</v>
      </c>
      <c r="K1609" s="15" t="s">
        <v>23</v>
      </c>
    </row>
    <row r="1610" spans="1:11" ht="42" customHeight="1">
      <c r="A1610" s="4" t="s">
        <v>3652</v>
      </c>
      <c r="B1610" s="5" t="s">
        <v>3652</v>
      </c>
      <c r="C1610" s="5" t="s">
        <v>32</v>
      </c>
      <c r="D1610" s="5" t="s">
        <v>33</v>
      </c>
      <c r="E1610" s="5" t="s">
        <v>378</v>
      </c>
      <c r="F1610" s="9">
        <v>23</v>
      </c>
      <c r="G1610" s="9">
        <v>299</v>
      </c>
      <c r="H1610" s="5" t="s">
        <v>21</v>
      </c>
      <c r="I1610" s="5" t="s">
        <v>3653</v>
      </c>
      <c r="J1610" s="12" t="str">
        <f>HYPERLINK("https://www.boe.es/gazeta/dias/1801/03/20/pdfs/GMD-1801-23.pdf#page=2","Abrir facsímil")</f>
        <v>Abrir facsímil</v>
      </c>
      <c r="K1610" s="15" t="s">
        <v>23</v>
      </c>
    </row>
    <row r="1611" spans="1:11" ht="42" customHeight="1">
      <c r="A1611" s="4" t="s">
        <v>3654</v>
      </c>
      <c r="B1611" s="5" t="s">
        <v>3654</v>
      </c>
      <c r="C1611" s="5" t="s">
        <v>75</v>
      </c>
      <c r="D1611" s="5" t="s">
        <v>76</v>
      </c>
      <c r="E1611" s="5" t="s">
        <v>640</v>
      </c>
      <c r="F1611" s="9">
        <v>81</v>
      </c>
      <c r="G1611" s="9">
        <v>908</v>
      </c>
      <c r="H1611" s="5" t="s">
        <v>21</v>
      </c>
      <c r="I1611" s="5" t="s">
        <v>3655</v>
      </c>
      <c r="J1611" s="12" t="str">
        <f>HYPERLINK("https://www.boe.es/gazeta/dias/1801/08/25/pdfs/GMD-1801-81.pdf#page=5","Abrir facsímil")</f>
        <v>Abrir facsímil</v>
      </c>
      <c r="K1611" s="15" t="s">
        <v>23</v>
      </c>
    </row>
    <row r="1612" spans="1:11" ht="42" customHeight="1">
      <c r="A1612" s="4" t="s">
        <v>3656</v>
      </c>
      <c r="B1612" s="5" t="s">
        <v>3656</v>
      </c>
      <c r="C1612" s="5" t="s">
        <v>32</v>
      </c>
      <c r="D1612" s="5" t="s">
        <v>33</v>
      </c>
      <c r="E1612" s="5" t="s">
        <v>723</v>
      </c>
      <c r="F1612" s="9">
        <v>113</v>
      </c>
      <c r="G1612" s="9">
        <v>1234</v>
      </c>
      <c r="H1612" s="5" t="s">
        <v>21</v>
      </c>
      <c r="I1612" s="5" t="s">
        <v>3657</v>
      </c>
      <c r="J1612" s="12" t="str">
        <f>HYPERLINK("https://www.boe.es/gazeta/dias/1801/12/08/pdfs/GMD-1801-113.pdf#page=7","Abrir facsímil")</f>
        <v>Abrir facsímil</v>
      </c>
      <c r="K1612" s="15" t="s">
        <v>23</v>
      </c>
    </row>
    <row r="1613" spans="1:11" ht="42" customHeight="1">
      <c r="A1613" s="4" t="s">
        <v>3658</v>
      </c>
      <c r="B1613" s="5" t="s">
        <v>3658</v>
      </c>
      <c r="C1613" s="5" t="s">
        <v>32</v>
      </c>
      <c r="D1613" s="5" t="s">
        <v>33</v>
      </c>
      <c r="E1613" s="5" t="s">
        <v>171</v>
      </c>
      <c r="F1613" s="9">
        <v>76</v>
      </c>
      <c r="G1613" s="9">
        <v>854</v>
      </c>
      <c r="H1613" s="5" t="s">
        <v>21</v>
      </c>
      <c r="I1613" s="5" t="s">
        <v>3659</v>
      </c>
      <c r="J1613" s="12" t="str">
        <f>HYPERLINK("https://www.boe.es/gazeta/dias/1801/08/07/pdfs/GMD-1801-76.pdf#page=11","Abrir facsímil")</f>
        <v>Abrir facsímil</v>
      </c>
      <c r="K1613" s="15" t="s">
        <v>23</v>
      </c>
    </row>
    <row r="1614" spans="1:11" ht="42" customHeight="1">
      <c r="A1614" s="4" t="s">
        <v>3660</v>
      </c>
      <c r="B1614" s="5" t="s">
        <v>3660</v>
      </c>
      <c r="C1614" s="5" t="s">
        <v>38</v>
      </c>
      <c r="D1614" s="5" t="s">
        <v>39</v>
      </c>
      <c r="E1614" s="5" t="s">
        <v>135</v>
      </c>
      <c r="F1614" s="9">
        <v>24</v>
      </c>
      <c r="G1614" s="9">
        <v>318</v>
      </c>
      <c r="H1614" s="5" t="s">
        <v>21</v>
      </c>
      <c r="I1614" s="5" t="s">
        <v>3661</v>
      </c>
      <c r="J1614" s="12" t="str">
        <f>HYPERLINK("https://www.boe.es/gazeta/dias/1801/03/24/pdfs/GMD-1801-24.pdf#page=9","Abrir facsímil")</f>
        <v>Abrir facsímil</v>
      </c>
      <c r="K1614" s="15" t="s">
        <v>23</v>
      </c>
    </row>
    <row r="1615" spans="1:11" ht="42" customHeight="1">
      <c r="A1615" s="4" t="s">
        <v>3662</v>
      </c>
      <c r="B1615" s="5" t="s">
        <v>3662</v>
      </c>
      <c r="C1615" s="5" t="s">
        <v>32</v>
      </c>
      <c r="D1615" s="5" t="s">
        <v>33</v>
      </c>
      <c r="E1615" s="5" t="s">
        <v>151</v>
      </c>
      <c r="F1615" s="9">
        <v>45</v>
      </c>
      <c r="G1615" s="9">
        <v>558</v>
      </c>
      <c r="H1615" s="5" t="s">
        <v>21</v>
      </c>
      <c r="I1615" s="5" t="s">
        <v>3663</v>
      </c>
      <c r="J1615" s="12" t="str">
        <f>HYPERLINK("https://www.boe.es/gazeta/dias/1801/06/02/pdfs/GMD-1801-45.pdf#page=6","Abrir facsímil")</f>
        <v>Abrir facsímil</v>
      </c>
      <c r="K1615" s="15" t="s">
        <v>23</v>
      </c>
    </row>
    <row r="1616" spans="1:11" ht="42" customHeight="1">
      <c r="A1616" s="4" t="s">
        <v>3664</v>
      </c>
      <c r="B1616" s="5" t="s">
        <v>3664</v>
      </c>
      <c r="C1616" s="5" t="s">
        <v>38</v>
      </c>
      <c r="D1616" s="5" t="s">
        <v>39</v>
      </c>
      <c r="E1616" s="5" t="s">
        <v>72</v>
      </c>
      <c r="F1616" s="9">
        <v>60</v>
      </c>
      <c r="G1616" s="9">
        <v>687</v>
      </c>
      <c r="H1616" s="5" t="s">
        <v>21</v>
      </c>
      <c r="I1616" s="5" t="s">
        <v>3665</v>
      </c>
      <c r="J1616" s="12" t="str">
        <f>HYPERLINK("https://www.boe.es/gazeta/dias/1801/06/26/pdfs/GMD-1801-60.pdf#page=8","Abrir facsímil")</f>
        <v>Abrir facsímil</v>
      </c>
      <c r="K1616" s="15" t="s">
        <v>23</v>
      </c>
    </row>
    <row r="1617" spans="1:11" ht="42" customHeight="1">
      <c r="A1617" s="4" t="s">
        <v>3666</v>
      </c>
      <c r="B1617" s="5" t="s">
        <v>3666</v>
      </c>
      <c r="C1617" s="5" t="s">
        <v>38</v>
      </c>
      <c r="D1617" s="5" t="s">
        <v>39</v>
      </c>
      <c r="E1617" s="5" t="s">
        <v>131</v>
      </c>
      <c r="F1617" s="9">
        <v>22</v>
      </c>
      <c r="G1617" s="9">
        <v>291</v>
      </c>
      <c r="H1617" s="5" t="s">
        <v>21</v>
      </c>
      <c r="I1617" s="5" t="s">
        <v>3667</v>
      </c>
      <c r="J1617" s="12" t="str">
        <f>HYPERLINK("https://www.boe.es/gazeta/dias/1801/03/17/pdfs/GMD-1801-22.pdf#page=8","Abrir facsímil")</f>
        <v>Abrir facsímil</v>
      </c>
      <c r="K1617" s="15" t="s">
        <v>23</v>
      </c>
    </row>
    <row r="1618" spans="1:11" ht="42" customHeight="1">
      <c r="A1618" s="4" t="s">
        <v>3668</v>
      </c>
      <c r="B1618" s="5" t="s">
        <v>3668</v>
      </c>
      <c r="C1618" s="5" t="s">
        <v>32</v>
      </c>
      <c r="D1618" s="5" t="s">
        <v>33</v>
      </c>
      <c r="E1618" s="5" t="s">
        <v>131</v>
      </c>
      <c r="F1618" s="9">
        <v>22</v>
      </c>
      <c r="G1618" s="9">
        <v>292</v>
      </c>
      <c r="H1618" s="5" t="s">
        <v>21</v>
      </c>
      <c r="I1618" s="5" t="s">
        <v>3669</v>
      </c>
      <c r="J1618" s="12" t="str">
        <f>HYPERLINK("https://www.boe.es/gazeta/dias/1801/03/17/pdfs/GMD-1801-22.pdf#page=9","Abrir facsímil")</f>
        <v>Abrir facsímil</v>
      </c>
      <c r="K1618" s="15" t="s">
        <v>23</v>
      </c>
    </row>
    <row r="1619" spans="1:11" ht="42" customHeight="1">
      <c r="A1619" s="4" t="s">
        <v>3670</v>
      </c>
      <c r="B1619" s="5" t="s">
        <v>3670</v>
      </c>
      <c r="C1619" s="5" t="s">
        <v>38</v>
      </c>
      <c r="D1619" s="5" t="s">
        <v>39</v>
      </c>
      <c r="E1619" s="5" t="s">
        <v>131</v>
      </c>
      <c r="F1619" s="9">
        <v>22</v>
      </c>
      <c r="G1619" s="9">
        <v>290</v>
      </c>
      <c r="H1619" s="5" t="s">
        <v>21</v>
      </c>
      <c r="I1619" s="5" t="s">
        <v>3671</v>
      </c>
      <c r="J1619" s="12" t="str">
        <f>HYPERLINK("https://www.boe.es/gazeta/dias/1801/03/17/pdfs/GMD-1801-22.pdf#page=7","Abrir facsímil")</f>
        <v>Abrir facsímil</v>
      </c>
      <c r="K1619" s="15" t="s">
        <v>23</v>
      </c>
    </row>
    <row r="1620" spans="1:11" ht="42" customHeight="1">
      <c r="A1620" s="4" t="s">
        <v>3672</v>
      </c>
      <c r="B1620" s="5" t="s">
        <v>3672</v>
      </c>
      <c r="C1620" s="5" t="s">
        <v>38</v>
      </c>
      <c r="D1620" s="5" t="s">
        <v>39</v>
      </c>
      <c r="E1620" s="5" t="s">
        <v>378</v>
      </c>
      <c r="F1620" s="9">
        <v>23</v>
      </c>
      <c r="G1620" s="9">
        <v>301</v>
      </c>
      <c r="H1620" s="5" t="s">
        <v>21</v>
      </c>
      <c r="I1620" s="5" t="s">
        <v>3673</v>
      </c>
      <c r="J1620" s="12" t="str">
        <f>HYPERLINK("https://www.boe.es/gazeta/dias/1801/03/20/pdfs/GMD-1801-23.pdf#page=4","Abrir facsímil")</f>
        <v>Abrir facsímil</v>
      </c>
      <c r="K1620" s="15" t="s">
        <v>23</v>
      </c>
    </row>
    <row r="1621" spans="1:11" ht="42" customHeight="1">
      <c r="A1621" s="4" t="s">
        <v>3674</v>
      </c>
      <c r="B1621" s="5" t="s">
        <v>3674</v>
      </c>
      <c r="C1621" s="5" t="s">
        <v>38</v>
      </c>
      <c r="D1621" s="5" t="s">
        <v>39</v>
      </c>
      <c r="E1621" s="5" t="s">
        <v>171</v>
      </c>
      <c r="F1621" s="9">
        <v>76</v>
      </c>
      <c r="G1621" s="9">
        <v>849</v>
      </c>
      <c r="H1621" s="5" t="s">
        <v>21</v>
      </c>
      <c r="I1621" s="5" t="s">
        <v>3675</v>
      </c>
      <c r="J1621" s="12" t="str">
        <f>HYPERLINK("https://www.boe.es/gazeta/dias/1801/08/07/pdfs/GMD-1801-76.pdf#page=6","Abrir facsímil")</f>
        <v>Abrir facsímil</v>
      </c>
      <c r="K1621" s="15" t="s">
        <v>23</v>
      </c>
    </row>
    <row r="1622" spans="1:11" ht="42" customHeight="1">
      <c r="A1622" s="4" t="s">
        <v>3676</v>
      </c>
      <c r="B1622" s="5" t="s">
        <v>3676</v>
      </c>
      <c r="C1622" s="5" t="s">
        <v>1481</v>
      </c>
      <c r="D1622" s="5" t="s">
        <v>1482</v>
      </c>
      <c r="E1622" s="5" t="s">
        <v>2339</v>
      </c>
      <c r="F1622" s="9" t="s">
        <v>2340</v>
      </c>
      <c r="G1622" s="9">
        <v>617</v>
      </c>
      <c r="H1622" s="5" t="s">
        <v>21</v>
      </c>
      <c r="I1622" s="5" t="s">
        <v>3307</v>
      </c>
      <c r="J1622" s="12" t="str">
        <f>HYPERLINK("https://www.boe.es/gazeta/dias/1801/06/15/pdfs/GMD-1801-54E.pdf#page=1","Abrir facsímil")</f>
        <v>Abrir facsímil</v>
      </c>
      <c r="K1622" s="15" t="s">
        <v>23</v>
      </c>
    </row>
    <row r="1623" spans="1:11" ht="42" customHeight="1">
      <c r="A1623" s="4" t="s">
        <v>3677</v>
      </c>
      <c r="B1623" s="5" t="s">
        <v>3677</v>
      </c>
      <c r="C1623" s="5" t="s">
        <v>26</v>
      </c>
      <c r="D1623" s="5" t="s">
        <v>27</v>
      </c>
      <c r="E1623" s="5" t="s">
        <v>453</v>
      </c>
      <c r="F1623" s="9">
        <v>100</v>
      </c>
      <c r="G1623" s="9">
        <v>1093</v>
      </c>
      <c r="H1623" s="5" t="s">
        <v>21</v>
      </c>
      <c r="I1623" s="5" t="s">
        <v>3678</v>
      </c>
      <c r="J1623" s="12" t="str">
        <f>HYPERLINK("https://www.boe.es/gazeta/dias/1801/10/23/pdfs/GMD-1801-100.pdf#page=2","Abrir facsímil")</f>
        <v>Abrir facsímil</v>
      </c>
      <c r="K1623" s="15" t="s">
        <v>23</v>
      </c>
    </row>
    <row r="1624" spans="1:11" ht="42" customHeight="1">
      <c r="A1624" s="4" t="s">
        <v>3679</v>
      </c>
      <c r="B1624" s="5" t="s">
        <v>3679</v>
      </c>
      <c r="C1624" s="5" t="s">
        <v>38</v>
      </c>
      <c r="D1624" s="5" t="s">
        <v>39</v>
      </c>
      <c r="E1624" s="5" t="s">
        <v>219</v>
      </c>
      <c r="F1624" s="9">
        <v>26</v>
      </c>
      <c r="G1624" s="9">
        <v>343</v>
      </c>
      <c r="H1624" s="5" t="s">
        <v>21</v>
      </c>
      <c r="I1624" s="5" t="s">
        <v>3680</v>
      </c>
      <c r="J1624" s="12" t="str">
        <f>HYPERLINK("https://www.boe.es/gazeta/dias/1801/03/31/pdfs/GMD-1801-26.pdf#page=7","Abrir facsímil")</f>
        <v>Abrir facsímil</v>
      </c>
      <c r="K1624" s="15" t="s">
        <v>23</v>
      </c>
    </row>
    <row r="1625" spans="1:11" ht="42" customHeight="1">
      <c r="A1625" s="4" t="s">
        <v>3681</v>
      </c>
      <c r="B1625" s="5" t="s">
        <v>3681</v>
      </c>
      <c r="C1625" s="5" t="s">
        <v>38</v>
      </c>
      <c r="D1625" s="5" t="s">
        <v>39</v>
      </c>
      <c r="E1625" s="5" t="s">
        <v>82</v>
      </c>
      <c r="F1625" s="9">
        <v>75</v>
      </c>
      <c r="G1625" s="9">
        <v>841</v>
      </c>
      <c r="H1625" s="5" t="s">
        <v>21</v>
      </c>
      <c r="I1625" s="5" t="s">
        <v>3682</v>
      </c>
      <c r="J1625" s="12" t="str">
        <f>HYPERLINK("https://www.boe.es/gazeta/dias/1801/08/04/pdfs/GMD-1801-75.pdf#page=10","Abrir facsímil")</f>
        <v>Abrir facsímil</v>
      </c>
      <c r="K1625" s="15" t="s">
        <v>23</v>
      </c>
    </row>
    <row r="1626" spans="1:11" ht="42" customHeight="1">
      <c r="A1626" s="4" t="s">
        <v>3683</v>
      </c>
      <c r="B1626" s="5" t="s">
        <v>3683</v>
      </c>
      <c r="C1626" s="5" t="s">
        <v>38</v>
      </c>
      <c r="D1626" s="5" t="s">
        <v>39</v>
      </c>
      <c r="E1626" s="5" t="s">
        <v>72</v>
      </c>
      <c r="F1626" s="9">
        <v>60</v>
      </c>
      <c r="G1626" s="9">
        <v>687</v>
      </c>
      <c r="H1626" s="5" t="s">
        <v>21</v>
      </c>
      <c r="I1626" s="5" t="s">
        <v>3403</v>
      </c>
      <c r="J1626" s="12" t="str">
        <f>HYPERLINK("https://www.boe.es/gazeta/dias/1801/06/26/pdfs/GMD-1801-60.pdf#page=8","Abrir facsímil")</f>
        <v>Abrir facsímil</v>
      </c>
      <c r="K1626" s="15" t="s">
        <v>23</v>
      </c>
    </row>
    <row r="1627" spans="1:11" ht="42" customHeight="1">
      <c r="A1627" s="4" t="s">
        <v>3684</v>
      </c>
      <c r="B1627" s="5" t="s">
        <v>3684</v>
      </c>
      <c r="C1627" s="5" t="s">
        <v>32</v>
      </c>
      <c r="D1627" s="5" t="s">
        <v>33</v>
      </c>
      <c r="E1627" s="5" t="s">
        <v>112</v>
      </c>
      <c r="F1627" s="9">
        <v>114</v>
      </c>
      <c r="G1627" s="9">
        <v>1243</v>
      </c>
      <c r="H1627" s="5" t="s">
        <v>21</v>
      </c>
      <c r="I1627" s="5" t="s">
        <v>3685</v>
      </c>
      <c r="J1627" s="12" t="str">
        <f>HYPERLINK("https://www.boe.es/gazeta/dias/1801/12/11/pdfs/GMD-1801-114.pdf#page=5","Abrir facsímil")</f>
        <v>Abrir facsímil</v>
      </c>
      <c r="K1627" s="15" t="s">
        <v>23</v>
      </c>
    </row>
    <row r="1628" spans="1:11" ht="42" customHeight="1">
      <c r="A1628" s="4" t="s">
        <v>3686</v>
      </c>
      <c r="B1628" s="5" t="s">
        <v>3686</v>
      </c>
      <c r="C1628" s="5" t="s">
        <v>75</v>
      </c>
      <c r="D1628" s="5" t="s">
        <v>76</v>
      </c>
      <c r="E1628" s="5" t="s">
        <v>1939</v>
      </c>
      <c r="F1628" s="9">
        <v>107</v>
      </c>
      <c r="G1628" s="9">
        <v>1177</v>
      </c>
      <c r="H1628" s="5" t="s">
        <v>21</v>
      </c>
      <c r="I1628" s="5" t="s">
        <v>3687</v>
      </c>
      <c r="J1628" s="12" t="str">
        <f>HYPERLINK("https://www.boe.es/gazeta/dias/1801/11/17/pdfs/GMD-1801-107.pdf#page=6","Abrir facsímil")</f>
        <v>Abrir facsímil</v>
      </c>
      <c r="K1628" s="15" t="s">
        <v>23</v>
      </c>
    </row>
    <row r="1629" spans="1:11" ht="42" customHeight="1">
      <c r="A1629" s="4" t="s">
        <v>3688</v>
      </c>
      <c r="B1629" s="5" t="s">
        <v>3688</v>
      </c>
      <c r="C1629" s="5" t="s">
        <v>32</v>
      </c>
      <c r="D1629" s="5" t="s">
        <v>33</v>
      </c>
      <c r="E1629" s="5" t="s">
        <v>50</v>
      </c>
      <c r="F1629" s="9">
        <v>29</v>
      </c>
      <c r="G1629" s="9">
        <v>374</v>
      </c>
      <c r="H1629" s="5" t="s">
        <v>21</v>
      </c>
      <c r="I1629" s="5" t="s">
        <v>3689</v>
      </c>
      <c r="J1629" s="12" t="str">
        <f>HYPERLINK("https://www.boe.es/gazeta/dias/1801/04/10/pdfs/GMD-1801-29.pdf#page=2","Abrir facsímil")</f>
        <v>Abrir facsímil</v>
      </c>
      <c r="K1629" s="15" t="s">
        <v>23</v>
      </c>
    </row>
    <row r="1630" spans="1:11" ht="42" customHeight="1">
      <c r="A1630" s="4" t="s">
        <v>3690</v>
      </c>
      <c r="B1630" s="5" t="s">
        <v>3690</v>
      </c>
      <c r="C1630" s="5" t="s">
        <v>32</v>
      </c>
      <c r="D1630" s="5" t="s">
        <v>33</v>
      </c>
      <c r="E1630" s="5" t="s">
        <v>448</v>
      </c>
      <c r="F1630" s="9">
        <v>35</v>
      </c>
      <c r="G1630" s="9">
        <v>454</v>
      </c>
      <c r="H1630" s="5" t="s">
        <v>21</v>
      </c>
      <c r="I1630" s="5" t="s">
        <v>3691</v>
      </c>
      <c r="J1630" s="12" t="str">
        <f>HYPERLINK("https://www.boe.es/gazeta/dias/1801/05/01/pdfs/GMD-1801-35.pdf#page=10","Abrir facsímil")</f>
        <v>Abrir facsímil</v>
      </c>
      <c r="K1630" s="15" t="s">
        <v>23</v>
      </c>
    </row>
    <row r="1631" spans="1:11" ht="42" customHeight="1">
      <c r="A1631" s="4" t="s">
        <v>3692</v>
      </c>
      <c r="B1631" s="5" t="s">
        <v>3692</v>
      </c>
      <c r="C1631" s="5" t="s">
        <v>38</v>
      </c>
      <c r="D1631" s="5" t="s">
        <v>39</v>
      </c>
      <c r="E1631" s="5" t="s">
        <v>501</v>
      </c>
      <c r="F1631" s="9">
        <v>115</v>
      </c>
      <c r="G1631" s="9">
        <v>1255</v>
      </c>
      <c r="H1631" s="5" t="s">
        <v>21</v>
      </c>
      <c r="I1631" s="5" t="s">
        <v>3693</v>
      </c>
      <c r="J1631" s="12" t="str">
        <f>HYPERLINK("https://www.boe.es/gazeta/dias/1801/12/15/pdfs/GMD-1801-115.pdf#page=5","Abrir facsímil")</f>
        <v>Abrir facsímil</v>
      </c>
      <c r="K1631" s="15" t="s">
        <v>23</v>
      </c>
    </row>
    <row r="1632" spans="1:11" ht="42" customHeight="1">
      <c r="A1632" s="4" t="s">
        <v>3694</v>
      </c>
      <c r="B1632" s="5" t="s">
        <v>3694</v>
      </c>
      <c r="C1632" s="5" t="s">
        <v>38</v>
      </c>
      <c r="D1632" s="5" t="s">
        <v>39</v>
      </c>
      <c r="E1632" s="5" t="s">
        <v>349</v>
      </c>
      <c r="F1632" s="9">
        <v>112</v>
      </c>
      <c r="G1632" s="9">
        <v>1225</v>
      </c>
      <c r="H1632" s="5" t="s">
        <v>21</v>
      </c>
      <c r="I1632" s="5" t="s">
        <v>3695</v>
      </c>
      <c r="J1632" s="12" t="str">
        <f>HYPERLINK("https://www.boe.es/gazeta/dias/1801/12/04/pdfs/GMD-1801-112.pdf#page=6","Abrir facsímil")</f>
        <v>Abrir facsímil</v>
      </c>
      <c r="K1632" s="15" t="s">
        <v>23</v>
      </c>
    </row>
    <row r="1633" spans="1:11" ht="42" customHeight="1">
      <c r="A1633" s="4" t="s">
        <v>3694</v>
      </c>
      <c r="B1633" s="5" t="s">
        <v>3694</v>
      </c>
      <c r="C1633" s="5" t="s">
        <v>32</v>
      </c>
      <c r="D1633" s="5" t="s">
        <v>33</v>
      </c>
      <c r="E1633" s="5" t="s">
        <v>112</v>
      </c>
      <c r="F1633" s="9">
        <v>114</v>
      </c>
      <c r="G1633" s="9">
        <v>1243</v>
      </c>
      <c r="H1633" s="5" t="s">
        <v>21</v>
      </c>
      <c r="I1633" s="5" t="s">
        <v>3685</v>
      </c>
      <c r="J1633" s="12" t="str">
        <f>HYPERLINK("https://www.boe.es/gazeta/dias/1801/12/11/pdfs/GMD-1801-114.pdf#page=5","Abrir facsímil")</f>
        <v>Abrir facsímil</v>
      </c>
      <c r="K1633" s="15" t="s">
        <v>23</v>
      </c>
    </row>
    <row r="1634" spans="1:11" ht="42" customHeight="1">
      <c r="A1634" s="4" t="s">
        <v>3696</v>
      </c>
      <c r="B1634" s="5" t="s">
        <v>3696</v>
      </c>
      <c r="C1634" s="5" t="s">
        <v>75</v>
      </c>
      <c r="D1634" s="5" t="s">
        <v>76</v>
      </c>
      <c r="E1634" s="5" t="s">
        <v>256</v>
      </c>
      <c r="F1634" s="9">
        <v>78</v>
      </c>
      <c r="G1634" s="9">
        <v>877</v>
      </c>
      <c r="H1634" s="5" t="s">
        <v>21</v>
      </c>
      <c r="I1634" s="5" t="s">
        <v>3697</v>
      </c>
      <c r="J1634" s="12" t="str">
        <f>HYPERLINK("https://www.boe.es/gazeta/dias/1801/08/14/pdfs/GMD-1801-78.pdf#page=6","Abrir facsímil")</f>
        <v>Abrir facsímil</v>
      </c>
      <c r="K1634" s="15" t="s">
        <v>23</v>
      </c>
    </row>
    <row r="1635" spans="1:11" ht="42" customHeight="1">
      <c r="A1635" s="4" t="s">
        <v>3698</v>
      </c>
      <c r="B1635" s="5" t="s">
        <v>3698</v>
      </c>
      <c r="C1635" s="5" t="s">
        <v>75</v>
      </c>
      <c r="D1635" s="5" t="s">
        <v>76</v>
      </c>
      <c r="E1635" s="5" t="s">
        <v>735</v>
      </c>
      <c r="F1635" s="9">
        <v>97</v>
      </c>
      <c r="G1635" s="9">
        <v>1059</v>
      </c>
      <c r="H1635" s="5" t="s">
        <v>21</v>
      </c>
      <c r="I1635" s="5" t="s">
        <v>3699</v>
      </c>
      <c r="J1635" s="12" t="str">
        <f>HYPERLINK("https://www.boe.es/gazeta/dias/1801/10/13/pdfs/GMD-1801-97.pdf#page=3","Abrir facsímil")</f>
        <v>Abrir facsímil</v>
      </c>
      <c r="K1635" s="15" t="s">
        <v>23</v>
      </c>
    </row>
    <row r="1636" spans="1:11" ht="42" customHeight="1">
      <c r="A1636" s="4" t="s">
        <v>3700</v>
      </c>
      <c r="B1636" s="5" t="s">
        <v>3700</v>
      </c>
      <c r="C1636" s="5" t="s">
        <v>32</v>
      </c>
      <c r="D1636" s="5" t="s">
        <v>33</v>
      </c>
      <c r="E1636" s="5" t="s">
        <v>2185</v>
      </c>
      <c r="F1636" s="9">
        <v>84</v>
      </c>
      <c r="G1636" s="9">
        <v>938</v>
      </c>
      <c r="H1636" s="5" t="s">
        <v>21</v>
      </c>
      <c r="I1636" s="5" t="s">
        <v>3336</v>
      </c>
      <c r="J1636" s="12" t="str">
        <f>HYPERLINK("https://www.boe.es/gazeta/dias/1801/09/04/pdfs/GMD-1801-84.pdf#page=1","Abrir facsímil")</f>
        <v>Abrir facsímil</v>
      </c>
      <c r="K1636" s="15" t="s">
        <v>23</v>
      </c>
    </row>
    <row r="1637" spans="1:11" ht="42" customHeight="1">
      <c r="A1637" s="4" t="s">
        <v>3701</v>
      </c>
      <c r="B1637" s="5" t="s">
        <v>3701</v>
      </c>
      <c r="C1637" s="5" t="s">
        <v>32</v>
      </c>
      <c r="D1637" s="5" t="s">
        <v>33</v>
      </c>
      <c r="E1637" s="5" t="s">
        <v>751</v>
      </c>
      <c r="F1637" s="9">
        <v>106</v>
      </c>
      <c r="G1637" s="9">
        <v>1162</v>
      </c>
      <c r="H1637" s="5" t="s">
        <v>21</v>
      </c>
      <c r="I1637" s="5" t="s">
        <v>3441</v>
      </c>
      <c r="J1637" s="12" t="str">
        <f>HYPERLINK("https://www.boe.es/gazeta/dias/1801/11/13/pdfs/GMD-1801-106.pdf#page=3","Abrir facsímil")</f>
        <v>Abrir facsímil</v>
      </c>
      <c r="K1637" s="15" t="s">
        <v>23</v>
      </c>
    </row>
    <row r="1638" spans="1:11" ht="42" customHeight="1">
      <c r="A1638" s="4" t="s">
        <v>3702</v>
      </c>
      <c r="B1638" s="5" t="s">
        <v>3702</v>
      </c>
      <c r="C1638" s="5" t="s">
        <v>26</v>
      </c>
      <c r="D1638" s="5" t="s">
        <v>27</v>
      </c>
      <c r="E1638" s="5" t="s">
        <v>120</v>
      </c>
      <c r="F1638" s="9">
        <v>7</v>
      </c>
      <c r="G1638" s="9">
        <v>78</v>
      </c>
      <c r="H1638" s="5" t="s">
        <v>21</v>
      </c>
      <c r="I1638" s="5" t="s">
        <v>3703</v>
      </c>
      <c r="J1638" s="12" t="str">
        <f>HYPERLINK("https://www.boe.es/gazeta/dias/1801/01/23/pdfs/GMD-1801-7.pdf#page=2","Abrir facsímil")</f>
        <v>Abrir facsímil</v>
      </c>
      <c r="K1638" s="15" t="s">
        <v>23</v>
      </c>
    </row>
    <row r="1639" spans="1:11" ht="42" customHeight="1">
      <c r="A1639" s="4" t="s">
        <v>3704</v>
      </c>
      <c r="B1639" s="5" t="s">
        <v>3704</v>
      </c>
      <c r="C1639" s="5" t="s">
        <v>75</v>
      </c>
      <c r="D1639" s="5" t="s">
        <v>76</v>
      </c>
      <c r="E1639" s="5" t="s">
        <v>292</v>
      </c>
      <c r="F1639" s="9">
        <v>25</v>
      </c>
      <c r="G1639" s="9">
        <v>323</v>
      </c>
      <c r="H1639" s="5" t="s">
        <v>21</v>
      </c>
      <c r="I1639" s="5" t="s">
        <v>3705</v>
      </c>
      <c r="J1639" s="12" t="str">
        <f>HYPERLINK("https://www.boe.es/gazeta/dias/1801/03/27/pdfs/GMD-1801-25.pdf#page=2","Abrir facsímil")</f>
        <v>Abrir facsímil</v>
      </c>
      <c r="K1639" s="15" t="s">
        <v>23</v>
      </c>
    </row>
    <row r="1640" spans="1:11" ht="42" customHeight="1">
      <c r="A1640" s="4" t="s">
        <v>3706</v>
      </c>
      <c r="B1640" s="5" t="s">
        <v>3706</v>
      </c>
      <c r="C1640" s="5" t="s">
        <v>38</v>
      </c>
      <c r="D1640" s="5" t="s">
        <v>39</v>
      </c>
      <c r="E1640" s="5" t="s">
        <v>349</v>
      </c>
      <c r="F1640" s="9">
        <v>112</v>
      </c>
      <c r="G1640" s="9">
        <v>1225</v>
      </c>
      <c r="H1640" s="5" t="s">
        <v>21</v>
      </c>
      <c r="I1640" s="5" t="s">
        <v>3695</v>
      </c>
      <c r="J1640" s="12" t="str">
        <f>HYPERLINK("https://www.boe.es/gazeta/dias/1801/12/04/pdfs/GMD-1801-112.pdf#page=6","Abrir facsímil")</f>
        <v>Abrir facsímil</v>
      </c>
      <c r="K1640" s="15" t="s">
        <v>23</v>
      </c>
    </row>
    <row r="1641" spans="1:11" ht="42" customHeight="1">
      <c r="A1641" s="4" t="s">
        <v>3707</v>
      </c>
      <c r="B1641" s="5" t="s">
        <v>3707</v>
      </c>
      <c r="C1641" s="5" t="s">
        <v>38</v>
      </c>
      <c r="D1641" s="5" t="s">
        <v>39</v>
      </c>
      <c r="E1641" s="5" t="s">
        <v>751</v>
      </c>
      <c r="F1641" s="9">
        <v>106</v>
      </c>
      <c r="G1641" s="9">
        <v>1163</v>
      </c>
      <c r="H1641" s="5" t="s">
        <v>21</v>
      </c>
      <c r="I1641" s="5" t="s">
        <v>3708</v>
      </c>
      <c r="J1641" s="12" t="str">
        <f>HYPERLINK("https://www.boe.es/gazeta/dias/1801/11/13/pdfs/GMD-1801-106.pdf#page=4","Abrir facsímil")</f>
        <v>Abrir facsímil</v>
      </c>
      <c r="K1641" s="15" t="s">
        <v>23</v>
      </c>
    </row>
    <row r="1642" spans="1:11" ht="42" customHeight="1">
      <c r="A1642" s="4" t="s">
        <v>3709</v>
      </c>
      <c r="B1642" s="5" t="s">
        <v>3709</v>
      </c>
      <c r="C1642" s="5" t="s">
        <v>75</v>
      </c>
      <c r="D1642" s="5" t="s">
        <v>76</v>
      </c>
      <c r="E1642" s="5" t="s">
        <v>465</v>
      </c>
      <c r="F1642" s="9">
        <v>4</v>
      </c>
      <c r="G1642" s="9">
        <v>38</v>
      </c>
      <c r="H1642" s="5" t="s">
        <v>21</v>
      </c>
      <c r="I1642" s="5" t="s">
        <v>3710</v>
      </c>
      <c r="J1642" s="12" t="str">
        <f>HYPERLINK("https://www.boe.es/gazeta/dias/1801/01/13/pdfs/GMD-1801-4.pdf#page=2","Abrir facsímil")</f>
        <v>Abrir facsímil</v>
      </c>
      <c r="K1642" s="15" t="s">
        <v>23</v>
      </c>
    </row>
    <row r="1643" spans="1:11" ht="42" customHeight="1">
      <c r="A1643" s="4" t="s">
        <v>3711</v>
      </c>
      <c r="B1643" s="5" t="s">
        <v>3711</v>
      </c>
      <c r="C1643" s="5" t="s">
        <v>75</v>
      </c>
      <c r="D1643" s="5" t="s">
        <v>76</v>
      </c>
      <c r="E1643" s="5" t="s">
        <v>90</v>
      </c>
      <c r="F1643" s="9">
        <v>1</v>
      </c>
      <c r="G1643" s="9">
        <v>2</v>
      </c>
      <c r="H1643" s="5" t="s">
        <v>21</v>
      </c>
      <c r="I1643" s="5" t="s">
        <v>3712</v>
      </c>
      <c r="J1643" s="12" t="str">
        <f>HYPERLINK("https://www.boe.es/gazeta/dias/1801/01/02/pdfs/GMD-1801-1.pdf#page=2","Abrir facsímil")</f>
        <v>Abrir facsímil</v>
      </c>
      <c r="K1643" s="15" t="s">
        <v>23</v>
      </c>
    </row>
    <row r="1644" spans="1:11" ht="42" customHeight="1">
      <c r="A1644" s="4" t="s">
        <v>3713</v>
      </c>
      <c r="B1644" s="5" t="s">
        <v>3713</v>
      </c>
      <c r="C1644" s="5" t="s">
        <v>38</v>
      </c>
      <c r="D1644" s="5" t="s">
        <v>39</v>
      </c>
      <c r="E1644" s="5" t="s">
        <v>219</v>
      </c>
      <c r="F1644" s="9">
        <v>26</v>
      </c>
      <c r="G1644" s="9">
        <v>344</v>
      </c>
      <c r="H1644" s="5" t="s">
        <v>21</v>
      </c>
      <c r="I1644" s="5" t="s">
        <v>3714</v>
      </c>
      <c r="J1644" s="12" t="str">
        <f>HYPERLINK("https://www.boe.es/gazeta/dias/1801/03/31/pdfs/GMD-1801-26.pdf#page=8","Abrir facsímil")</f>
        <v>Abrir facsímil</v>
      </c>
      <c r="K1644" s="15" t="s">
        <v>23</v>
      </c>
    </row>
    <row r="1645" spans="1:11" ht="42" customHeight="1">
      <c r="A1645" s="4" t="s">
        <v>3715</v>
      </c>
      <c r="B1645" s="5" t="s">
        <v>3715</v>
      </c>
      <c r="C1645" s="5" t="s">
        <v>75</v>
      </c>
      <c r="D1645" s="5" t="s">
        <v>76</v>
      </c>
      <c r="E1645" s="5" t="s">
        <v>378</v>
      </c>
      <c r="F1645" s="9">
        <v>23</v>
      </c>
      <c r="G1645" s="9">
        <v>298</v>
      </c>
      <c r="H1645" s="5" t="s">
        <v>21</v>
      </c>
      <c r="I1645" s="5" t="s">
        <v>3716</v>
      </c>
      <c r="J1645" s="12" t="str">
        <f>HYPERLINK("https://www.boe.es/gazeta/dias/1801/03/20/pdfs/GMD-1801-23.pdf#page=1","Abrir facsímil")</f>
        <v>Abrir facsímil</v>
      </c>
      <c r="K1645" s="15" t="s">
        <v>23</v>
      </c>
    </row>
    <row r="1646" spans="1:11" ht="42" customHeight="1">
      <c r="A1646" s="4" t="s">
        <v>3717</v>
      </c>
      <c r="B1646" s="5" t="s">
        <v>3717</v>
      </c>
      <c r="C1646" s="5" t="s">
        <v>75</v>
      </c>
      <c r="D1646" s="5" t="s">
        <v>76</v>
      </c>
      <c r="E1646" s="5" t="s">
        <v>122</v>
      </c>
      <c r="F1646" s="9">
        <v>8</v>
      </c>
      <c r="G1646" s="9">
        <v>91</v>
      </c>
      <c r="H1646" s="5" t="s">
        <v>21</v>
      </c>
      <c r="I1646" s="5" t="s">
        <v>3718</v>
      </c>
      <c r="J1646" s="12" t="str">
        <f>HYPERLINK("https://www.boe.es/gazeta/dias/1801/01/27/pdfs/GMD-1801-8.pdf#page=3","Abrir facsímil")</f>
        <v>Abrir facsímil</v>
      </c>
      <c r="K1646" s="15" t="s">
        <v>23</v>
      </c>
    </row>
    <row r="1647" spans="1:11" ht="42" customHeight="1">
      <c r="A1647" s="4" t="s">
        <v>3719</v>
      </c>
      <c r="B1647" s="5" t="s">
        <v>3719</v>
      </c>
      <c r="C1647" s="5" t="s">
        <v>75</v>
      </c>
      <c r="D1647" s="5" t="s">
        <v>76</v>
      </c>
      <c r="E1647" s="5" t="s">
        <v>313</v>
      </c>
      <c r="F1647" s="9">
        <v>39</v>
      </c>
      <c r="G1647" s="9">
        <v>500</v>
      </c>
      <c r="H1647" s="5" t="s">
        <v>21</v>
      </c>
      <c r="I1647" s="5" t="s">
        <v>3720</v>
      </c>
      <c r="J1647" s="12" t="str">
        <f>HYPERLINK("https://www.boe.es/gazeta/dias/1801/05/15/pdfs/GMD-1801-39.pdf#page=4","Abrir facsímil")</f>
        <v>Abrir facsímil</v>
      </c>
      <c r="K1647" s="15" t="s">
        <v>23</v>
      </c>
    </row>
    <row r="1648" spans="1:11" ht="42" customHeight="1">
      <c r="A1648" s="4" t="s">
        <v>3721</v>
      </c>
      <c r="B1648" s="5" t="s">
        <v>3721</v>
      </c>
      <c r="C1648" s="5" t="s">
        <v>75</v>
      </c>
      <c r="D1648" s="5" t="s">
        <v>76</v>
      </c>
      <c r="E1648" s="5" t="s">
        <v>888</v>
      </c>
      <c r="F1648" s="9">
        <v>103</v>
      </c>
      <c r="G1648" s="9">
        <v>1132</v>
      </c>
      <c r="H1648" s="5" t="s">
        <v>21</v>
      </c>
      <c r="I1648" s="5" t="s">
        <v>3722</v>
      </c>
      <c r="J1648" s="12" t="str">
        <f>HYPERLINK("https://www.boe.es/gazeta/dias/1801/11/03/pdfs/GMD-1801-103.pdf#page=5","Abrir facsímil")</f>
        <v>Abrir facsímil</v>
      </c>
      <c r="K1648" s="15" t="s">
        <v>23</v>
      </c>
    </row>
    <row r="1649" spans="1:11" ht="42" customHeight="1">
      <c r="A1649" s="4" t="s">
        <v>3723</v>
      </c>
      <c r="B1649" s="5" t="s">
        <v>3723</v>
      </c>
      <c r="C1649" s="5" t="s">
        <v>18</v>
      </c>
      <c r="D1649" s="5" t="s">
        <v>19</v>
      </c>
      <c r="E1649" s="5" t="s">
        <v>173</v>
      </c>
      <c r="F1649" s="9">
        <v>98</v>
      </c>
      <c r="G1649" s="9">
        <v>1074</v>
      </c>
      <c r="H1649" s="5" t="s">
        <v>21</v>
      </c>
      <c r="I1649" s="5" t="s">
        <v>3315</v>
      </c>
      <c r="J1649" s="12" t="str">
        <f>HYPERLINK("https://www.boe.es/gazeta/dias/1801/10/16/pdfs/GMD-1801-98.pdf#page=6","Abrir facsímil")</f>
        <v>Abrir facsímil</v>
      </c>
      <c r="K1649" s="15" t="s">
        <v>23</v>
      </c>
    </row>
    <row r="1650" spans="1:11" ht="42" customHeight="1">
      <c r="A1650" s="4" t="s">
        <v>3724</v>
      </c>
      <c r="B1650" s="5" t="s">
        <v>3724</v>
      </c>
      <c r="C1650" s="5" t="s">
        <v>38</v>
      </c>
      <c r="D1650" s="5" t="s">
        <v>39</v>
      </c>
      <c r="E1650" s="5" t="s">
        <v>173</v>
      </c>
      <c r="F1650" s="9">
        <v>98</v>
      </c>
      <c r="G1650" s="9">
        <v>1074</v>
      </c>
      <c r="H1650" s="5" t="s">
        <v>21</v>
      </c>
      <c r="I1650" s="5" t="s">
        <v>3338</v>
      </c>
      <c r="J1650" s="12" t="str">
        <f>HYPERLINK("https://www.boe.es/gazeta/dias/1801/10/16/pdfs/GMD-1801-98.pdf#page=6","Abrir facsímil")</f>
        <v>Abrir facsímil</v>
      </c>
      <c r="K1650" s="15" t="s">
        <v>23</v>
      </c>
    </row>
    <row r="1651" spans="1:11" ht="42" customHeight="1">
      <c r="A1651" s="4" t="s">
        <v>3725</v>
      </c>
      <c r="B1651" s="5" t="s">
        <v>3725</v>
      </c>
      <c r="C1651" s="5" t="s">
        <v>38</v>
      </c>
      <c r="D1651" s="5" t="s">
        <v>39</v>
      </c>
      <c r="E1651" s="5" t="s">
        <v>453</v>
      </c>
      <c r="F1651" s="9">
        <v>100</v>
      </c>
      <c r="G1651" s="9">
        <v>1094</v>
      </c>
      <c r="H1651" s="5" t="s">
        <v>21</v>
      </c>
      <c r="I1651" s="5" t="s">
        <v>3457</v>
      </c>
      <c r="J1651" s="12" t="str">
        <f>HYPERLINK("https://www.boe.es/gazeta/dias/1801/10/23/pdfs/GMD-1801-100.pdf#page=3","Abrir facsímil")</f>
        <v>Abrir facsímil</v>
      </c>
      <c r="K1651" s="15" t="s">
        <v>23</v>
      </c>
    </row>
    <row r="1652" spans="1:11" ht="42" customHeight="1">
      <c r="A1652" s="4" t="s">
        <v>3726</v>
      </c>
      <c r="B1652" s="5" t="s">
        <v>3726</v>
      </c>
      <c r="C1652" s="5" t="s">
        <v>75</v>
      </c>
      <c r="D1652" s="5" t="s">
        <v>76</v>
      </c>
      <c r="E1652" s="5" t="s">
        <v>179</v>
      </c>
      <c r="F1652" s="9">
        <v>11</v>
      </c>
      <c r="G1652" s="9">
        <v>129</v>
      </c>
      <c r="H1652" s="5" t="s">
        <v>21</v>
      </c>
      <c r="I1652" s="5" t="s">
        <v>3727</v>
      </c>
      <c r="J1652" s="12" t="str">
        <f>HYPERLINK("https://www.boe.es/gazeta/dias/1801/02/06/pdfs/GMD-1801-11.pdf#page=2","Abrir facsímil")</f>
        <v>Abrir facsímil</v>
      </c>
      <c r="K1652" s="15" t="s">
        <v>23</v>
      </c>
    </row>
    <row r="1653" spans="1:11" ht="42" customHeight="1">
      <c r="A1653" s="4" t="s">
        <v>3728</v>
      </c>
      <c r="B1653" s="5" t="s">
        <v>3728</v>
      </c>
      <c r="C1653" s="5" t="s">
        <v>75</v>
      </c>
      <c r="D1653" s="5" t="s">
        <v>76</v>
      </c>
      <c r="E1653" s="5" t="s">
        <v>313</v>
      </c>
      <c r="F1653" s="9">
        <v>39</v>
      </c>
      <c r="G1653" s="9">
        <v>501</v>
      </c>
      <c r="H1653" s="5" t="s">
        <v>21</v>
      </c>
      <c r="I1653" s="5" t="s">
        <v>3729</v>
      </c>
      <c r="J1653" s="12" t="str">
        <f>HYPERLINK("https://www.boe.es/gazeta/dias/1801/05/15/pdfs/GMD-1801-39.pdf#page=5","Abrir facsímil")</f>
        <v>Abrir facsímil</v>
      </c>
      <c r="K1653" s="15" t="s">
        <v>23</v>
      </c>
    </row>
    <row r="1654" spans="1:11" ht="42" customHeight="1">
      <c r="A1654" s="4" t="s">
        <v>3730</v>
      </c>
      <c r="B1654" s="5" t="s">
        <v>3730</v>
      </c>
      <c r="C1654" s="5" t="s">
        <v>75</v>
      </c>
      <c r="D1654" s="5" t="s">
        <v>76</v>
      </c>
      <c r="E1654" s="5" t="s">
        <v>99</v>
      </c>
      <c r="F1654" s="9">
        <v>32</v>
      </c>
      <c r="G1654" s="9">
        <v>412</v>
      </c>
      <c r="H1654" s="5" t="s">
        <v>21</v>
      </c>
      <c r="I1654" s="5" t="s">
        <v>3731</v>
      </c>
      <c r="J1654" s="12" t="str">
        <f>HYPERLINK("https://www.boe.es/gazeta/dias/1801/04/21/pdfs/GMD-1801-32.pdf#page=8","Abrir facsímil")</f>
        <v>Abrir facsímil</v>
      </c>
      <c r="K1654" s="15" t="s">
        <v>23</v>
      </c>
    </row>
    <row r="1655" spans="1:11" ht="42" customHeight="1">
      <c r="A1655" s="4" t="s">
        <v>3732</v>
      </c>
      <c r="B1655" s="5" t="s">
        <v>3733</v>
      </c>
      <c r="C1655" s="5" t="s">
        <v>38</v>
      </c>
      <c r="D1655" s="5" t="s">
        <v>39</v>
      </c>
      <c r="E1655" s="5" t="s">
        <v>615</v>
      </c>
      <c r="F1655" s="9">
        <v>72</v>
      </c>
      <c r="G1655" s="9">
        <v>802</v>
      </c>
      <c r="H1655" s="5" t="s">
        <v>21</v>
      </c>
      <c r="I1655" s="5" t="s">
        <v>3734</v>
      </c>
      <c r="J1655" s="12" t="str">
        <f>HYPERLINK("https://www.boe.es/gazeta/dias/1801/07/24/pdfs/GMD-1801-72.pdf#page=7","Abrir facsímil")</f>
        <v>Abrir facsímil</v>
      </c>
      <c r="K1655" s="15" t="s">
        <v>23</v>
      </c>
    </row>
    <row r="1656" spans="1:11" ht="42" customHeight="1">
      <c r="A1656" s="4" t="s">
        <v>3735</v>
      </c>
      <c r="B1656" s="5" t="s">
        <v>3736</v>
      </c>
      <c r="C1656" s="5" t="s">
        <v>80</v>
      </c>
      <c r="D1656" s="5" t="s">
        <v>81</v>
      </c>
      <c r="E1656" s="5" t="s">
        <v>82</v>
      </c>
      <c r="F1656" s="9">
        <v>75</v>
      </c>
      <c r="G1656" s="9" t="s">
        <v>996</v>
      </c>
      <c r="H1656" s="5" t="s">
        <v>21</v>
      </c>
      <c r="I1656" s="5" t="s">
        <v>3737</v>
      </c>
      <c r="J1656" s="12" t="str">
        <f>HYPERLINK("https://www.boe.es/gazeta/dias/1801/08/04/pdfs/GMD-C-1801-75.pdf#page=6","Abrir facsímil")</f>
        <v>Abrir facsímil</v>
      </c>
      <c r="K1656" s="15" t="s">
        <v>23</v>
      </c>
    </row>
    <row r="1657" spans="1:11" ht="42" customHeight="1">
      <c r="A1657" s="4" t="s">
        <v>3738</v>
      </c>
      <c r="B1657" s="5" t="s">
        <v>3738</v>
      </c>
      <c r="C1657" s="5" t="s">
        <v>69</v>
      </c>
      <c r="D1657" s="5" t="s">
        <v>19</v>
      </c>
      <c r="E1657" s="5" t="s">
        <v>258</v>
      </c>
      <c r="F1657" s="9">
        <v>96</v>
      </c>
      <c r="G1657" s="9">
        <v>1056</v>
      </c>
      <c r="H1657" s="5" t="s">
        <v>21</v>
      </c>
      <c r="I1657" s="5" t="s">
        <v>3739</v>
      </c>
      <c r="J1657" s="12" t="str">
        <f>HYPERLINK("https://www.boe.es/gazeta/dias/1801/10/09/pdfs/GMD-1801-96.pdf#page=12","Abrir facsímil")</f>
        <v>Abrir facsímil</v>
      </c>
      <c r="K1657" s="15" t="s">
        <v>23</v>
      </c>
    </row>
    <row r="1658" spans="1:11" ht="42" customHeight="1">
      <c r="A1658" s="4" t="s">
        <v>3740</v>
      </c>
      <c r="B1658" s="5" t="s">
        <v>3741</v>
      </c>
      <c r="C1658" s="5" t="s">
        <v>18</v>
      </c>
      <c r="D1658" s="5" t="s">
        <v>19</v>
      </c>
      <c r="E1658" s="5" t="s">
        <v>321</v>
      </c>
      <c r="F1658" s="9">
        <v>3</v>
      </c>
      <c r="G1658" s="9">
        <v>32</v>
      </c>
      <c r="H1658" s="5" t="s">
        <v>21</v>
      </c>
      <c r="I1658" s="5" t="s">
        <v>3742</v>
      </c>
      <c r="J1658" s="12" t="str">
        <f>HYPERLINK("https://www.boe.es/gazeta/dias/1801/01/09/pdfs/GMD-1801-3.pdf#page=8","Abrir facsímil")</f>
        <v>Abrir facsímil</v>
      </c>
      <c r="K1658" s="15" t="s">
        <v>23</v>
      </c>
    </row>
    <row r="1659" spans="1:11" ht="42" customHeight="1">
      <c r="A1659" s="4" t="s">
        <v>3743</v>
      </c>
      <c r="B1659" s="5" t="s">
        <v>3744</v>
      </c>
      <c r="C1659" s="5" t="s">
        <v>38</v>
      </c>
      <c r="D1659" s="5" t="s">
        <v>39</v>
      </c>
      <c r="E1659" s="5" t="s">
        <v>48</v>
      </c>
      <c r="F1659" s="9">
        <v>20</v>
      </c>
      <c r="G1659" s="9">
        <v>261</v>
      </c>
      <c r="H1659" s="5" t="s">
        <v>21</v>
      </c>
      <c r="I1659" s="5" t="s">
        <v>3745</v>
      </c>
      <c r="J1659" s="12" t="str">
        <f>HYPERLINK("https://www.boe.es/gazeta/dias/1801/03/10/pdfs/GMD-1801-20.pdf#page=6","Abrir facsímil")</f>
        <v>Abrir facsímil</v>
      </c>
      <c r="K1659" s="15" t="s">
        <v>23</v>
      </c>
    </row>
    <row r="1660" spans="1:11" ht="42" customHeight="1">
      <c r="A1660" s="4" t="s">
        <v>3746</v>
      </c>
      <c r="B1660" s="5" t="s">
        <v>3747</v>
      </c>
      <c r="C1660" s="5" t="s">
        <v>32</v>
      </c>
      <c r="D1660" s="5" t="s">
        <v>33</v>
      </c>
      <c r="E1660" s="5" t="s">
        <v>712</v>
      </c>
      <c r="F1660" s="9">
        <v>105</v>
      </c>
      <c r="G1660" s="9">
        <v>1149</v>
      </c>
      <c r="H1660" s="5" t="s">
        <v>21</v>
      </c>
      <c r="I1660" s="5" t="s">
        <v>3748</v>
      </c>
      <c r="J1660" s="12" t="str">
        <f>HYPERLINK("https://www.boe.es/gazeta/dias/1801/11/10/pdfs/GMD-1801-105.pdf#page=2","Abrir facsímil")</f>
        <v>Abrir facsímil</v>
      </c>
      <c r="K1660" s="15" t="s">
        <v>23</v>
      </c>
    </row>
    <row r="1661" spans="1:11" ht="42" customHeight="1">
      <c r="A1661" s="4" t="s">
        <v>3749</v>
      </c>
      <c r="B1661" s="5" t="s">
        <v>3750</v>
      </c>
      <c r="C1661" s="5" t="s">
        <v>32</v>
      </c>
      <c r="D1661" s="5" t="s">
        <v>33</v>
      </c>
      <c r="E1661" s="5" t="s">
        <v>94</v>
      </c>
      <c r="F1661" s="9">
        <v>19</v>
      </c>
      <c r="G1661" s="9">
        <v>237</v>
      </c>
      <c r="H1661" s="5" t="s">
        <v>21</v>
      </c>
      <c r="I1661" s="5" t="s">
        <v>3751</v>
      </c>
      <c r="J1661" s="12" t="str">
        <f>HYPERLINK("https://www.boe.es/gazeta/dias/1801/03/06/pdfs/GMD-1801-19.pdf#page=2","Abrir facsímil")</f>
        <v>Abrir facsímil</v>
      </c>
      <c r="K1661" s="15" t="s">
        <v>23</v>
      </c>
    </row>
    <row r="1662" spans="1:11" ht="42" customHeight="1">
      <c r="A1662" s="4" t="s">
        <v>3752</v>
      </c>
      <c r="B1662" s="5" t="s">
        <v>3753</v>
      </c>
      <c r="C1662" s="5" t="s">
        <v>32</v>
      </c>
      <c r="D1662" s="5" t="s">
        <v>33</v>
      </c>
      <c r="E1662" s="5" t="s">
        <v>171</v>
      </c>
      <c r="F1662" s="9">
        <v>76</v>
      </c>
      <c r="G1662" s="9">
        <v>850</v>
      </c>
      <c r="H1662" s="5" t="s">
        <v>21</v>
      </c>
      <c r="I1662" s="5" t="s">
        <v>3754</v>
      </c>
      <c r="J1662" s="12" t="str">
        <f>HYPERLINK("https://www.boe.es/gazeta/dias/1801/08/07/pdfs/GMD-1801-76.pdf#page=7","Abrir facsímil")</f>
        <v>Abrir facsímil</v>
      </c>
      <c r="K1662" s="15" t="s">
        <v>23</v>
      </c>
    </row>
    <row r="1663" spans="1:11" ht="42" customHeight="1">
      <c r="A1663" s="4" t="s">
        <v>3755</v>
      </c>
      <c r="B1663" s="5" t="s">
        <v>3756</v>
      </c>
      <c r="C1663" s="5" t="s">
        <v>80</v>
      </c>
      <c r="D1663" s="5" t="s">
        <v>81</v>
      </c>
      <c r="E1663" s="5" t="s">
        <v>82</v>
      </c>
      <c r="F1663" s="9">
        <v>75</v>
      </c>
      <c r="G1663" s="9" t="s">
        <v>305</v>
      </c>
      <c r="H1663" s="5" t="s">
        <v>21</v>
      </c>
      <c r="I1663" s="5" t="s">
        <v>3757</v>
      </c>
      <c r="J1663" s="12" t="str">
        <f>HYPERLINK("https://www.boe.es/gazeta/dias/1801/08/04/pdfs/GMD-C-1801-75.pdf#page=4","Abrir facsímil")</f>
        <v>Abrir facsímil</v>
      </c>
      <c r="K1663" s="15" t="s">
        <v>23</v>
      </c>
    </row>
    <row r="1664" spans="1:11" ht="42" customHeight="1">
      <c r="A1664" s="4" t="s">
        <v>3758</v>
      </c>
      <c r="B1664" s="5" t="s">
        <v>3759</v>
      </c>
      <c r="C1664" s="5" t="s">
        <v>75</v>
      </c>
      <c r="D1664" s="5" t="s">
        <v>76</v>
      </c>
      <c r="E1664" s="5" t="s">
        <v>120</v>
      </c>
      <c r="F1664" s="9">
        <v>7</v>
      </c>
      <c r="G1664" s="9">
        <v>77</v>
      </c>
      <c r="H1664" s="5" t="s">
        <v>21</v>
      </c>
      <c r="I1664" s="5" t="s">
        <v>3760</v>
      </c>
      <c r="J1664" s="12" t="str">
        <f>HYPERLINK("https://www.boe.es/gazeta/dias/1801/01/23/pdfs/GMD-1801-7.pdf#page=1","Abrir facsímil")</f>
        <v>Abrir facsímil</v>
      </c>
      <c r="K1664" s="15" t="s">
        <v>23</v>
      </c>
    </row>
    <row r="1665" spans="1:11" ht="42" customHeight="1">
      <c r="A1665" s="4" t="s">
        <v>3761</v>
      </c>
      <c r="B1665" s="5" t="s">
        <v>3762</v>
      </c>
      <c r="C1665" s="5" t="s">
        <v>32</v>
      </c>
      <c r="D1665" s="5" t="s">
        <v>33</v>
      </c>
      <c r="E1665" s="5" t="s">
        <v>1436</v>
      </c>
      <c r="F1665" s="9">
        <v>95</v>
      </c>
      <c r="G1665" s="9">
        <v>1040</v>
      </c>
      <c r="H1665" s="5" t="s">
        <v>21</v>
      </c>
      <c r="I1665" s="5" t="s">
        <v>3763</v>
      </c>
      <c r="J1665" s="12" t="str">
        <f>HYPERLINK("https://www.boe.es/gazeta/dias/1801/10/06/pdfs/GMD-1801-95.pdf#page=4","Abrir facsímil")</f>
        <v>Abrir facsímil</v>
      </c>
      <c r="K1665" s="15" t="s">
        <v>23</v>
      </c>
    </row>
    <row r="1666" spans="1:11" ht="42" customHeight="1">
      <c r="A1666" s="4" t="s">
        <v>3764</v>
      </c>
      <c r="B1666" s="5" t="s">
        <v>3765</v>
      </c>
      <c r="C1666" s="5" t="s">
        <v>32</v>
      </c>
      <c r="D1666" s="5" t="s">
        <v>33</v>
      </c>
      <c r="E1666" s="5" t="s">
        <v>153</v>
      </c>
      <c r="F1666" s="9">
        <v>48</v>
      </c>
      <c r="G1666" s="9">
        <v>579</v>
      </c>
      <c r="H1666" s="5" t="s">
        <v>21</v>
      </c>
      <c r="I1666" s="5" t="s">
        <v>3766</v>
      </c>
      <c r="J1666" s="12" t="str">
        <f>HYPERLINK("https://www.boe.es/gazeta/dias/1801/06/05/pdfs/GMD-1801-48.pdf#page=1","Abrir facsímil")</f>
        <v>Abrir facsímil</v>
      </c>
      <c r="K1666" s="15" t="s">
        <v>23</v>
      </c>
    </row>
    <row r="1667" spans="1:11" ht="42" customHeight="1">
      <c r="A1667" s="4" t="s">
        <v>3767</v>
      </c>
      <c r="B1667" s="5" t="s">
        <v>3768</v>
      </c>
      <c r="C1667" s="5" t="s">
        <v>75</v>
      </c>
      <c r="D1667" s="5" t="s">
        <v>76</v>
      </c>
      <c r="E1667" s="5" t="s">
        <v>20</v>
      </c>
      <c r="F1667" s="9">
        <v>37</v>
      </c>
      <c r="G1667" s="9">
        <v>473</v>
      </c>
      <c r="H1667" s="5" t="s">
        <v>21</v>
      </c>
      <c r="I1667" s="5" t="s">
        <v>3769</v>
      </c>
      <c r="J1667" s="12" t="str">
        <f>HYPERLINK("https://www.boe.es/gazeta/dias/1801/05/08/pdfs/GMD-1801-37.pdf#page=1","Abrir facsímil")</f>
        <v>Abrir facsímil</v>
      </c>
      <c r="K1667" s="15" t="s">
        <v>23</v>
      </c>
    </row>
    <row r="1668" spans="1:11" ht="42" customHeight="1">
      <c r="A1668" s="4" t="s">
        <v>3770</v>
      </c>
      <c r="B1668" s="5" t="s">
        <v>3771</v>
      </c>
      <c r="C1668" s="5" t="s">
        <v>75</v>
      </c>
      <c r="D1668" s="5" t="s">
        <v>76</v>
      </c>
      <c r="E1668" s="5" t="s">
        <v>158</v>
      </c>
      <c r="F1668" s="9">
        <v>55</v>
      </c>
      <c r="G1668" s="9">
        <v>625</v>
      </c>
      <c r="H1668" s="5" t="s">
        <v>21</v>
      </c>
      <c r="I1668" s="5" t="s">
        <v>3772</v>
      </c>
      <c r="J1668" s="12" t="str">
        <f>HYPERLINK("https://www.boe.es/gazeta/dias/1801/06/16/pdfs/GMD-1801-55.pdf#page=1","Abrir facsímil")</f>
        <v>Abrir facsímil</v>
      </c>
      <c r="K1668" s="15" t="s">
        <v>23</v>
      </c>
    </row>
    <row r="1669" spans="1:11" ht="42" customHeight="1">
      <c r="A1669" s="4" t="s">
        <v>3773</v>
      </c>
      <c r="B1669" s="5" t="s">
        <v>3774</v>
      </c>
      <c r="C1669" s="5" t="s">
        <v>75</v>
      </c>
      <c r="D1669" s="5" t="s">
        <v>76</v>
      </c>
      <c r="E1669" s="5" t="s">
        <v>465</v>
      </c>
      <c r="F1669" s="9">
        <v>4</v>
      </c>
      <c r="G1669" s="9">
        <v>45</v>
      </c>
      <c r="H1669" s="5" t="s">
        <v>21</v>
      </c>
      <c r="I1669" s="5" t="s">
        <v>3775</v>
      </c>
      <c r="J1669" s="12" t="str">
        <f>HYPERLINK("https://www.boe.es/gazeta/dias/1801/01/13/pdfs/GMD-1801-4.pdf#page=9","Abrir facsímil")</f>
        <v>Abrir facsímil</v>
      </c>
      <c r="K1669" s="15" t="s">
        <v>23</v>
      </c>
    </row>
    <row r="1670" spans="1:11" ht="42" customHeight="1">
      <c r="A1670" s="4" t="s">
        <v>3776</v>
      </c>
      <c r="B1670" s="5" t="s">
        <v>3777</v>
      </c>
      <c r="C1670" s="5" t="s">
        <v>32</v>
      </c>
      <c r="D1670" s="5" t="s">
        <v>33</v>
      </c>
      <c r="E1670" s="5" t="s">
        <v>1058</v>
      </c>
      <c r="F1670" s="9">
        <v>108</v>
      </c>
      <c r="G1670" s="9">
        <v>1191</v>
      </c>
      <c r="H1670" s="5" t="s">
        <v>21</v>
      </c>
      <c r="I1670" s="5" t="s">
        <v>3778</v>
      </c>
      <c r="J1670" s="12" t="str">
        <f>HYPERLINK("https://www.boe.es/gazeta/dias/1801/11/20/pdfs/GMD-1801-108.pdf#page=8","Abrir facsímil")</f>
        <v>Abrir facsímil</v>
      </c>
      <c r="K1670" s="15" t="s">
        <v>23</v>
      </c>
    </row>
    <row r="1671" spans="1:11" ht="42" customHeight="1">
      <c r="A1671" s="4" t="s">
        <v>3779</v>
      </c>
      <c r="B1671" s="5" t="s">
        <v>3779</v>
      </c>
      <c r="C1671" s="5" t="s">
        <v>32</v>
      </c>
      <c r="D1671" s="5" t="s">
        <v>33</v>
      </c>
      <c r="E1671" s="5" t="s">
        <v>1015</v>
      </c>
      <c r="F1671" s="9">
        <v>15</v>
      </c>
      <c r="G1671" s="9">
        <v>184</v>
      </c>
      <c r="H1671" s="5" t="s">
        <v>21</v>
      </c>
      <c r="I1671" s="5" t="s">
        <v>3780</v>
      </c>
      <c r="J1671" s="12" t="str">
        <f>HYPERLINK("https://www.boe.es/gazeta/dias/1801/02/20/pdfs/GMD-1801-15.pdf#page=3","Abrir facsímil")</f>
        <v>Abrir facsímil</v>
      </c>
      <c r="K1671" s="15" t="s">
        <v>23</v>
      </c>
    </row>
    <row r="1672" spans="1:11" ht="42" customHeight="1">
      <c r="A1672" s="4" t="s">
        <v>3781</v>
      </c>
      <c r="B1672" s="5" t="s">
        <v>3782</v>
      </c>
      <c r="C1672" s="5" t="s">
        <v>80</v>
      </c>
      <c r="D1672" s="5" t="s">
        <v>81</v>
      </c>
      <c r="E1672" s="5" t="s">
        <v>289</v>
      </c>
      <c r="F1672" s="9">
        <v>40</v>
      </c>
      <c r="G1672" s="9" t="s">
        <v>668</v>
      </c>
      <c r="H1672" s="5" t="s">
        <v>21</v>
      </c>
      <c r="I1672" s="5" t="s">
        <v>3783</v>
      </c>
      <c r="J1672" s="12" t="str">
        <f>HYPERLINK("https://www.boe.es/gazeta/dias/1801/05/19/pdfs/GMD-C-1801-40.pdf#page=1","Abrir facsímil")</f>
        <v>Abrir facsímil</v>
      </c>
      <c r="K1672" s="15" t="s">
        <v>23</v>
      </c>
    </row>
    <row r="1673" spans="1:11" ht="42" customHeight="1">
      <c r="A1673" s="4" t="s">
        <v>3784</v>
      </c>
      <c r="B1673" s="5" t="s">
        <v>3785</v>
      </c>
      <c r="C1673" s="5" t="s">
        <v>32</v>
      </c>
      <c r="D1673" s="5" t="s">
        <v>33</v>
      </c>
      <c r="E1673" s="5" t="s">
        <v>90</v>
      </c>
      <c r="F1673" s="9">
        <v>1</v>
      </c>
      <c r="G1673" s="9">
        <v>8</v>
      </c>
      <c r="H1673" s="5" t="s">
        <v>21</v>
      </c>
      <c r="I1673" s="5" t="s">
        <v>3786</v>
      </c>
      <c r="J1673" s="12" t="str">
        <f>HYPERLINK("https://www.boe.es/gazeta/dias/1801/01/02/pdfs/GMD-1801-1.pdf#page=8","Abrir facsímil")</f>
        <v>Abrir facsímil</v>
      </c>
      <c r="K1673" s="15" t="s">
        <v>23</v>
      </c>
    </row>
    <row r="1674" spans="1:11" ht="42" customHeight="1">
      <c r="A1674" s="4" t="s">
        <v>3787</v>
      </c>
      <c r="B1674" s="5" t="s">
        <v>3788</v>
      </c>
      <c r="C1674" s="5" t="s">
        <v>75</v>
      </c>
      <c r="D1674" s="5" t="s">
        <v>76</v>
      </c>
      <c r="E1674" s="5" t="s">
        <v>924</v>
      </c>
      <c r="F1674" s="9">
        <v>90</v>
      </c>
      <c r="G1674" s="9">
        <v>989</v>
      </c>
      <c r="H1674" s="5" t="s">
        <v>21</v>
      </c>
      <c r="I1674" s="5" t="s">
        <v>3789</v>
      </c>
      <c r="J1674" s="12" t="str">
        <f>HYPERLINK("https://www.boe.es/gazeta/dias/1801/09/18/pdfs/GMD-1801-90.pdf#page=4","Abrir facsímil")</f>
        <v>Abrir facsímil</v>
      </c>
      <c r="K1674" s="15" t="s">
        <v>23</v>
      </c>
    </row>
    <row r="1675" spans="1:11" ht="42" customHeight="1">
      <c r="A1675" s="4" t="s">
        <v>3790</v>
      </c>
      <c r="B1675" s="5" t="s">
        <v>3791</v>
      </c>
      <c r="C1675" s="5" t="s">
        <v>38</v>
      </c>
      <c r="D1675" s="5" t="s">
        <v>39</v>
      </c>
      <c r="E1675" s="5" t="s">
        <v>1058</v>
      </c>
      <c r="F1675" s="9">
        <v>108</v>
      </c>
      <c r="G1675" s="9">
        <v>1187</v>
      </c>
      <c r="H1675" s="5" t="s">
        <v>21</v>
      </c>
      <c r="I1675" s="5" t="s">
        <v>3792</v>
      </c>
      <c r="J1675" s="12" t="str">
        <f>HYPERLINK("https://www.boe.es/gazeta/dias/1801/11/20/pdfs/GMD-1801-108.pdf#page=4","Abrir facsímil")</f>
        <v>Abrir facsímil</v>
      </c>
      <c r="K1675" s="15" t="s">
        <v>23</v>
      </c>
    </row>
    <row r="1676" spans="1:11" ht="42" customHeight="1">
      <c r="A1676" s="4" t="s">
        <v>3793</v>
      </c>
      <c r="B1676" s="5" t="s">
        <v>3794</v>
      </c>
      <c r="C1676" s="5" t="s">
        <v>32</v>
      </c>
      <c r="D1676" s="5" t="s">
        <v>33</v>
      </c>
      <c r="E1676" s="5" t="s">
        <v>169</v>
      </c>
      <c r="F1676" s="9">
        <v>70</v>
      </c>
      <c r="G1676" s="9">
        <v>773</v>
      </c>
      <c r="H1676" s="5" t="s">
        <v>21</v>
      </c>
      <c r="I1676" s="5" t="s">
        <v>3795</v>
      </c>
      <c r="J1676" s="12" t="str">
        <f>HYPERLINK("https://www.boe.es/gazeta/dias/1801/07/17/pdfs/GMD-1801-70.pdf#page=6","Abrir facsímil")</f>
        <v>Abrir facsímil</v>
      </c>
      <c r="K1676" s="15" t="s">
        <v>23</v>
      </c>
    </row>
    <row r="1677" spans="1:11" ht="42" customHeight="1">
      <c r="A1677" s="4" t="s">
        <v>3796</v>
      </c>
      <c r="B1677" s="5" t="s">
        <v>3797</v>
      </c>
      <c r="C1677" s="5" t="s">
        <v>38</v>
      </c>
      <c r="D1677" s="5" t="s">
        <v>39</v>
      </c>
      <c r="E1677" s="5" t="s">
        <v>186</v>
      </c>
      <c r="F1677" s="9">
        <v>21</v>
      </c>
      <c r="G1677" s="9">
        <v>279</v>
      </c>
      <c r="H1677" s="5" t="s">
        <v>21</v>
      </c>
      <c r="I1677" s="5" t="s">
        <v>3798</v>
      </c>
      <c r="J1677" s="12" t="str">
        <f>HYPERLINK("https://www.boe.es/gazeta/dias/1801/03/13/pdfs/GMD-1801-21.pdf#page=8","Abrir facsímil")</f>
        <v>Abrir facsímil</v>
      </c>
      <c r="K1677" s="15" t="s">
        <v>23</v>
      </c>
    </row>
    <row r="1678" spans="1:11" ht="42" customHeight="1">
      <c r="A1678" s="4" t="s">
        <v>3799</v>
      </c>
      <c r="B1678" s="5" t="s">
        <v>3800</v>
      </c>
      <c r="C1678" s="5" t="s">
        <v>75</v>
      </c>
      <c r="D1678" s="5" t="s">
        <v>76</v>
      </c>
      <c r="E1678" s="5" t="s">
        <v>215</v>
      </c>
      <c r="F1678" s="9">
        <v>71</v>
      </c>
      <c r="G1678" s="9">
        <v>785</v>
      </c>
      <c r="H1678" s="5" t="s">
        <v>21</v>
      </c>
      <c r="I1678" s="5" t="s">
        <v>3801</v>
      </c>
      <c r="J1678" s="12" t="str">
        <f>HYPERLINK("https://www.boe.es/gazeta/dias/1801/07/21/pdfs/GMD-1801-71.pdf#page=6","Abrir facsímil")</f>
        <v>Abrir facsímil</v>
      </c>
      <c r="K1678" s="15" t="s">
        <v>23</v>
      </c>
    </row>
    <row r="1679" spans="1:11" ht="42" customHeight="1">
      <c r="A1679" s="4" t="s">
        <v>3802</v>
      </c>
      <c r="B1679" s="5" t="s">
        <v>3803</v>
      </c>
      <c r="C1679" s="5" t="s">
        <v>75</v>
      </c>
      <c r="D1679" s="5" t="s">
        <v>76</v>
      </c>
      <c r="E1679" s="5" t="s">
        <v>186</v>
      </c>
      <c r="F1679" s="9">
        <v>21</v>
      </c>
      <c r="G1679" s="9">
        <v>278</v>
      </c>
      <c r="H1679" s="5" t="s">
        <v>21</v>
      </c>
      <c r="I1679" s="5" t="s">
        <v>3804</v>
      </c>
      <c r="J1679" s="12" t="str">
        <f>HYPERLINK("https://www.boe.es/gazeta/dias/1801/03/13/pdfs/GMD-1801-21.pdf#page=7","Abrir facsímil")</f>
        <v>Abrir facsímil</v>
      </c>
      <c r="K1679" s="15" t="s">
        <v>23</v>
      </c>
    </row>
    <row r="1680" spans="1:11" ht="42" customHeight="1">
      <c r="A1680" s="4" t="s">
        <v>3802</v>
      </c>
      <c r="B1680" s="5" t="s">
        <v>3803</v>
      </c>
      <c r="C1680" s="5" t="s">
        <v>32</v>
      </c>
      <c r="D1680" s="5" t="s">
        <v>33</v>
      </c>
      <c r="E1680" s="5" t="s">
        <v>215</v>
      </c>
      <c r="F1680" s="9">
        <v>71</v>
      </c>
      <c r="G1680" s="9">
        <v>784</v>
      </c>
      <c r="H1680" s="5" t="s">
        <v>21</v>
      </c>
      <c r="I1680" s="5" t="s">
        <v>3805</v>
      </c>
      <c r="J1680" s="12" t="str">
        <f>HYPERLINK("https://www.boe.es/gazeta/dias/1801/07/21/pdfs/GMD-1801-71.pdf#page=5","Abrir facsímil")</f>
        <v>Abrir facsímil</v>
      </c>
      <c r="K1680" s="15" t="s">
        <v>23</v>
      </c>
    </row>
    <row r="1681" spans="1:11" ht="42" customHeight="1">
      <c r="A1681" s="4" t="s">
        <v>3802</v>
      </c>
      <c r="B1681" s="5" t="s">
        <v>3803</v>
      </c>
      <c r="C1681" s="5" t="s">
        <v>69</v>
      </c>
      <c r="D1681" s="5" t="s">
        <v>19</v>
      </c>
      <c r="E1681" s="5" t="s">
        <v>615</v>
      </c>
      <c r="F1681" s="9">
        <v>72</v>
      </c>
      <c r="G1681" s="9">
        <v>800</v>
      </c>
      <c r="H1681" s="5" t="s">
        <v>21</v>
      </c>
      <c r="I1681" s="5" t="s">
        <v>3806</v>
      </c>
      <c r="J1681" s="12" t="str">
        <f>HYPERLINK("https://www.boe.es/gazeta/dias/1801/07/24/pdfs/GMD-1801-72.pdf#page=5","Abrir facsímil")</f>
        <v>Abrir facsímil</v>
      </c>
      <c r="K1681" s="15" t="s">
        <v>23</v>
      </c>
    </row>
    <row r="1682" spans="1:11" ht="42" customHeight="1">
      <c r="A1682" s="4" t="s">
        <v>3802</v>
      </c>
      <c r="B1682" s="5" t="s">
        <v>3803</v>
      </c>
      <c r="C1682" s="5" t="s">
        <v>18</v>
      </c>
      <c r="D1682" s="5" t="s">
        <v>19</v>
      </c>
      <c r="E1682" s="5" t="s">
        <v>615</v>
      </c>
      <c r="F1682" s="9">
        <v>72</v>
      </c>
      <c r="G1682" s="9">
        <v>801</v>
      </c>
      <c r="H1682" s="5" t="s">
        <v>21</v>
      </c>
      <c r="I1682" s="5" t="s">
        <v>3807</v>
      </c>
      <c r="J1682" s="12" t="str">
        <f>HYPERLINK("https://www.boe.es/gazeta/dias/1801/07/24/pdfs/GMD-1801-72.pdf#page=6","Abrir facsímil")</f>
        <v>Abrir facsímil</v>
      </c>
      <c r="K1682" s="15" t="s">
        <v>23</v>
      </c>
    </row>
    <row r="1683" spans="1:11" ht="42" customHeight="1">
      <c r="A1683" s="4" t="s">
        <v>3802</v>
      </c>
      <c r="B1683" s="5" t="s">
        <v>3803</v>
      </c>
      <c r="C1683" s="5" t="s">
        <v>75</v>
      </c>
      <c r="D1683" s="5" t="s">
        <v>76</v>
      </c>
      <c r="E1683" s="5" t="s">
        <v>223</v>
      </c>
      <c r="F1683" s="9">
        <v>74</v>
      </c>
      <c r="G1683" s="9">
        <v>825</v>
      </c>
      <c r="H1683" s="5" t="s">
        <v>21</v>
      </c>
      <c r="I1683" s="5" t="s">
        <v>3808</v>
      </c>
      <c r="J1683" s="12" t="str">
        <f>HYPERLINK("https://www.boe.es/gazeta/dias/1801/07/31/pdfs/GMD-1801-74.pdf#page=6","Abrir facsímil")</f>
        <v>Abrir facsímil</v>
      </c>
      <c r="K1683" s="15" t="s">
        <v>23</v>
      </c>
    </row>
    <row r="1684" spans="1:11" ht="42" customHeight="1">
      <c r="A1684" s="4" t="s">
        <v>3802</v>
      </c>
      <c r="B1684" s="5" t="s">
        <v>3803</v>
      </c>
      <c r="C1684" s="5" t="s">
        <v>26</v>
      </c>
      <c r="D1684" s="5" t="s">
        <v>27</v>
      </c>
      <c r="E1684" s="5" t="s">
        <v>82</v>
      </c>
      <c r="F1684" s="9">
        <v>75</v>
      </c>
      <c r="G1684" s="9">
        <v>839</v>
      </c>
      <c r="H1684" s="5" t="s">
        <v>21</v>
      </c>
      <c r="I1684" s="5" t="s">
        <v>3809</v>
      </c>
      <c r="J1684" s="12" t="str">
        <f>HYPERLINK("https://www.boe.es/gazeta/dias/1801/08/04/pdfs/GMD-1801-75.pdf#page=8","Abrir facsímil")</f>
        <v>Abrir facsímil</v>
      </c>
      <c r="K1684" s="15" t="s">
        <v>23</v>
      </c>
    </row>
    <row r="1685" spans="1:11" ht="42" customHeight="1">
      <c r="A1685" s="4" t="s">
        <v>3802</v>
      </c>
      <c r="B1685" s="5" t="s">
        <v>3803</v>
      </c>
      <c r="C1685" s="5" t="s">
        <v>75</v>
      </c>
      <c r="D1685" s="5" t="s">
        <v>76</v>
      </c>
      <c r="E1685" s="5" t="s">
        <v>28</v>
      </c>
      <c r="F1685" s="9">
        <v>77</v>
      </c>
      <c r="G1685" s="9">
        <v>862</v>
      </c>
      <c r="H1685" s="5" t="s">
        <v>21</v>
      </c>
      <c r="I1685" s="5" t="s">
        <v>3810</v>
      </c>
      <c r="J1685" s="12" t="str">
        <f>HYPERLINK("https://www.boe.es/gazeta/dias/1801/08/11/pdfs/GMD-1801-77.pdf#page=7","Abrir facsímil")</f>
        <v>Abrir facsímil</v>
      </c>
      <c r="K1685" s="15" t="s">
        <v>23</v>
      </c>
    </row>
    <row r="1686" spans="1:11" ht="42" customHeight="1">
      <c r="A1686" s="4" t="s">
        <v>3802</v>
      </c>
      <c r="B1686" s="5" t="s">
        <v>3803</v>
      </c>
      <c r="C1686" s="5" t="s">
        <v>75</v>
      </c>
      <c r="D1686" s="5" t="s">
        <v>76</v>
      </c>
      <c r="E1686" s="5" t="s">
        <v>764</v>
      </c>
      <c r="F1686" s="9">
        <v>80</v>
      </c>
      <c r="G1686" s="9">
        <v>897</v>
      </c>
      <c r="H1686" s="5" t="s">
        <v>21</v>
      </c>
      <c r="I1686" s="5" t="s">
        <v>3811</v>
      </c>
      <c r="J1686" s="12" t="str">
        <f>HYPERLINK("https://www.boe.es/gazeta/dias/1801/08/21/pdfs/GMD-1801-80.pdf#page=6","Abrir facsímil")</f>
        <v>Abrir facsímil</v>
      </c>
      <c r="K1686" s="15" t="s">
        <v>23</v>
      </c>
    </row>
    <row r="1687" spans="1:11" ht="42" customHeight="1">
      <c r="A1687" s="4" t="s">
        <v>3802</v>
      </c>
      <c r="B1687" s="5" t="s">
        <v>3803</v>
      </c>
      <c r="C1687" s="5" t="s">
        <v>75</v>
      </c>
      <c r="D1687" s="5" t="s">
        <v>76</v>
      </c>
      <c r="E1687" s="5" t="s">
        <v>338</v>
      </c>
      <c r="F1687" s="9">
        <v>83</v>
      </c>
      <c r="G1687" s="9">
        <v>931</v>
      </c>
      <c r="H1687" s="5" t="s">
        <v>21</v>
      </c>
      <c r="I1687" s="5" t="s">
        <v>3812</v>
      </c>
      <c r="J1687" s="12" t="str">
        <f>HYPERLINK("https://www.boe.es/gazeta/dias/1801/09/01/pdfs/GMD-1801-83.pdf#page=6","Abrir facsímil")</f>
        <v>Abrir facsímil</v>
      </c>
      <c r="K1687" s="15" t="s">
        <v>23</v>
      </c>
    </row>
    <row r="1688" spans="1:11" ht="42" customHeight="1">
      <c r="A1688" s="4" t="s">
        <v>3802</v>
      </c>
      <c r="B1688" s="5" t="s">
        <v>3803</v>
      </c>
      <c r="C1688" s="5" t="s">
        <v>75</v>
      </c>
      <c r="D1688" s="5" t="s">
        <v>76</v>
      </c>
      <c r="E1688" s="5" t="s">
        <v>338</v>
      </c>
      <c r="F1688" s="9">
        <v>83</v>
      </c>
      <c r="G1688" s="9">
        <v>932</v>
      </c>
      <c r="H1688" s="5" t="s">
        <v>21</v>
      </c>
      <c r="I1688" s="5" t="s">
        <v>3813</v>
      </c>
      <c r="J1688" s="12" t="str">
        <f>HYPERLINK("https://www.boe.es/gazeta/dias/1801/09/01/pdfs/GMD-1801-83.pdf#page=7","Abrir facsímil")</f>
        <v>Abrir facsímil</v>
      </c>
      <c r="K1688" s="15" t="s">
        <v>23</v>
      </c>
    </row>
    <row r="1689" spans="1:11" ht="42" customHeight="1">
      <c r="A1689" s="4" t="s">
        <v>3802</v>
      </c>
      <c r="B1689" s="5" t="s">
        <v>3803</v>
      </c>
      <c r="C1689" s="5" t="s">
        <v>32</v>
      </c>
      <c r="D1689" s="5" t="s">
        <v>33</v>
      </c>
      <c r="E1689" s="5" t="s">
        <v>919</v>
      </c>
      <c r="F1689" s="9">
        <v>91</v>
      </c>
      <c r="G1689" s="9">
        <v>1002</v>
      </c>
      <c r="H1689" s="5" t="s">
        <v>21</v>
      </c>
      <c r="I1689" s="5" t="s">
        <v>3814</v>
      </c>
      <c r="J1689" s="12" t="str">
        <f>HYPERLINK("https://www.boe.es/gazeta/dias/1801/09/22/pdfs/GMD-1801-91.pdf#page=5","Abrir facsímil")</f>
        <v>Abrir facsímil</v>
      </c>
      <c r="K1689" s="15" t="s">
        <v>23</v>
      </c>
    </row>
    <row r="1690" spans="1:11" ht="42" customHeight="1">
      <c r="A1690" s="4" t="s">
        <v>3815</v>
      </c>
      <c r="B1690" s="5" t="s">
        <v>3816</v>
      </c>
      <c r="C1690" s="5" t="s">
        <v>75</v>
      </c>
      <c r="D1690" s="5" t="s">
        <v>76</v>
      </c>
      <c r="E1690" s="5" t="s">
        <v>215</v>
      </c>
      <c r="F1690" s="9">
        <v>71</v>
      </c>
      <c r="G1690" s="9">
        <v>785</v>
      </c>
      <c r="H1690" s="5" t="s">
        <v>21</v>
      </c>
      <c r="I1690" s="5" t="s">
        <v>3817</v>
      </c>
      <c r="J1690" s="12" t="str">
        <f>HYPERLINK("https://www.boe.es/gazeta/dias/1801/07/21/pdfs/GMD-1801-71.pdf#page=6","Abrir facsímil")</f>
        <v>Abrir facsímil</v>
      </c>
      <c r="K1690" s="15" t="s">
        <v>23</v>
      </c>
    </row>
    <row r="1691" spans="1:11" ht="42" customHeight="1">
      <c r="A1691" s="4" t="s">
        <v>3818</v>
      </c>
      <c r="B1691" s="5" t="s">
        <v>3819</v>
      </c>
      <c r="C1691" s="5" t="s">
        <v>75</v>
      </c>
      <c r="D1691" s="5" t="s">
        <v>76</v>
      </c>
      <c r="E1691" s="5" t="s">
        <v>182</v>
      </c>
      <c r="F1691" s="9">
        <v>18</v>
      </c>
      <c r="G1691" s="9">
        <v>223</v>
      </c>
      <c r="H1691" s="5" t="s">
        <v>21</v>
      </c>
      <c r="I1691" s="5" t="s">
        <v>3820</v>
      </c>
      <c r="J1691" s="12" t="str">
        <f>HYPERLINK("https://www.boe.es/gazeta/dias/1801/03/03/pdfs/GMD-1801-18.pdf#page=4","Abrir facsímil")</f>
        <v>Abrir facsímil</v>
      </c>
      <c r="K1691" s="15" t="s">
        <v>23</v>
      </c>
    </row>
    <row r="1692" spans="1:11" ht="42" customHeight="1">
      <c r="A1692" s="4" t="s">
        <v>3821</v>
      </c>
      <c r="B1692" s="5" t="s">
        <v>3821</v>
      </c>
      <c r="C1692" s="5" t="s">
        <v>32</v>
      </c>
      <c r="D1692" s="5" t="s">
        <v>33</v>
      </c>
      <c r="E1692" s="5" t="s">
        <v>151</v>
      </c>
      <c r="F1692" s="9">
        <v>45</v>
      </c>
      <c r="G1692" s="9">
        <v>561</v>
      </c>
      <c r="H1692" s="5" t="s">
        <v>21</v>
      </c>
      <c r="I1692" s="5" t="s">
        <v>3822</v>
      </c>
      <c r="J1692" s="12" t="str">
        <f>HYPERLINK("https://www.boe.es/gazeta/dias/1801/06/02/pdfs/GMD-1801-45.pdf#page=9","Abrir facsímil")</f>
        <v>Abrir facsímil</v>
      </c>
      <c r="K1692" s="15" t="s">
        <v>23</v>
      </c>
    </row>
    <row r="1693" spans="1:11" ht="42" customHeight="1">
      <c r="A1693" s="4" t="s">
        <v>3823</v>
      </c>
      <c r="B1693" s="5" t="s">
        <v>3824</v>
      </c>
      <c r="C1693" s="5" t="s">
        <v>75</v>
      </c>
      <c r="D1693" s="5" t="s">
        <v>76</v>
      </c>
      <c r="E1693" s="5" t="s">
        <v>215</v>
      </c>
      <c r="F1693" s="9">
        <v>71</v>
      </c>
      <c r="G1693" s="9">
        <v>780</v>
      </c>
      <c r="H1693" s="5" t="s">
        <v>21</v>
      </c>
      <c r="I1693" s="5" t="s">
        <v>3825</v>
      </c>
      <c r="J1693" s="12" t="str">
        <f>HYPERLINK("https://www.boe.es/gazeta/dias/1801/07/21/pdfs/GMD-1801-71.pdf#page=1","Abrir facsímil")</f>
        <v>Abrir facsímil</v>
      </c>
      <c r="K1693" s="15" t="s">
        <v>23</v>
      </c>
    </row>
    <row r="1694" spans="1:11" ht="42" customHeight="1">
      <c r="A1694" s="4" t="s">
        <v>3823</v>
      </c>
      <c r="B1694" s="5" t="s">
        <v>3824</v>
      </c>
      <c r="C1694" s="5" t="s">
        <v>69</v>
      </c>
      <c r="D1694" s="5" t="s">
        <v>19</v>
      </c>
      <c r="E1694" s="5" t="s">
        <v>505</v>
      </c>
      <c r="F1694" s="9">
        <v>94</v>
      </c>
      <c r="G1694" s="9">
        <v>1027</v>
      </c>
      <c r="H1694" s="5" t="s">
        <v>21</v>
      </c>
      <c r="I1694" s="5" t="s">
        <v>3826</v>
      </c>
      <c r="J1694" s="12" t="str">
        <f>HYPERLINK("https://www.boe.es/gazeta/dias/1801/10/02/pdfs/GMD-1801-94.pdf#page=3","Abrir facsímil")</f>
        <v>Abrir facsímil</v>
      </c>
      <c r="K1694" s="15" t="s">
        <v>23</v>
      </c>
    </row>
    <row r="1695" spans="1:11" ht="42" customHeight="1">
      <c r="A1695" s="4" t="s">
        <v>3827</v>
      </c>
      <c r="B1695" s="5" t="s">
        <v>3828</v>
      </c>
      <c r="C1695" s="5" t="s">
        <v>32</v>
      </c>
      <c r="D1695" s="5" t="s">
        <v>33</v>
      </c>
      <c r="E1695" s="5" t="s">
        <v>366</v>
      </c>
      <c r="F1695" s="9">
        <v>86</v>
      </c>
      <c r="G1695" s="9">
        <v>950</v>
      </c>
      <c r="H1695" s="5" t="s">
        <v>21</v>
      </c>
      <c r="I1695" s="5" t="s">
        <v>3829</v>
      </c>
      <c r="J1695" s="12" t="str">
        <f>HYPERLINK("https://www.boe.es/gazeta/dias/1801/09/08/pdfs/GMD-1801-86.pdf#page=1","Abrir facsímil")</f>
        <v>Abrir facsímil</v>
      </c>
      <c r="K1695" s="15" t="s">
        <v>23</v>
      </c>
    </row>
    <row r="1696" spans="1:11" ht="42" customHeight="1">
      <c r="A1696" s="4" t="s">
        <v>3827</v>
      </c>
      <c r="B1696" s="5" t="s">
        <v>3828</v>
      </c>
      <c r="C1696" s="5" t="s">
        <v>26</v>
      </c>
      <c r="D1696" s="5" t="s">
        <v>27</v>
      </c>
      <c r="E1696" s="5" t="s">
        <v>924</v>
      </c>
      <c r="F1696" s="9">
        <v>90</v>
      </c>
      <c r="G1696" s="9">
        <v>991</v>
      </c>
      <c r="H1696" s="5" t="s">
        <v>21</v>
      </c>
      <c r="I1696" s="5" t="s">
        <v>3830</v>
      </c>
      <c r="J1696" s="12" t="str">
        <f>HYPERLINK("https://www.boe.es/gazeta/dias/1801/09/18/pdfs/GMD-1801-90.pdf#page=6","Abrir facsímil")</f>
        <v>Abrir facsímil</v>
      </c>
      <c r="K1696" s="15" t="s">
        <v>23</v>
      </c>
    </row>
    <row r="1697" spans="1:11" ht="42" customHeight="1">
      <c r="A1697" s="4" t="s">
        <v>3831</v>
      </c>
      <c r="B1697" s="5" t="s">
        <v>3832</v>
      </c>
      <c r="C1697" s="5" t="s">
        <v>32</v>
      </c>
      <c r="D1697" s="5" t="s">
        <v>33</v>
      </c>
      <c r="E1697" s="5" t="s">
        <v>313</v>
      </c>
      <c r="F1697" s="9">
        <v>39</v>
      </c>
      <c r="G1697" s="9">
        <v>505</v>
      </c>
      <c r="H1697" s="5" t="s">
        <v>21</v>
      </c>
      <c r="I1697" s="5" t="s">
        <v>3833</v>
      </c>
      <c r="J1697" s="12" t="str">
        <f>HYPERLINK("https://www.boe.es/gazeta/dias/1801/05/15/pdfs/GMD-1801-39.pdf#page=9","Abrir facsímil")</f>
        <v>Abrir facsímil</v>
      </c>
      <c r="K1697" s="15" t="s">
        <v>23</v>
      </c>
    </row>
    <row r="1698" spans="1:11" ht="42" customHeight="1">
      <c r="A1698" s="4" t="s">
        <v>3834</v>
      </c>
      <c r="B1698" s="5" t="s">
        <v>3834</v>
      </c>
      <c r="C1698" s="5" t="s">
        <v>38</v>
      </c>
      <c r="D1698" s="5" t="s">
        <v>39</v>
      </c>
      <c r="E1698" s="5" t="s">
        <v>171</v>
      </c>
      <c r="F1698" s="9">
        <v>76</v>
      </c>
      <c r="G1698" s="9">
        <v>851</v>
      </c>
      <c r="H1698" s="5" t="s">
        <v>21</v>
      </c>
      <c r="I1698" s="5" t="s">
        <v>3835</v>
      </c>
      <c r="J1698" s="12" t="str">
        <f>HYPERLINK("https://www.boe.es/gazeta/dias/1801/08/07/pdfs/GMD-1801-76.pdf#page=8","Abrir facsímil")</f>
        <v>Abrir facsímil</v>
      </c>
      <c r="K1698" s="15" t="s">
        <v>23</v>
      </c>
    </row>
    <row r="1699" spans="1:11" ht="42" customHeight="1">
      <c r="A1699" s="4" t="s">
        <v>3836</v>
      </c>
      <c r="B1699" s="5" t="s">
        <v>3836</v>
      </c>
      <c r="C1699" s="5" t="s">
        <v>75</v>
      </c>
      <c r="D1699" s="5" t="s">
        <v>76</v>
      </c>
      <c r="E1699" s="5" t="s">
        <v>105</v>
      </c>
      <c r="F1699" s="9">
        <v>44</v>
      </c>
      <c r="G1699" s="9">
        <v>548</v>
      </c>
      <c r="H1699" s="5" t="s">
        <v>21</v>
      </c>
      <c r="I1699" s="5" t="s">
        <v>3837</v>
      </c>
      <c r="J1699" s="12" t="str">
        <f>HYPERLINK("https://www.boe.es/gazeta/dias/1801/05/29/pdfs/GMD-1801-44.pdf#page=8","Abrir facsímil")</f>
        <v>Abrir facsímil</v>
      </c>
      <c r="K1699" s="15" t="s">
        <v>23</v>
      </c>
    </row>
    <row r="1700" spans="1:11" ht="42" customHeight="1">
      <c r="A1700" s="4" t="s">
        <v>3838</v>
      </c>
      <c r="B1700" s="5" t="s">
        <v>3838</v>
      </c>
      <c r="C1700" s="5" t="s">
        <v>32</v>
      </c>
      <c r="D1700" s="5" t="s">
        <v>33</v>
      </c>
      <c r="E1700" s="5" t="s">
        <v>141</v>
      </c>
      <c r="F1700" s="9">
        <v>33</v>
      </c>
      <c r="G1700" s="9">
        <v>426</v>
      </c>
      <c r="H1700" s="5" t="s">
        <v>21</v>
      </c>
      <c r="I1700" s="5" t="s">
        <v>3839</v>
      </c>
      <c r="J1700" s="12" t="str">
        <f>HYPERLINK("https://www.boe.es/gazeta/dias/1801/04/24/pdfs/GMD-1801-33.pdf#page=10","Abrir facsímil")</f>
        <v>Abrir facsímil</v>
      </c>
      <c r="K1700" s="15" t="s">
        <v>23</v>
      </c>
    </row>
    <row r="1701" spans="1:11" ht="42" customHeight="1">
      <c r="A1701" s="4" t="s">
        <v>3840</v>
      </c>
      <c r="B1701" s="5" t="s">
        <v>3840</v>
      </c>
      <c r="C1701" s="5" t="s">
        <v>75</v>
      </c>
      <c r="D1701" s="5" t="s">
        <v>76</v>
      </c>
      <c r="E1701" s="5" t="s">
        <v>2237</v>
      </c>
      <c r="F1701" s="9">
        <v>82</v>
      </c>
      <c r="G1701" s="9">
        <v>916</v>
      </c>
      <c r="H1701" s="5" t="s">
        <v>21</v>
      </c>
      <c r="I1701" s="5" t="s">
        <v>3841</v>
      </c>
      <c r="J1701" s="12" t="str">
        <f>HYPERLINK("https://www.boe.es/gazeta/dias/1801/08/28/pdfs/GMD-1801-82.pdf#page=5","Abrir facsímil")</f>
        <v>Abrir facsímil</v>
      </c>
      <c r="K1701" s="15" t="s">
        <v>23</v>
      </c>
    </row>
    <row r="1702" spans="1:11" ht="42" customHeight="1">
      <c r="A1702" s="4" t="s">
        <v>3842</v>
      </c>
      <c r="B1702" s="5" t="s">
        <v>3842</v>
      </c>
      <c r="C1702" s="5" t="s">
        <v>38</v>
      </c>
      <c r="D1702" s="5" t="s">
        <v>39</v>
      </c>
      <c r="E1702" s="5" t="s">
        <v>82</v>
      </c>
      <c r="F1702" s="9">
        <v>75</v>
      </c>
      <c r="G1702" s="9">
        <v>839</v>
      </c>
      <c r="H1702" s="5" t="s">
        <v>21</v>
      </c>
      <c r="I1702" s="5" t="s">
        <v>3843</v>
      </c>
      <c r="J1702" s="12" t="str">
        <f>HYPERLINK("https://www.boe.es/gazeta/dias/1801/08/04/pdfs/GMD-1801-75.pdf#page=8","Abrir facsímil")</f>
        <v>Abrir facsímil</v>
      </c>
      <c r="K1702" s="15" t="s">
        <v>23</v>
      </c>
    </row>
    <row r="1703" spans="1:11" ht="42" customHeight="1">
      <c r="A1703" s="4" t="s">
        <v>3844</v>
      </c>
      <c r="B1703" s="5" t="s">
        <v>3844</v>
      </c>
      <c r="C1703" s="5" t="s">
        <v>32</v>
      </c>
      <c r="D1703" s="5" t="s">
        <v>33</v>
      </c>
      <c r="E1703" s="5" t="s">
        <v>143</v>
      </c>
      <c r="F1703" s="9">
        <v>34</v>
      </c>
      <c r="G1703" s="9">
        <v>435</v>
      </c>
      <c r="H1703" s="5" t="s">
        <v>21</v>
      </c>
      <c r="I1703" s="5" t="s">
        <v>3845</v>
      </c>
      <c r="J1703" s="12" t="str">
        <f>HYPERLINK("https://www.boe.es/gazeta/dias/1801/04/28/pdfs/GMD-1801-34.pdf#page=7","Abrir facsímil")</f>
        <v>Abrir facsímil</v>
      </c>
      <c r="K1703" s="15" t="s">
        <v>23</v>
      </c>
    </row>
    <row r="1704" spans="1:11" ht="42" customHeight="1">
      <c r="A1704" s="4" t="s">
        <v>3844</v>
      </c>
      <c r="B1704" s="5" t="s">
        <v>3844</v>
      </c>
      <c r="C1704" s="5" t="s">
        <v>32</v>
      </c>
      <c r="D1704" s="5" t="s">
        <v>33</v>
      </c>
      <c r="E1704" s="5" t="s">
        <v>313</v>
      </c>
      <c r="F1704" s="9">
        <v>39</v>
      </c>
      <c r="G1704" s="9">
        <v>504</v>
      </c>
      <c r="H1704" s="5" t="s">
        <v>21</v>
      </c>
      <c r="I1704" s="5" t="s">
        <v>3846</v>
      </c>
      <c r="J1704" s="12" t="str">
        <f>HYPERLINK("https://www.boe.es/gazeta/dias/1801/05/15/pdfs/GMD-1801-39.pdf#page=8","Abrir facsímil")</f>
        <v>Abrir facsímil</v>
      </c>
      <c r="K1704" s="15" t="s">
        <v>23</v>
      </c>
    </row>
    <row r="1705" spans="1:11" ht="42" customHeight="1">
      <c r="A1705" s="4" t="s">
        <v>3844</v>
      </c>
      <c r="B1705" s="5" t="s">
        <v>3844</v>
      </c>
      <c r="C1705" s="5" t="s">
        <v>32</v>
      </c>
      <c r="D1705" s="5" t="s">
        <v>33</v>
      </c>
      <c r="E1705" s="5" t="s">
        <v>338</v>
      </c>
      <c r="F1705" s="9">
        <v>83</v>
      </c>
      <c r="G1705" s="9">
        <v>932</v>
      </c>
      <c r="H1705" s="5" t="s">
        <v>21</v>
      </c>
      <c r="I1705" s="5" t="s">
        <v>3847</v>
      </c>
      <c r="J1705" s="12" t="str">
        <f>HYPERLINK("https://www.boe.es/gazeta/dias/1801/09/01/pdfs/GMD-1801-83.pdf#page=7","Abrir facsímil")</f>
        <v>Abrir facsímil</v>
      </c>
      <c r="K1705" s="15" t="s">
        <v>23</v>
      </c>
    </row>
    <row r="1706" spans="1:11" ht="42" customHeight="1">
      <c r="A1706" s="4" t="s">
        <v>3844</v>
      </c>
      <c r="B1706" s="5" t="s">
        <v>3844</v>
      </c>
      <c r="C1706" s="5" t="s">
        <v>32</v>
      </c>
      <c r="D1706" s="5" t="s">
        <v>33</v>
      </c>
      <c r="E1706" s="5" t="s">
        <v>112</v>
      </c>
      <c r="F1706" s="9">
        <v>114</v>
      </c>
      <c r="G1706" s="9">
        <v>1245</v>
      </c>
      <c r="H1706" s="5" t="s">
        <v>21</v>
      </c>
      <c r="I1706" s="5" t="s">
        <v>3848</v>
      </c>
      <c r="J1706" s="12" t="str">
        <f>HYPERLINK("https://www.boe.es/gazeta/dias/1801/12/11/pdfs/GMD-1801-114.pdf#page=7","Abrir facsímil")</f>
        <v>Abrir facsímil</v>
      </c>
      <c r="K1706" s="15" t="s">
        <v>23</v>
      </c>
    </row>
    <row r="1707" spans="1:11" ht="42" customHeight="1">
      <c r="A1707" s="4" t="s">
        <v>3849</v>
      </c>
      <c r="B1707" s="5" t="s">
        <v>3849</v>
      </c>
      <c r="C1707" s="5" t="s">
        <v>32</v>
      </c>
      <c r="D1707" s="5" t="s">
        <v>33</v>
      </c>
      <c r="E1707" s="5" t="s">
        <v>712</v>
      </c>
      <c r="F1707" s="9">
        <v>105</v>
      </c>
      <c r="G1707" s="9">
        <v>1154</v>
      </c>
      <c r="H1707" s="5" t="s">
        <v>21</v>
      </c>
      <c r="I1707" s="5" t="s">
        <v>3850</v>
      </c>
      <c r="J1707" s="12" t="str">
        <f>HYPERLINK("https://www.boe.es/gazeta/dias/1801/11/10/pdfs/GMD-1801-105.pdf#page=7","Abrir facsímil")</f>
        <v>Abrir facsímil</v>
      </c>
      <c r="K1707" s="15" t="s">
        <v>23</v>
      </c>
    </row>
    <row r="1708" spans="1:11" ht="42" customHeight="1">
      <c r="A1708" s="4" t="s">
        <v>3851</v>
      </c>
      <c r="B1708" s="5" t="s">
        <v>3851</v>
      </c>
      <c r="C1708" s="5" t="s">
        <v>32</v>
      </c>
      <c r="D1708" s="5" t="s">
        <v>33</v>
      </c>
      <c r="E1708" s="5" t="s">
        <v>94</v>
      </c>
      <c r="F1708" s="9">
        <v>19</v>
      </c>
      <c r="G1708" s="9">
        <v>243</v>
      </c>
      <c r="H1708" s="5" t="s">
        <v>21</v>
      </c>
      <c r="I1708" s="5" t="s">
        <v>3852</v>
      </c>
      <c r="J1708" s="12" t="str">
        <f>HYPERLINK("https://www.boe.es/gazeta/dias/1801/03/06/pdfs/GMD-1801-19.pdf#page=8","Abrir facsímil")</f>
        <v>Abrir facsímil</v>
      </c>
      <c r="K1708" s="15" t="s">
        <v>23</v>
      </c>
    </row>
    <row r="1709" spans="1:11" ht="42" customHeight="1">
      <c r="A1709" s="4" t="s">
        <v>3853</v>
      </c>
      <c r="B1709" s="5" t="s">
        <v>3853</v>
      </c>
      <c r="C1709" s="5" t="s">
        <v>38</v>
      </c>
      <c r="D1709" s="5" t="s">
        <v>39</v>
      </c>
      <c r="E1709" s="5" t="s">
        <v>82</v>
      </c>
      <c r="F1709" s="9">
        <v>75</v>
      </c>
      <c r="G1709" s="9">
        <v>839</v>
      </c>
      <c r="H1709" s="5" t="s">
        <v>21</v>
      </c>
      <c r="I1709" s="5" t="s">
        <v>3854</v>
      </c>
      <c r="J1709" s="12" t="str">
        <f>HYPERLINK("https://www.boe.es/gazeta/dias/1801/08/04/pdfs/GMD-1801-75.pdf#page=8","Abrir facsímil")</f>
        <v>Abrir facsímil</v>
      </c>
      <c r="K1709" s="15" t="s">
        <v>23</v>
      </c>
    </row>
    <row r="1710" spans="1:11" ht="42" customHeight="1">
      <c r="A1710" s="4" t="s">
        <v>3855</v>
      </c>
      <c r="B1710" s="5" t="s">
        <v>3855</v>
      </c>
      <c r="C1710" s="5" t="s">
        <v>75</v>
      </c>
      <c r="D1710" s="5" t="s">
        <v>76</v>
      </c>
      <c r="E1710" s="5" t="s">
        <v>328</v>
      </c>
      <c r="F1710" s="9">
        <v>89</v>
      </c>
      <c r="G1710" s="9">
        <v>979</v>
      </c>
      <c r="H1710" s="5" t="s">
        <v>21</v>
      </c>
      <c r="I1710" s="5" t="s">
        <v>3856</v>
      </c>
      <c r="J1710" s="12" t="str">
        <f>HYPERLINK("https://www.boe.es/gazeta/dias/1801/09/15/pdfs/GMD-1801-89.pdf#page=6","Abrir facsímil")</f>
        <v>Abrir facsímil</v>
      </c>
      <c r="K1710" s="15" t="s">
        <v>23</v>
      </c>
    </row>
    <row r="1711" spans="1:11" ht="42" customHeight="1">
      <c r="A1711" s="4" t="s">
        <v>3857</v>
      </c>
      <c r="B1711" s="5" t="s">
        <v>3857</v>
      </c>
      <c r="C1711" s="5" t="s">
        <v>75</v>
      </c>
      <c r="D1711" s="5" t="s">
        <v>76</v>
      </c>
      <c r="E1711" s="5" t="s">
        <v>321</v>
      </c>
      <c r="F1711" s="9">
        <v>3</v>
      </c>
      <c r="G1711" s="9">
        <v>29</v>
      </c>
      <c r="H1711" s="5" t="s">
        <v>21</v>
      </c>
      <c r="I1711" s="5" t="s">
        <v>3858</v>
      </c>
      <c r="J1711" s="12" t="str">
        <f>HYPERLINK("https://www.boe.es/gazeta/dias/1801/01/09/pdfs/GMD-1801-3.pdf#page=5","Abrir facsímil")</f>
        <v>Abrir facsímil</v>
      </c>
      <c r="K1711" s="15" t="s">
        <v>23</v>
      </c>
    </row>
    <row r="1712" spans="1:11" ht="42" customHeight="1">
      <c r="A1712" s="4" t="s">
        <v>3859</v>
      </c>
      <c r="B1712" s="5" t="s">
        <v>3859</v>
      </c>
      <c r="C1712" s="5" t="s">
        <v>75</v>
      </c>
      <c r="D1712" s="5" t="s">
        <v>76</v>
      </c>
      <c r="E1712" s="5" t="s">
        <v>215</v>
      </c>
      <c r="F1712" s="9">
        <v>71</v>
      </c>
      <c r="G1712" s="9">
        <v>785</v>
      </c>
      <c r="H1712" s="5" t="s">
        <v>21</v>
      </c>
      <c r="I1712" s="5" t="s">
        <v>3860</v>
      </c>
      <c r="J1712" s="12" t="str">
        <f>HYPERLINK("https://www.boe.es/gazeta/dias/1801/07/21/pdfs/GMD-1801-71.pdf#page=6","Abrir facsímil")</f>
        <v>Abrir facsímil</v>
      </c>
      <c r="K1712" s="15" t="s">
        <v>23</v>
      </c>
    </row>
    <row r="1713" spans="1:11" ht="42" customHeight="1">
      <c r="A1713" s="4" t="s">
        <v>3861</v>
      </c>
      <c r="B1713" s="5" t="s">
        <v>3861</v>
      </c>
      <c r="C1713" s="5" t="s">
        <v>26</v>
      </c>
      <c r="D1713" s="5" t="s">
        <v>27</v>
      </c>
      <c r="E1713" s="5" t="s">
        <v>3544</v>
      </c>
      <c r="F1713" s="9">
        <v>110</v>
      </c>
      <c r="G1713" s="9">
        <v>1208</v>
      </c>
      <c r="H1713" s="5" t="s">
        <v>21</v>
      </c>
      <c r="I1713" s="5" t="s">
        <v>3862</v>
      </c>
      <c r="J1713" s="12" t="str">
        <f>HYPERLINK("https://www.boe.es/gazeta/dias/1801/11/27/pdfs/GMD-1801-110.pdf#page=1","Abrir facsímil")</f>
        <v>Abrir facsímil</v>
      </c>
      <c r="K1713" s="15" t="s">
        <v>23</v>
      </c>
    </row>
    <row r="1714" spans="1:11" ht="42" customHeight="1">
      <c r="A1714" s="4" t="s">
        <v>3863</v>
      </c>
      <c r="B1714" s="5" t="s">
        <v>3863</v>
      </c>
      <c r="C1714" s="5" t="s">
        <v>32</v>
      </c>
      <c r="D1714" s="5" t="s">
        <v>33</v>
      </c>
      <c r="E1714" s="5" t="s">
        <v>153</v>
      </c>
      <c r="F1714" s="9">
        <v>48</v>
      </c>
      <c r="G1714" s="9">
        <v>579</v>
      </c>
      <c r="H1714" s="5" t="s">
        <v>21</v>
      </c>
      <c r="I1714" s="5" t="s">
        <v>3864</v>
      </c>
      <c r="J1714" s="12" t="str">
        <f>HYPERLINK("https://www.boe.es/gazeta/dias/1801/06/05/pdfs/GMD-1801-48.pdf#page=1","Abrir facsímil")</f>
        <v>Abrir facsímil</v>
      </c>
      <c r="K1714" s="15" t="s">
        <v>23</v>
      </c>
    </row>
    <row r="1715" spans="1:11" ht="42" customHeight="1">
      <c r="A1715" s="4" t="s">
        <v>3865</v>
      </c>
      <c r="B1715" s="5" t="s">
        <v>3865</v>
      </c>
      <c r="C1715" s="5" t="s">
        <v>75</v>
      </c>
      <c r="D1715" s="5" t="s">
        <v>76</v>
      </c>
      <c r="E1715" s="5" t="s">
        <v>321</v>
      </c>
      <c r="F1715" s="9">
        <v>3</v>
      </c>
      <c r="G1715" s="9">
        <v>29</v>
      </c>
      <c r="H1715" s="5" t="s">
        <v>21</v>
      </c>
      <c r="I1715" s="5" t="s">
        <v>3866</v>
      </c>
      <c r="J1715" s="12" t="str">
        <f>HYPERLINK("https://www.boe.es/gazeta/dias/1801/01/09/pdfs/GMD-1801-3.pdf#page=5","Abrir facsímil")</f>
        <v>Abrir facsímil</v>
      </c>
      <c r="K1715" s="15" t="s">
        <v>23</v>
      </c>
    </row>
    <row r="1716" spans="1:11" ht="42" customHeight="1">
      <c r="A1716" s="4" t="s">
        <v>3865</v>
      </c>
      <c r="B1716" s="5" t="s">
        <v>3865</v>
      </c>
      <c r="C1716" s="5" t="s">
        <v>75</v>
      </c>
      <c r="D1716" s="5" t="s">
        <v>76</v>
      </c>
      <c r="E1716" s="5" t="s">
        <v>462</v>
      </c>
      <c r="F1716" s="9">
        <v>5</v>
      </c>
      <c r="G1716" s="9">
        <v>53</v>
      </c>
      <c r="H1716" s="5" t="s">
        <v>21</v>
      </c>
      <c r="I1716" s="5" t="s">
        <v>3867</v>
      </c>
      <c r="J1716" s="12" t="str">
        <f>HYPERLINK("https://www.boe.es/gazeta/dias/1801/01/16/pdfs/GMD-1801-5.pdf#page=5","Abrir facsímil")</f>
        <v>Abrir facsímil</v>
      </c>
      <c r="K1716" s="15" t="s">
        <v>23</v>
      </c>
    </row>
    <row r="1717" spans="1:11" ht="42" customHeight="1">
      <c r="A1717" s="4" t="s">
        <v>3868</v>
      </c>
      <c r="B1717" s="5" t="s">
        <v>3868</v>
      </c>
      <c r="C1717" s="5" t="s">
        <v>75</v>
      </c>
      <c r="D1717" s="5" t="s">
        <v>76</v>
      </c>
      <c r="E1717" s="5" t="s">
        <v>338</v>
      </c>
      <c r="F1717" s="9">
        <v>83</v>
      </c>
      <c r="G1717" s="9">
        <v>932</v>
      </c>
      <c r="H1717" s="5" t="s">
        <v>21</v>
      </c>
      <c r="I1717" s="5" t="s">
        <v>3869</v>
      </c>
      <c r="J1717" s="12" t="str">
        <f>HYPERLINK("https://www.boe.es/gazeta/dias/1801/09/01/pdfs/GMD-1801-83.pdf#page=7","Abrir facsímil")</f>
        <v>Abrir facsímil</v>
      </c>
      <c r="K1717" s="15" t="s">
        <v>23</v>
      </c>
    </row>
    <row r="1718" spans="1:11" ht="42" customHeight="1">
      <c r="A1718" s="4" t="s">
        <v>3870</v>
      </c>
      <c r="B1718" s="5" t="s">
        <v>3870</v>
      </c>
      <c r="C1718" s="5" t="s">
        <v>75</v>
      </c>
      <c r="D1718" s="5" t="s">
        <v>76</v>
      </c>
      <c r="E1718" s="5" t="s">
        <v>182</v>
      </c>
      <c r="F1718" s="9">
        <v>18</v>
      </c>
      <c r="G1718" s="9">
        <v>224</v>
      </c>
      <c r="H1718" s="5" t="s">
        <v>21</v>
      </c>
      <c r="I1718" s="5" t="s">
        <v>3871</v>
      </c>
      <c r="J1718" s="12" t="str">
        <f>HYPERLINK("https://www.boe.es/gazeta/dias/1801/03/03/pdfs/GMD-1801-18.pdf#page=5","Abrir facsímil")</f>
        <v>Abrir facsímil</v>
      </c>
      <c r="K1718" s="15" t="s">
        <v>23</v>
      </c>
    </row>
    <row r="1719" spans="1:11" ht="42" customHeight="1">
      <c r="A1719" s="4" t="s">
        <v>3872</v>
      </c>
      <c r="B1719" s="5" t="s">
        <v>3872</v>
      </c>
      <c r="C1719" s="5" t="s">
        <v>38</v>
      </c>
      <c r="D1719" s="5" t="s">
        <v>39</v>
      </c>
      <c r="E1719" s="5" t="s">
        <v>122</v>
      </c>
      <c r="F1719" s="9">
        <v>8</v>
      </c>
      <c r="G1719" s="9">
        <v>99</v>
      </c>
      <c r="H1719" s="5" t="s">
        <v>21</v>
      </c>
      <c r="I1719" s="5" t="s">
        <v>3873</v>
      </c>
      <c r="J1719" s="12" t="str">
        <f>HYPERLINK("https://www.boe.es/gazeta/dias/1801/01/27/pdfs/GMD-1801-8.pdf#page=11","Abrir facsímil")</f>
        <v>Abrir facsímil</v>
      </c>
      <c r="K1719" s="15" t="s">
        <v>23</v>
      </c>
    </row>
    <row r="1720" spans="1:11" ht="42" customHeight="1">
      <c r="A1720" s="4" t="s">
        <v>3874</v>
      </c>
      <c r="B1720" s="5" t="s">
        <v>3874</v>
      </c>
      <c r="C1720" s="5" t="s">
        <v>32</v>
      </c>
      <c r="D1720" s="5" t="s">
        <v>33</v>
      </c>
      <c r="E1720" s="5" t="s">
        <v>66</v>
      </c>
      <c r="F1720" s="9">
        <v>52</v>
      </c>
      <c r="G1720" s="9">
        <v>608</v>
      </c>
      <c r="H1720" s="5" t="s">
        <v>21</v>
      </c>
      <c r="I1720" s="5" t="s">
        <v>3875</v>
      </c>
      <c r="J1720" s="12" t="str">
        <f>HYPERLINK("https://www.boe.es/gazeta/dias/1801/06/12/pdfs/GMD-1801-52.pdf#page=7","Abrir facsímil")</f>
        <v>Abrir facsímil</v>
      </c>
      <c r="K1720" s="15" t="s">
        <v>23</v>
      </c>
    </row>
    <row r="1721" spans="1:11" ht="42" customHeight="1">
      <c r="A1721" s="4" t="s">
        <v>3874</v>
      </c>
      <c r="B1721" s="5" t="s">
        <v>3874</v>
      </c>
      <c r="C1721" s="5" t="s">
        <v>75</v>
      </c>
      <c r="D1721" s="5" t="s">
        <v>76</v>
      </c>
      <c r="E1721" s="5" t="s">
        <v>328</v>
      </c>
      <c r="F1721" s="9">
        <v>89</v>
      </c>
      <c r="G1721" s="9">
        <v>979</v>
      </c>
      <c r="H1721" s="5" t="s">
        <v>21</v>
      </c>
      <c r="I1721" s="5" t="s">
        <v>3876</v>
      </c>
      <c r="J1721" s="12" t="str">
        <f>HYPERLINK("https://www.boe.es/gazeta/dias/1801/09/15/pdfs/GMD-1801-89.pdf#page=6","Abrir facsímil")</f>
        <v>Abrir facsímil</v>
      </c>
      <c r="K1721" s="15" t="s">
        <v>23</v>
      </c>
    </row>
    <row r="1722" spans="1:11" ht="42" customHeight="1">
      <c r="A1722" s="4" t="s">
        <v>3877</v>
      </c>
      <c r="B1722" s="5" t="s">
        <v>3877</v>
      </c>
      <c r="C1722" s="5" t="s">
        <v>75</v>
      </c>
      <c r="D1722" s="5" t="s">
        <v>76</v>
      </c>
      <c r="E1722" s="5" t="s">
        <v>289</v>
      </c>
      <c r="F1722" s="9">
        <v>40</v>
      </c>
      <c r="G1722" s="9">
        <v>512</v>
      </c>
      <c r="H1722" s="5" t="s">
        <v>21</v>
      </c>
      <c r="I1722" s="5" t="s">
        <v>3878</v>
      </c>
      <c r="J1722" s="12" t="str">
        <f>HYPERLINK("https://www.boe.es/gazeta/dias/1801/05/19/pdfs/GMD-1801-40.pdf#page=4","Abrir facsímil")</f>
        <v>Abrir facsímil</v>
      </c>
      <c r="K1722" s="15" t="s">
        <v>23</v>
      </c>
    </row>
    <row r="1723" spans="1:11" ht="42" customHeight="1">
      <c r="A1723" s="4" t="s">
        <v>3879</v>
      </c>
      <c r="B1723" s="5" t="s">
        <v>3879</v>
      </c>
      <c r="C1723" s="5" t="s">
        <v>75</v>
      </c>
      <c r="D1723" s="5" t="s">
        <v>76</v>
      </c>
      <c r="E1723" s="5" t="s">
        <v>112</v>
      </c>
      <c r="F1723" s="9">
        <v>114</v>
      </c>
      <c r="G1723" s="9">
        <v>1242</v>
      </c>
      <c r="H1723" s="5" t="s">
        <v>21</v>
      </c>
      <c r="I1723" s="5" t="s">
        <v>3880</v>
      </c>
      <c r="J1723" s="12" t="str">
        <f>HYPERLINK("https://www.boe.es/gazeta/dias/1801/12/11/pdfs/GMD-1801-114.pdf#page=4","Abrir facsímil")</f>
        <v>Abrir facsímil</v>
      </c>
      <c r="K1723" s="15" t="s">
        <v>23</v>
      </c>
    </row>
    <row r="1724" spans="1:11" ht="42" customHeight="1">
      <c r="A1724" s="4" t="s">
        <v>3881</v>
      </c>
      <c r="B1724" s="5" t="s">
        <v>3881</v>
      </c>
      <c r="C1724" s="5" t="s">
        <v>32</v>
      </c>
      <c r="D1724" s="5" t="s">
        <v>33</v>
      </c>
      <c r="E1724" s="5" t="s">
        <v>1085</v>
      </c>
      <c r="F1724" s="9">
        <v>99</v>
      </c>
      <c r="G1724" s="9">
        <v>1087</v>
      </c>
      <c r="H1724" s="5" t="s">
        <v>21</v>
      </c>
      <c r="I1724" s="5" t="s">
        <v>3882</v>
      </c>
      <c r="J1724" s="12" t="str">
        <f>HYPERLINK("https://www.boe.es/gazeta/dias/1801/10/20/pdfs/GMD-1801-99.pdf#page=4","Abrir facsímil")</f>
        <v>Abrir facsímil</v>
      </c>
      <c r="K1724" s="15" t="s">
        <v>23</v>
      </c>
    </row>
    <row r="1725" spans="1:11" ht="42" customHeight="1">
      <c r="A1725" s="4" t="s">
        <v>3883</v>
      </c>
      <c r="B1725" s="5" t="s">
        <v>3883</v>
      </c>
      <c r="C1725" s="5" t="s">
        <v>75</v>
      </c>
      <c r="D1725" s="5" t="s">
        <v>76</v>
      </c>
      <c r="E1725" s="5" t="s">
        <v>20</v>
      </c>
      <c r="F1725" s="9">
        <v>37</v>
      </c>
      <c r="G1725" s="9">
        <v>473</v>
      </c>
      <c r="H1725" s="5" t="s">
        <v>21</v>
      </c>
      <c r="I1725" s="5" t="s">
        <v>3884</v>
      </c>
      <c r="J1725" s="12" t="str">
        <f>HYPERLINK("https://www.boe.es/gazeta/dias/1801/05/08/pdfs/GMD-1801-37.pdf#page=1","Abrir facsímil")</f>
        <v>Abrir facsímil</v>
      </c>
      <c r="K1725" s="15" t="s">
        <v>23</v>
      </c>
    </row>
    <row r="1726" spans="1:11" ht="42" customHeight="1">
      <c r="A1726" s="4" t="s">
        <v>3885</v>
      </c>
      <c r="B1726" s="5" t="s">
        <v>3885</v>
      </c>
      <c r="C1726" s="5" t="s">
        <v>75</v>
      </c>
      <c r="D1726" s="5" t="s">
        <v>76</v>
      </c>
      <c r="E1726" s="5" t="s">
        <v>448</v>
      </c>
      <c r="F1726" s="9">
        <v>35</v>
      </c>
      <c r="G1726" s="9">
        <v>449</v>
      </c>
      <c r="H1726" s="5" t="s">
        <v>21</v>
      </c>
      <c r="I1726" s="5" t="s">
        <v>3886</v>
      </c>
      <c r="J1726" s="12" t="str">
        <f>HYPERLINK("https://www.boe.es/gazeta/dias/1801/05/01/pdfs/GMD-1801-35.pdf#page=5","Abrir facsímil")</f>
        <v>Abrir facsímil</v>
      </c>
      <c r="K1726" s="15" t="s">
        <v>23</v>
      </c>
    </row>
    <row r="1727" spans="1:11" ht="42" customHeight="1">
      <c r="A1727" s="4" t="s">
        <v>3887</v>
      </c>
      <c r="B1727" s="5" t="s">
        <v>3887</v>
      </c>
      <c r="C1727" s="5" t="s">
        <v>38</v>
      </c>
      <c r="D1727" s="5" t="s">
        <v>39</v>
      </c>
      <c r="E1727" s="5" t="s">
        <v>219</v>
      </c>
      <c r="F1727" s="9">
        <v>26</v>
      </c>
      <c r="G1727" s="9">
        <v>342</v>
      </c>
      <c r="H1727" s="5" t="s">
        <v>21</v>
      </c>
      <c r="I1727" s="5" t="s">
        <v>3888</v>
      </c>
      <c r="J1727" s="12" t="str">
        <f>HYPERLINK("https://www.boe.es/gazeta/dias/1801/03/31/pdfs/GMD-1801-26.pdf#page=6","Abrir facsímil")</f>
        <v>Abrir facsímil</v>
      </c>
      <c r="K1727" s="15" t="s">
        <v>23</v>
      </c>
    </row>
    <row r="1728" spans="1:11" ht="42" customHeight="1">
      <c r="A1728" s="4" t="s">
        <v>3889</v>
      </c>
      <c r="B1728" s="5" t="s">
        <v>3889</v>
      </c>
      <c r="C1728" s="5" t="s">
        <v>38</v>
      </c>
      <c r="D1728" s="5" t="s">
        <v>39</v>
      </c>
      <c r="E1728" s="5" t="s">
        <v>219</v>
      </c>
      <c r="F1728" s="9">
        <v>26</v>
      </c>
      <c r="G1728" s="9">
        <v>342</v>
      </c>
      <c r="H1728" s="5" t="s">
        <v>21</v>
      </c>
      <c r="I1728" s="5" t="s">
        <v>3890</v>
      </c>
      <c r="J1728" s="12" t="str">
        <f>HYPERLINK("https://www.boe.es/gazeta/dias/1801/03/31/pdfs/GMD-1801-26.pdf#page=6","Abrir facsímil")</f>
        <v>Abrir facsímil</v>
      </c>
      <c r="K1728" s="15" t="s">
        <v>23</v>
      </c>
    </row>
    <row r="1729" spans="1:11" ht="42" customHeight="1">
      <c r="A1729" s="4" t="s">
        <v>3891</v>
      </c>
      <c r="B1729" s="5" t="s">
        <v>3891</v>
      </c>
      <c r="C1729" s="5" t="s">
        <v>75</v>
      </c>
      <c r="D1729" s="5" t="s">
        <v>76</v>
      </c>
      <c r="E1729" s="5" t="s">
        <v>50</v>
      </c>
      <c r="F1729" s="9">
        <v>29</v>
      </c>
      <c r="G1729" s="9">
        <v>374</v>
      </c>
      <c r="H1729" s="5" t="s">
        <v>21</v>
      </c>
      <c r="I1729" s="5" t="s">
        <v>3892</v>
      </c>
      <c r="J1729" s="12" t="str">
        <f>HYPERLINK("https://www.boe.es/gazeta/dias/1801/04/10/pdfs/GMD-1801-29.pdf#page=2","Abrir facsímil")</f>
        <v>Abrir facsímil</v>
      </c>
      <c r="K1729" s="15" t="s">
        <v>23</v>
      </c>
    </row>
    <row r="1730" spans="1:11" ht="42" customHeight="1">
      <c r="A1730" s="4" t="s">
        <v>3893</v>
      </c>
      <c r="B1730" s="5" t="s">
        <v>3893</v>
      </c>
      <c r="C1730" s="5" t="s">
        <v>32</v>
      </c>
      <c r="D1730" s="5" t="s">
        <v>33</v>
      </c>
      <c r="E1730" s="5" t="s">
        <v>128</v>
      </c>
      <c r="F1730" s="9">
        <v>17</v>
      </c>
      <c r="G1730" s="9">
        <v>210</v>
      </c>
      <c r="H1730" s="5" t="s">
        <v>21</v>
      </c>
      <c r="I1730" s="5" t="s">
        <v>3894</v>
      </c>
      <c r="J1730" s="12" t="str">
        <f>HYPERLINK("https://www.boe.es/gazeta/dias/1801/02/27/pdfs/GMD-1801-17.pdf#page=5","Abrir facsímil")</f>
        <v>Abrir facsímil</v>
      </c>
      <c r="K1730" s="15" t="s">
        <v>23</v>
      </c>
    </row>
    <row r="1731" spans="1:11" ht="42" customHeight="1">
      <c r="A1731" s="4" t="s">
        <v>3893</v>
      </c>
      <c r="B1731" s="5" t="s">
        <v>3893</v>
      </c>
      <c r="C1731" s="5" t="s">
        <v>38</v>
      </c>
      <c r="D1731" s="5" t="s">
        <v>39</v>
      </c>
      <c r="E1731" s="5" t="s">
        <v>48</v>
      </c>
      <c r="F1731" s="9">
        <v>20</v>
      </c>
      <c r="G1731" s="9">
        <v>263</v>
      </c>
      <c r="H1731" s="5" t="s">
        <v>21</v>
      </c>
      <c r="I1731" s="5" t="s">
        <v>3895</v>
      </c>
      <c r="J1731" s="12" t="str">
        <f>HYPERLINK("https://www.boe.es/gazeta/dias/1801/03/10/pdfs/GMD-1801-20.pdf#page=8","Abrir facsímil")</f>
        <v>Abrir facsímil</v>
      </c>
      <c r="K1731" s="15" t="s">
        <v>23</v>
      </c>
    </row>
    <row r="1732" spans="1:11" ht="42" customHeight="1">
      <c r="A1732" s="4" t="s">
        <v>3896</v>
      </c>
      <c r="B1732" s="5" t="s">
        <v>3896</v>
      </c>
      <c r="C1732" s="5" t="s">
        <v>32</v>
      </c>
      <c r="D1732" s="5" t="s">
        <v>33</v>
      </c>
      <c r="E1732" s="5" t="s">
        <v>712</v>
      </c>
      <c r="F1732" s="9">
        <v>105</v>
      </c>
      <c r="G1732" s="9">
        <v>1153</v>
      </c>
      <c r="H1732" s="5" t="s">
        <v>21</v>
      </c>
      <c r="I1732" s="5" t="s">
        <v>3897</v>
      </c>
      <c r="J1732" s="12" t="str">
        <f>HYPERLINK("https://www.boe.es/gazeta/dias/1801/11/10/pdfs/GMD-1801-105.pdf#page=6","Abrir facsímil")</f>
        <v>Abrir facsímil</v>
      </c>
      <c r="K1732" s="15" t="s">
        <v>23</v>
      </c>
    </row>
    <row r="1733" spans="1:11" ht="42" customHeight="1">
      <c r="A1733" s="4" t="s">
        <v>3898</v>
      </c>
      <c r="B1733" s="5" t="s">
        <v>3898</v>
      </c>
      <c r="C1733" s="5" t="s">
        <v>32</v>
      </c>
      <c r="D1733" s="5" t="s">
        <v>33</v>
      </c>
      <c r="E1733" s="5" t="s">
        <v>143</v>
      </c>
      <c r="F1733" s="9">
        <v>34</v>
      </c>
      <c r="G1733" s="9">
        <v>435</v>
      </c>
      <c r="H1733" s="5" t="s">
        <v>21</v>
      </c>
      <c r="I1733" s="5" t="s">
        <v>3899</v>
      </c>
      <c r="J1733" s="12" t="str">
        <f>HYPERLINK("https://www.boe.es/gazeta/dias/1801/04/28/pdfs/GMD-1801-34.pdf#page=7","Abrir facsímil")</f>
        <v>Abrir facsímil</v>
      </c>
      <c r="K1733" s="15" t="s">
        <v>23</v>
      </c>
    </row>
    <row r="1734" spans="1:11" ht="42" customHeight="1">
      <c r="A1734" s="4" t="s">
        <v>3898</v>
      </c>
      <c r="B1734" s="5" t="s">
        <v>3898</v>
      </c>
      <c r="C1734" s="5" t="s">
        <v>32</v>
      </c>
      <c r="D1734" s="5" t="s">
        <v>33</v>
      </c>
      <c r="E1734" s="5" t="s">
        <v>888</v>
      </c>
      <c r="F1734" s="9">
        <v>103</v>
      </c>
      <c r="G1734" s="9">
        <v>1132</v>
      </c>
      <c r="H1734" s="5" t="s">
        <v>21</v>
      </c>
      <c r="I1734" s="5" t="s">
        <v>3900</v>
      </c>
      <c r="J1734" s="12" t="str">
        <f>HYPERLINK("https://www.boe.es/gazeta/dias/1801/11/03/pdfs/GMD-1801-103.pdf#page=5","Abrir facsímil")</f>
        <v>Abrir facsímil</v>
      </c>
      <c r="K1734" s="15" t="s">
        <v>23</v>
      </c>
    </row>
    <row r="1735" spans="1:11" ht="42" customHeight="1">
      <c r="A1735" s="4" t="s">
        <v>3898</v>
      </c>
      <c r="B1735" s="5" t="s">
        <v>3898</v>
      </c>
      <c r="C1735" s="5" t="s">
        <v>32</v>
      </c>
      <c r="D1735" s="5" t="s">
        <v>33</v>
      </c>
      <c r="E1735" s="5" t="s">
        <v>55</v>
      </c>
      <c r="F1735" s="9">
        <v>104</v>
      </c>
      <c r="G1735" s="9">
        <v>1143</v>
      </c>
      <c r="H1735" s="5" t="s">
        <v>21</v>
      </c>
      <c r="I1735" s="5" t="s">
        <v>3901</v>
      </c>
      <c r="J1735" s="12" t="str">
        <f>HYPERLINK("https://www.boe.es/gazeta/dias/1801/11/06/pdfs/GMD-1801-104.pdf#page=4","Abrir facsímil")</f>
        <v>Abrir facsímil</v>
      </c>
      <c r="K1735" s="15" t="s">
        <v>23</v>
      </c>
    </row>
    <row r="1736" spans="1:11" ht="42" customHeight="1">
      <c r="A1736" s="4" t="s">
        <v>3902</v>
      </c>
      <c r="B1736" s="5" t="s">
        <v>3902</v>
      </c>
      <c r="C1736" s="5" t="s">
        <v>75</v>
      </c>
      <c r="D1736" s="5" t="s">
        <v>76</v>
      </c>
      <c r="E1736" s="5" t="s">
        <v>99</v>
      </c>
      <c r="F1736" s="9">
        <v>32</v>
      </c>
      <c r="G1736" s="9">
        <v>410</v>
      </c>
      <c r="H1736" s="5" t="s">
        <v>21</v>
      </c>
      <c r="I1736" s="5" t="s">
        <v>3903</v>
      </c>
      <c r="J1736" s="12" t="str">
        <f>HYPERLINK("https://www.boe.es/gazeta/dias/1801/04/21/pdfs/GMD-1801-32.pdf#page=6","Abrir facsímil")</f>
        <v>Abrir facsímil</v>
      </c>
      <c r="K1736" s="15" t="s">
        <v>23</v>
      </c>
    </row>
    <row r="1737" spans="1:11" ht="42" customHeight="1">
      <c r="A1737" s="4" t="s">
        <v>3904</v>
      </c>
      <c r="B1737" s="5" t="s">
        <v>3904</v>
      </c>
      <c r="C1737" s="5" t="s">
        <v>38</v>
      </c>
      <c r="D1737" s="5" t="s">
        <v>39</v>
      </c>
      <c r="E1737" s="5" t="s">
        <v>158</v>
      </c>
      <c r="F1737" s="9">
        <v>55</v>
      </c>
      <c r="G1737" s="9">
        <v>629</v>
      </c>
      <c r="H1737" s="5" t="s">
        <v>21</v>
      </c>
      <c r="I1737" s="5" t="s">
        <v>3905</v>
      </c>
      <c r="J1737" s="12" t="str">
        <f>HYPERLINK("https://www.boe.es/gazeta/dias/1801/06/16/pdfs/GMD-1801-55.pdf#page=5","Abrir facsímil")</f>
        <v>Abrir facsímil</v>
      </c>
      <c r="K1737" s="15" t="s">
        <v>23</v>
      </c>
    </row>
    <row r="1738" spans="1:11" ht="42" customHeight="1">
      <c r="A1738" s="4" t="s">
        <v>3906</v>
      </c>
      <c r="B1738" s="5" t="s">
        <v>3906</v>
      </c>
      <c r="C1738" s="5" t="s">
        <v>32</v>
      </c>
      <c r="D1738" s="5" t="s">
        <v>33</v>
      </c>
      <c r="E1738" s="5" t="s">
        <v>712</v>
      </c>
      <c r="F1738" s="9">
        <v>105</v>
      </c>
      <c r="G1738" s="9">
        <v>1153</v>
      </c>
      <c r="H1738" s="5" t="s">
        <v>21</v>
      </c>
      <c r="I1738" s="5" t="s">
        <v>3907</v>
      </c>
      <c r="J1738" s="12" t="str">
        <f>HYPERLINK("https://www.boe.es/gazeta/dias/1801/11/10/pdfs/GMD-1801-105.pdf#page=6","Abrir facsímil")</f>
        <v>Abrir facsímil</v>
      </c>
      <c r="K1738" s="15" t="s">
        <v>23</v>
      </c>
    </row>
    <row r="1739" spans="1:11" ht="42" customHeight="1">
      <c r="A1739" s="4" t="s">
        <v>3908</v>
      </c>
      <c r="B1739" s="5" t="s">
        <v>3908</v>
      </c>
      <c r="C1739" s="5" t="s">
        <v>75</v>
      </c>
      <c r="D1739" s="5" t="s">
        <v>76</v>
      </c>
      <c r="E1739" s="5" t="s">
        <v>169</v>
      </c>
      <c r="F1739" s="9">
        <v>70</v>
      </c>
      <c r="G1739" s="9">
        <v>772</v>
      </c>
      <c r="H1739" s="5" t="s">
        <v>21</v>
      </c>
      <c r="I1739" s="5" t="s">
        <v>3909</v>
      </c>
      <c r="J1739" s="12" t="str">
        <f>HYPERLINK("https://www.boe.es/gazeta/dias/1801/07/17/pdfs/GMD-1801-70.pdf#page=5","Abrir facsímil")</f>
        <v>Abrir facsímil</v>
      </c>
      <c r="K1739" s="15" t="s">
        <v>23</v>
      </c>
    </row>
    <row r="1740" spans="1:11" ht="42" customHeight="1">
      <c r="A1740" s="4" t="s">
        <v>3910</v>
      </c>
      <c r="B1740" s="5" t="s">
        <v>3910</v>
      </c>
      <c r="C1740" s="5" t="s">
        <v>75</v>
      </c>
      <c r="D1740" s="5" t="s">
        <v>76</v>
      </c>
      <c r="E1740" s="5" t="s">
        <v>292</v>
      </c>
      <c r="F1740" s="9">
        <v>25</v>
      </c>
      <c r="G1740" s="9">
        <v>323</v>
      </c>
      <c r="H1740" s="5" t="s">
        <v>21</v>
      </c>
      <c r="I1740" s="5" t="s">
        <v>3911</v>
      </c>
      <c r="J1740" s="12" t="str">
        <f>HYPERLINK("https://www.boe.es/gazeta/dias/1801/03/27/pdfs/GMD-1801-25.pdf#page=2","Abrir facsímil")</f>
        <v>Abrir facsímil</v>
      </c>
      <c r="K1740" s="15" t="s">
        <v>23</v>
      </c>
    </row>
    <row r="1741" spans="1:11" ht="42" customHeight="1">
      <c r="A1741" s="4" t="s">
        <v>3912</v>
      </c>
      <c r="B1741" s="5" t="s">
        <v>3912</v>
      </c>
      <c r="C1741" s="5" t="s">
        <v>75</v>
      </c>
      <c r="D1741" s="5" t="s">
        <v>76</v>
      </c>
      <c r="E1741" s="5" t="s">
        <v>135</v>
      </c>
      <c r="F1741" s="9">
        <v>24</v>
      </c>
      <c r="G1741" s="9">
        <v>314</v>
      </c>
      <c r="H1741" s="5" t="s">
        <v>21</v>
      </c>
      <c r="I1741" s="5" t="s">
        <v>3913</v>
      </c>
      <c r="J1741" s="12" t="str">
        <f>HYPERLINK("https://www.boe.es/gazeta/dias/1801/03/24/pdfs/GMD-1801-24.pdf#page=5","Abrir facsímil")</f>
        <v>Abrir facsímil</v>
      </c>
      <c r="K1741" s="15" t="s">
        <v>23</v>
      </c>
    </row>
    <row r="1742" spans="1:11" ht="42" customHeight="1">
      <c r="A1742" s="4" t="s">
        <v>3914</v>
      </c>
      <c r="B1742" s="5" t="s">
        <v>3914</v>
      </c>
      <c r="C1742" s="5" t="s">
        <v>38</v>
      </c>
      <c r="D1742" s="5" t="s">
        <v>39</v>
      </c>
      <c r="E1742" s="5" t="s">
        <v>453</v>
      </c>
      <c r="F1742" s="9">
        <v>100</v>
      </c>
      <c r="G1742" s="9">
        <v>1098</v>
      </c>
      <c r="H1742" s="5" t="s">
        <v>21</v>
      </c>
      <c r="I1742" s="5" t="s">
        <v>3915</v>
      </c>
      <c r="J1742" s="12" t="str">
        <f>HYPERLINK("https://www.boe.es/gazeta/dias/1801/10/23/pdfs/GMD-1801-100.pdf#page=7","Abrir facsímil")</f>
        <v>Abrir facsímil</v>
      </c>
      <c r="K1742" s="15" t="s">
        <v>23</v>
      </c>
    </row>
    <row r="1743" spans="1:11" ht="42" customHeight="1">
      <c r="A1743" s="4" t="s">
        <v>3916</v>
      </c>
      <c r="B1743" s="5" t="s">
        <v>3916</v>
      </c>
      <c r="C1743" s="5" t="s">
        <v>75</v>
      </c>
      <c r="D1743" s="5" t="s">
        <v>76</v>
      </c>
      <c r="E1743" s="5" t="s">
        <v>105</v>
      </c>
      <c r="F1743" s="9">
        <v>44</v>
      </c>
      <c r="G1743" s="9">
        <v>547</v>
      </c>
      <c r="H1743" s="5" t="s">
        <v>21</v>
      </c>
      <c r="I1743" s="5" t="s">
        <v>3917</v>
      </c>
      <c r="J1743" s="12" t="str">
        <f>HYPERLINK("https://www.boe.es/gazeta/dias/1801/05/29/pdfs/GMD-1801-44.pdf#page=7","Abrir facsímil")</f>
        <v>Abrir facsímil</v>
      </c>
      <c r="K1743" s="15" t="s">
        <v>23</v>
      </c>
    </row>
    <row r="1744" spans="1:11" ht="42" customHeight="1">
      <c r="A1744" s="4" t="s">
        <v>3918</v>
      </c>
      <c r="B1744" s="5" t="s">
        <v>3918</v>
      </c>
      <c r="C1744" s="5" t="s">
        <v>75</v>
      </c>
      <c r="D1744" s="5" t="s">
        <v>76</v>
      </c>
      <c r="E1744" s="5" t="s">
        <v>135</v>
      </c>
      <c r="F1744" s="9">
        <v>24</v>
      </c>
      <c r="G1744" s="9">
        <v>316</v>
      </c>
      <c r="H1744" s="5" t="s">
        <v>21</v>
      </c>
      <c r="I1744" s="5" t="s">
        <v>3919</v>
      </c>
      <c r="J1744" s="12" t="str">
        <f>HYPERLINK("https://www.boe.es/gazeta/dias/1801/03/24/pdfs/GMD-1801-24.pdf#page=7","Abrir facsímil")</f>
        <v>Abrir facsímil</v>
      </c>
      <c r="K1744" s="15" t="s">
        <v>23</v>
      </c>
    </row>
    <row r="1745" spans="1:11" ht="42" customHeight="1">
      <c r="A1745" s="4" t="s">
        <v>3920</v>
      </c>
      <c r="B1745" s="5" t="s">
        <v>3920</v>
      </c>
      <c r="C1745" s="5" t="s">
        <v>38</v>
      </c>
      <c r="D1745" s="5" t="s">
        <v>39</v>
      </c>
      <c r="E1745" s="5" t="s">
        <v>1939</v>
      </c>
      <c r="F1745" s="9">
        <v>107</v>
      </c>
      <c r="G1745" s="9">
        <v>1181</v>
      </c>
      <c r="H1745" s="5" t="s">
        <v>21</v>
      </c>
      <c r="I1745" s="5" t="s">
        <v>3921</v>
      </c>
      <c r="J1745" s="12" t="str">
        <f>HYPERLINK("https://www.boe.es/gazeta/dias/1801/11/17/pdfs/GMD-1801-107.pdf#page=10","Abrir facsímil")</f>
        <v>Abrir facsímil</v>
      </c>
      <c r="K1745" s="15" t="s">
        <v>23</v>
      </c>
    </row>
    <row r="1746" spans="1:11" ht="42" customHeight="1">
      <c r="A1746" s="4" t="s">
        <v>3922</v>
      </c>
      <c r="B1746" s="5" t="s">
        <v>3922</v>
      </c>
      <c r="C1746" s="5" t="s">
        <v>75</v>
      </c>
      <c r="D1746" s="5" t="s">
        <v>76</v>
      </c>
      <c r="E1746" s="5" t="s">
        <v>179</v>
      </c>
      <c r="F1746" s="9">
        <v>11</v>
      </c>
      <c r="G1746" s="9">
        <v>133</v>
      </c>
      <c r="H1746" s="5" t="s">
        <v>21</v>
      </c>
      <c r="I1746" s="5" t="s">
        <v>3923</v>
      </c>
      <c r="J1746" s="12" t="str">
        <f>HYPERLINK("https://www.boe.es/gazeta/dias/1801/02/06/pdfs/GMD-1801-11.pdf#page=6","Abrir facsímil")</f>
        <v>Abrir facsímil</v>
      </c>
      <c r="K1746" s="15" t="s">
        <v>23</v>
      </c>
    </row>
    <row r="1747" spans="1:11" ht="42" customHeight="1">
      <c r="A1747" s="4" t="s">
        <v>3924</v>
      </c>
      <c r="B1747" s="5" t="s">
        <v>3924</v>
      </c>
      <c r="C1747" s="5" t="s">
        <v>38</v>
      </c>
      <c r="D1747" s="5" t="s">
        <v>39</v>
      </c>
      <c r="E1747" s="5" t="s">
        <v>219</v>
      </c>
      <c r="F1747" s="9">
        <v>26</v>
      </c>
      <c r="G1747" s="9">
        <v>344</v>
      </c>
      <c r="H1747" s="5" t="s">
        <v>21</v>
      </c>
      <c r="I1747" s="5" t="s">
        <v>3925</v>
      </c>
      <c r="J1747" s="12" t="str">
        <f>HYPERLINK("https://www.boe.es/gazeta/dias/1801/03/31/pdfs/GMD-1801-26.pdf#page=8","Abrir facsímil")</f>
        <v>Abrir facsímil</v>
      </c>
      <c r="K1747" s="15" t="s">
        <v>23</v>
      </c>
    </row>
    <row r="1748" spans="1:11" ht="42" customHeight="1">
      <c r="A1748" s="4" t="s">
        <v>3926</v>
      </c>
      <c r="B1748" s="5" t="s">
        <v>3926</v>
      </c>
      <c r="C1748" s="5" t="s">
        <v>38</v>
      </c>
      <c r="D1748" s="5" t="s">
        <v>39</v>
      </c>
      <c r="E1748" s="5" t="s">
        <v>349</v>
      </c>
      <c r="F1748" s="9">
        <v>112</v>
      </c>
      <c r="G1748" s="9">
        <v>1225</v>
      </c>
      <c r="H1748" s="5" t="s">
        <v>21</v>
      </c>
      <c r="I1748" s="5" t="s">
        <v>3927</v>
      </c>
      <c r="J1748" s="12" t="str">
        <f>HYPERLINK("https://www.boe.es/gazeta/dias/1801/12/04/pdfs/GMD-1801-112.pdf#page=6","Abrir facsímil")</f>
        <v>Abrir facsímil</v>
      </c>
      <c r="K1748" s="15" t="s">
        <v>23</v>
      </c>
    </row>
    <row r="1749" spans="1:11" ht="42" customHeight="1">
      <c r="A1749" s="4" t="s">
        <v>3928</v>
      </c>
      <c r="B1749" s="5" t="s">
        <v>3928</v>
      </c>
      <c r="C1749" s="5" t="s">
        <v>75</v>
      </c>
      <c r="D1749" s="5" t="s">
        <v>76</v>
      </c>
      <c r="E1749" s="5" t="s">
        <v>2237</v>
      </c>
      <c r="F1749" s="9">
        <v>82</v>
      </c>
      <c r="G1749" s="9">
        <v>915</v>
      </c>
      <c r="H1749" s="5" t="s">
        <v>21</v>
      </c>
      <c r="I1749" s="5" t="s">
        <v>3929</v>
      </c>
      <c r="J1749" s="12" t="str">
        <f>HYPERLINK("https://www.boe.es/gazeta/dias/1801/08/28/pdfs/GMD-1801-82.pdf#page=4","Abrir facsímil")</f>
        <v>Abrir facsímil</v>
      </c>
      <c r="K1749" s="15" t="s">
        <v>23</v>
      </c>
    </row>
    <row r="1750" spans="1:11" ht="42" customHeight="1">
      <c r="A1750" s="4" t="s">
        <v>3930</v>
      </c>
      <c r="B1750" s="5" t="s">
        <v>3930</v>
      </c>
      <c r="C1750" s="5" t="s">
        <v>75</v>
      </c>
      <c r="D1750" s="5" t="s">
        <v>76</v>
      </c>
      <c r="E1750" s="5" t="s">
        <v>169</v>
      </c>
      <c r="F1750" s="9">
        <v>70</v>
      </c>
      <c r="G1750" s="9">
        <v>773</v>
      </c>
      <c r="H1750" s="5" t="s">
        <v>21</v>
      </c>
      <c r="I1750" s="5" t="s">
        <v>3931</v>
      </c>
      <c r="J1750" s="12" t="str">
        <f>HYPERLINK("https://www.boe.es/gazeta/dias/1801/07/17/pdfs/GMD-1801-70.pdf#page=6","Abrir facsímil")</f>
        <v>Abrir facsímil</v>
      </c>
      <c r="K1750" s="15" t="s">
        <v>23</v>
      </c>
    </row>
    <row r="1751" spans="1:11" ht="42" customHeight="1">
      <c r="A1751" s="4" t="s">
        <v>3932</v>
      </c>
      <c r="B1751" s="5" t="s">
        <v>3932</v>
      </c>
      <c r="C1751" s="5" t="s">
        <v>38</v>
      </c>
      <c r="D1751" s="5" t="s">
        <v>39</v>
      </c>
      <c r="E1751" s="5" t="s">
        <v>55</v>
      </c>
      <c r="F1751" s="9">
        <v>104</v>
      </c>
      <c r="G1751" s="9">
        <v>1142</v>
      </c>
      <c r="H1751" s="5" t="s">
        <v>21</v>
      </c>
      <c r="I1751" s="5" t="s">
        <v>3933</v>
      </c>
      <c r="J1751" s="12" t="str">
        <f>HYPERLINK("https://www.boe.es/gazeta/dias/1801/11/06/pdfs/GMD-1801-104.pdf#page=3","Abrir facsímil")</f>
        <v>Abrir facsímil</v>
      </c>
      <c r="K1751" s="15" t="s">
        <v>23</v>
      </c>
    </row>
    <row r="1752" spans="1:11" ht="42" customHeight="1">
      <c r="A1752" s="4" t="s">
        <v>3934</v>
      </c>
      <c r="B1752" s="5" t="s">
        <v>3934</v>
      </c>
      <c r="C1752" s="5" t="s">
        <v>75</v>
      </c>
      <c r="D1752" s="5" t="s">
        <v>76</v>
      </c>
      <c r="E1752" s="5" t="s">
        <v>211</v>
      </c>
      <c r="F1752" s="9">
        <v>87</v>
      </c>
      <c r="G1752" s="9">
        <v>965</v>
      </c>
      <c r="H1752" s="5" t="s">
        <v>21</v>
      </c>
      <c r="I1752" s="5" t="s">
        <v>3935</v>
      </c>
      <c r="J1752" s="12" t="str">
        <f>HYPERLINK("https://www.boe.es/gazeta/dias/1801/09/11/pdfs/GMD-1801-87.pdf#page=8","Abrir facsímil")</f>
        <v>Abrir facsímil</v>
      </c>
      <c r="K1752" s="15" t="s">
        <v>23</v>
      </c>
    </row>
    <row r="1753" spans="1:11" ht="42" customHeight="1">
      <c r="A1753" s="4" t="s">
        <v>3936</v>
      </c>
      <c r="B1753" s="5" t="s">
        <v>3936</v>
      </c>
      <c r="C1753" s="5" t="s">
        <v>32</v>
      </c>
      <c r="D1753" s="5" t="s">
        <v>33</v>
      </c>
      <c r="E1753" s="5" t="s">
        <v>781</v>
      </c>
      <c r="F1753" s="9">
        <v>14</v>
      </c>
      <c r="G1753" s="9">
        <v>172</v>
      </c>
      <c r="H1753" s="5" t="s">
        <v>21</v>
      </c>
      <c r="I1753" s="5" t="s">
        <v>3937</v>
      </c>
      <c r="J1753" s="12" t="str">
        <f>HYPERLINK("https://www.boe.es/gazeta/dias/1801/02/17/pdfs/GMD-1801-14.pdf#page=7","Abrir facsímil")</f>
        <v>Abrir facsímil</v>
      </c>
      <c r="K1753" s="15" t="s">
        <v>23</v>
      </c>
    </row>
    <row r="1754" spans="1:11" ht="42" customHeight="1">
      <c r="A1754" s="4" t="s">
        <v>3938</v>
      </c>
      <c r="B1754" s="5" t="s">
        <v>3938</v>
      </c>
      <c r="C1754" s="5" t="s">
        <v>75</v>
      </c>
      <c r="D1754" s="5" t="s">
        <v>76</v>
      </c>
      <c r="E1754" s="5" t="s">
        <v>480</v>
      </c>
      <c r="F1754" s="9">
        <v>10</v>
      </c>
      <c r="G1754" s="9">
        <v>121</v>
      </c>
      <c r="H1754" s="5" t="s">
        <v>21</v>
      </c>
      <c r="I1754" s="5" t="s">
        <v>3939</v>
      </c>
      <c r="J1754" s="12" t="str">
        <f>HYPERLINK("https://www.boe.es/gazeta/dias/1801/02/03/pdfs/GMD-1801-10.pdf#page=6","Abrir facsímil")</f>
        <v>Abrir facsímil</v>
      </c>
      <c r="K1754" s="15" t="s">
        <v>23</v>
      </c>
    </row>
    <row r="1755" spans="1:11" ht="42" customHeight="1">
      <c r="A1755" s="4" t="s">
        <v>3938</v>
      </c>
      <c r="B1755" s="5" t="s">
        <v>3938</v>
      </c>
      <c r="C1755" s="5" t="s">
        <v>32</v>
      </c>
      <c r="D1755" s="5" t="s">
        <v>33</v>
      </c>
      <c r="E1755" s="5" t="s">
        <v>723</v>
      </c>
      <c r="F1755" s="9">
        <v>113</v>
      </c>
      <c r="G1755" s="9">
        <v>1233</v>
      </c>
      <c r="H1755" s="5" t="s">
        <v>21</v>
      </c>
      <c r="I1755" s="5" t="s">
        <v>3940</v>
      </c>
      <c r="J1755" s="12" t="str">
        <f>HYPERLINK("https://www.boe.es/gazeta/dias/1801/12/08/pdfs/GMD-1801-113.pdf#page=6","Abrir facsímil")</f>
        <v>Abrir facsímil</v>
      </c>
      <c r="K1755" s="15" t="s">
        <v>23</v>
      </c>
    </row>
    <row r="1756" spans="1:11" ht="42" customHeight="1">
      <c r="A1756" s="4" t="s">
        <v>3941</v>
      </c>
      <c r="B1756" s="5" t="s">
        <v>3941</v>
      </c>
      <c r="C1756" s="5" t="s">
        <v>38</v>
      </c>
      <c r="D1756" s="5" t="s">
        <v>39</v>
      </c>
      <c r="E1756" s="5" t="s">
        <v>735</v>
      </c>
      <c r="F1756" s="9">
        <v>97</v>
      </c>
      <c r="G1756" s="9">
        <v>1061</v>
      </c>
      <c r="H1756" s="5" t="s">
        <v>21</v>
      </c>
      <c r="I1756" s="5" t="s">
        <v>3942</v>
      </c>
      <c r="J1756" s="12" t="str">
        <f>HYPERLINK("https://www.boe.es/gazeta/dias/1801/10/13/pdfs/GMD-1801-97.pdf#page=5","Abrir facsímil")</f>
        <v>Abrir facsímil</v>
      </c>
      <c r="K1756" s="15" t="s">
        <v>23</v>
      </c>
    </row>
    <row r="1757" spans="1:11" ht="42" customHeight="1">
      <c r="A1757" s="4" t="s">
        <v>3943</v>
      </c>
      <c r="B1757" s="5" t="s">
        <v>3943</v>
      </c>
      <c r="C1757" s="5" t="s">
        <v>75</v>
      </c>
      <c r="D1757" s="5" t="s">
        <v>76</v>
      </c>
      <c r="E1757" s="5" t="s">
        <v>2237</v>
      </c>
      <c r="F1757" s="9">
        <v>82</v>
      </c>
      <c r="G1757" s="9">
        <v>916</v>
      </c>
      <c r="H1757" s="5" t="s">
        <v>21</v>
      </c>
      <c r="I1757" s="5" t="s">
        <v>3944</v>
      </c>
      <c r="J1757" s="12" t="str">
        <f>HYPERLINK("https://www.boe.es/gazeta/dias/1801/08/28/pdfs/GMD-1801-82.pdf#page=5","Abrir facsímil")</f>
        <v>Abrir facsímil</v>
      </c>
      <c r="K1757" s="15" t="s">
        <v>23</v>
      </c>
    </row>
    <row r="1758" spans="1:11" ht="42" customHeight="1">
      <c r="A1758" s="4" t="s">
        <v>3945</v>
      </c>
      <c r="B1758" s="5" t="s">
        <v>3945</v>
      </c>
      <c r="C1758" s="5" t="s">
        <v>38</v>
      </c>
      <c r="D1758" s="5" t="s">
        <v>39</v>
      </c>
      <c r="E1758" s="5" t="s">
        <v>221</v>
      </c>
      <c r="F1758" s="9">
        <v>28</v>
      </c>
      <c r="G1758" s="9">
        <v>369</v>
      </c>
      <c r="H1758" s="5" t="s">
        <v>21</v>
      </c>
      <c r="I1758" s="5" t="s">
        <v>3946</v>
      </c>
      <c r="J1758" s="12" t="str">
        <f>HYPERLINK("https://www.boe.es/gazeta/dias/1801/04/07/pdfs/GMD-1801-28.pdf#page=9","Abrir facsímil")</f>
        <v>Abrir facsímil</v>
      </c>
      <c r="K1758" s="15" t="s">
        <v>23</v>
      </c>
    </row>
    <row r="1759" spans="1:11" ht="42" customHeight="1">
      <c r="A1759" s="4" t="s">
        <v>3947</v>
      </c>
      <c r="B1759" s="5" t="s">
        <v>3947</v>
      </c>
      <c r="C1759" s="5" t="s">
        <v>26</v>
      </c>
      <c r="D1759" s="5" t="s">
        <v>27</v>
      </c>
      <c r="E1759" s="5" t="s">
        <v>143</v>
      </c>
      <c r="F1759" s="9">
        <v>34</v>
      </c>
      <c r="G1759" s="9">
        <v>435</v>
      </c>
      <c r="H1759" s="5" t="s">
        <v>21</v>
      </c>
      <c r="I1759" s="5" t="s">
        <v>3948</v>
      </c>
      <c r="J1759" s="12" t="str">
        <f>HYPERLINK("https://www.boe.es/gazeta/dias/1801/04/28/pdfs/GMD-1801-34.pdf#page=7","Abrir facsímil")</f>
        <v>Abrir facsímil</v>
      </c>
      <c r="K1759" s="15" t="s">
        <v>23</v>
      </c>
    </row>
    <row r="1760" spans="1:11" ht="42" customHeight="1">
      <c r="A1760" s="4" t="s">
        <v>3949</v>
      </c>
      <c r="B1760" s="5" t="s">
        <v>3949</v>
      </c>
      <c r="C1760" s="5" t="s">
        <v>75</v>
      </c>
      <c r="D1760" s="5" t="s">
        <v>76</v>
      </c>
      <c r="E1760" s="5" t="s">
        <v>169</v>
      </c>
      <c r="F1760" s="9">
        <v>70</v>
      </c>
      <c r="G1760" s="9">
        <v>773</v>
      </c>
      <c r="H1760" s="5" t="s">
        <v>21</v>
      </c>
      <c r="I1760" s="5" t="s">
        <v>3950</v>
      </c>
      <c r="J1760" s="12" t="str">
        <f>HYPERLINK("https://www.boe.es/gazeta/dias/1801/07/17/pdfs/GMD-1801-70.pdf#page=6","Abrir facsímil")</f>
        <v>Abrir facsímil</v>
      </c>
      <c r="K1760" s="15" t="s">
        <v>23</v>
      </c>
    </row>
    <row r="1761" spans="1:11" ht="42" customHeight="1">
      <c r="A1761" s="4" t="s">
        <v>3951</v>
      </c>
      <c r="B1761" s="5" t="s">
        <v>3951</v>
      </c>
      <c r="C1761" s="5" t="s">
        <v>38</v>
      </c>
      <c r="D1761" s="5" t="s">
        <v>39</v>
      </c>
      <c r="E1761" s="5" t="s">
        <v>317</v>
      </c>
      <c r="F1761" s="9">
        <v>102</v>
      </c>
      <c r="G1761" s="9">
        <v>1120</v>
      </c>
      <c r="H1761" s="5" t="s">
        <v>21</v>
      </c>
      <c r="I1761" s="5" t="s">
        <v>3952</v>
      </c>
      <c r="J1761" s="12" t="str">
        <f>HYPERLINK("https://www.boe.es/gazeta/dias/1801/10/30/pdfs/GMD-1801-102.pdf#page=5","Abrir facsímil")</f>
        <v>Abrir facsímil</v>
      </c>
      <c r="K1761" s="15" t="s">
        <v>23</v>
      </c>
    </row>
    <row r="1762" spans="1:11" ht="42" customHeight="1">
      <c r="A1762" s="4" t="s">
        <v>3953</v>
      </c>
      <c r="B1762" s="5" t="s">
        <v>3953</v>
      </c>
      <c r="C1762" s="5" t="s">
        <v>38</v>
      </c>
      <c r="D1762" s="5" t="s">
        <v>39</v>
      </c>
      <c r="E1762" s="5" t="s">
        <v>735</v>
      </c>
      <c r="F1762" s="9">
        <v>97</v>
      </c>
      <c r="G1762" s="9">
        <v>1063</v>
      </c>
      <c r="H1762" s="5" t="s">
        <v>21</v>
      </c>
      <c r="I1762" s="5" t="s">
        <v>3954</v>
      </c>
      <c r="J1762" s="12" t="str">
        <f>HYPERLINK("https://www.boe.es/gazeta/dias/1801/10/13/pdfs/GMD-1801-97.pdf#page=7","Abrir facsímil")</f>
        <v>Abrir facsímil</v>
      </c>
      <c r="K1762" s="15" t="s">
        <v>23</v>
      </c>
    </row>
    <row r="1763" spans="1:11" ht="42" customHeight="1">
      <c r="A1763" s="4" t="s">
        <v>3955</v>
      </c>
      <c r="B1763" s="5" t="s">
        <v>3955</v>
      </c>
      <c r="C1763" s="5" t="s">
        <v>32</v>
      </c>
      <c r="D1763" s="5" t="s">
        <v>33</v>
      </c>
      <c r="E1763" s="5" t="s">
        <v>169</v>
      </c>
      <c r="F1763" s="9">
        <v>70</v>
      </c>
      <c r="G1763" s="9">
        <v>773</v>
      </c>
      <c r="H1763" s="5" t="s">
        <v>21</v>
      </c>
      <c r="I1763" s="5" t="s">
        <v>3956</v>
      </c>
      <c r="J1763" s="12" t="str">
        <f>HYPERLINK("https://www.boe.es/gazeta/dias/1801/07/17/pdfs/GMD-1801-70.pdf#page=6","Abrir facsímil")</f>
        <v>Abrir facsímil</v>
      </c>
      <c r="K1763" s="15" t="s">
        <v>23</v>
      </c>
    </row>
    <row r="1764" spans="1:11" ht="42" customHeight="1">
      <c r="A1764" s="4" t="s">
        <v>3957</v>
      </c>
      <c r="B1764" s="5" t="s">
        <v>3957</v>
      </c>
      <c r="C1764" s="5" t="s">
        <v>75</v>
      </c>
      <c r="D1764" s="5" t="s">
        <v>76</v>
      </c>
      <c r="E1764" s="5" t="s">
        <v>62</v>
      </c>
      <c r="F1764" s="9">
        <v>6</v>
      </c>
      <c r="G1764" s="9">
        <v>69</v>
      </c>
      <c r="H1764" s="5" t="s">
        <v>21</v>
      </c>
      <c r="I1764" s="5" t="s">
        <v>3958</v>
      </c>
      <c r="J1764" s="12" t="str">
        <f>HYPERLINK("https://www.boe.es/gazeta/dias/1801/01/20/pdfs/GMD-1801-6.pdf#page=5","Abrir facsímil")</f>
        <v>Abrir facsímil</v>
      </c>
      <c r="K1764" s="15" t="s">
        <v>23</v>
      </c>
    </row>
    <row r="1765" spans="1:11" ht="42" customHeight="1">
      <c r="A1765" s="4" t="s">
        <v>3959</v>
      </c>
      <c r="B1765" s="5" t="s">
        <v>3959</v>
      </c>
      <c r="C1765" s="5" t="s">
        <v>75</v>
      </c>
      <c r="D1765" s="5" t="s">
        <v>76</v>
      </c>
      <c r="E1765" s="5" t="s">
        <v>480</v>
      </c>
      <c r="F1765" s="9">
        <v>10</v>
      </c>
      <c r="G1765" s="9">
        <v>121</v>
      </c>
      <c r="H1765" s="5" t="s">
        <v>21</v>
      </c>
      <c r="I1765" s="5" t="s">
        <v>3960</v>
      </c>
      <c r="J1765" s="12" t="str">
        <f>HYPERLINK("https://www.boe.es/gazeta/dias/1801/02/03/pdfs/GMD-1801-10.pdf#page=6","Abrir facsímil")</f>
        <v>Abrir facsímil</v>
      </c>
      <c r="K1765" s="15" t="s">
        <v>23</v>
      </c>
    </row>
    <row r="1766" spans="1:11" ht="42" customHeight="1">
      <c r="A1766" s="4" t="s">
        <v>3961</v>
      </c>
      <c r="B1766" s="5" t="s">
        <v>3961</v>
      </c>
      <c r="C1766" s="5" t="s">
        <v>32</v>
      </c>
      <c r="D1766" s="5" t="s">
        <v>33</v>
      </c>
      <c r="E1766" s="5" t="s">
        <v>153</v>
      </c>
      <c r="F1766" s="9">
        <v>48</v>
      </c>
      <c r="G1766" s="9">
        <v>579</v>
      </c>
      <c r="H1766" s="5" t="s">
        <v>21</v>
      </c>
      <c r="I1766" s="5" t="s">
        <v>3962</v>
      </c>
      <c r="J1766" s="12" t="str">
        <f>HYPERLINK("https://www.boe.es/gazeta/dias/1801/06/05/pdfs/GMD-1801-48.pdf#page=1","Abrir facsímil")</f>
        <v>Abrir facsímil</v>
      </c>
      <c r="K1766" s="15" t="s">
        <v>23</v>
      </c>
    </row>
    <row r="1767" spans="1:11" ht="42" customHeight="1">
      <c r="A1767" s="4" t="s">
        <v>3963</v>
      </c>
      <c r="B1767" s="5" t="s">
        <v>3963</v>
      </c>
      <c r="C1767" s="5" t="s">
        <v>18</v>
      </c>
      <c r="D1767" s="5" t="s">
        <v>19</v>
      </c>
      <c r="E1767" s="5" t="s">
        <v>122</v>
      </c>
      <c r="F1767" s="9">
        <v>8</v>
      </c>
      <c r="G1767" s="9">
        <v>99</v>
      </c>
      <c r="H1767" s="5" t="s">
        <v>21</v>
      </c>
      <c r="I1767" s="5" t="s">
        <v>3964</v>
      </c>
      <c r="J1767" s="12" t="str">
        <f>HYPERLINK("https://www.boe.es/gazeta/dias/1801/01/27/pdfs/GMD-1801-8.pdf#page=11","Abrir facsímil")</f>
        <v>Abrir facsímil</v>
      </c>
      <c r="K1767" s="15" t="s">
        <v>23</v>
      </c>
    </row>
    <row r="1768" spans="1:11" ht="42" customHeight="1">
      <c r="A1768" s="4" t="s">
        <v>3965</v>
      </c>
      <c r="B1768" s="5" t="s">
        <v>3965</v>
      </c>
      <c r="C1768" s="5" t="s">
        <v>32</v>
      </c>
      <c r="D1768" s="5" t="s">
        <v>33</v>
      </c>
      <c r="E1768" s="5" t="s">
        <v>352</v>
      </c>
      <c r="F1768" s="9">
        <v>43</v>
      </c>
      <c r="G1768" s="9">
        <v>534</v>
      </c>
      <c r="H1768" s="5" t="s">
        <v>21</v>
      </c>
      <c r="I1768" s="5" t="s">
        <v>3966</v>
      </c>
      <c r="J1768" s="12" t="str">
        <f>HYPERLINK("https://www.boe.es/gazeta/dias/1801/05/26/pdfs/GMD-1801-43.pdf#page=6","Abrir facsímil")</f>
        <v>Abrir facsímil</v>
      </c>
      <c r="K1768" s="15" t="s">
        <v>23</v>
      </c>
    </row>
    <row r="1769" spans="1:11" ht="42" customHeight="1">
      <c r="A1769" s="4" t="s">
        <v>3967</v>
      </c>
      <c r="B1769" s="5" t="s">
        <v>3967</v>
      </c>
      <c r="C1769" s="5" t="s">
        <v>38</v>
      </c>
      <c r="D1769" s="5" t="s">
        <v>39</v>
      </c>
      <c r="E1769" s="5" t="s">
        <v>219</v>
      </c>
      <c r="F1769" s="9">
        <v>26</v>
      </c>
      <c r="G1769" s="9">
        <v>344</v>
      </c>
      <c r="H1769" s="5" t="s">
        <v>21</v>
      </c>
      <c r="I1769" s="5" t="s">
        <v>3968</v>
      </c>
      <c r="J1769" s="12" t="str">
        <f>HYPERLINK("https://www.boe.es/gazeta/dias/1801/03/31/pdfs/GMD-1801-26.pdf#page=8","Abrir facsímil")</f>
        <v>Abrir facsímil</v>
      </c>
      <c r="K1769" s="15" t="s">
        <v>23</v>
      </c>
    </row>
    <row r="1770" spans="1:11" ht="42" customHeight="1">
      <c r="A1770" s="4" t="s">
        <v>3969</v>
      </c>
      <c r="B1770" s="5" t="s">
        <v>3969</v>
      </c>
      <c r="C1770" s="5" t="s">
        <v>38</v>
      </c>
      <c r="D1770" s="5" t="s">
        <v>39</v>
      </c>
      <c r="E1770" s="5" t="s">
        <v>190</v>
      </c>
      <c r="F1770" s="9">
        <v>16</v>
      </c>
      <c r="G1770" s="9">
        <v>203</v>
      </c>
      <c r="H1770" s="5" t="s">
        <v>21</v>
      </c>
      <c r="I1770" s="5" t="s">
        <v>3970</v>
      </c>
      <c r="J1770" s="12" t="str">
        <f>HYPERLINK("https://www.boe.es/gazeta/dias/1801/02/24/pdfs/GMD-1801-16.pdf#page=10","Abrir facsímil")</f>
        <v>Abrir facsímil</v>
      </c>
      <c r="K1770" s="15" t="s">
        <v>23</v>
      </c>
    </row>
    <row r="1771" spans="1:11" ht="42" customHeight="1">
      <c r="A1771" s="4" t="s">
        <v>3971</v>
      </c>
      <c r="B1771" s="5" t="s">
        <v>3971</v>
      </c>
      <c r="C1771" s="5" t="s">
        <v>75</v>
      </c>
      <c r="D1771" s="5" t="s">
        <v>76</v>
      </c>
      <c r="E1771" s="5" t="s">
        <v>99</v>
      </c>
      <c r="F1771" s="9">
        <v>32</v>
      </c>
      <c r="G1771" s="9">
        <v>410</v>
      </c>
      <c r="H1771" s="5" t="s">
        <v>21</v>
      </c>
      <c r="I1771" s="5" t="s">
        <v>3972</v>
      </c>
      <c r="J1771" s="12" t="str">
        <f>HYPERLINK("https://www.boe.es/gazeta/dias/1801/04/21/pdfs/GMD-1801-32.pdf#page=6","Abrir facsímil")</f>
        <v>Abrir facsímil</v>
      </c>
      <c r="K1771" s="15" t="s">
        <v>23</v>
      </c>
    </row>
    <row r="1772" spans="1:11" ht="42" customHeight="1">
      <c r="A1772" s="4" t="s">
        <v>3973</v>
      </c>
      <c r="B1772" s="5" t="s">
        <v>3973</v>
      </c>
      <c r="C1772" s="5" t="s">
        <v>38</v>
      </c>
      <c r="D1772" s="5" t="s">
        <v>39</v>
      </c>
      <c r="E1772" s="5" t="s">
        <v>505</v>
      </c>
      <c r="F1772" s="9">
        <v>94</v>
      </c>
      <c r="G1772" s="9">
        <v>1030</v>
      </c>
      <c r="H1772" s="5" t="s">
        <v>21</v>
      </c>
      <c r="I1772" s="5" t="s">
        <v>3974</v>
      </c>
      <c r="J1772" s="12" t="str">
        <f>HYPERLINK("https://www.boe.es/gazeta/dias/1801/10/02/pdfs/GMD-1801-94.pdf#page=6","Abrir facsímil")</f>
        <v>Abrir facsímil</v>
      </c>
      <c r="K1772" s="15" t="s">
        <v>23</v>
      </c>
    </row>
    <row r="1773" spans="1:11" ht="42" customHeight="1">
      <c r="A1773" s="4" t="s">
        <v>3975</v>
      </c>
      <c r="B1773" s="5" t="s">
        <v>3975</v>
      </c>
      <c r="C1773" s="5" t="s">
        <v>75</v>
      </c>
      <c r="D1773" s="5" t="s">
        <v>76</v>
      </c>
      <c r="E1773" s="5" t="s">
        <v>352</v>
      </c>
      <c r="F1773" s="9">
        <v>43</v>
      </c>
      <c r="G1773" s="9">
        <v>530</v>
      </c>
      <c r="H1773" s="5" t="s">
        <v>21</v>
      </c>
      <c r="I1773" s="5" t="s">
        <v>3976</v>
      </c>
      <c r="J1773" s="12" t="str">
        <f>HYPERLINK("https://www.boe.es/gazeta/dias/1801/05/26/pdfs/GMD-1801-43.pdf#page=2","Abrir facsímil")</f>
        <v>Abrir facsímil</v>
      </c>
      <c r="K1773" s="15" t="s">
        <v>23</v>
      </c>
    </row>
    <row r="1774" spans="1:11" ht="42" customHeight="1">
      <c r="A1774" s="4" t="s">
        <v>3977</v>
      </c>
      <c r="B1774" s="5" t="s">
        <v>3977</v>
      </c>
      <c r="C1774" s="5" t="s">
        <v>75</v>
      </c>
      <c r="D1774" s="5" t="s">
        <v>76</v>
      </c>
      <c r="E1774" s="5" t="s">
        <v>254</v>
      </c>
      <c r="F1774" s="9">
        <v>73</v>
      </c>
      <c r="G1774" s="9">
        <v>808</v>
      </c>
      <c r="H1774" s="5" t="s">
        <v>21</v>
      </c>
      <c r="I1774" s="5" t="s">
        <v>3978</v>
      </c>
      <c r="J1774" s="12" t="str">
        <f>HYPERLINK("https://www.boe.es/gazeta/dias/1801/07/28/pdfs/GMD-1801-73.pdf#page=1","Abrir facsímil")</f>
        <v>Abrir facsímil</v>
      </c>
      <c r="K1774" s="15" t="s">
        <v>23</v>
      </c>
    </row>
    <row r="1775" spans="1:11" ht="42" customHeight="1">
      <c r="A1775" s="4" t="s">
        <v>3979</v>
      </c>
      <c r="B1775" s="5" t="s">
        <v>3979</v>
      </c>
      <c r="C1775" s="5" t="s">
        <v>32</v>
      </c>
      <c r="D1775" s="5" t="s">
        <v>33</v>
      </c>
      <c r="E1775" s="5" t="s">
        <v>264</v>
      </c>
      <c r="F1775" s="9">
        <v>111</v>
      </c>
      <c r="G1775" s="9">
        <v>1217</v>
      </c>
      <c r="H1775" s="5" t="s">
        <v>21</v>
      </c>
      <c r="I1775" s="5" t="s">
        <v>3980</v>
      </c>
      <c r="J1775" s="12" t="str">
        <f>HYPERLINK("https://www.boe.es/gazeta/dias/1801/12/01/pdfs/GMD-1801-111.pdf#page=6","Abrir facsímil")</f>
        <v>Abrir facsímil</v>
      </c>
      <c r="K1775" s="15" t="s">
        <v>23</v>
      </c>
    </row>
    <row r="1776" spans="1:11" ht="42" customHeight="1">
      <c r="A1776" s="4" t="s">
        <v>3981</v>
      </c>
      <c r="B1776" s="5" t="s">
        <v>3981</v>
      </c>
      <c r="C1776" s="5" t="s">
        <v>32</v>
      </c>
      <c r="D1776" s="5" t="s">
        <v>33</v>
      </c>
      <c r="E1776" s="5" t="s">
        <v>1436</v>
      </c>
      <c r="F1776" s="9">
        <v>95</v>
      </c>
      <c r="G1776" s="9">
        <v>1042</v>
      </c>
      <c r="H1776" s="5" t="s">
        <v>21</v>
      </c>
      <c r="I1776" s="5" t="s">
        <v>3982</v>
      </c>
      <c r="J1776" s="12" t="str">
        <f>HYPERLINK("https://www.boe.es/gazeta/dias/1801/10/06/pdfs/GMD-1801-95.pdf#page=6","Abrir facsímil")</f>
        <v>Abrir facsímil</v>
      </c>
      <c r="K1776" s="15" t="s">
        <v>23</v>
      </c>
    </row>
    <row r="1777" spans="1:11" ht="42" customHeight="1">
      <c r="A1777" s="4" t="s">
        <v>3983</v>
      </c>
      <c r="B1777" s="5" t="s">
        <v>3983</v>
      </c>
      <c r="C1777" s="5" t="s">
        <v>32</v>
      </c>
      <c r="D1777" s="5" t="s">
        <v>33</v>
      </c>
      <c r="E1777" s="5" t="s">
        <v>317</v>
      </c>
      <c r="F1777" s="9">
        <v>102</v>
      </c>
      <c r="G1777" s="9">
        <v>1120</v>
      </c>
      <c r="H1777" s="5" t="s">
        <v>21</v>
      </c>
      <c r="I1777" s="5" t="s">
        <v>3984</v>
      </c>
      <c r="J1777" s="12" t="str">
        <f>HYPERLINK("https://www.boe.es/gazeta/dias/1801/10/30/pdfs/GMD-1801-102.pdf#page=5","Abrir facsímil")</f>
        <v>Abrir facsímil</v>
      </c>
      <c r="K1777" s="15" t="s">
        <v>23</v>
      </c>
    </row>
    <row r="1778" spans="1:11" ht="42" customHeight="1">
      <c r="A1778" s="4" t="s">
        <v>3985</v>
      </c>
      <c r="B1778" s="5" t="s">
        <v>3985</v>
      </c>
      <c r="C1778" s="5" t="s">
        <v>38</v>
      </c>
      <c r="D1778" s="5" t="s">
        <v>39</v>
      </c>
      <c r="E1778" s="5" t="s">
        <v>266</v>
      </c>
      <c r="F1778" s="9">
        <v>119</v>
      </c>
      <c r="G1778" s="9">
        <v>1301</v>
      </c>
      <c r="H1778" s="5" t="s">
        <v>21</v>
      </c>
      <c r="I1778" s="5" t="s">
        <v>3986</v>
      </c>
      <c r="J1778" s="12" t="str">
        <f>HYPERLINK("https://www.boe.es/gazeta/dias/1801/12/29/pdfs/GMD-1801-119.pdf#page=5","Abrir facsímil")</f>
        <v>Abrir facsímil</v>
      </c>
      <c r="K1778" s="15" t="s">
        <v>23</v>
      </c>
    </row>
    <row r="1779" spans="1:11" ht="42" customHeight="1">
      <c r="A1779" s="4" t="s">
        <v>3987</v>
      </c>
      <c r="B1779" s="5" t="s">
        <v>3987</v>
      </c>
      <c r="C1779" s="5" t="s">
        <v>38</v>
      </c>
      <c r="D1779" s="5" t="s">
        <v>39</v>
      </c>
      <c r="E1779" s="5" t="s">
        <v>201</v>
      </c>
      <c r="F1779" s="9">
        <v>79</v>
      </c>
      <c r="G1779" s="9">
        <v>888</v>
      </c>
      <c r="H1779" s="5" t="s">
        <v>21</v>
      </c>
      <c r="I1779" s="5" t="s">
        <v>3988</v>
      </c>
      <c r="J1779" s="12" t="str">
        <f>HYPERLINK("https://www.boe.es/gazeta/dias/1801/08/18/pdfs/GMD-1801-79.pdf#page=5","Abrir facsímil")</f>
        <v>Abrir facsímil</v>
      </c>
      <c r="K1779" s="15" t="s">
        <v>23</v>
      </c>
    </row>
    <row r="1780" spans="1:11" ht="42" customHeight="1">
      <c r="A1780" s="4" t="s">
        <v>3989</v>
      </c>
      <c r="B1780" s="5" t="s">
        <v>3989</v>
      </c>
      <c r="C1780" s="5" t="s">
        <v>38</v>
      </c>
      <c r="D1780" s="5" t="s">
        <v>39</v>
      </c>
      <c r="E1780" s="5" t="s">
        <v>171</v>
      </c>
      <c r="F1780" s="9">
        <v>76</v>
      </c>
      <c r="G1780" s="9">
        <v>851</v>
      </c>
      <c r="H1780" s="5" t="s">
        <v>21</v>
      </c>
      <c r="I1780" s="5" t="s">
        <v>3990</v>
      </c>
      <c r="J1780" s="12" t="str">
        <f>HYPERLINK("https://www.boe.es/gazeta/dias/1801/08/07/pdfs/GMD-1801-76.pdf#page=8","Abrir facsímil")</f>
        <v>Abrir facsímil</v>
      </c>
      <c r="K1780" s="15" t="s">
        <v>23</v>
      </c>
    </row>
    <row r="1781" spans="1:11" ht="42" customHeight="1">
      <c r="A1781" s="4" t="s">
        <v>3991</v>
      </c>
      <c r="B1781" s="5" t="s">
        <v>3991</v>
      </c>
      <c r="C1781" s="5" t="s">
        <v>75</v>
      </c>
      <c r="D1781" s="5" t="s">
        <v>76</v>
      </c>
      <c r="E1781" s="5" t="s">
        <v>141</v>
      </c>
      <c r="F1781" s="9">
        <v>33</v>
      </c>
      <c r="G1781" s="9">
        <v>418</v>
      </c>
      <c r="H1781" s="5" t="s">
        <v>21</v>
      </c>
      <c r="I1781" s="5" t="s">
        <v>3992</v>
      </c>
      <c r="J1781" s="12" t="str">
        <f>HYPERLINK("https://www.boe.es/gazeta/dias/1801/04/24/pdfs/GMD-1801-33.pdf#page=2","Abrir facsímil")</f>
        <v>Abrir facsímil</v>
      </c>
      <c r="K1781" s="15" t="s">
        <v>23</v>
      </c>
    </row>
    <row r="1782" spans="1:11" ht="42" customHeight="1">
      <c r="A1782" s="4" t="s">
        <v>3991</v>
      </c>
      <c r="B1782" s="5" t="s">
        <v>3991</v>
      </c>
      <c r="C1782" s="5" t="s">
        <v>38</v>
      </c>
      <c r="D1782" s="5" t="s">
        <v>39</v>
      </c>
      <c r="E1782" s="5" t="s">
        <v>143</v>
      </c>
      <c r="F1782" s="9">
        <v>34</v>
      </c>
      <c r="G1782" s="9">
        <v>430</v>
      </c>
      <c r="H1782" s="5" t="s">
        <v>21</v>
      </c>
      <c r="I1782" s="5" t="s">
        <v>3993</v>
      </c>
      <c r="J1782" s="12" t="str">
        <f>HYPERLINK("https://www.boe.es/gazeta/dias/1801/04/28/pdfs/GMD-1801-34.pdf#page=2","Abrir facsímil")</f>
        <v>Abrir facsímil</v>
      </c>
      <c r="K1782" s="15" t="s">
        <v>23</v>
      </c>
    </row>
    <row r="1783" spans="1:11" ht="42" customHeight="1">
      <c r="A1783" s="4" t="s">
        <v>3994</v>
      </c>
      <c r="B1783" s="5" t="s">
        <v>3994</v>
      </c>
      <c r="C1783" s="5" t="s">
        <v>75</v>
      </c>
      <c r="D1783" s="5" t="s">
        <v>76</v>
      </c>
      <c r="E1783" s="5" t="s">
        <v>448</v>
      </c>
      <c r="F1783" s="9">
        <v>35</v>
      </c>
      <c r="G1783" s="9">
        <v>448</v>
      </c>
      <c r="H1783" s="5" t="s">
        <v>21</v>
      </c>
      <c r="I1783" s="5" t="s">
        <v>3995</v>
      </c>
      <c r="J1783" s="12" t="str">
        <f>HYPERLINK("https://www.boe.es/gazeta/dias/1801/05/01/pdfs/GMD-1801-35.pdf#page=4","Abrir facsímil")</f>
        <v>Abrir facsímil</v>
      </c>
      <c r="K1783" s="15" t="s">
        <v>23</v>
      </c>
    </row>
    <row r="1784" spans="1:11" ht="42" customHeight="1">
      <c r="A1784" s="4" t="s">
        <v>3991</v>
      </c>
      <c r="B1784" s="5" t="s">
        <v>3991</v>
      </c>
      <c r="C1784" s="5" t="s">
        <v>75</v>
      </c>
      <c r="D1784" s="5" t="s">
        <v>76</v>
      </c>
      <c r="E1784" s="5" t="s">
        <v>44</v>
      </c>
      <c r="F1784" s="9">
        <v>117</v>
      </c>
      <c r="G1784" s="9">
        <v>1278</v>
      </c>
      <c r="H1784" s="5" t="s">
        <v>21</v>
      </c>
      <c r="I1784" s="5" t="s">
        <v>3996</v>
      </c>
      <c r="J1784" s="12" t="str">
        <f>HYPERLINK("https://www.boe.es/gazeta/dias/1801/12/22/pdfs/GMD-1801-117.pdf#page=5","Abrir facsímil")</f>
        <v>Abrir facsímil</v>
      </c>
      <c r="K1784" s="15" t="s">
        <v>23</v>
      </c>
    </row>
    <row r="1785" spans="1:11" ht="42" customHeight="1">
      <c r="A1785" s="4" t="s">
        <v>3997</v>
      </c>
      <c r="B1785" s="5" t="s">
        <v>3997</v>
      </c>
      <c r="C1785" s="5" t="s">
        <v>32</v>
      </c>
      <c r="D1785" s="5" t="s">
        <v>33</v>
      </c>
      <c r="E1785" s="5" t="s">
        <v>153</v>
      </c>
      <c r="F1785" s="9">
        <v>48</v>
      </c>
      <c r="G1785" s="9">
        <v>583</v>
      </c>
      <c r="H1785" s="5" t="s">
        <v>21</v>
      </c>
      <c r="I1785" s="5" t="s">
        <v>3998</v>
      </c>
      <c r="J1785" s="12" t="str">
        <f>HYPERLINK("https://www.boe.es/gazeta/dias/1801/06/05/pdfs/GMD-1801-48.pdf#page=5","Abrir facsímil")</f>
        <v>Abrir facsímil</v>
      </c>
      <c r="K1785" s="15" t="s">
        <v>23</v>
      </c>
    </row>
    <row r="1786" spans="1:11" ht="42" customHeight="1">
      <c r="A1786" s="4" t="s">
        <v>3999</v>
      </c>
      <c r="B1786" s="5" t="s">
        <v>3999</v>
      </c>
      <c r="C1786" s="5" t="s">
        <v>38</v>
      </c>
      <c r="D1786" s="5" t="s">
        <v>39</v>
      </c>
      <c r="E1786" s="5" t="s">
        <v>309</v>
      </c>
      <c r="F1786" s="9">
        <v>118</v>
      </c>
      <c r="G1786" s="9">
        <v>1289</v>
      </c>
      <c r="H1786" s="5" t="s">
        <v>21</v>
      </c>
      <c r="I1786" s="5" t="s">
        <v>4000</v>
      </c>
      <c r="J1786" s="12" t="str">
        <f>HYPERLINK("https://www.boe.es/gazeta/dias/1801/12/25/pdfs/GMD-1801-118.pdf#page=4","Abrir facsímil")</f>
        <v>Abrir facsímil</v>
      </c>
      <c r="K1786" s="15" t="s">
        <v>23</v>
      </c>
    </row>
    <row r="1787" spans="1:11" ht="42" customHeight="1">
      <c r="A1787" s="4" t="s">
        <v>4001</v>
      </c>
      <c r="B1787" s="5" t="s">
        <v>4001</v>
      </c>
      <c r="C1787" s="5" t="s">
        <v>32</v>
      </c>
      <c r="D1787" s="5" t="s">
        <v>33</v>
      </c>
      <c r="E1787" s="5" t="s">
        <v>28</v>
      </c>
      <c r="F1787" s="9">
        <v>77</v>
      </c>
      <c r="G1787" s="9">
        <v>862</v>
      </c>
      <c r="H1787" s="5" t="s">
        <v>21</v>
      </c>
      <c r="I1787" s="5" t="s">
        <v>4002</v>
      </c>
      <c r="J1787" s="12" t="str">
        <f>HYPERLINK("https://www.boe.es/gazeta/dias/1801/08/11/pdfs/GMD-1801-77.pdf#page=7","Abrir facsímil")</f>
        <v>Abrir facsímil</v>
      </c>
      <c r="K1787" s="15" t="s">
        <v>23</v>
      </c>
    </row>
    <row r="1788" spans="1:11" ht="42" customHeight="1">
      <c r="A1788" s="4" t="s">
        <v>4003</v>
      </c>
      <c r="B1788" s="5" t="s">
        <v>4003</v>
      </c>
      <c r="C1788" s="5" t="s">
        <v>38</v>
      </c>
      <c r="D1788" s="5" t="s">
        <v>39</v>
      </c>
      <c r="E1788" s="5" t="s">
        <v>155</v>
      </c>
      <c r="F1788" s="9">
        <v>50</v>
      </c>
      <c r="G1788" s="9">
        <v>595</v>
      </c>
      <c r="H1788" s="5" t="s">
        <v>21</v>
      </c>
      <c r="I1788" s="5" t="s">
        <v>4004</v>
      </c>
      <c r="J1788" s="12" t="str">
        <f>HYPERLINK("https://www.boe.es/gazeta/dias/1801/06/09/pdfs/GMD-1801-50.pdf#page=7","Abrir facsímil")</f>
        <v>Abrir facsímil</v>
      </c>
      <c r="K1788" s="15" t="s">
        <v>23</v>
      </c>
    </row>
    <row r="1789" spans="1:11" ht="42" customHeight="1">
      <c r="A1789" s="4" t="s">
        <v>4005</v>
      </c>
      <c r="B1789" s="5" t="s">
        <v>4005</v>
      </c>
      <c r="C1789" s="5" t="s">
        <v>32</v>
      </c>
      <c r="D1789" s="5" t="s">
        <v>33</v>
      </c>
      <c r="E1789" s="5" t="s">
        <v>309</v>
      </c>
      <c r="F1789" s="9">
        <v>118</v>
      </c>
      <c r="G1789" s="9">
        <v>1290</v>
      </c>
      <c r="H1789" s="5" t="s">
        <v>21</v>
      </c>
      <c r="I1789" s="5" t="s">
        <v>4006</v>
      </c>
      <c r="J1789" s="12" t="str">
        <f>HYPERLINK("https://www.boe.es/gazeta/dias/1801/12/25/pdfs/GMD-1801-118.pdf#page=5","Abrir facsímil")</f>
        <v>Abrir facsímil</v>
      </c>
      <c r="K1789" s="15" t="s">
        <v>23</v>
      </c>
    </row>
    <row r="1790" spans="1:11" ht="42" customHeight="1">
      <c r="A1790" s="4" t="s">
        <v>4007</v>
      </c>
      <c r="B1790" s="5" t="s">
        <v>4007</v>
      </c>
      <c r="C1790" s="5" t="s">
        <v>38</v>
      </c>
      <c r="D1790" s="5" t="s">
        <v>39</v>
      </c>
      <c r="E1790" s="5" t="s">
        <v>1058</v>
      </c>
      <c r="F1790" s="9">
        <v>108</v>
      </c>
      <c r="G1790" s="9">
        <v>1186</v>
      </c>
      <c r="H1790" s="5" t="s">
        <v>21</v>
      </c>
      <c r="I1790" s="5" t="s">
        <v>4008</v>
      </c>
      <c r="J1790" s="12" t="str">
        <f>HYPERLINK("https://www.boe.es/gazeta/dias/1801/11/20/pdfs/GMD-1801-108.pdf#page=3","Abrir facsímil")</f>
        <v>Abrir facsímil</v>
      </c>
      <c r="K1790" s="15" t="s">
        <v>23</v>
      </c>
    </row>
    <row r="1791" spans="1:11" ht="42" customHeight="1">
      <c r="A1791" s="4" t="s">
        <v>4009</v>
      </c>
      <c r="B1791" s="5" t="s">
        <v>4009</v>
      </c>
      <c r="C1791" s="5" t="s">
        <v>75</v>
      </c>
      <c r="D1791" s="5" t="s">
        <v>76</v>
      </c>
      <c r="E1791" s="5" t="s">
        <v>62</v>
      </c>
      <c r="F1791" s="9">
        <v>6</v>
      </c>
      <c r="G1791" s="9">
        <v>68</v>
      </c>
      <c r="H1791" s="5" t="s">
        <v>21</v>
      </c>
      <c r="I1791" s="5" t="s">
        <v>4010</v>
      </c>
      <c r="J1791" s="12" t="str">
        <f>HYPERLINK("https://www.boe.es/gazeta/dias/1801/01/20/pdfs/GMD-1801-6.pdf#page=4","Abrir facsímil")</f>
        <v>Abrir facsímil</v>
      </c>
      <c r="K1791" s="15" t="s">
        <v>23</v>
      </c>
    </row>
    <row r="1792" spans="1:11" ht="42" customHeight="1">
      <c r="A1792" s="4" t="s">
        <v>4009</v>
      </c>
      <c r="B1792" s="5" t="s">
        <v>4009</v>
      </c>
      <c r="C1792" s="5" t="s">
        <v>18</v>
      </c>
      <c r="D1792" s="5" t="s">
        <v>19</v>
      </c>
      <c r="E1792" s="5" t="s">
        <v>158</v>
      </c>
      <c r="F1792" s="9">
        <v>55</v>
      </c>
      <c r="G1792" s="9">
        <v>630</v>
      </c>
      <c r="H1792" s="5" t="s">
        <v>21</v>
      </c>
      <c r="I1792" s="5" t="s">
        <v>4011</v>
      </c>
      <c r="J1792" s="12" t="str">
        <f>HYPERLINK("https://www.boe.es/gazeta/dias/1801/06/16/pdfs/GMD-1801-55.pdf#page=6","Abrir facsímil")</f>
        <v>Abrir facsímil</v>
      </c>
      <c r="K1792" s="15" t="s">
        <v>23</v>
      </c>
    </row>
    <row r="1793" spans="1:11" ht="42" customHeight="1">
      <c r="A1793" s="4" t="s">
        <v>4012</v>
      </c>
      <c r="B1793" s="5" t="s">
        <v>4012</v>
      </c>
      <c r="C1793" s="5" t="s">
        <v>75</v>
      </c>
      <c r="D1793" s="5" t="s">
        <v>76</v>
      </c>
      <c r="E1793" s="5" t="s">
        <v>215</v>
      </c>
      <c r="F1793" s="9">
        <v>71</v>
      </c>
      <c r="G1793" s="9">
        <v>785</v>
      </c>
      <c r="H1793" s="5" t="s">
        <v>21</v>
      </c>
      <c r="I1793" s="5" t="s">
        <v>4013</v>
      </c>
      <c r="J1793" s="12" t="str">
        <f>HYPERLINK("https://www.boe.es/gazeta/dias/1801/07/21/pdfs/GMD-1801-71.pdf#page=6","Abrir facsímil")</f>
        <v>Abrir facsímil</v>
      </c>
      <c r="K1793" s="15" t="s">
        <v>23</v>
      </c>
    </row>
    <row r="1794" spans="1:11" ht="42" customHeight="1">
      <c r="A1794" s="4" t="s">
        <v>4014</v>
      </c>
      <c r="B1794" s="5" t="s">
        <v>4014</v>
      </c>
      <c r="C1794" s="5" t="s">
        <v>38</v>
      </c>
      <c r="D1794" s="5" t="s">
        <v>39</v>
      </c>
      <c r="E1794" s="5" t="s">
        <v>219</v>
      </c>
      <c r="F1794" s="9">
        <v>26</v>
      </c>
      <c r="G1794" s="9">
        <v>342</v>
      </c>
      <c r="H1794" s="5" t="s">
        <v>21</v>
      </c>
      <c r="I1794" s="5" t="s">
        <v>4015</v>
      </c>
      <c r="J1794" s="12" t="str">
        <f>HYPERLINK("https://www.boe.es/gazeta/dias/1801/03/31/pdfs/GMD-1801-26.pdf#page=6","Abrir facsímil")</f>
        <v>Abrir facsímil</v>
      </c>
      <c r="K1794" s="15" t="s">
        <v>23</v>
      </c>
    </row>
    <row r="1795" spans="1:11" ht="42" customHeight="1">
      <c r="A1795" s="4" t="s">
        <v>4016</v>
      </c>
      <c r="B1795" s="5" t="s">
        <v>4016</v>
      </c>
      <c r="C1795" s="5" t="s">
        <v>75</v>
      </c>
      <c r="D1795" s="5" t="s">
        <v>76</v>
      </c>
      <c r="E1795" s="5" t="s">
        <v>223</v>
      </c>
      <c r="F1795" s="9">
        <v>74</v>
      </c>
      <c r="G1795" s="9">
        <v>826</v>
      </c>
      <c r="H1795" s="5" t="s">
        <v>21</v>
      </c>
      <c r="I1795" s="5" t="s">
        <v>4017</v>
      </c>
      <c r="J1795" s="12" t="str">
        <f>HYPERLINK("https://www.boe.es/gazeta/dias/1801/07/31/pdfs/GMD-1801-74.pdf#page=7","Abrir facsímil")</f>
        <v>Abrir facsímil</v>
      </c>
      <c r="K1795" s="15" t="s">
        <v>23</v>
      </c>
    </row>
    <row r="1796" spans="1:11" ht="42" customHeight="1">
      <c r="A1796" s="4" t="s">
        <v>4018</v>
      </c>
      <c r="B1796" s="5" t="s">
        <v>4018</v>
      </c>
      <c r="C1796" s="5" t="s">
        <v>18</v>
      </c>
      <c r="D1796" s="5" t="s">
        <v>19</v>
      </c>
      <c r="E1796" s="5" t="s">
        <v>108</v>
      </c>
      <c r="F1796" s="9">
        <v>61</v>
      </c>
      <c r="G1796" s="9">
        <v>697</v>
      </c>
      <c r="H1796" s="5" t="s">
        <v>21</v>
      </c>
      <c r="I1796" s="5" t="s">
        <v>4019</v>
      </c>
      <c r="J1796" s="12" t="str">
        <f>HYPERLINK("https://www.boe.es/gazeta/dias/1801/06/30/pdfs/GMD-1801-61.pdf#page=6","Abrir facsímil")</f>
        <v>Abrir facsímil</v>
      </c>
      <c r="K1796" s="15" t="s">
        <v>23</v>
      </c>
    </row>
    <row r="1797" spans="1:11" ht="42" customHeight="1">
      <c r="A1797" s="4" t="s">
        <v>4020</v>
      </c>
      <c r="B1797" s="5" t="s">
        <v>4020</v>
      </c>
      <c r="C1797" s="5" t="s">
        <v>32</v>
      </c>
      <c r="D1797" s="5" t="s">
        <v>33</v>
      </c>
      <c r="E1797" s="5" t="s">
        <v>352</v>
      </c>
      <c r="F1797" s="9">
        <v>43</v>
      </c>
      <c r="G1797" s="9">
        <v>534</v>
      </c>
      <c r="H1797" s="5" t="s">
        <v>21</v>
      </c>
      <c r="I1797" s="5" t="s">
        <v>4021</v>
      </c>
      <c r="J1797" s="12" t="str">
        <f>HYPERLINK("https://www.boe.es/gazeta/dias/1801/05/26/pdfs/GMD-1801-43.pdf#page=6","Abrir facsímil")</f>
        <v>Abrir facsímil</v>
      </c>
      <c r="K1797" s="15" t="s">
        <v>23</v>
      </c>
    </row>
    <row r="1798" spans="1:11" ht="42" customHeight="1">
      <c r="A1798" s="4" t="s">
        <v>4022</v>
      </c>
      <c r="B1798" s="5" t="s">
        <v>4022</v>
      </c>
      <c r="C1798" s="5" t="s">
        <v>75</v>
      </c>
      <c r="D1798" s="5" t="s">
        <v>76</v>
      </c>
      <c r="E1798" s="5" t="s">
        <v>62</v>
      </c>
      <c r="F1798" s="9">
        <v>6</v>
      </c>
      <c r="G1798" s="9">
        <v>68</v>
      </c>
      <c r="H1798" s="5" t="s">
        <v>21</v>
      </c>
      <c r="I1798" s="5" t="s">
        <v>4023</v>
      </c>
      <c r="J1798" s="12" t="str">
        <f>HYPERLINK("https://www.boe.es/gazeta/dias/1801/01/20/pdfs/GMD-1801-6.pdf#page=4","Abrir facsímil")</f>
        <v>Abrir facsímil</v>
      </c>
      <c r="K1798" s="15" t="s">
        <v>23</v>
      </c>
    </row>
    <row r="1799" spans="1:11" ht="42" customHeight="1">
      <c r="A1799" s="4" t="s">
        <v>4024</v>
      </c>
      <c r="B1799" s="5" t="s">
        <v>4024</v>
      </c>
      <c r="C1799" s="5" t="s">
        <v>38</v>
      </c>
      <c r="D1799" s="5" t="s">
        <v>39</v>
      </c>
      <c r="E1799" s="5" t="s">
        <v>171</v>
      </c>
      <c r="F1799" s="9">
        <v>76</v>
      </c>
      <c r="G1799" s="9">
        <v>851</v>
      </c>
      <c r="H1799" s="5" t="s">
        <v>21</v>
      </c>
      <c r="I1799" s="5" t="s">
        <v>4025</v>
      </c>
      <c r="J1799" s="12" t="str">
        <f>HYPERLINK("https://www.boe.es/gazeta/dias/1801/08/07/pdfs/GMD-1801-76.pdf#page=8","Abrir facsímil")</f>
        <v>Abrir facsímil</v>
      </c>
      <c r="K1799" s="15" t="s">
        <v>23</v>
      </c>
    </row>
    <row r="1800" spans="1:11" ht="42" customHeight="1">
      <c r="A1800" s="4" t="s">
        <v>4026</v>
      </c>
      <c r="B1800" s="5" t="s">
        <v>4026</v>
      </c>
      <c r="C1800" s="5" t="s">
        <v>75</v>
      </c>
      <c r="D1800" s="5" t="s">
        <v>76</v>
      </c>
      <c r="E1800" s="5" t="s">
        <v>935</v>
      </c>
      <c r="F1800" s="9">
        <v>116</v>
      </c>
      <c r="G1800" s="9">
        <v>1266</v>
      </c>
      <c r="H1800" s="5" t="s">
        <v>21</v>
      </c>
      <c r="I1800" s="5" t="s">
        <v>4027</v>
      </c>
      <c r="J1800" s="12" t="str">
        <f>HYPERLINK("https://www.boe.es/gazeta/dias/1801/12/18/pdfs/GMD-1801-116.pdf#page=8","Abrir facsímil")</f>
        <v>Abrir facsímil</v>
      </c>
      <c r="K1800" s="15" t="s">
        <v>23</v>
      </c>
    </row>
    <row r="1801" spans="1:11" ht="42" customHeight="1">
      <c r="A1801" s="4" t="s">
        <v>4028</v>
      </c>
      <c r="B1801" s="5" t="s">
        <v>4028</v>
      </c>
      <c r="C1801" s="5" t="s">
        <v>75</v>
      </c>
      <c r="D1801" s="5" t="s">
        <v>76</v>
      </c>
      <c r="E1801" s="5" t="s">
        <v>462</v>
      </c>
      <c r="F1801" s="9">
        <v>5</v>
      </c>
      <c r="G1801" s="9">
        <v>53</v>
      </c>
      <c r="H1801" s="5" t="s">
        <v>21</v>
      </c>
      <c r="I1801" s="5" t="s">
        <v>4029</v>
      </c>
      <c r="J1801" s="12" t="str">
        <f>HYPERLINK("https://www.boe.es/gazeta/dias/1801/01/16/pdfs/GMD-1801-5.pdf#page=5","Abrir facsímil")</f>
        <v>Abrir facsímil</v>
      </c>
      <c r="K1801" s="15" t="s">
        <v>23</v>
      </c>
    </row>
    <row r="1802" spans="1:11" ht="42" customHeight="1">
      <c r="A1802" s="4" t="s">
        <v>4030</v>
      </c>
      <c r="B1802" s="5" t="s">
        <v>4030</v>
      </c>
      <c r="C1802" s="5" t="s">
        <v>75</v>
      </c>
      <c r="D1802" s="5" t="s">
        <v>76</v>
      </c>
      <c r="E1802" s="5" t="s">
        <v>62</v>
      </c>
      <c r="F1802" s="9">
        <v>6</v>
      </c>
      <c r="G1802" s="9">
        <v>68</v>
      </c>
      <c r="H1802" s="5" t="s">
        <v>21</v>
      </c>
      <c r="I1802" s="5" t="s">
        <v>4031</v>
      </c>
      <c r="J1802" s="12" t="str">
        <f>HYPERLINK("https://www.boe.es/gazeta/dias/1801/01/20/pdfs/GMD-1801-6.pdf#page=4","Abrir facsímil")</f>
        <v>Abrir facsímil</v>
      </c>
      <c r="K1802" s="15" t="s">
        <v>23</v>
      </c>
    </row>
    <row r="1803" spans="1:11" ht="42" customHeight="1">
      <c r="A1803" s="4" t="s">
        <v>4032</v>
      </c>
      <c r="B1803" s="5" t="s">
        <v>4032</v>
      </c>
      <c r="C1803" s="5" t="s">
        <v>38</v>
      </c>
      <c r="D1803" s="5" t="s">
        <v>39</v>
      </c>
      <c r="E1803" s="5" t="s">
        <v>453</v>
      </c>
      <c r="F1803" s="9">
        <v>100</v>
      </c>
      <c r="G1803" s="9">
        <v>1092</v>
      </c>
      <c r="H1803" s="5" t="s">
        <v>21</v>
      </c>
      <c r="I1803" s="5" t="s">
        <v>4033</v>
      </c>
      <c r="J1803" s="12" t="str">
        <f>HYPERLINK("https://www.boe.es/gazeta/dias/1801/10/23/pdfs/GMD-1801-100.pdf#page=1","Abrir facsímil")</f>
        <v>Abrir facsímil</v>
      </c>
      <c r="K1803" s="15" t="s">
        <v>23</v>
      </c>
    </row>
    <row r="1804" spans="1:11" ht="42" customHeight="1">
      <c r="A1804" s="4" t="s">
        <v>4034</v>
      </c>
      <c r="B1804" s="5" t="s">
        <v>4034</v>
      </c>
      <c r="C1804" s="5" t="s">
        <v>38</v>
      </c>
      <c r="D1804" s="5" t="s">
        <v>39</v>
      </c>
      <c r="E1804" s="5" t="s">
        <v>723</v>
      </c>
      <c r="F1804" s="9">
        <v>113</v>
      </c>
      <c r="G1804" s="9">
        <v>1233</v>
      </c>
      <c r="H1804" s="5" t="s">
        <v>21</v>
      </c>
      <c r="I1804" s="5" t="s">
        <v>4035</v>
      </c>
      <c r="J1804" s="12" t="str">
        <f>HYPERLINK("https://www.boe.es/gazeta/dias/1801/12/08/pdfs/GMD-1801-113.pdf#page=6","Abrir facsímil")</f>
        <v>Abrir facsímil</v>
      </c>
      <c r="K1804" s="15" t="s">
        <v>23</v>
      </c>
    </row>
    <row r="1805" spans="1:11" ht="42" customHeight="1">
      <c r="A1805" s="4" t="s">
        <v>4036</v>
      </c>
      <c r="B1805" s="5" t="s">
        <v>4036</v>
      </c>
      <c r="C1805" s="5" t="s">
        <v>75</v>
      </c>
      <c r="D1805" s="5" t="s">
        <v>76</v>
      </c>
      <c r="E1805" s="5" t="s">
        <v>935</v>
      </c>
      <c r="F1805" s="9">
        <v>116</v>
      </c>
      <c r="G1805" s="9">
        <v>1260</v>
      </c>
      <c r="H1805" s="5" t="s">
        <v>21</v>
      </c>
      <c r="I1805" s="5" t="s">
        <v>4037</v>
      </c>
      <c r="J1805" s="12" t="str">
        <f>HYPERLINK("https://www.boe.es/gazeta/dias/1801/12/18/pdfs/GMD-1801-116.pdf#page=2","Abrir facsímil")</f>
        <v>Abrir facsímil</v>
      </c>
      <c r="K1805" s="15" t="s">
        <v>23</v>
      </c>
    </row>
    <row r="1806" spans="1:11" ht="42" customHeight="1">
      <c r="A1806" s="4" t="s">
        <v>4038</v>
      </c>
      <c r="B1806" s="5" t="s">
        <v>4038</v>
      </c>
      <c r="C1806" s="5" t="s">
        <v>38</v>
      </c>
      <c r="D1806" s="5" t="s">
        <v>39</v>
      </c>
      <c r="E1806" s="5" t="s">
        <v>723</v>
      </c>
      <c r="F1806" s="9">
        <v>113</v>
      </c>
      <c r="G1806" s="9">
        <v>1233</v>
      </c>
      <c r="H1806" s="5" t="s">
        <v>21</v>
      </c>
      <c r="I1806" s="5" t="s">
        <v>4039</v>
      </c>
      <c r="J1806" s="12" t="str">
        <f>HYPERLINK("https://www.boe.es/gazeta/dias/1801/12/08/pdfs/GMD-1801-113.pdf#page=6","Abrir facsímil")</f>
        <v>Abrir facsímil</v>
      </c>
      <c r="K1806" s="15" t="s">
        <v>23</v>
      </c>
    </row>
    <row r="1807" spans="1:11" ht="42" customHeight="1">
      <c r="A1807" s="4" t="s">
        <v>4040</v>
      </c>
      <c r="B1807" s="5" t="s">
        <v>4040</v>
      </c>
      <c r="C1807" s="5" t="s">
        <v>75</v>
      </c>
      <c r="D1807" s="5" t="s">
        <v>76</v>
      </c>
      <c r="E1807" s="5" t="s">
        <v>28</v>
      </c>
      <c r="F1807" s="9">
        <v>77</v>
      </c>
      <c r="G1807" s="9">
        <v>863</v>
      </c>
      <c r="H1807" s="5" t="s">
        <v>21</v>
      </c>
      <c r="I1807" s="5" t="s">
        <v>4041</v>
      </c>
      <c r="J1807" s="12" t="str">
        <f>HYPERLINK("https://www.boe.es/gazeta/dias/1801/08/11/pdfs/GMD-1801-77.pdf#page=8","Abrir facsímil")</f>
        <v>Abrir facsímil</v>
      </c>
      <c r="K1807" s="15" t="s">
        <v>23</v>
      </c>
    </row>
    <row r="1808" spans="1:11" ht="42" customHeight="1">
      <c r="A1808" s="4" t="s">
        <v>4042</v>
      </c>
      <c r="B1808" s="5" t="s">
        <v>4042</v>
      </c>
      <c r="C1808" s="5" t="s">
        <v>38</v>
      </c>
      <c r="D1808" s="5" t="s">
        <v>39</v>
      </c>
      <c r="E1808" s="5" t="s">
        <v>201</v>
      </c>
      <c r="F1808" s="9">
        <v>79</v>
      </c>
      <c r="G1808" s="9">
        <v>888</v>
      </c>
      <c r="H1808" s="5" t="s">
        <v>21</v>
      </c>
      <c r="I1808" s="5" t="s">
        <v>4043</v>
      </c>
      <c r="J1808" s="12" t="str">
        <f>HYPERLINK("https://www.boe.es/gazeta/dias/1801/08/18/pdfs/GMD-1801-79.pdf#page=5","Abrir facsímil")</f>
        <v>Abrir facsímil</v>
      </c>
      <c r="K1808" s="15" t="s">
        <v>23</v>
      </c>
    </row>
    <row r="1809" spans="1:11" ht="42" customHeight="1">
      <c r="A1809" s="4" t="s">
        <v>4044</v>
      </c>
      <c r="B1809" s="5" t="s">
        <v>4044</v>
      </c>
      <c r="C1809" s="5" t="s">
        <v>75</v>
      </c>
      <c r="D1809" s="5" t="s">
        <v>76</v>
      </c>
      <c r="E1809" s="5" t="s">
        <v>122</v>
      </c>
      <c r="F1809" s="9">
        <v>8</v>
      </c>
      <c r="G1809" s="9">
        <v>93</v>
      </c>
      <c r="H1809" s="5" t="s">
        <v>21</v>
      </c>
      <c r="I1809" s="5" t="s">
        <v>4045</v>
      </c>
      <c r="J1809" s="12" t="str">
        <f>HYPERLINK("https://www.boe.es/gazeta/dias/1801/01/27/pdfs/GMD-1801-8.pdf#page=5","Abrir facsímil")</f>
        <v>Abrir facsímil</v>
      </c>
      <c r="K1809" s="15" t="s">
        <v>23</v>
      </c>
    </row>
    <row r="1810" spans="1:11" ht="42" customHeight="1">
      <c r="A1810" s="4" t="s">
        <v>4046</v>
      </c>
      <c r="B1810" s="5" t="s">
        <v>4046</v>
      </c>
      <c r="C1810" s="5" t="s">
        <v>38</v>
      </c>
      <c r="D1810" s="5" t="s">
        <v>39</v>
      </c>
      <c r="E1810" s="5" t="s">
        <v>158</v>
      </c>
      <c r="F1810" s="9">
        <v>55</v>
      </c>
      <c r="G1810" s="9">
        <v>630</v>
      </c>
      <c r="H1810" s="5" t="s">
        <v>21</v>
      </c>
      <c r="I1810" s="5" t="s">
        <v>4047</v>
      </c>
      <c r="J1810" s="12" t="str">
        <f>HYPERLINK("https://www.boe.es/gazeta/dias/1801/06/16/pdfs/GMD-1801-55.pdf#page=6","Abrir facsímil")</f>
        <v>Abrir facsímil</v>
      </c>
      <c r="K1810" s="15" t="s">
        <v>23</v>
      </c>
    </row>
    <row r="1811" spans="1:11" ht="42" customHeight="1">
      <c r="A1811" s="4" t="s">
        <v>4048</v>
      </c>
      <c r="B1811" s="5" t="s">
        <v>4048</v>
      </c>
      <c r="C1811" s="5" t="s">
        <v>38</v>
      </c>
      <c r="D1811" s="5" t="s">
        <v>39</v>
      </c>
      <c r="E1811" s="5" t="s">
        <v>317</v>
      </c>
      <c r="F1811" s="9">
        <v>102</v>
      </c>
      <c r="G1811" s="9">
        <v>1120</v>
      </c>
      <c r="H1811" s="5" t="s">
        <v>21</v>
      </c>
      <c r="I1811" s="5" t="s">
        <v>4049</v>
      </c>
      <c r="J1811" s="12" t="str">
        <f>HYPERLINK("https://www.boe.es/gazeta/dias/1801/10/30/pdfs/GMD-1801-102.pdf#page=5","Abrir facsímil")</f>
        <v>Abrir facsímil</v>
      </c>
      <c r="K1811" s="15" t="s">
        <v>23</v>
      </c>
    </row>
    <row r="1812" spans="1:11" ht="42" customHeight="1">
      <c r="A1812" s="4" t="s">
        <v>4050</v>
      </c>
      <c r="B1812" s="5" t="s">
        <v>4050</v>
      </c>
      <c r="C1812" s="5" t="s">
        <v>32</v>
      </c>
      <c r="D1812" s="5" t="s">
        <v>33</v>
      </c>
      <c r="E1812" s="5" t="s">
        <v>317</v>
      </c>
      <c r="F1812" s="9">
        <v>102</v>
      </c>
      <c r="G1812" s="9">
        <v>1120</v>
      </c>
      <c r="H1812" s="5" t="s">
        <v>21</v>
      </c>
      <c r="I1812" s="5" t="s">
        <v>4051</v>
      </c>
      <c r="J1812" s="12" t="str">
        <f>HYPERLINK("https://www.boe.es/gazeta/dias/1801/10/30/pdfs/GMD-1801-102.pdf#page=5","Abrir facsímil")</f>
        <v>Abrir facsímil</v>
      </c>
      <c r="K1812" s="15" t="s">
        <v>23</v>
      </c>
    </row>
    <row r="1813" spans="1:11" ht="42" customHeight="1">
      <c r="A1813" s="4" t="s">
        <v>4052</v>
      </c>
      <c r="B1813" s="5" t="s">
        <v>4052</v>
      </c>
      <c r="C1813" s="5" t="s">
        <v>32</v>
      </c>
      <c r="D1813" s="5" t="s">
        <v>33</v>
      </c>
      <c r="E1813" s="5" t="s">
        <v>169</v>
      </c>
      <c r="F1813" s="9">
        <v>70</v>
      </c>
      <c r="G1813" s="9">
        <v>773</v>
      </c>
      <c r="H1813" s="5" t="s">
        <v>21</v>
      </c>
      <c r="I1813" s="5" t="s">
        <v>4053</v>
      </c>
      <c r="J1813" s="12" t="str">
        <f>HYPERLINK("https://www.boe.es/gazeta/dias/1801/07/17/pdfs/GMD-1801-70.pdf#page=6","Abrir facsímil")</f>
        <v>Abrir facsímil</v>
      </c>
      <c r="K1813" s="15" t="s">
        <v>23</v>
      </c>
    </row>
    <row r="1814" spans="1:11" ht="42" customHeight="1">
      <c r="A1814" s="4" t="s">
        <v>4054</v>
      </c>
      <c r="B1814" s="5" t="s">
        <v>4054</v>
      </c>
      <c r="C1814" s="5" t="s">
        <v>75</v>
      </c>
      <c r="D1814" s="5" t="s">
        <v>76</v>
      </c>
      <c r="E1814" s="5" t="s">
        <v>135</v>
      </c>
      <c r="F1814" s="9">
        <v>24</v>
      </c>
      <c r="G1814" s="9">
        <v>315</v>
      </c>
      <c r="H1814" s="5" t="s">
        <v>21</v>
      </c>
      <c r="I1814" s="5" t="s">
        <v>4055</v>
      </c>
      <c r="J1814" s="12" t="str">
        <f>HYPERLINK("https://www.boe.es/gazeta/dias/1801/03/24/pdfs/GMD-1801-24.pdf#page=6","Abrir facsímil")</f>
        <v>Abrir facsímil</v>
      </c>
      <c r="K1814" s="15" t="s">
        <v>23</v>
      </c>
    </row>
    <row r="1815" spans="1:11" ht="42" customHeight="1">
      <c r="A1815" s="4" t="s">
        <v>4056</v>
      </c>
      <c r="B1815" s="5" t="s">
        <v>4056</v>
      </c>
      <c r="C1815" s="5" t="s">
        <v>32</v>
      </c>
      <c r="D1815" s="5" t="s">
        <v>33</v>
      </c>
      <c r="E1815" s="5" t="s">
        <v>735</v>
      </c>
      <c r="F1815" s="9">
        <v>97</v>
      </c>
      <c r="G1815" s="9">
        <v>1064</v>
      </c>
      <c r="H1815" s="5" t="s">
        <v>21</v>
      </c>
      <c r="I1815" s="5" t="s">
        <v>4057</v>
      </c>
      <c r="J1815" s="12" t="str">
        <f>HYPERLINK("https://www.boe.es/gazeta/dias/1801/10/13/pdfs/GMD-1801-97.pdf#page=8","Abrir facsímil")</f>
        <v>Abrir facsímil</v>
      </c>
      <c r="K1815" s="15" t="s">
        <v>23</v>
      </c>
    </row>
    <row r="1816" spans="1:11" ht="42" customHeight="1">
      <c r="A1816" s="4" t="s">
        <v>4058</v>
      </c>
      <c r="B1816" s="5" t="s">
        <v>4058</v>
      </c>
      <c r="C1816" s="5" t="s">
        <v>75</v>
      </c>
      <c r="D1816" s="5" t="s">
        <v>76</v>
      </c>
      <c r="E1816" s="5" t="s">
        <v>465</v>
      </c>
      <c r="F1816" s="9">
        <v>4</v>
      </c>
      <c r="G1816" s="9">
        <v>45</v>
      </c>
      <c r="H1816" s="5" t="s">
        <v>21</v>
      </c>
      <c r="I1816" s="5" t="s">
        <v>4059</v>
      </c>
      <c r="J1816" s="12" t="str">
        <f>HYPERLINK("https://www.boe.es/gazeta/dias/1801/01/13/pdfs/GMD-1801-4.pdf#page=9","Abrir facsímil")</f>
        <v>Abrir facsímil</v>
      </c>
      <c r="K1816" s="15" t="s">
        <v>23</v>
      </c>
    </row>
    <row r="1817" spans="1:11" ht="42" customHeight="1">
      <c r="A1817" s="4" t="s">
        <v>4060</v>
      </c>
      <c r="B1817" s="5" t="s">
        <v>4060</v>
      </c>
      <c r="C1817" s="5" t="s">
        <v>75</v>
      </c>
      <c r="D1817" s="5" t="s">
        <v>76</v>
      </c>
      <c r="E1817" s="5" t="s">
        <v>223</v>
      </c>
      <c r="F1817" s="9">
        <v>74</v>
      </c>
      <c r="G1817" s="9">
        <v>826</v>
      </c>
      <c r="H1817" s="5" t="s">
        <v>21</v>
      </c>
      <c r="I1817" s="5" t="s">
        <v>4061</v>
      </c>
      <c r="J1817" s="12" t="str">
        <f>HYPERLINK("https://www.boe.es/gazeta/dias/1801/07/31/pdfs/GMD-1801-74.pdf#page=7","Abrir facsímil")</f>
        <v>Abrir facsímil</v>
      </c>
      <c r="K1817" s="15" t="s">
        <v>23</v>
      </c>
    </row>
    <row r="1818" spans="1:11" ht="42" customHeight="1">
      <c r="A1818" s="4" t="s">
        <v>4062</v>
      </c>
      <c r="B1818" s="5" t="s">
        <v>4062</v>
      </c>
      <c r="C1818" s="5" t="s">
        <v>75</v>
      </c>
      <c r="D1818" s="5" t="s">
        <v>76</v>
      </c>
      <c r="E1818" s="5" t="s">
        <v>215</v>
      </c>
      <c r="F1818" s="9">
        <v>71</v>
      </c>
      <c r="G1818" s="9">
        <v>785</v>
      </c>
      <c r="H1818" s="5" t="s">
        <v>21</v>
      </c>
      <c r="I1818" s="5" t="s">
        <v>4063</v>
      </c>
      <c r="J1818" s="12" t="str">
        <f>HYPERLINK("https://www.boe.es/gazeta/dias/1801/07/21/pdfs/GMD-1801-71.pdf#page=6","Abrir facsímil")</f>
        <v>Abrir facsímil</v>
      </c>
      <c r="K1818" s="15" t="s">
        <v>23</v>
      </c>
    </row>
    <row r="1819" spans="1:11" ht="42" customHeight="1">
      <c r="A1819" s="4" t="s">
        <v>4064</v>
      </c>
      <c r="B1819" s="5" t="s">
        <v>4064</v>
      </c>
      <c r="C1819" s="5" t="s">
        <v>32</v>
      </c>
      <c r="D1819" s="5" t="s">
        <v>33</v>
      </c>
      <c r="E1819" s="5" t="s">
        <v>321</v>
      </c>
      <c r="F1819" s="9">
        <v>3</v>
      </c>
      <c r="G1819" s="9">
        <v>32</v>
      </c>
      <c r="H1819" s="5" t="s">
        <v>21</v>
      </c>
      <c r="I1819" s="5" t="s">
        <v>4065</v>
      </c>
      <c r="J1819" s="12" t="str">
        <f>HYPERLINK("https://www.boe.es/gazeta/dias/1801/01/09/pdfs/GMD-1801-3.pdf#page=8","Abrir facsímil")</f>
        <v>Abrir facsímil</v>
      </c>
      <c r="K1819" s="15" t="s">
        <v>23</v>
      </c>
    </row>
    <row r="1820" spans="1:11" ht="42" customHeight="1">
      <c r="A1820" s="4" t="s">
        <v>4066</v>
      </c>
      <c r="B1820" s="5" t="s">
        <v>4067</v>
      </c>
      <c r="C1820" s="5" t="s">
        <v>32</v>
      </c>
      <c r="D1820" s="5" t="s">
        <v>33</v>
      </c>
      <c r="E1820" s="5" t="s">
        <v>66</v>
      </c>
      <c r="F1820" s="9">
        <v>52</v>
      </c>
      <c r="G1820" s="9">
        <v>608</v>
      </c>
      <c r="H1820" s="5" t="s">
        <v>21</v>
      </c>
      <c r="I1820" s="5" t="s">
        <v>4068</v>
      </c>
      <c r="J1820" s="12" t="str">
        <f>HYPERLINK("https://www.boe.es/gazeta/dias/1801/06/12/pdfs/GMD-1801-52.pdf#page=7","Abrir facsímil")</f>
        <v>Abrir facsímil</v>
      </c>
      <c r="K1820" s="15" t="s">
        <v>23</v>
      </c>
    </row>
    <row r="1821" spans="1:11" ht="42" customHeight="1">
      <c r="A1821" s="4" t="s">
        <v>4069</v>
      </c>
      <c r="B1821" s="5" t="s">
        <v>4070</v>
      </c>
      <c r="C1821" s="5" t="s">
        <v>75</v>
      </c>
      <c r="D1821" s="5" t="s">
        <v>76</v>
      </c>
      <c r="E1821" s="5" t="s">
        <v>105</v>
      </c>
      <c r="F1821" s="9">
        <v>44</v>
      </c>
      <c r="G1821" s="9">
        <v>545</v>
      </c>
      <c r="H1821" s="5" t="s">
        <v>21</v>
      </c>
      <c r="I1821" s="5" t="s">
        <v>4071</v>
      </c>
      <c r="J1821" s="12" t="str">
        <f>HYPERLINK("https://www.boe.es/gazeta/dias/1801/05/29/pdfs/GMD-1801-44.pdf#page=5","Abrir facsímil")</f>
        <v>Abrir facsímil</v>
      </c>
      <c r="K1821" s="15" t="s">
        <v>23</v>
      </c>
    </row>
    <row r="1822" spans="1:11" ht="42" customHeight="1">
      <c r="A1822" s="4" t="s">
        <v>4072</v>
      </c>
      <c r="B1822" s="5" t="s">
        <v>4073</v>
      </c>
      <c r="C1822" s="5" t="s">
        <v>80</v>
      </c>
      <c r="D1822" s="5" t="s">
        <v>81</v>
      </c>
      <c r="E1822" s="5" t="s">
        <v>289</v>
      </c>
      <c r="F1822" s="9">
        <v>40</v>
      </c>
      <c r="G1822" s="9" t="s">
        <v>996</v>
      </c>
      <c r="H1822" s="5" t="s">
        <v>21</v>
      </c>
      <c r="I1822" s="5" t="s">
        <v>4074</v>
      </c>
      <c r="J1822" s="12" t="str">
        <f>HYPERLINK("https://www.boe.es/gazeta/dias/1801/05/19/pdfs/GMD-C-1801-40.pdf#page=6","Abrir facsímil")</f>
        <v>Abrir facsímil</v>
      </c>
      <c r="K1822" s="15" t="s">
        <v>23</v>
      </c>
    </row>
    <row r="1823" spans="1:11" ht="42" customHeight="1">
      <c r="A1823" s="4" t="s">
        <v>4075</v>
      </c>
      <c r="B1823" s="5" t="s">
        <v>4076</v>
      </c>
      <c r="C1823" s="5" t="s">
        <v>75</v>
      </c>
      <c r="D1823" s="5" t="s">
        <v>76</v>
      </c>
      <c r="E1823" s="5" t="s">
        <v>2430</v>
      </c>
      <c r="F1823" s="9">
        <v>27</v>
      </c>
      <c r="G1823" s="9">
        <v>351</v>
      </c>
      <c r="H1823" s="5" t="s">
        <v>21</v>
      </c>
      <c r="I1823" s="5" t="s">
        <v>4077</v>
      </c>
      <c r="J1823" s="12" t="str">
        <f>HYPERLINK("https://www.boe.es/gazeta/dias/1801/04/03/pdfs/GMD-1801-27.pdf#page=3","Abrir facsímil")</f>
        <v>Abrir facsímil</v>
      </c>
      <c r="K1823" s="15" t="s">
        <v>23</v>
      </c>
    </row>
    <row r="1824" spans="1:11" ht="42" customHeight="1">
      <c r="A1824" s="4" t="s">
        <v>4078</v>
      </c>
      <c r="B1824" s="5" t="s">
        <v>4078</v>
      </c>
      <c r="C1824" s="5" t="s">
        <v>80</v>
      </c>
      <c r="D1824" s="5" t="s">
        <v>81</v>
      </c>
      <c r="E1824" s="5" t="s">
        <v>289</v>
      </c>
      <c r="F1824" s="9">
        <v>40</v>
      </c>
      <c r="G1824" s="9" t="s">
        <v>83</v>
      </c>
      <c r="H1824" s="5" t="s">
        <v>21</v>
      </c>
      <c r="I1824" s="5" t="s">
        <v>4079</v>
      </c>
      <c r="J1824" s="12" t="str">
        <f>HYPERLINK("https://www.boe.es/gazeta/dias/1801/05/19/pdfs/GMD-C-1801-40.pdf#page=2","Abrir facsímil")</f>
        <v>Abrir facsímil</v>
      </c>
      <c r="K1824" s="15" t="s">
        <v>23</v>
      </c>
    </row>
    <row r="1825" spans="1:11" ht="42" customHeight="1">
      <c r="A1825" s="4" t="s">
        <v>4080</v>
      </c>
      <c r="B1825" s="5" t="s">
        <v>4081</v>
      </c>
      <c r="C1825" s="5" t="s">
        <v>38</v>
      </c>
      <c r="D1825" s="5" t="s">
        <v>39</v>
      </c>
      <c r="E1825" s="5" t="s">
        <v>70</v>
      </c>
      <c r="F1825" s="9">
        <v>2</v>
      </c>
      <c r="G1825" s="9">
        <v>23</v>
      </c>
      <c r="H1825" s="5" t="s">
        <v>21</v>
      </c>
      <c r="I1825" s="5" t="s">
        <v>4082</v>
      </c>
      <c r="J1825" s="12" t="str">
        <f>HYPERLINK("https://www.boe.es/gazeta/dias/1801/01/06/pdfs/GMD-1801-2.pdf#page=11","Abrir facsímil")</f>
        <v>Abrir facsímil</v>
      </c>
      <c r="K1825" s="15" t="s">
        <v>23</v>
      </c>
    </row>
    <row r="1826" spans="1:11" ht="42" customHeight="1">
      <c r="A1826" s="4" t="s">
        <v>4083</v>
      </c>
      <c r="B1826" s="5" t="s">
        <v>4084</v>
      </c>
      <c r="C1826" s="5" t="s">
        <v>80</v>
      </c>
      <c r="D1826" s="5" t="s">
        <v>81</v>
      </c>
      <c r="E1826" s="5" t="s">
        <v>82</v>
      </c>
      <c r="F1826" s="9">
        <v>75</v>
      </c>
      <c r="G1826" s="9" t="s">
        <v>305</v>
      </c>
      <c r="H1826" s="5" t="s">
        <v>21</v>
      </c>
      <c r="I1826" s="5" t="s">
        <v>4085</v>
      </c>
      <c r="J1826" s="12" t="str">
        <f>HYPERLINK("https://www.boe.es/gazeta/dias/1801/08/04/pdfs/GMD-C-1801-75.pdf#page=4","Abrir facsímil")</f>
        <v>Abrir facsímil</v>
      </c>
      <c r="K1826" s="15" t="s">
        <v>23</v>
      </c>
    </row>
    <row r="1827" spans="1:11" ht="42" customHeight="1">
      <c r="A1827" s="4" t="s">
        <v>4086</v>
      </c>
      <c r="B1827" s="5" t="s">
        <v>4086</v>
      </c>
      <c r="C1827" s="5" t="s">
        <v>38</v>
      </c>
      <c r="D1827" s="5" t="s">
        <v>39</v>
      </c>
      <c r="E1827" s="5" t="s">
        <v>1058</v>
      </c>
      <c r="F1827" s="9">
        <v>108</v>
      </c>
      <c r="G1827" s="9">
        <v>1186</v>
      </c>
      <c r="H1827" s="5" t="s">
        <v>21</v>
      </c>
      <c r="I1827" s="5" t="s">
        <v>4087</v>
      </c>
      <c r="J1827" s="12" t="str">
        <f>HYPERLINK("https://www.boe.es/gazeta/dias/1801/11/20/pdfs/GMD-1801-108.pdf#page=3","Abrir facsímil")</f>
        <v>Abrir facsímil</v>
      </c>
      <c r="K1827" s="15" t="s">
        <v>23</v>
      </c>
    </row>
    <row r="1828" spans="1:11" ht="42" customHeight="1">
      <c r="A1828" s="4" t="s">
        <v>4088</v>
      </c>
      <c r="B1828" s="5" t="s">
        <v>4089</v>
      </c>
      <c r="C1828" s="5" t="s">
        <v>75</v>
      </c>
      <c r="D1828" s="5" t="s">
        <v>76</v>
      </c>
      <c r="E1828" s="5" t="s">
        <v>349</v>
      </c>
      <c r="F1828" s="9">
        <v>112</v>
      </c>
      <c r="G1828" s="9">
        <v>1222</v>
      </c>
      <c r="H1828" s="5" t="s">
        <v>21</v>
      </c>
      <c r="I1828" s="5" t="s">
        <v>4090</v>
      </c>
      <c r="J1828" s="12" t="str">
        <f>HYPERLINK("https://www.boe.es/gazeta/dias/1801/12/04/pdfs/GMD-1801-112.pdf#page=3","Abrir facsímil")</f>
        <v>Abrir facsímil</v>
      </c>
      <c r="K1828" s="15" t="s">
        <v>23</v>
      </c>
    </row>
    <row r="1829" spans="1:11" ht="42" customHeight="1">
      <c r="A1829" s="4" t="s">
        <v>4091</v>
      </c>
      <c r="B1829" s="5" t="s">
        <v>4092</v>
      </c>
      <c r="C1829" s="5" t="s">
        <v>38</v>
      </c>
      <c r="D1829" s="5" t="s">
        <v>39</v>
      </c>
      <c r="E1829" s="5" t="s">
        <v>264</v>
      </c>
      <c r="F1829" s="9">
        <v>111</v>
      </c>
      <c r="G1829" s="9">
        <v>1217</v>
      </c>
      <c r="H1829" s="5" t="s">
        <v>21</v>
      </c>
      <c r="I1829" s="5" t="s">
        <v>4093</v>
      </c>
      <c r="J1829" s="12" t="str">
        <f>HYPERLINK("https://www.boe.es/gazeta/dias/1801/12/01/pdfs/GMD-1801-111.pdf#page=6","Abrir facsímil")</f>
        <v>Abrir facsímil</v>
      </c>
      <c r="K1829" s="15" t="s">
        <v>23</v>
      </c>
    </row>
    <row r="1830" spans="1:11" ht="42" customHeight="1">
      <c r="A1830" s="4" t="s">
        <v>4094</v>
      </c>
      <c r="B1830" s="5" t="s">
        <v>4094</v>
      </c>
      <c r="C1830" s="5" t="s">
        <v>75</v>
      </c>
      <c r="D1830" s="5" t="s">
        <v>76</v>
      </c>
      <c r="E1830" s="5" t="s">
        <v>1085</v>
      </c>
      <c r="F1830" s="9">
        <v>99</v>
      </c>
      <c r="G1830" s="9">
        <v>1086</v>
      </c>
      <c r="H1830" s="5" t="s">
        <v>21</v>
      </c>
      <c r="I1830" s="5" t="s">
        <v>4095</v>
      </c>
      <c r="J1830" s="12" t="str">
        <f>HYPERLINK("https://www.boe.es/gazeta/dias/1801/10/20/pdfs/GMD-1801-99.pdf#page=3","Abrir facsímil")</f>
        <v>Abrir facsímil</v>
      </c>
      <c r="K1830" s="15" t="s">
        <v>23</v>
      </c>
    </row>
    <row r="1831" spans="1:11" ht="42" customHeight="1">
      <c r="A1831" s="4" t="s">
        <v>4094</v>
      </c>
      <c r="B1831" s="5" t="s">
        <v>4094</v>
      </c>
      <c r="C1831" s="5" t="s">
        <v>75</v>
      </c>
      <c r="D1831" s="5" t="s">
        <v>76</v>
      </c>
      <c r="E1831" s="5" t="s">
        <v>44</v>
      </c>
      <c r="F1831" s="9">
        <v>117</v>
      </c>
      <c r="G1831" s="9">
        <v>1277</v>
      </c>
      <c r="H1831" s="5" t="s">
        <v>21</v>
      </c>
      <c r="I1831" s="5" t="s">
        <v>4096</v>
      </c>
      <c r="J1831" s="12" t="str">
        <f>HYPERLINK("https://www.boe.es/gazeta/dias/1801/12/22/pdfs/GMD-1801-117.pdf#page=4","Abrir facsímil")</f>
        <v>Abrir facsímil</v>
      </c>
      <c r="K1831" s="15" t="s">
        <v>23</v>
      </c>
    </row>
    <row r="1832" spans="1:11" ht="42" customHeight="1">
      <c r="A1832" s="4" t="s">
        <v>4097</v>
      </c>
      <c r="B1832" s="5" t="s">
        <v>4098</v>
      </c>
      <c r="C1832" s="5" t="s">
        <v>75</v>
      </c>
      <c r="D1832" s="5" t="s">
        <v>76</v>
      </c>
      <c r="E1832" s="5" t="s">
        <v>145</v>
      </c>
      <c r="F1832" s="9">
        <v>36</v>
      </c>
      <c r="G1832" s="9">
        <v>460</v>
      </c>
      <c r="H1832" s="5" t="s">
        <v>21</v>
      </c>
      <c r="I1832" s="5" t="s">
        <v>4099</v>
      </c>
      <c r="J1832" s="12" t="str">
        <f>HYPERLINK("https://www.boe.es/gazeta/dias/1801/05/05/pdfs/GMD-1801-36.pdf#page=4","Abrir facsímil")</f>
        <v>Abrir facsímil</v>
      </c>
      <c r="K1832" s="15" t="s">
        <v>23</v>
      </c>
    </row>
    <row r="1833" spans="1:11" ht="42" customHeight="1">
      <c r="A1833" s="4" t="s">
        <v>4097</v>
      </c>
      <c r="B1833" s="5" t="s">
        <v>4098</v>
      </c>
      <c r="C1833" s="5" t="s">
        <v>69</v>
      </c>
      <c r="D1833" s="5" t="s">
        <v>19</v>
      </c>
      <c r="E1833" s="5" t="s">
        <v>155</v>
      </c>
      <c r="F1833" s="9">
        <v>50</v>
      </c>
      <c r="G1833" s="9">
        <v>592</v>
      </c>
      <c r="H1833" s="5" t="s">
        <v>21</v>
      </c>
      <c r="I1833" s="5" t="s">
        <v>4100</v>
      </c>
      <c r="J1833" s="12" t="str">
        <f>HYPERLINK("https://www.boe.es/gazeta/dias/1801/06/09/pdfs/GMD-1801-50.pdf#page=4","Abrir facsímil")</f>
        <v>Abrir facsímil</v>
      </c>
      <c r="K1833" s="15" t="s">
        <v>23</v>
      </c>
    </row>
    <row r="1834" spans="1:11" ht="42" customHeight="1">
      <c r="A1834" s="4" t="s">
        <v>4097</v>
      </c>
      <c r="B1834" s="5" t="s">
        <v>4098</v>
      </c>
      <c r="C1834" s="5" t="s">
        <v>38</v>
      </c>
      <c r="D1834" s="5" t="s">
        <v>39</v>
      </c>
      <c r="E1834" s="5" t="s">
        <v>82</v>
      </c>
      <c r="F1834" s="9">
        <v>75</v>
      </c>
      <c r="G1834" s="9">
        <v>835</v>
      </c>
      <c r="H1834" s="5" t="s">
        <v>21</v>
      </c>
      <c r="I1834" s="5" t="s">
        <v>4101</v>
      </c>
      <c r="J1834" s="12" t="str">
        <f>HYPERLINK("https://www.boe.es/gazeta/dias/1801/08/04/pdfs/GMD-1801-75.pdf#page=4","Abrir facsímil")</f>
        <v>Abrir facsímil</v>
      </c>
      <c r="K1834" s="15" t="s">
        <v>23</v>
      </c>
    </row>
    <row r="1835" spans="1:11" ht="42" customHeight="1">
      <c r="A1835" s="4" t="s">
        <v>4097</v>
      </c>
      <c r="B1835" s="5" t="s">
        <v>4098</v>
      </c>
      <c r="C1835" s="5" t="s">
        <v>32</v>
      </c>
      <c r="D1835" s="5" t="s">
        <v>33</v>
      </c>
      <c r="E1835" s="5" t="s">
        <v>1939</v>
      </c>
      <c r="F1835" s="9">
        <v>107</v>
      </c>
      <c r="G1835" s="9">
        <v>1174</v>
      </c>
      <c r="H1835" s="5" t="s">
        <v>21</v>
      </c>
      <c r="I1835" s="5" t="s">
        <v>4102</v>
      </c>
      <c r="J1835" s="12" t="str">
        <f>HYPERLINK("https://www.boe.es/gazeta/dias/1801/11/17/pdfs/GMD-1801-107.pdf#page=3","Abrir facsímil")</f>
        <v>Abrir facsímil</v>
      </c>
      <c r="K1835" s="15" t="s">
        <v>23</v>
      </c>
    </row>
    <row r="1836" spans="1:11" ht="42" customHeight="1">
      <c r="A1836" s="4" t="s">
        <v>4097</v>
      </c>
      <c r="B1836" s="5" t="s">
        <v>4098</v>
      </c>
      <c r="C1836" s="5" t="s">
        <v>75</v>
      </c>
      <c r="D1836" s="5" t="s">
        <v>76</v>
      </c>
      <c r="E1836" s="5" t="s">
        <v>1939</v>
      </c>
      <c r="F1836" s="9">
        <v>107</v>
      </c>
      <c r="G1836" s="9">
        <v>1175</v>
      </c>
      <c r="H1836" s="5" t="s">
        <v>21</v>
      </c>
      <c r="I1836" s="5" t="s">
        <v>4103</v>
      </c>
      <c r="J1836" s="12" t="str">
        <f>HYPERLINK("https://www.boe.es/gazeta/dias/1801/11/17/pdfs/GMD-1801-107.pdf#page=4","Abrir facsímil")</f>
        <v>Abrir facsímil</v>
      </c>
      <c r="K1836" s="15" t="s">
        <v>23</v>
      </c>
    </row>
    <row r="1837" spans="1:11" ht="42" customHeight="1">
      <c r="A1837" s="4" t="s">
        <v>4097</v>
      </c>
      <c r="B1837" s="5" t="s">
        <v>4098</v>
      </c>
      <c r="C1837" s="5" t="s">
        <v>38</v>
      </c>
      <c r="D1837" s="5" t="s">
        <v>39</v>
      </c>
      <c r="E1837" s="5" t="s">
        <v>723</v>
      </c>
      <c r="F1837" s="9">
        <v>113</v>
      </c>
      <c r="G1837" s="9">
        <v>1229</v>
      </c>
      <c r="H1837" s="5" t="s">
        <v>21</v>
      </c>
      <c r="I1837" s="5" t="s">
        <v>4104</v>
      </c>
      <c r="J1837" s="12" t="str">
        <f>HYPERLINK("https://www.boe.es/gazeta/dias/1801/12/08/pdfs/GMD-1801-113.pdf#page=2","Abrir facsímil")</f>
        <v>Abrir facsímil</v>
      </c>
      <c r="K1837" s="15" t="s">
        <v>23</v>
      </c>
    </row>
    <row r="1838" spans="1:11" ht="42" customHeight="1">
      <c r="A1838" s="4" t="s">
        <v>4105</v>
      </c>
      <c r="B1838" s="5" t="s">
        <v>4106</v>
      </c>
      <c r="C1838" s="5" t="s">
        <v>75</v>
      </c>
      <c r="D1838" s="5" t="s">
        <v>76</v>
      </c>
      <c r="E1838" s="5" t="s">
        <v>215</v>
      </c>
      <c r="F1838" s="9">
        <v>71</v>
      </c>
      <c r="G1838" s="9">
        <v>783</v>
      </c>
      <c r="H1838" s="5" t="s">
        <v>21</v>
      </c>
      <c r="I1838" s="5" t="s">
        <v>4107</v>
      </c>
      <c r="J1838" s="12" t="str">
        <f>HYPERLINK("https://www.boe.es/gazeta/dias/1801/07/21/pdfs/GMD-1801-71.pdf#page=4","Abrir facsímil")</f>
        <v>Abrir facsímil</v>
      </c>
      <c r="K1838" s="15" t="s">
        <v>23</v>
      </c>
    </row>
    <row r="1839" spans="1:11" ht="42" customHeight="1">
      <c r="A1839" s="4" t="s">
        <v>4105</v>
      </c>
      <c r="B1839" s="5" t="s">
        <v>4106</v>
      </c>
      <c r="C1839" s="5" t="s">
        <v>75</v>
      </c>
      <c r="D1839" s="5" t="s">
        <v>76</v>
      </c>
      <c r="E1839" s="5" t="s">
        <v>2237</v>
      </c>
      <c r="F1839" s="9">
        <v>82</v>
      </c>
      <c r="G1839" s="9">
        <v>914</v>
      </c>
      <c r="H1839" s="5" t="s">
        <v>21</v>
      </c>
      <c r="I1839" s="5" t="s">
        <v>4108</v>
      </c>
      <c r="J1839" s="12" t="str">
        <f>HYPERLINK("https://www.boe.es/gazeta/dias/1801/08/28/pdfs/GMD-1801-82.pdf#page=3","Abrir facsímil")</f>
        <v>Abrir facsímil</v>
      </c>
      <c r="K1839" s="15" t="s">
        <v>23</v>
      </c>
    </row>
    <row r="1840" spans="1:11" ht="42" customHeight="1">
      <c r="A1840" s="4" t="s">
        <v>4105</v>
      </c>
      <c r="B1840" s="5" t="s">
        <v>4106</v>
      </c>
      <c r="C1840" s="5" t="s">
        <v>38</v>
      </c>
      <c r="D1840" s="5" t="s">
        <v>39</v>
      </c>
      <c r="E1840" s="5" t="s">
        <v>1436</v>
      </c>
      <c r="F1840" s="9">
        <v>95</v>
      </c>
      <c r="G1840" s="9">
        <v>1039</v>
      </c>
      <c r="H1840" s="5" t="s">
        <v>21</v>
      </c>
      <c r="I1840" s="5" t="s">
        <v>4109</v>
      </c>
      <c r="J1840" s="12" t="str">
        <f>HYPERLINK("https://www.boe.es/gazeta/dias/1801/10/06/pdfs/GMD-1801-95.pdf#page=3","Abrir facsímil")</f>
        <v>Abrir facsímil</v>
      </c>
      <c r="K1840" s="15" t="s">
        <v>23</v>
      </c>
    </row>
    <row r="1841" spans="1:11" ht="42" customHeight="1">
      <c r="A1841" s="4" t="s">
        <v>4105</v>
      </c>
      <c r="B1841" s="5" t="s">
        <v>4106</v>
      </c>
      <c r="C1841" s="5" t="s">
        <v>32</v>
      </c>
      <c r="D1841" s="5" t="s">
        <v>33</v>
      </c>
      <c r="E1841" s="5" t="s">
        <v>55</v>
      </c>
      <c r="F1841" s="9">
        <v>104</v>
      </c>
      <c r="G1841" s="9">
        <v>1143</v>
      </c>
      <c r="H1841" s="5" t="s">
        <v>21</v>
      </c>
      <c r="I1841" s="5" t="s">
        <v>4110</v>
      </c>
      <c r="J1841" s="12" t="str">
        <f>HYPERLINK("https://www.boe.es/gazeta/dias/1801/11/06/pdfs/GMD-1801-104.pdf#page=4","Abrir facsímil")</f>
        <v>Abrir facsímil</v>
      </c>
      <c r="K1841" s="15" t="s">
        <v>23</v>
      </c>
    </row>
    <row r="1842" spans="1:11" ht="42" customHeight="1">
      <c r="A1842" s="4" t="s">
        <v>4105</v>
      </c>
      <c r="B1842" s="5" t="s">
        <v>4106</v>
      </c>
      <c r="C1842" s="5" t="s">
        <v>75</v>
      </c>
      <c r="D1842" s="5" t="s">
        <v>76</v>
      </c>
      <c r="E1842" s="5" t="s">
        <v>262</v>
      </c>
      <c r="F1842" s="9">
        <v>109</v>
      </c>
      <c r="G1842" s="9">
        <v>1198</v>
      </c>
      <c r="H1842" s="5" t="s">
        <v>21</v>
      </c>
      <c r="I1842" s="5" t="s">
        <v>4111</v>
      </c>
      <c r="J1842" s="12" t="str">
        <f>HYPERLINK("https://www.boe.es/gazeta/dias/1801/11/24/pdfs/GMD-1801-109.pdf#page=3","Abrir facsímil")</f>
        <v>Abrir facsímil</v>
      </c>
      <c r="K1842" s="15" t="s">
        <v>23</v>
      </c>
    </row>
    <row r="1843" spans="1:11" ht="42" customHeight="1">
      <c r="A1843" s="4" t="s">
        <v>4112</v>
      </c>
      <c r="B1843" s="5" t="s">
        <v>4113</v>
      </c>
      <c r="C1843" s="5" t="s">
        <v>75</v>
      </c>
      <c r="D1843" s="5" t="s">
        <v>76</v>
      </c>
      <c r="E1843" s="5" t="s">
        <v>151</v>
      </c>
      <c r="F1843" s="9">
        <v>45</v>
      </c>
      <c r="G1843" s="9">
        <v>558</v>
      </c>
      <c r="H1843" s="5" t="s">
        <v>21</v>
      </c>
      <c r="I1843" s="5" t="s">
        <v>4114</v>
      </c>
      <c r="J1843" s="12" t="str">
        <f>HYPERLINK("https://www.boe.es/gazeta/dias/1801/06/02/pdfs/GMD-1801-45.pdf#page=6","Abrir facsímil")</f>
        <v>Abrir facsímil</v>
      </c>
      <c r="K1843" s="15" t="s">
        <v>23</v>
      </c>
    </row>
    <row r="1844" spans="1:11" ht="42" customHeight="1">
      <c r="A1844" s="4" t="s">
        <v>4115</v>
      </c>
      <c r="B1844" s="5" t="s">
        <v>4116</v>
      </c>
      <c r="C1844" s="5" t="s">
        <v>80</v>
      </c>
      <c r="D1844" s="5" t="s">
        <v>81</v>
      </c>
      <c r="E1844" s="5" t="s">
        <v>82</v>
      </c>
      <c r="F1844" s="9">
        <v>75</v>
      </c>
      <c r="G1844" s="9" t="s">
        <v>86</v>
      </c>
      <c r="H1844" s="5" t="s">
        <v>21</v>
      </c>
      <c r="I1844" s="5" t="s">
        <v>4117</v>
      </c>
      <c r="J1844" s="12" t="str">
        <f>HYPERLINK("https://www.boe.es/gazeta/dias/1801/08/04/pdfs/GMD-C-1801-75.pdf#page=3","Abrir facsímil")</f>
        <v>Abrir facsímil</v>
      </c>
      <c r="K1844" s="15" t="s">
        <v>23</v>
      </c>
    </row>
    <row r="1845" spans="1:11" ht="42" customHeight="1">
      <c r="A1845" s="4" t="s">
        <v>4118</v>
      </c>
      <c r="B1845" s="5" t="s">
        <v>4119</v>
      </c>
      <c r="C1845" s="5" t="s">
        <v>32</v>
      </c>
      <c r="D1845" s="5" t="s">
        <v>33</v>
      </c>
      <c r="E1845" s="5" t="s">
        <v>453</v>
      </c>
      <c r="F1845" s="9">
        <v>100</v>
      </c>
      <c r="G1845" s="9">
        <v>1100</v>
      </c>
      <c r="H1845" s="5" t="s">
        <v>21</v>
      </c>
      <c r="I1845" s="5" t="s">
        <v>4120</v>
      </c>
      <c r="J1845" s="12" t="str">
        <f>HYPERLINK("https://www.boe.es/gazeta/dias/1801/10/23/pdfs/GMD-1801-100.pdf#page=9","Abrir facsímil")</f>
        <v>Abrir facsímil</v>
      </c>
      <c r="K1845" s="15" t="s">
        <v>23</v>
      </c>
    </row>
    <row r="1846" spans="1:11" ht="42" customHeight="1">
      <c r="A1846" s="4" t="s">
        <v>4121</v>
      </c>
      <c r="B1846" s="5" t="s">
        <v>4122</v>
      </c>
      <c r="C1846" s="5" t="s">
        <v>32</v>
      </c>
      <c r="D1846" s="5" t="s">
        <v>33</v>
      </c>
      <c r="E1846" s="5" t="s">
        <v>615</v>
      </c>
      <c r="F1846" s="9">
        <v>72</v>
      </c>
      <c r="G1846" s="9">
        <v>803</v>
      </c>
      <c r="H1846" s="5" t="s">
        <v>21</v>
      </c>
      <c r="I1846" s="5" t="s">
        <v>4123</v>
      </c>
      <c r="J1846" s="12" t="str">
        <f>HYPERLINK("https://www.boe.es/gazeta/dias/1801/07/24/pdfs/GMD-1801-72.pdf#page=8","Abrir facsímil")</f>
        <v>Abrir facsímil</v>
      </c>
      <c r="K1846" s="15" t="s">
        <v>23</v>
      </c>
    </row>
    <row r="1847" spans="1:11" ht="42" customHeight="1">
      <c r="A1847" s="4" t="s">
        <v>4124</v>
      </c>
      <c r="B1847" s="5" t="s">
        <v>4125</v>
      </c>
      <c r="C1847" s="5" t="s">
        <v>32</v>
      </c>
      <c r="D1847" s="5" t="s">
        <v>33</v>
      </c>
      <c r="E1847" s="5" t="s">
        <v>94</v>
      </c>
      <c r="F1847" s="9">
        <v>19</v>
      </c>
      <c r="G1847" s="9">
        <v>244</v>
      </c>
      <c r="H1847" s="5" t="s">
        <v>21</v>
      </c>
      <c r="I1847" s="5" t="s">
        <v>4126</v>
      </c>
      <c r="J1847" s="12" t="str">
        <f>HYPERLINK("https://www.boe.es/gazeta/dias/1801/03/06/pdfs/GMD-1801-19.pdf#page=9","Abrir facsímil")</f>
        <v>Abrir facsímil</v>
      </c>
      <c r="K1847" s="15" t="s">
        <v>23</v>
      </c>
    </row>
    <row r="1848" spans="1:11" ht="42" customHeight="1">
      <c r="A1848" s="4" t="s">
        <v>4127</v>
      </c>
      <c r="B1848" s="5" t="s">
        <v>4128</v>
      </c>
      <c r="C1848" s="5" t="s">
        <v>26</v>
      </c>
      <c r="D1848" s="5" t="s">
        <v>27</v>
      </c>
      <c r="E1848" s="5" t="s">
        <v>186</v>
      </c>
      <c r="F1848" s="9">
        <v>21</v>
      </c>
      <c r="G1848" s="9">
        <v>282</v>
      </c>
      <c r="H1848" s="5" t="s">
        <v>21</v>
      </c>
      <c r="I1848" s="5" t="s">
        <v>4129</v>
      </c>
      <c r="J1848" s="12" t="str">
        <f>HYPERLINK("https://www.boe.es/gazeta/dias/1801/03/13/pdfs/GMD-1801-21.pdf#page=11","Abrir facsímil")</f>
        <v>Abrir facsímil</v>
      </c>
      <c r="K1848" s="15" t="s">
        <v>23</v>
      </c>
    </row>
    <row r="1849" spans="1:11" ht="42" customHeight="1">
      <c r="A1849" s="4" t="s">
        <v>4130</v>
      </c>
      <c r="B1849" s="5" t="s">
        <v>4131</v>
      </c>
      <c r="C1849" s="5" t="s">
        <v>32</v>
      </c>
      <c r="D1849" s="5" t="s">
        <v>33</v>
      </c>
      <c r="E1849" s="5" t="s">
        <v>77</v>
      </c>
      <c r="F1849" s="9">
        <v>93</v>
      </c>
      <c r="G1849" s="9">
        <v>1020</v>
      </c>
      <c r="H1849" s="5" t="s">
        <v>21</v>
      </c>
      <c r="I1849" s="5" t="s">
        <v>4132</v>
      </c>
      <c r="J1849" s="12" t="str">
        <f>HYPERLINK("https://www.boe.es/gazeta/dias/1801/09/29/pdfs/GMD-1801-93.pdf#page=7","Abrir facsímil")</f>
        <v>Abrir facsímil</v>
      </c>
      <c r="K1849" s="15" t="s">
        <v>23</v>
      </c>
    </row>
    <row r="1850" spans="1:11" ht="42" customHeight="1">
      <c r="A1850" s="4" t="s">
        <v>4133</v>
      </c>
      <c r="B1850" s="5" t="s">
        <v>4134</v>
      </c>
      <c r="C1850" s="5" t="s">
        <v>75</v>
      </c>
      <c r="D1850" s="5" t="s">
        <v>76</v>
      </c>
      <c r="E1850" s="5" t="s">
        <v>105</v>
      </c>
      <c r="F1850" s="9">
        <v>44</v>
      </c>
      <c r="G1850" s="9">
        <v>544</v>
      </c>
      <c r="H1850" s="5" t="s">
        <v>21</v>
      </c>
      <c r="I1850" s="5" t="s">
        <v>4135</v>
      </c>
      <c r="J1850" s="12" t="str">
        <f>HYPERLINK("https://www.boe.es/gazeta/dias/1801/05/29/pdfs/GMD-1801-44.pdf#page=4","Abrir facsímil")</f>
        <v>Abrir facsímil</v>
      </c>
      <c r="K1850" s="15" t="s">
        <v>23</v>
      </c>
    </row>
    <row r="1851" spans="1:11" ht="42" customHeight="1">
      <c r="A1851" s="4" t="s">
        <v>4133</v>
      </c>
      <c r="B1851" s="5" t="s">
        <v>4134</v>
      </c>
      <c r="C1851" s="5" t="s">
        <v>75</v>
      </c>
      <c r="D1851" s="5" t="s">
        <v>76</v>
      </c>
      <c r="E1851" s="5" t="s">
        <v>359</v>
      </c>
      <c r="F1851" s="9">
        <v>101</v>
      </c>
      <c r="G1851" s="9">
        <v>1110</v>
      </c>
      <c r="H1851" s="5" t="s">
        <v>21</v>
      </c>
      <c r="I1851" s="5" t="s">
        <v>4136</v>
      </c>
      <c r="J1851" s="12" t="str">
        <f>HYPERLINK("https://www.boe.es/gazeta/dias/1801/10/27/pdfs/GMD-1801-101.pdf#page=3","Abrir facsímil")</f>
        <v>Abrir facsímil</v>
      </c>
      <c r="K1851" s="15" t="s">
        <v>23</v>
      </c>
    </row>
    <row r="1852" spans="1:11" ht="42" customHeight="1">
      <c r="A1852" s="4" t="s">
        <v>4137</v>
      </c>
      <c r="B1852" s="5" t="s">
        <v>4138</v>
      </c>
      <c r="C1852" s="5" t="s">
        <v>32</v>
      </c>
      <c r="D1852" s="5" t="s">
        <v>33</v>
      </c>
      <c r="E1852" s="5" t="s">
        <v>165</v>
      </c>
      <c r="F1852" s="9">
        <v>59</v>
      </c>
      <c r="G1852" s="9">
        <v>676</v>
      </c>
      <c r="H1852" s="5" t="s">
        <v>21</v>
      </c>
      <c r="I1852" s="5" t="s">
        <v>4139</v>
      </c>
      <c r="J1852" s="12" t="str">
        <f>HYPERLINK("https://www.boe.es/gazeta/dias/1801/06/23/pdfs/GMD-1801-59.pdf#page=9","Abrir facsímil")</f>
        <v>Abrir facsímil</v>
      </c>
      <c r="K1852" s="15" t="s">
        <v>23</v>
      </c>
    </row>
    <row r="1853" spans="1:11" ht="42" customHeight="1">
      <c r="A1853" s="4" t="s">
        <v>4140</v>
      </c>
      <c r="B1853" s="5" t="s">
        <v>4141</v>
      </c>
      <c r="C1853" s="5" t="s">
        <v>69</v>
      </c>
      <c r="D1853" s="5" t="s">
        <v>19</v>
      </c>
      <c r="E1853" s="5" t="s">
        <v>359</v>
      </c>
      <c r="F1853" s="9">
        <v>101</v>
      </c>
      <c r="G1853" s="9">
        <v>1113</v>
      </c>
      <c r="H1853" s="5" t="s">
        <v>21</v>
      </c>
      <c r="I1853" s="5" t="s">
        <v>4142</v>
      </c>
      <c r="J1853" s="12" t="str">
        <f>HYPERLINK("https://www.boe.es/gazeta/dias/1801/10/27/pdfs/GMD-1801-101.pdf#page=6","Abrir facsímil")</f>
        <v>Abrir facsímil</v>
      </c>
      <c r="K1853" s="15" t="s">
        <v>23</v>
      </c>
    </row>
    <row r="1854" spans="1:11" ht="42" customHeight="1">
      <c r="A1854" s="4" t="s">
        <v>4143</v>
      </c>
      <c r="B1854" s="5" t="s">
        <v>4144</v>
      </c>
      <c r="C1854" s="5" t="s">
        <v>32</v>
      </c>
      <c r="D1854" s="5" t="s">
        <v>33</v>
      </c>
      <c r="E1854" s="5" t="s">
        <v>417</v>
      </c>
      <c r="F1854" s="9">
        <v>64</v>
      </c>
      <c r="G1854" s="9">
        <v>729</v>
      </c>
      <c r="H1854" s="5" t="s">
        <v>21</v>
      </c>
      <c r="I1854" s="5" t="s">
        <v>4145</v>
      </c>
      <c r="J1854" s="12" t="str">
        <f>HYPERLINK("https://www.boe.es/gazeta/dias/1801/07/07/pdfs/GMD-1801-64.pdf#page=10","Abrir facsímil")</f>
        <v>Abrir facsímil</v>
      </c>
      <c r="K1854" s="15" t="s">
        <v>23</v>
      </c>
    </row>
    <row r="1855" spans="1:11" ht="42" customHeight="1">
      <c r="A1855" s="4" t="s">
        <v>4143</v>
      </c>
      <c r="B1855" s="5" t="s">
        <v>4144</v>
      </c>
      <c r="C1855" s="5" t="s">
        <v>32</v>
      </c>
      <c r="D1855" s="5" t="s">
        <v>33</v>
      </c>
      <c r="E1855" s="5" t="s">
        <v>258</v>
      </c>
      <c r="F1855" s="9">
        <v>96</v>
      </c>
      <c r="G1855" s="9">
        <v>1054</v>
      </c>
      <c r="H1855" s="5" t="s">
        <v>21</v>
      </c>
      <c r="I1855" s="5" t="s">
        <v>4146</v>
      </c>
      <c r="J1855" s="12" t="str">
        <f>HYPERLINK("https://www.boe.es/gazeta/dias/1801/10/09/pdfs/GMD-1801-96.pdf#page=10","Abrir facsímil")</f>
        <v>Abrir facsímil</v>
      </c>
      <c r="K1855" s="15" t="s">
        <v>23</v>
      </c>
    </row>
    <row r="1856" spans="1:11" ht="42" customHeight="1">
      <c r="A1856" s="4" t="s">
        <v>4147</v>
      </c>
      <c r="B1856" s="5" t="s">
        <v>4148</v>
      </c>
      <c r="C1856" s="5" t="s">
        <v>32</v>
      </c>
      <c r="D1856" s="5" t="s">
        <v>33</v>
      </c>
      <c r="E1856" s="5" t="s">
        <v>1058</v>
      </c>
      <c r="F1856" s="9">
        <v>108</v>
      </c>
      <c r="G1856" s="9">
        <v>1191</v>
      </c>
      <c r="H1856" s="5" t="s">
        <v>21</v>
      </c>
      <c r="I1856" s="5" t="s">
        <v>4149</v>
      </c>
      <c r="J1856" s="12" t="str">
        <f>HYPERLINK("https://www.boe.es/gazeta/dias/1801/11/20/pdfs/GMD-1801-108.pdf#page=8","Abrir facsímil")</f>
        <v>Abrir facsímil</v>
      </c>
      <c r="K1856" s="15" t="s">
        <v>23</v>
      </c>
    </row>
    <row r="1857" spans="1:11" ht="42" customHeight="1">
      <c r="A1857" s="4" t="s">
        <v>4150</v>
      </c>
      <c r="B1857" s="5" t="s">
        <v>4151</v>
      </c>
      <c r="C1857" s="5" t="s">
        <v>75</v>
      </c>
      <c r="D1857" s="5" t="s">
        <v>76</v>
      </c>
      <c r="E1857" s="5" t="s">
        <v>366</v>
      </c>
      <c r="F1857" s="9">
        <v>86</v>
      </c>
      <c r="G1857" s="9">
        <v>953</v>
      </c>
      <c r="H1857" s="5" t="s">
        <v>21</v>
      </c>
      <c r="I1857" s="5" t="s">
        <v>4152</v>
      </c>
      <c r="J1857" s="12" t="str">
        <f>HYPERLINK("https://www.boe.es/gazeta/dias/1801/09/08/pdfs/GMD-1801-86.pdf#page=4","Abrir facsímil")</f>
        <v>Abrir facsímil</v>
      </c>
      <c r="K1857" s="15" t="s">
        <v>23</v>
      </c>
    </row>
    <row r="1858" spans="1:11" ht="42" customHeight="1">
      <c r="A1858" s="4" t="s">
        <v>4153</v>
      </c>
      <c r="B1858" s="5" t="s">
        <v>4154</v>
      </c>
      <c r="C1858" s="5" t="s">
        <v>32</v>
      </c>
      <c r="D1858" s="5" t="s">
        <v>33</v>
      </c>
      <c r="E1858" s="5" t="s">
        <v>1939</v>
      </c>
      <c r="F1858" s="9">
        <v>107</v>
      </c>
      <c r="G1858" s="9">
        <v>1178</v>
      </c>
      <c r="H1858" s="5" t="s">
        <v>21</v>
      </c>
      <c r="I1858" s="5" t="s">
        <v>4155</v>
      </c>
      <c r="J1858" s="12" t="str">
        <f>HYPERLINK("https://www.boe.es/gazeta/dias/1801/11/17/pdfs/GMD-1801-107.pdf#page=7","Abrir facsímil")</f>
        <v>Abrir facsímil</v>
      </c>
      <c r="K1858" s="15" t="s">
        <v>23</v>
      </c>
    </row>
    <row r="1859" spans="1:11" ht="42" customHeight="1">
      <c r="A1859" s="4" t="s">
        <v>4156</v>
      </c>
      <c r="B1859" s="5" t="s">
        <v>4157</v>
      </c>
      <c r="C1859" s="5" t="s">
        <v>32</v>
      </c>
      <c r="D1859" s="5" t="s">
        <v>33</v>
      </c>
      <c r="E1859" s="5" t="s">
        <v>120</v>
      </c>
      <c r="F1859" s="9">
        <v>7</v>
      </c>
      <c r="G1859" s="9">
        <v>85</v>
      </c>
      <c r="H1859" s="5" t="s">
        <v>21</v>
      </c>
      <c r="I1859" s="5" t="s">
        <v>4158</v>
      </c>
      <c r="J1859" s="12" t="str">
        <f>HYPERLINK("https://www.boe.es/gazeta/dias/1801/01/23/pdfs/GMD-1801-7.pdf#page=9","Abrir facsímil")</f>
        <v>Abrir facsímil</v>
      </c>
      <c r="K1859" s="15" t="s">
        <v>23</v>
      </c>
    </row>
    <row r="1860" spans="1:11" ht="42" customHeight="1">
      <c r="A1860" s="4" t="s">
        <v>4159</v>
      </c>
      <c r="B1860" s="5" t="s">
        <v>4160</v>
      </c>
      <c r="C1860" s="5" t="s">
        <v>32</v>
      </c>
      <c r="D1860" s="5" t="s">
        <v>33</v>
      </c>
      <c r="E1860" s="5" t="s">
        <v>275</v>
      </c>
      <c r="F1860" s="9">
        <v>9</v>
      </c>
      <c r="G1860" s="9">
        <v>113</v>
      </c>
      <c r="H1860" s="5" t="s">
        <v>21</v>
      </c>
      <c r="I1860" s="5" t="s">
        <v>4161</v>
      </c>
      <c r="J1860" s="12" t="str">
        <f>HYPERLINK("https://www.boe.es/gazeta/dias/1801/01/30/pdfs/GMD-1801-9.pdf#page=10","Abrir facsímil")</f>
        <v>Abrir facsímil</v>
      </c>
      <c r="K1860" s="15" t="s">
        <v>23</v>
      </c>
    </row>
    <row r="1861" spans="1:11" ht="42" customHeight="1">
      <c r="A1861" s="4" t="s">
        <v>4162</v>
      </c>
      <c r="B1861" s="5" t="s">
        <v>4163</v>
      </c>
      <c r="C1861" s="5" t="s">
        <v>69</v>
      </c>
      <c r="D1861" s="5" t="s">
        <v>19</v>
      </c>
      <c r="E1861" s="5" t="s">
        <v>186</v>
      </c>
      <c r="F1861" s="9">
        <v>21</v>
      </c>
      <c r="G1861" s="9">
        <v>279</v>
      </c>
      <c r="H1861" s="5" t="s">
        <v>21</v>
      </c>
      <c r="I1861" s="5" t="s">
        <v>4164</v>
      </c>
      <c r="J1861" s="12" t="str">
        <f>HYPERLINK("https://www.boe.es/gazeta/dias/1801/03/13/pdfs/GMD-1801-21.pdf#page=8","Abrir facsímil")</f>
        <v>Abrir facsímil</v>
      </c>
      <c r="K1861" s="15" t="s">
        <v>23</v>
      </c>
    </row>
    <row r="1862" spans="1:11" ht="42" customHeight="1">
      <c r="A1862" s="4" t="s">
        <v>4165</v>
      </c>
      <c r="B1862" s="5" t="s">
        <v>4165</v>
      </c>
      <c r="C1862" s="5" t="s">
        <v>75</v>
      </c>
      <c r="D1862" s="5" t="s">
        <v>76</v>
      </c>
      <c r="E1862" s="5" t="s">
        <v>505</v>
      </c>
      <c r="F1862" s="9">
        <v>94</v>
      </c>
      <c r="G1862" s="9">
        <v>1025</v>
      </c>
      <c r="H1862" s="5" t="s">
        <v>21</v>
      </c>
      <c r="I1862" s="5" t="s">
        <v>4166</v>
      </c>
      <c r="J1862" s="12" t="str">
        <f>HYPERLINK("https://www.boe.es/gazeta/dias/1801/10/02/pdfs/GMD-1801-94.pdf#page=1","Abrir facsímil")</f>
        <v>Abrir facsímil</v>
      </c>
      <c r="K1862" s="15" t="s">
        <v>23</v>
      </c>
    </row>
    <row r="1863" spans="1:11" ht="42" customHeight="1">
      <c r="A1863" s="4" t="s">
        <v>4167</v>
      </c>
      <c r="B1863" s="5" t="s">
        <v>4168</v>
      </c>
      <c r="C1863" s="5" t="s">
        <v>26</v>
      </c>
      <c r="D1863" s="5" t="s">
        <v>27</v>
      </c>
      <c r="E1863" s="5" t="s">
        <v>153</v>
      </c>
      <c r="F1863" s="9">
        <v>48</v>
      </c>
      <c r="G1863" s="9">
        <v>586</v>
      </c>
      <c r="H1863" s="5" t="s">
        <v>21</v>
      </c>
      <c r="I1863" s="5" t="s">
        <v>4169</v>
      </c>
      <c r="J1863" s="12" t="str">
        <f>HYPERLINK("https://www.boe.es/gazeta/dias/1801/06/05/pdfs/GMD-1801-48.pdf#page=8","Abrir facsímil")</f>
        <v>Abrir facsímil</v>
      </c>
      <c r="K1863" s="15" t="s">
        <v>23</v>
      </c>
    </row>
    <row r="1864" spans="1:11" ht="42" customHeight="1">
      <c r="A1864" s="4" t="s">
        <v>4170</v>
      </c>
      <c r="B1864" s="5" t="s">
        <v>4170</v>
      </c>
      <c r="C1864" s="5" t="s">
        <v>18</v>
      </c>
      <c r="D1864" s="5" t="s">
        <v>19</v>
      </c>
      <c r="E1864" s="5" t="s">
        <v>501</v>
      </c>
      <c r="F1864" s="9">
        <v>115</v>
      </c>
      <c r="G1864" s="9" t="s">
        <v>305</v>
      </c>
      <c r="H1864" s="5" t="s">
        <v>21</v>
      </c>
      <c r="I1864" s="5" t="s">
        <v>4171</v>
      </c>
      <c r="J1864" s="12" t="str">
        <f>HYPERLINK("https://www.boe.es/gazeta/dias/1801/12/15/pdfs/GMD-C-1801-115.pdf#page=4","Abrir facsímil")</f>
        <v>Abrir facsímil</v>
      </c>
      <c r="K1864" s="15" t="s">
        <v>23</v>
      </c>
    </row>
    <row r="1865" spans="1:11" ht="42" customHeight="1">
      <c r="A1865" s="4" t="s">
        <v>4172</v>
      </c>
      <c r="B1865" s="5" t="s">
        <v>4173</v>
      </c>
      <c r="C1865" s="5" t="s">
        <v>26</v>
      </c>
      <c r="D1865" s="5" t="s">
        <v>27</v>
      </c>
      <c r="E1865" s="5" t="s">
        <v>501</v>
      </c>
      <c r="F1865" s="9">
        <v>115</v>
      </c>
      <c r="G1865" s="9" t="s">
        <v>502</v>
      </c>
      <c r="H1865" s="5" t="s">
        <v>21</v>
      </c>
      <c r="I1865" s="5" t="s">
        <v>4174</v>
      </c>
      <c r="J1865" s="12" t="str">
        <f>HYPERLINK("https://www.boe.es/gazeta/dias/1801/12/15/pdfs/GMD-C-1801-115.pdf#page=8","Abrir facsímil")</f>
        <v>Abrir facsímil</v>
      </c>
      <c r="K1865" s="15" t="s">
        <v>23</v>
      </c>
    </row>
    <row r="1866" spans="1:11" ht="42" customHeight="1">
      <c r="A1866" s="4" t="s">
        <v>4175</v>
      </c>
      <c r="B1866" s="5" t="s">
        <v>4175</v>
      </c>
      <c r="C1866" s="5" t="s">
        <v>69</v>
      </c>
      <c r="D1866" s="5" t="s">
        <v>19</v>
      </c>
      <c r="E1866" s="5" t="s">
        <v>151</v>
      </c>
      <c r="F1866" s="9">
        <v>45</v>
      </c>
      <c r="G1866" s="9">
        <v>560</v>
      </c>
      <c r="H1866" s="5" t="s">
        <v>21</v>
      </c>
      <c r="I1866" s="5" t="s">
        <v>4176</v>
      </c>
      <c r="J1866" s="12" t="str">
        <f>HYPERLINK("https://www.boe.es/gazeta/dias/1801/06/02/pdfs/GMD-1801-45.pdf#page=8","Abrir facsímil")</f>
        <v>Abrir facsímil</v>
      </c>
      <c r="K1866" s="15" t="s">
        <v>23</v>
      </c>
    </row>
    <row r="1867" spans="1:11" ht="42" customHeight="1">
      <c r="A1867" s="4" t="s">
        <v>4177</v>
      </c>
      <c r="B1867" s="5" t="s">
        <v>4178</v>
      </c>
      <c r="C1867" s="5" t="s">
        <v>75</v>
      </c>
      <c r="D1867" s="5" t="s">
        <v>76</v>
      </c>
      <c r="E1867" s="5" t="s">
        <v>66</v>
      </c>
      <c r="F1867" s="9">
        <v>52</v>
      </c>
      <c r="G1867" s="9">
        <v>605</v>
      </c>
      <c r="H1867" s="5" t="s">
        <v>21</v>
      </c>
      <c r="I1867" s="5" t="s">
        <v>4179</v>
      </c>
      <c r="J1867" s="12" t="str">
        <f>HYPERLINK("https://www.boe.es/gazeta/dias/1801/06/12/pdfs/GMD-1801-52.pdf#page=4","Abrir facsímil")</f>
        <v>Abrir facsímil</v>
      </c>
      <c r="K1867" s="15" t="s">
        <v>23</v>
      </c>
    </row>
    <row r="1868" spans="1:11" ht="42" customHeight="1">
      <c r="A1868" s="4" t="s">
        <v>4180</v>
      </c>
      <c r="B1868" s="5" t="s">
        <v>4181</v>
      </c>
      <c r="C1868" s="5" t="s">
        <v>80</v>
      </c>
      <c r="D1868" s="5" t="s">
        <v>81</v>
      </c>
      <c r="E1868" s="5" t="s">
        <v>82</v>
      </c>
      <c r="F1868" s="9">
        <v>75</v>
      </c>
      <c r="G1868" s="9" t="s">
        <v>668</v>
      </c>
      <c r="H1868" s="5" t="s">
        <v>21</v>
      </c>
      <c r="I1868" s="5" t="s">
        <v>4182</v>
      </c>
      <c r="J1868" s="12" t="str">
        <f>HYPERLINK("https://www.boe.es/gazeta/dias/1801/08/04/pdfs/GMD-C-1801-75.pdf#page=1","Abrir facsímil")</f>
        <v>Abrir facsímil</v>
      </c>
      <c r="K1868" s="15" t="s">
        <v>23</v>
      </c>
    </row>
    <row r="1869" spans="1:11" ht="42" customHeight="1">
      <c r="A1869" s="4" t="s">
        <v>4183</v>
      </c>
      <c r="B1869" s="5" t="s">
        <v>4183</v>
      </c>
      <c r="C1869" s="5" t="s">
        <v>75</v>
      </c>
      <c r="D1869" s="5" t="s">
        <v>76</v>
      </c>
      <c r="E1869" s="5" t="s">
        <v>161</v>
      </c>
      <c r="F1869" s="9">
        <v>58</v>
      </c>
      <c r="G1869" s="9">
        <v>657</v>
      </c>
      <c r="H1869" s="5" t="s">
        <v>21</v>
      </c>
      <c r="I1869" s="5" t="s">
        <v>4184</v>
      </c>
      <c r="J1869" s="12" t="str">
        <f>HYPERLINK("https://www.boe.es/gazeta/dias/1801/06/19/pdfs/GMD-1801-58.pdf#page=2","Abrir facsímil")</f>
        <v>Abrir facsímil</v>
      </c>
      <c r="K1869" s="15" t="s">
        <v>23</v>
      </c>
    </row>
    <row r="1870" spans="1:11" ht="42" customHeight="1">
      <c r="A1870" s="4" t="s">
        <v>4185</v>
      </c>
      <c r="B1870" s="5" t="s">
        <v>4185</v>
      </c>
      <c r="C1870" s="5" t="s">
        <v>18</v>
      </c>
      <c r="D1870" s="5" t="s">
        <v>19</v>
      </c>
      <c r="E1870" s="5" t="s">
        <v>219</v>
      </c>
      <c r="F1870" s="9">
        <v>26</v>
      </c>
      <c r="G1870" s="9">
        <v>337</v>
      </c>
      <c r="H1870" s="5" t="s">
        <v>21</v>
      </c>
      <c r="I1870" s="5" t="s">
        <v>4186</v>
      </c>
      <c r="J1870" s="12" t="str">
        <f>HYPERLINK("https://www.boe.es/gazeta/dias/1801/03/31/pdfs/GMD-1801-26.pdf#page=1","Abrir facsímil")</f>
        <v>Abrir facsímil</v>
      </c>
      <c r="K1870" s="15" t="s">
        <v>23</v>
      </c>
    </row>
    <row r="1871" spans="1:11" ht="42" customHeight="1">
      <c r="A1871" s="4" t="s">
        <v>4187</v>
      </c>
      <c r="B1871" s="5" t="s">
        <v>4187</v>
      </c>
      <c r="C1871" s="5" t="s">
        <v>32</v>
      </c>
      <c r="D1871" s="5" t="s">
        <v>33</v>
      </c>
      <c r="E1871" s="5" t="s">
        <v>219</v>
      </c>
      <c r="F1871" s="9">
        <v>26</v>
      </c>
      <c r="G1871" s="9">
        <v>337</v>
      </c>
      <c r="H1871" s="5" t="s">
        <v>21</v>
      </c>
      <c r="I1871" s="5" t="s">
        <v>4188</v>
      </c>
      <c r="J1871" s="12" t="str">
        <f>HYPERLINK("https://www.boe.es/gazeta/dias/1801/03/31/pdfs/GMD-1801-26.pdf#page=1","Abrir facsímil")</f>
        <v>Abrir facsímil</v>
      </c>
      <c r="K1871" s="15" t="s">
        <v>23</v>
      </c>
    </row>
    <row r="1872" spans="1:11" ht="42" customHeight="1">
      <c r="A1872" s="4" t="s">
        <v>4189</v>
      </c>
      <c r="B1872" s="5" t="s">
        <v>4190</v>
      </c>
      <c r="C1872" s="5" t="s">
        <v>38</v>
      </c>
      <c r="D1872" s="5" t="s">
        <v>39</v>
      </c>
      <c r="E1872" s="5" t="s">
        <v>735</v>
      </c>
      <c r="F1872" s="9">
        <v>97</v>
      </c>
      <c r="G1872" s="9">
        <v>1061</v>
      </c>
      <c r="H1872" s="5" t="s">
        <v>21</v>
      </c>
      <c r="I1872" s="5" t="s">
        <v>4191</v>
      </c>
      <c r="J1872" s="12" t="str">
        <f>HYPERLINK("https://www.boe.es/gazeta/dias/1801/10/13/pdfs/GMD-1801-97.pdf#page=5","Abrir facsímil")</f>
        <v>Abrir facsímil</v>
      </c>
      <c r="K1872" s="15" t="s">
        <v>23</v>
      </c>
    </row>
    <row r="1873" spans="1:11" ht="42" customHeight="1">
      <c r="A1873" s="4" t="s">
        <v>4192</v>
      </c>
      <c r="B1873" s="5" t="s">
        <v>4192</v>
      </c>
      <c r="C1873" s="5" t="s">
        <v>80</v>
      </c>
      <c r="D1873" s="5" t="s">
        <v>81</v>
      </c>
      <c r="E1873" s="5" t="s">
        <v>82</v>
      </c>
      <c r="F1873" s="9">
        <v>75</v>
      </c>
      <c r="G1873" s="9" t="s">
        <v>668</v>
      </c>
      <c r="H1873" s="5" t="s">
        <v>21</v>
      </c>
      <c r="I1873" s="5" t="s">
        <v>4193</v>
      </c>
      <c r="J1873" s="12" t="str">
        <f>HYPERLINK("https://www.boe.es/gazeta/dias/1801/08/04/pdfs/GMD-C-1801-75.pdf#page=1","Abrir facsímil")</f>
        <v>Abrir facsímil</v>
      </c>
      <c r="K1873" s="15" t="s">
        <v>23</v>
      </c>
    </row>
    <row r="1874" spans="1:11" ht="42" customHeight="1">
      <c r="A1874" s="4" t="s">
        <v>4194</v>
      </c>
      <c r="B1874" s="5" t="s">
        <v>4195</v>
      </c>
      <c r="C1874" s="5" t="s">
        <v>75</v>
      </c>
      <c r="D1874" s="5" t="s">
        <v>76</v>
      </c>
      <c r="E1874" s="5" t="s">
        <v>135</v>
      </c>
      <c r="F1874" s="9">
        <v>24</v>
      </c>
      <c r="G1874" s="9">
        <v>313</v>
      </c>
      <c r="H1874" s="5" t="s">
        <v>21</v>
      </c>
      <c r="I1874" s="5" t="s">
        <v>4196</v>
      </c>
      <c r="J1874" s="12" t="str">
        <f>HYPERLINK("https://www.boe.es/gazeta/dias/1801/03/24/pdfs/GMD-1801-24.pdf#page=4","Abrir facsímil")</f>
        <v>Abrir facsímil</v>
      </c>
      <c r="K1874" s="15" t="s">
        <v>23</v>
      </c>
    </row>
    <row r="1875" spans="1:11" ht="42" customHeight="1">
      <c r="A1875" s="4" t="s">
        <v>4197</v>
      </c>
      <c r="B1875" s="5" t="s">
        <v>4197</v>
      </c>
      <c r="C1875" s="5" t="s">
        <v>32</v>
      </c>
      <c r="D1875" s="5" t="s">
        <v>33</v>
      </c>
      <c r="E1875" s="5" t="s">
        <v>108</v>
      </c>
      <c r="F1875" s="9">
        <v>61</v>
      </c>
      <c r="G1875" s="9">
        <v>692</v>
      </c>
      <c r="H1875" s="5" t="s">
        <v>21</v>
      </c>
      <c r="I1875" s="5" t="s">
        <v>4198</v>
      </c>
      <c r="J1875" s="12" t="str">
        <f>HYPERLINK("https://www.boe.es/gazeta/dias/1801/06/30/pdfs/GMD-1801-61.pdf#page=1","Abrir facsímil")</f>
        <v>Abrir facsímil</v>
      </c>
      <c r="K1875" s="15" t="s">
        <v>23</v>
      </c>
    </row>
    <row r="1876" spans="1:11" ht="42" customHeight="1">
      <c r="A1876" s="4" t="s">
        <v>4197</v>
      </c>
      <c r="B1876" s="5" t="s">
        <v>4197</v>
      </c>
      <c r="C1876" s="5" t="s">
        <v>32</v>
      </c>
      <c r="D1876" s="5" t="s">
        <v>33</v>
      </c>
      <c r="E1876" s="5" t="s">
        <v>702</v>
      </c>
      <c r="F1876" s="9">
        <v>69</v>
      </c>
      <c r="G1876" s="9">
        <v>757</v>
      </c>
      <c r="H1876" s="5" t="s">
        <v>21</v>
      </c>
      <c r="I1876" s="5" t="s">
        <v>4199</v>
      </c>
      <c r="J1876" s="12" t="str">
        <f>HYPERLINK("https://www.boe.es/gazeta/dias/1801/07/14/pdfs/GMD-1801-69.pdf#page=2","Abrir facsímil")</f>
        <v>Abrir facsímil</v>
      </c>
      <c r="K1876" s="15" t="s">
        <v>23</v>
      </c>
    </row>
    <row r="1877" spans="1:11" ht="42" customHeight="1">
      <c r="A1877" s="4" t="s">
        <v>4200</v>
      </c>
      <c r="B1877" s="5" t="s">
        <v>4201</v>
      </c>
      <c r="C1877" s="5" t="s">
        <v>75</v>
      </c>
      <c r="D1877" s="5" t="s">
        <v>76</v>
      </c>
      <c r="E1877" s="5" t="s">
        <v>179</v>
      </c>
      <c r="F1877" s="9">
        <v>11</v>
      </c>
      <c r="G1877" s="9">
        <v>129</v>
      </c>
      <c r="H1877" s="5" t="s">
        <v>21</v>
      </c>
      <c r="I1877" s="5" t="s">
        <v>4202</v>
      </c>
      <c r="J1877" s="12" t="str">
        <f>HYPERLINK("https://www.boe.es/gazeta/dias/1801/02/06/pdfs/GMD-1801-11.pdf#page=2","Abrir facsímil")</f>
        <v>Abrir facsímil</v>
      </c>
      <c r="K1877" s="15" t="s">
        <v>23</v>
      </c>
    </row>
    <row r="1878" spans="1:11" ht="42" customHeight="1">
      <c r="A1878" s="4" t="s">
        <v>4200</v>
      </c>
      <c r="B1878" s="5" t="s">
        <v>4201</v>
      </c>
      <c r="C1878" s="5" t="s">
        <v>32</v>
      </c>
      <c r="D1878" s="5" t="s">
        <v>33</v>
      </c>
      <c r="E1878" s="5" t="s">
        <v>105</v>
      </c>
      <c r="F1878" s="9">
        <v>44</v>
      </c>
      <c r="G1878" s="9">
        <v>541</v>
      </c>
      <c r="H1878" s="5" t="s">
        <v>21</v>
      </c>
      <c r="I1878" s="5" t="s">
        <v>4203</v>
      </c>
      <c r="J1878" s="12" t="str">
        <f>HYPERLINK("https://www.boe.es/gazeta/dias/1801/05/29/pdfs/GMD-1801-44.pdf#page=1","Abrir facsímil")</f>
        <v>Abrir facsímil</v>
      </c>
      <c r="K1878" s="15" t="s">
        <v>23</v>
      </c>
    </row>
    <row r="1879" spans="1:11" ht="42" customHeight="1">
      <c r="A1879" s="4" t="s">
        <v>4200</v>
      </c>
      <c r="B1879" s="5" t="s">
        <v>4201</v>
      </c>
      <c r="C1879" s="5" t="s">
        <v>32</v>
      </c>
      <c r="D1879" s="5" t="s">
        <v>33</v>
      </c>
      <c r="E1879" s="5" t="s">
        <v>151</v>
      </c>
      <c r="F1879" s="9">
        <v>45</v>
      </c>
      <c r="G1879" s="9">
        <v>554</v>
      </c>
      <c r="H1879" s="5" t="s">
        <v>21</v>
      </c>
      <c r="I1879" s="5" t="s">
        <v>4204</v>
      </c>
      <c r="J1879" s="12" t="str">
        <f>HYPERLINK("https://www.boe.es/gazeta/dias/1801/06/02/pdfs/GMD-1801-45.pdf#page=2","Abrir facsímil")</f>
        <v>Abrir facsímil</v>
      </c>
      <c r="K1879" s="15" t="s">
        <v>23</v>
      </c>
    </row>
    <row r="1880" spans="1:11" ht="42" customHeight="1">
      <c r="A1880" s="4" t="s">
        <v>4200</v>
      </c>
      <c r="B1880" s="5" t="s">
        <v>4201</v>
      </c>
      <c r="C1880" s="5" t="s">
        <v>32</v>
      </c>
      <c r="D1880" s="5" t="s">
        <v>33</v>
      </c>
      <c r="E1880" s="5" t="s">
        <v>161</v>
      </c>
      <c r="F1880" s="9">
        <v>58</v>
      </c>
      <c r="G1880" s="9">
        <v>656</v>
      </c>
      <c r="H1880" s="5" t="s">
        <v>21</v>
      </c>
      <c r="I1880" s="5" t="s">
        <v>4205</v>
      </c>
      <c r="J1880" s="12" t="str">
        <f>HYPERLINK("https://www.boe.es/gazeta/dias/1801/06/19/pdfs/GMD-1801-58.pdf#page=1","Abrir facsímil")</f>
        <v>Abrir facsímil</v>
      </c>
      <c r="K1880" s="15" t="s">
        <v>23</v>
      </c>
    </row>
    <row r="1881" spans="1:11" ht="42" customHeight="1">
      <c r="A1881" s="4" t="s">
        <v>4200</v>
      </c>
      <c r="B1881" s="5" t="s">
        <v>4201</v>
      </c>
      <c r="C1881" s="5" t="s">
        <v>75</v>
      </c>
      <c r="D1881" s="5" t="s">
        <v>76</v>
      </c>
      <c r="E1881" s="5" t="s">
        <v>702</v>
      </c>
      <c r="F1881" s="9">
        <v>69</v>
      </c>
      <c r="G1881" s="9">
        <v>757</v>
      </c>
      <c r="H1881" s="5" t="s">
        <v>21</v>
      </c>
      <c r="I1881" s="5" t="s">
        <v>4206</v>
      </c>
      <c r="J1881" s="12" t="str">
        <f>HYPERLINK("https://www.boe.es/gazeta/dias/1801/07/14/pdfs/GMD-1801-69.pdf#page=2","Abrir facsímil")</f>
        <v>Abrir facsímil</v>
      </c>
      <c r="K1881" s="15" t="s">
        <v>23</v>
      </c>
    </row>
    <row r="1882" spans="1:11" ht="42" customHeight="1">
      <c r="A1882" s="4" t="s">
        <v>4200</v>
      </c>
      <c r="B1882" s="5" t="s">
        <v>4201</v>
      </c>
      <c r="C1882" s="5" t="s">
        <v>75</v>
      </c>
      <c r="D1882" s="5" t="s">
        <v>76</v>
      </c>
      <c r="E1882" s="5" t="s">
        <v>1436</v>
      </c>
      <c r="F1882" s="9">
        <v>95</v>
      </c>
      <c r="G1882" s="9">
        <v>1037</v>
      </c>
      <c r="H1882" s="5" t="s">
        <v>21</v>
      </c>
      <c r="I1882" s="5" t="s">
        <v>4207</v>
      </c>
      <c r="J1882" s="12" t="str">
        <f>HYPERLINK("https://www.boe.es/gazeta/dias/1801/10/06/pdfs/GMD-1801-95.pdf#page=1","Abrir facsímil")</f>
        <v>Abrir facsímil</v>
      </c>
      <c r="K1882" s="15" t="s">
        <v>23</v>
      </c>
    </row>
    <row r="1883" spans="1:11" ht="42" customHeight="1">
      <c r="A1883" s="4" t="s">
        <v>4208</v>
      </c>
      <c r="B1883" s="5" t="s">
        <v>4209</v>
      </c>
      <c r="C1883" s="5" t="s">
        <v>75</v>
      </c>
      <c r="D1883" s="5" t="s">
        <v>76</v>
      </c>
      <c r="E1883" s="5" t="s">
        <v>465</v>
      </c>
      <c r="F1883" s="9">
        <v>4</v>
      </c>
      <c r="G1883" s="9">
        <v>38</v>
      </c>
      <c r="H1883" s="5" t="s">
        <v>21</v>
      </c>
      <c r="I1883" s="5" t="s">
        <v>4210</v>
      </c>
      <c r="J1883" s="12" t="str">
        <f>HYPERLINK("https://www.boe.es/gazeta/dias/1801/01/13/pdfs/GMD-1801-4.pdf#page=2","Abrir facsímil")</f>
        <v>Abrir facsímil</v>
      </c>
      <c r="K1883" s="15" t="s">
        <v>23</v>
      </c>
    </row>
    <row r="1884" spans="1:11" ht="42" customHeight="1">
      <c r="A1884" s="4" t="s">
        <v>4211</v>
      </c>
      <c r="B1884" s="5" t="s">
        <v>4212</v>
      </c>
      <c r="C1884" s="5" t="s">
        <v>38</v>
      </c>
      <c r="D1884" s="5" t="s">
        <v>39</v>
      </c>
      <c r="E1884" s="5" t="s">
        <v>90</v>
      </c>
      <c r="F1884" s="9">
        <v>1</v>
      </c>
      <c r="G1884" s="9">
        <v>9</v>
      </c>
      <c r="H1884" s="5" t="s">
        <v>21</v>
      </c>
      <c r="I1884" s="5" t="s">
        <v>4213</v>
      </c>
      <c r="J1884" s="12" t="str">
        <f>HYPERLINK("https://www.boe.es/gazeta/dias/1801/01/02/pdfs/GMD-1801-1.pdf#page=9","Abrir facsímil")</f>
        <v>Abrir facsímil</v>
      </c>
      <c r="K1884" s="15" t="s">
        <v>23</v>
      </c>
    </row>
    <row r="1885" spans="1:11" ht="42" customHeight="1">
      <c r="A1885" s="4" t="s">
        <v>4214</v>
      </c>
      <c r="B1885" s="5" t="s">
        <v>4214</v>
      </c>
      <c r="C1885" s="5" t="s">
        <v>32</v>
      </c>
      <c r="D1885" s="5" t="s">
        <v>33</v>
      </c>
      <c r="E1885" s="5" t="s">
        <v>131</v>
      </c>
      <c r="F1885" s="9">
        <v>22</v>
      </c>
      <c r="G1885" s="9">
        <v>293</v>
      </c>
      <c r="H1885" s="5" t="s">
        <v>21</v>
      </c>
      <c r="I1885" s="5" t="s">
        <v>4215</v>
      </c>
      <c r="J1885" s="12" t="str">
        <f>HYPERLINK("https://www.boe.es/gazeta/dias/1801/03/17/pdfs/GMD-1801-22.pdf#page=10","Abrir facsímil")</f>
        <v>Abrir facsímil</v>
      </c>
      <c r="K1885" s="15" t="s">
        <v>23</v>
      </c>
    </row>
    <row r="1886" spans="1:11" ht="42" customHeight="1">
      <c r="A1886" s="4" t="s">
        <v>4216</v>
      </c>
      <c r="B1886" s="5" t="s">
        <v>4217</v>
      </c>
      <c r="C1886" s="5" t="s">
        <v>32</v>
      </c>
      <c r="D1886" s="5" t="s">
        <v>33</v>
      </c>
      <c r="E1886" s="5" t="s">
        <v>120</v>
      </c>
      <c r="F1886" s="9">
        <v>7</v>
      </c>
      <c r="G1886" s="9">
        <v>85</v>
      </c>
      <c r="H1886" s="5" t="s">
        <v>21</v>
      </c>
      <c r="I1886" s="5" t="s">
        <v>4218</v>
      </c>
      <c r="J1886" s="12" t="str">
        <f>HYPERLINK("https://www.boe.es/gazeta/dias/1801/01/23/pdfs/GMD-1801-7.pdf#page=9","Abrir facsímil")</f>
        <v>Abrir facsímil</v>
      </c>
      <c r="K1886" s="15" t="s">
        <v>23</v>
      </c>
    </row>
    <row r="1887" spans="1:11" ht="42" customHeight="1">
      <c r="A1887" s="4" t="s">
        <v>4219</v>
      </c>
      <c r="B1887" s="5" t="s">
        <v>4220</v>
      </c>
      <c r="C1887" s="5" t="s">
        <v>32</v>
      </c>
      <c r="D1887" s="5" t="s">
        <v>33</v>
      </c>
      <c r="E1887" s="5" t="s">
        <v>256</v>
      </c>
      <c r="F1887" s="9">
        <v>78</v>
      </c>
      <c r="G1887" s="9">
        <v>881</v>
      </c>
      <c r="H1887" s="5" t="s">
        <v>21</v>
      </c>
      <c r="I1887" s="5" t="s">
        <v>4221</v>
      </c>
      <c r="J1887" s="12" t="str">
        <f>HYPERLINK("https://www.boe.es/gazeta/dias/1801/08/14/pdfs/GMD-1801-78.pdf#page=10","Abrir facsímil")</f>
        <v>Abrir facsímil</v>
      </c>
      <c r="K1887" s="15" t="s">
        <v>23</v>
      </c>
    </row>
    <row r="1888" spans="1:11" ht="42" customHeight="1">
      <c r="A1888" s="4" t="s">
        <v>4219</v>
      </c>
      <c r="B1888" s="5" t="s">
        <v>4220</v>
      </c>
      <c r="C1888" s="5" t="s">
        <v>32</v>
      </c>
      <c r="D1888" s="5" t="s">
        <v>33</v>
      </c>
      <c r="E1888" s="5" t="s">
        <v>349</v>
      </c>
      <c r="F1888" s="9">
        <v>112</v>
      </c>
      <c r="G1888" s="9">
        <v>1226</v>
      </c>
      <c r="H1888" s="5" t="s">
        <v>21</v>
      </c>
      <c r="I1888" s="5" t="s">
        <v>4222</v>
      </c>
      <c r="J1888" s="12" t="str">
        <f>HYPERLINK("https://www.boe.es/gazeta/dias/1801/12/04/pdfs/GMD-1801-112.pdf#page=7","Abrir facsímil")</f>
        <v>Abrir facsímil</v>
      </c>
      <c r="K1888" s="15" t="s">
        <v>23</v>
      </c>
    </row>
    <row r="1889" spans="1:11" ht="42" customHeight="1">
      <c r="A1889" s="4" t="s">
        <v>4223</v>
      </c>
      <c r="B1889" s="5" t="s">
        <v>4224</v>
      </c>
      <c r="C1889" s="5" t="s">
        <v>32</v>
      </c>
      <c r="D1889" s="5" t="s">
        <v>33</v>
      </c>
      <c r="E1889" s="5" t="s">
        <v>321</v>
      </c>
      <c r="F1889" s="9">
        <v>3</v>
      </c>
      <c r="G1889" s="9">
        <v>33</v>
      </c>
      <c r="H1889" s="5" t="s">
        <v>21</v>
      </c>
      <c r="I1889" s="5" t="s">
        <v>4225</v>
      </c>
      <c r="J1889" s="12" t="str">
        <f>HYPERLINK("https://www.boe.es/gazeta/dias/1801/01/09/pdfs/GMD-1801-3.pdf#page=9","Abrir facsímil")</f>
        <v>Abrir facsímil</v>
      </c>
      <c r="K1889" s="15" t="s">
        <v>23</v>
      </c>
    </row>
    <row r="1890" spans="1:11" ht="42" customHeight="1">
      <c r="A1890" s="4" t="s">
        <v>4226</v>
      </c>
      <c r="B1890" s="5" t="s">
        <v>4227</v>
      </c>
      <c r="C1890" s="5" t="s">
        <v>38</v>
      </c>
      <c r="D1890" s="5" t="s">
        <v>39</v>
      </c>
      <c r="E1890" s="5" t="s">
        <v>1436</v>
      </c>
      <c r="F1890" s="9">
        <v>95</v>
      </c>
      <c r="G1890" s="9">
        <v>1039</v>
      </c>
      <c r="H1890" s="5" t="s">
        <v>21</v>
      </c>
      <c r="I1890" s="5" t="s">
        <v>4228</v>
      </c>
      <c r="J1890" s="12" t="str">
        <f>HYPERLINK("https://www.boe.es/gazeta/dias/1801/10/06/pdfs/GMD-1801-95.pdf#page=3","Abrir facsímil")</f>
        <v>Abrir facsímil</v>
      </c>
      <c r="K1890" s="15" t="s">
        <v>23</v>
      </c>
    </row>
    <row r="1891" spans="1:11" ht="42" customHeight="1">
      <c r="A1891" s="4" t="s">
        <v>4229</v>
      </c>
      <c r="B1891" s="5" t="s">
        <v>4230</v>
      </c>
      <c r="C1891" s="5" t="s">
        <v>32</v>
      </c>
      <c r="D1891" s="5" t="s">
        <v>33</v>
      </c>
      <c r="E1891" s="5" t="s">
        <v>888</v>
      </c>
      <c r="F1891" s="9">
        <v>103</v>
      </c>
      <c r="G1891" s="9">
        <v>1130</v>
      </c>
      <c r="H1891" s="5" t="s">
        <v>21</v>
      </c>
      <c r="I1891" s="5" t="s">
        <v>4231</v>
      </c>
      <c r="J1891" s="12" t="str">
        <f>HYPERLINK("https://www.boe.es/gazeta/dias/1801/11/03/pdfs/GMD-1801-103.pdf#page=3","Abrir facsímil")</f>
        <v>Abrir facsímil</v>
      </c>
      <c r="K1891" s="15" t="s">
        <v>23</v>
      </c>
    </row>
    <row r="1892" spans="1:11" ht="42" customHeight="1">
      <c r="A1892" s="4" t="s">
        <v>4232</v>
      </c>
      <c r="B1892" s="5" t="s">
        <v>4232</v>
      </c>
      <c r="C1892" s="5" t="s">
        <v>80</v>
      </c>
      <c r="D1892" s="5" t="s">
        <v>81</v>
      </c>
      <c r="E1892" s="5" t="s">
        <v>289</v>
      </c>
      <c r="F1892" s="9">
        <v>40</v>
      </c>
      <c r="G1892" s="9" t="s">
        <v>86</v>
      </c>
      <c r="H1892" s="5" t="s">
        <v>21</v>
      </c>
      <c r="I1892" s="5" t="s">
        <v>4233</v>
      </c>
      <c r="J1892" s="12" t="str">
        <f>HYPERLINK("https://www.boe.es/gazeta/dias/1801/05/19/pdfs/GMD-C-1801-40.pdf#page=3","Abrir facsímil")</f>
        <v>Abrir facsímil</v>
      </c>
      <c r="K1892" s="15" t="s">
        <v>23</v>
      </c>
    </row>
    <row r="1893" spans="1:11" ht="42" customHeight="1">
      <c r="A1893" s="4" t="s">
        <v>4234</v>
      </c>
      <c r="B1893" s="5" t="s">
        <v>4235</v>
      </c>
      <c r="C1893" s="5" t="s">
        <v>38</v>
      </c>
      <c r="D1893" s="5" t="s">
        <v>39</v>
      </c>
      <c r="E1893" s="5" t="s">
        <v>186</v>
      </c>
      <c r="F1893" s="9">
        <v>21</v>
      </c>
      <c r="G1893" s="9">
        <v>279</v>
      </c>
      <c r="H1893" s="5" t="s">
        <v>21</v>
      </c>
      <c r="I1893" s="5" t="s">
        <v>4236</v>
      </c>
      <c r="J1893" s="12" t="str">
        <f>HYPERLINK("https://www.boe.es/gazeta/dias/1801/03/13/pdfs/GMD-1801-21.pdf#page=8","Abrir facsímil")</f>
        <v>Abrir facsímil</v>
      </c>
      <c r="K1893" s="15" t="s">
        <v>23</v>
      </c>
    </row>
    <row r="1894" spans="1:11" ht="42" customHeight="1">
      <c r="A1894" s="4" t="s">
        <v>4234</v>
      </c>
      <c r="B1894" s="5" t="s">
        <v>4235</v>
      </c>
      <c r="C1894" s="5" t="s">
        <v>32</v>
      </c>
      <c r="D1894" s="5" t="s">
        <v>33</v>
      </c>
      <c r="E1894" s="5" t="s">
        <v>448</v>
      </c>
      <c r="F1894" s="9">
        <v>35</v>
      </c>
      <c r="G1894" s="9">
        <v>454</v>
      </c>
      <c r="H1894" s="5" t="s">
        <v>21</v>
      </c>
      <c r="I1894" s="5" t="s">
        <v>4237</v>
      </c>
      <c r="J1894" s="12" t="str">
        <f>HYPERLINK("https://www.boe.es/gazeta/dias/1801/05/01/pdfs/GMD-1801-35.pdf#page=10","Abrir facsímil")</f>
        <v>Abrir facsímil</v>
      </c>
      <c r="K1894" s="15" t="s">
        <v>23</v>
      </c>
    </row>
    <row r="1895" spans="1:11" ht="42" customHeight="1">
      <c r="A1895" s="4" t="s">
        <v>4234</v>
      </c>
      <c r="B1895" s="5" t="s">
        <v>4235</v>
      </c>
      <c r="C1895" s="5" t="s">
        <v>38</v>
      </c>
      <c r="D1895" s="5" t="s">
        <v>39</v>
      </c>
      <c r="E1895" s="5" t="s">
        <v>108</v>
      </c>
      <c r="F1895" s="9">
        <v>61</v>
      </c>
      <c r="G1895" s="9">
        <v>697</v>
      </c>
      <c r="H1895" s="5" t="s">
        <v>21</v>
      </c>
      <c r="I1895" s="5" t="s">
        <v>4238</v>
      </c>
      <c r="J1895" s="12" t="str">
        <f>HYPERLINK("https://www.boe.es/gazeta/dias/1801/06/30/pdfs/GMD-1801-61.pdf#page=6","Abrir facsímil")</f>
        <v>Abrir facsímil</v>
      </c>
      <c r="K1895" s="15" t="s">
        <v>23</v>
      </c>
    </row>
    <row r="1896" spans="1:11" ht="42" customHeight="1">
      <c r="A1896" s="4" t="s">
        <v>4239</v>
      </c>
      <c r="B1896" s="5" t="s">
        <v>4240</v>
      </c>
      <c r="C1896" s="5" t="s">
        <v>80</v>
      </c>
      <c r="D1896" s="5" t="s">
        <v>81</v>
      </c>
      <c r="E1896" s="5" t="s">
        <v>82</v>
      </c>
      <c r="F1896" s="9">
        <v>75</v>
      </c>
      <c r="G1896" s="9" t="s">
        <v>299</v>
      </c>
      <c r="H1896" s="5" t="s">
        <v>21</v>
      </c>
      <c r="I1896" s="5" t="s">
        <v>4241</v>
      </c>
      <c r="J1896" s="12" t="str">
        <f>HYPERLINK("https://www.boe.es/gazeta/dias/1801/08/04/pdfs/GMD-C-1801-75.pdf#page=5","Abrir facsímil")</f>
        <v>Abrir facsímil</v>
      </c>
      <c r="K1896" s="15" t="s">
        <v>23</v>
      </c>
    </row>
    <row r="1897" spans="1:11" ht="42" customHeight="1">
      <c r="A1897" s="4" t="s">
        <v>4242</v>
      </c>
      <c r="B1897" s="5" t="s">
        <v>4242</v>
      </c>
      <c r="C1897" s="5" t="s">
        <v>69</v>
      </c>
      <c r="D1897" s="5" t="s">
        <v>19</v>
      </c>
      <c r="E1897" s="5" t="s">
        <v>366</v>
      </c>
      <c r="F1897" s="9">
        <v>86</v>
      </c>
      <c r="G1897" s="9">
        <v>956</v>
      </c>
      <c r="H1897" s="5" t="s">
        <v>21</v>
      </c>
      <c r="I1897" s="5" t="s">
        <v>4243</v>
      </c>
      <c r="J1897" s="12" t="str">
        <f>HYPERLINK("https://www.boe.es/gazeta/dias/1801/09/08/pdfs/GMD-1801-86.pdf#page=7","Abrir facsímil")</f>
        <v>Abrir facsímil</v>
      </c>
      <c r="K1897" s="15" t="s">
        <v>23</v>
      </c>
    </row>
    <row r="1898" spans="1:11" ht="42" customHeight="1">
      <c r="A1898" s="4" t="s">
        <v>4244</v>
      </c>
      <c r="B1898" s="5" t="s">
        <v>4245</v>
      </c>
      <c r="C1898" s="5" t="s">
        <v>32</v>
      </c>
      <c r="D1898" s="5" t="s">
        <v>33</v>
      </c>
      <c r="E1898" s="5" t="s">
        <v>275</v>
      </c>
      <c r="F1898" s="9">
        <v>9</v>
      </c>
      <c r="G1898" s="9">
        <v>106</v>
      </c>
      <c r="H1898" s="5" t="s">
        <v>21</v>
      </c>
      <c r="I1898" s="5" t="s">
        <v>4246</v>
      </c>
      <c r="J1898" s="12" t="str">
        <f>HYPERLINK("https://www.boe.es/gazeta/dias/1801/01/30/pdfs/GMD-1801-9.pdf#page=3","Abrir facsímil")</f>
        <v>Abrir facsímil</v>
      </c>
      <c r="K1898" s="15" t="s">
        <v>23</v>
      </c>
    </row>
    <row r="1899" spans="1:11" ht="42" customHeight="1">
      <c r="A1899" s="4" t="s">
        <v>4247</v>
      </c>
      <c r="B1899" s="5" t="s">
        <v>4248</v>
      </c>
      <c r="C1899" s="5" t="s">
        <v>75</v>
      </c>
      <c r="D1899" s="5" t="s">
        <v>76</v>
      </c>
      <c r="E1899" s="5" t="s">
        <v>40</v>
      </c>
      <c r="F1899" s="9">
        <v>63</v>
      </c>
      <c r="G1899" s="9">
        <v>704</v>
      </c>
      <c r="H1899" s="5" t="s">
        <v>21</v>
      </c>
      <c r="I1899" s="5" t="s">
        <v>4249</v>
      </c>
      <c r="J1899" s="12" t="str">
        <f>HYPERLINK("https://www.boe.es/gazeta/dias/1801/07/03/pdfs/GMD-1801-63.pdf#page=1","Abrir facsímil")</f>
        <v>Abrir facsímil</v>
      </c>
      <c r="K1899" s="15" t="s">
        <v>23</v>
      </c>
    </row>
    <row r="1900" spans="1:11" ht="42" customHeight="1">
      <c r="A1900" s="4" t="s">
        <v>4250</v>
      </c>
      <c r="B1900" s="5" t="s">
        <v>4251</v>
      </c>
      <c r="C1900" s="5" t="s">
        <v>32</v>
      </c>
      <c r="D1900" s="5" t="s">
        <v>33</v>
      </c>
      <c r="E1900" s="5" t="s">
        <v>28</v>
      </c>
      <c r="F1900" s="9">
        <v>77</v>
      </c>
      <c r="G1900" s="9">
        <v>866</v>
      </c>
      <c r="H1900" s="5" t="s">
        <v>21</v>
      </c>
      <c r="I1900" s="5" t="s">
        <v>4252</v>
      </c>
      <c r="J1900" s="12" t="str">
        <f>HYPERLINK("https://www.boe.es/gazeta/dias/1801/08/11/pdfs/GMD-1801-77.pdf#page=11","Abrir facsímil")</f>
        <v>Abrir facsímil</v>
      </c>
      <c r="K1900" s="15" t="s">
        <v>23</v>
      </c>
    </row>
    <row r="1901" spans="1:11" ht="42" customHeight="1">
      <c r="A1901" s="4" t="s">
        <v>4253</v>
      </c>
      <c r="B1901" s="5" t="s">
        <v>4254</v>
      </c>
      <c r="C1901" s="5" t="s">
        <v>32</v>
      </c>
      <c r="D1901" s="5" t="s">
        <v>33</v>
      </c>
      <c r="E1901" s="5" t="s">
        <v>321</v>
      </c>
      <c r="F1901" s="9">
        <v>3</v>
      </c>
      <c r="G1901" s="9">
        <v>33</v>
      </c>
      <c r="H1901" s="5" t="s">
        <v>21</v>
      </c>
      <c r="I1901" s="5" t="s">
        <v>4255</v>
      </c>
      <c r="J1901" s="12" t="str">
        <f>HYPERLINK("https://www.boe.es/gazeta/dias/1801/01/09/pdfs/GMD-1801-3.pdf#page=9","Abrir facsímil")</f>
        <v>Abrir facsímil</v>
      </c>
      <c r="K1901" s="15" t="s">
        <v>23</v>
      </c>
    </row>
    <row r="1902" spans="1:11" ht="42" customHeight="1">
      <c r="A1902" s="4" t="s">
        <v>4256</v>
      </c>
      <c r="B1902" s="5" t="s">
        <v>4257</v>
      </c>
      <c r="C1902" s="5" t="s">
        <v>18</v>
      </c>
      <c r="D1902" s="5" t="s">
        <v>19</v>
      </c>
      <c r="E1902" s="5" t="s">
        <v>924</v>
      </c>
      <c r="F1902" s="9">
        <v>90</v>
      </c>
      <c r="G1902" s="9">
        <v>991</v>
      </c>
      <c r="H1902" s="5" t="s">
        <v>21</v>
      </c>
      <c r="I1902" s="5" t="s">
        <v>4258</v>
      </c>
      <c r="J1902" s="12" t="str">
        <f>HYPERLINK("https://www.boe.es/gazeta/dias/1801/09/18/pdfs/GMD-1801-90.pdf#page=6","Abrir facsímil")</f>
        <v>Abrir facsímil</v>
      </c>
      <c r="K1902" s="15" t="s">
        <v>23</v>
      </c>
    </row>
    <row r="1903" spans="1:11" ht="42" customHeight="1">
      <c r="A1903" s="4" t="s">
        <v>4259</v>
      </c>
      <c r="B1903" s="5" t="s">
        <v>4260</v>
      </c>
      <c r="C1903" s="5" t="s">
        <v>75</v>
      </c>
      <c r="D1903" s="5" t="s">
        <v>76</v>
      </c>
      <c r="E1903" s="5" t="s">
        <v>781</v>
      </c>
      <c r="F1903" s="9">
        <v>14</v>
      </c>
      <c r="G1903" s="9">
        <v>170</v>
      </c>
      <c r="H1903" s="5" t="s">
        <v>21</v>
      </c>
      <c r="I1903" s="5" t="s">
        <v>4261</v>
      </c>
      <c r="J1903" s="12" t="str">
        <f>HYPERLINK("https://www.boe.es/gazeta/dias/1801/02/17/pdfs/GMD-1801-14.pdf#page=5","Abrir facsímil")</f>
        <v>Abrir facsímil</v>
      </c>
      <c r="K1903" s="15" t="s">
        <v>23</v>
      </c>
    </row>
    <row r="1904" spans="1:11" ht="42" customHeight="1">
      <c r="A1904" s="4" t="s">
        <v>4259</v>
      </c>
      <c r="B1904" s="5" t="s">
        <v>4260</v>
      </c>
      <c r="C1904" s="5" t="s">
        <v>75</v>
      </c>
      <c r="D1904" s="5" t="s">
        <v>76</v>
      </c>
      <c r="E1904" s="5" t="s">
        <v>182</v>
      </c>
      <c r="F1904" s="9">
        <v>18</v>
      </c>
      <c r="G1904" s="9">
        <v>223</v>
      </c>
      <c r="H1904" s="5" t="s">
        <v>21</v>
      </c>
      <c r="I1904" s="5" t="s">
        <v>4262</v>
      </c>
      <c r="J1904" s="12" t="str">
        <f>HYPERLINK("https://www.boe.es/gazeta/dias/1801/03/03/pdfs/GMD-1801-18.pdf#page=4","Abrir facsímil")</f>
        <v>Abrir facsímil</v>
      </c>
      <c r="K1904" s="15" t="s">
        <v>23</v>
      </c>
    </row>
    <row r="1905" spans="1:11" ht="42" customHeight="1">
      <c r="A1905" s="4" t="s">
        <v>4259</v>
      </c>
      <c r="B1905" s="5" t="s">
        <v>4260</v>
      </c>
      <c r="C1905" s="5" t="s">
        <v>75</v>
      </c>
      <c r="D1905" s="5" t="s">
        <v>76</v>
      </c>
      <c r="E1905" s="5" t="s">
        <v>94</v>
      </c>
      <c r="F1905" s="9">
        <v>19</v>
      </c>
      <c r="G1905" s="9">
        <v>240</v>
      </c>
      <c r="H1905" s="5" t="s">
        <v>21</v>
      </c>
      <c r="I1905" s="5" t="s">
        <v>4263</v>
      </c>
      <c r="J1905" s="12" t="str">
        <f>HYPERLINK("https://www.boe.es/gazeta/dias/1801/03/06/pdfs/GMD-1801-19.pdf#page=5","Abrir facsímil")</f>
        <v>Abrir facsímil</v>
      </c>
      <c r="K1905" s="15" t="s">
        <v>23</v>
      </c>
    </row>
    <row r="1906" spans="1:11" ht="42" customHeight="1">
      <c r="A1906" s="4" t="s">
        <v>4259</v>
      </c>
      <c r="B1906" s="5" t="s">
        <v>4260</v>
      </c>
      <c r="C1906" s="5" t="s">
        <v>32</v>
      </c>
      <c r="D1906" s="5" t="s">
        <v>33</v>
      </c>
      <c r="E1906" s="5" t="s">
        <v>186</v>
      </c>
      <c r="F1906" s="9">
        <v>21</v>
      </c>
      <c r="G1906" s="9">
        <v>278</v>
      </c>
      <c r="H1906" s="5" t="s">
        <v>21</v>
      </c>
      <c r="I1906" s="5" t="s">
        <v>4264</v>
      </c>
      <c r="J1906" s="12" t="str">
        <f>HYPERLINK("https://www.boe.es/gazeta/dias/1801/03/13/pdfs/GMD-1801-21.pdf#page=7","Abrir facsímil")</f>
        <v>Abrir facsímil</v>
      </c>
      <c r="K1906" s="15" t="s">
        <v>23</v>
      </c>
    </row>
    <row r="1907" spans="1:11" ht="42" customHeight="1">
      <c r="A1907" s="4" t="s">
        <v>4259</v>
      </c>
      <c r="B1907" s="5" t="s">
        <v>4260</v>
      </c>
      <c r="C1907" s="5" t="s">
        <v>75</v>
      </c>
      <c r="D1907" s="5" t="s">
        <v>76</v>
      </c>
      <c r="E1907" s="5" t="s">
        <v>135</v>
      </c>
      <c r="F1907" s="9">
        <v>24</v>
      </c>
      <c r="G1907" s="9">
        <v>314</v>
      </c>
      <c r="H1907" s="5" t="s">
        <v>21</v>
      </c>
      <c r="I1907" s="5" t="s">
        <v>4265</v>
      </c>
      <c r="J1907" s="12" t="str">
        <f>HYPERLINK("https://www.boe.es/gazeta/dias/1801/03/24/pdfs/GMD-1801-24.pdf#page=5","Abrir facsímil")</f>
        <v>Abrir facsímil</v>
      </c>
      <c r="K1907" s="15" t="s">
        <v>23</v>
      </c>
    </row>
    <row r="1908" spans="1:11" ht="42" customHeight="1">
      <c r="A1908" s="4" t="s">
        <v>4266</v>
      </c>
      <c r="B1908" s="5" t="s">
        <v>4266</v>
      </c>
      <c r="C1908" s="5" t="s">
        <v>32</v>
      </c>
      <c r="D1908" s="5" t="s">
        <v>33</v>
      </c>
      <c r="E1908" s="5" t="s">
        <v>2237</v>
      </c>
      <c r="F1908" s="9">
        <v>82</v>
      </c>
      <c r="G1908" s="9">
        <v>917</v>
      </c>
      <c r="H1908" s="5" t="s">
        <v>21</v>
      </c>
      <c r="I1908" s="5" t="s">
        <v>4267</v>
      </c>
      <c r="J1908" s="12" t="str">
        <f>HYPERLINK("https://www.boe.es/gazeta/dias/1801/08/28/pdfs/GMD-1801-82.pdf#page=6","Abrir facsímil")</f>
        <v>Abrir facsímil</v>
      </c>
      <c r="K1908" s="15" t="s">
        <v>23</v>
      </c>
    </row>
    <row r="1909" spans="1:11" ht="42" customHeight="1">
      <c r="A1909" s="4" t="s">
        <v>4268</v>
      </c>
      <c r="B1909" s="5" t="s">
        <v>4268</v>
      </c>
      <c r="C1909" s="5" t="s">
        <v>32</v>
      </c>
      <c r="D1909" s="5" t="s">
        <v>33</v>
      </c>
      <c r="E1909" s="5" t="s">
        <v>120</v>
      </c>
      <c r="F1909" s="9">
        <v>7</v>
      </c>
      <c r="G1909" s="9">
        <v>84</v>
      </c>
      <c r="H1909" s="5" t="s">
        <v>21</v>
      </c>
      <c r="I1909" s="5" t="s">
        <v>4269</v>
      </c>
      <c r="J1909" s="12" t="str">
        <f>HYPERLINK("https://www.boe.es/gazeta/dias/1801/01/23/pdfs/GMD-1801-7.pdf#page=8","Abrir facsímil")</f>
        <v>Abrir facsímil</v>
      </c>
      <c r="K1909" s="15" t="s">
        <v>23</v>
      </c>
    </row>
    <row r="1910" spans="1:11" ht="42" customHeight="1">
      <c r="A1910" s="4" t="s">
        <v>4270</v>
      </c>
      <c r="B1910" s="5" t="s">
        <v>4271</v>
      </c>
      <c r="C1910" s="5" t="s">
        <v>38</v>
      </c>
      <c r="D1910" s="5" t="s">
        <v>39</v>
      </c>
      <c r="E1910" s="5" t="s">
        <v>215</v>
      </c>
      <c r="F1910" s="9">
        <v>71</v>
      </c>
      <c r="G1910" s="9">
        <v>789</v>
      </c>
      <c r="H1910" s="5" t="s">
        <v>21</v>
      </c>
      <c r="I1910" s="5" t="s">
        <v>4272</v>
      </c>
      <c r="J1910" s="12" t="str">
        <f>HYPERLINK("https://www.boe.es/gazeta/dias/1801/07/21/pdfs/GMD-1801-71.pdf#page=10","Abrir facsímil")</f>
        <v>Abrir facsímil</v>
      </c>
      <c r="K1910" s="15" t="s">
        <v>23</v>
      </c>
    </row>
    <row r="1911" spans="1:11" ht="42" customHeight="1">
      <c r="A1911" s="4" t="s">
        <v>4273</v>
      </c>
      <c r="B1911" s="5" t="s">
        <v>4274</v>
      </c>
      <c r="C1911" s="5" t="s">
        <v>69</v>
      </c>
      <c r="D1911" s="5" t="s">
        <v>19</v>
      </c>
      <c r="E1911" s="5" t="s">
        <v>165</v>
      </c>
      <c r="F1911" s="9">
        <v>59</v>
      </c>
      <c r="G1911" s="9">
        <v>675</v>
      </c>
      <c r="H1911" s="5" t="s">
        <v>21</v>
      </c>
      <c r="I1911" s="5" t="s">
        <v>4275</v>
      </c>
      <c r="J1911" s="12" t="str">
        <f>HYPERLINK("https://www.boe.es/gazeta/dias/1801/06/23/pdfs/GMD-1801-59.pdf#page=8","Abrir facsímil")</f>
        <v>Abrir facsímil</v>
      </c>
      <c r="K1911" s="15" t="s">
        <v>23</v>
      </c>
    </row>
    <row r="1912" spans="1:11" ht="42" customHeight="1">
      <c r="A1912" s="4" t="s">
        <v>4276</v>
      </c>
      <c r="B1912" s="5" t="s">
        <v>4277</v>
      </c>
      <c r="C1912" s="5" t="s">
        <v>32</v>
      </c>
      <c r="D1912" s="5" t="s">
        <v>33</v>
      </c>
      <c r="E1912" s="5" t="s">
        <v>275</v>
      </c>
      <c r="F1912" s="9">
        <v>9</v>
      </c>
      <c r="G1912" s="9">
        <v>104</v>
      </c>
      <c r="H1912" s="5" t="s">
        <v>21</v>
      </c>
      <c r="I1912" s="5" t="s">
        <v>4278</v>
      </c>
      <c r="J1912" s="12" t="str">
        <f>HYPERLINK("https://www.boe.es/gazeta/dias/1801/01/30/pdfs/GMD-1801-9.pdf#page=1","Abrir facsímil")</f>
        <v>Abrir facsímil</v>
      </c>
      <c r="K1912" s="15" t="s">
        <v>23</v>
      </c>
    </row>
    <row r="1913" spans="1:11" ht="42" customHeight="1">
      <c r="A1913" s="4" t="s">
        <v>4279</v>
      </c>
      <c r="B1913" s="5" t="s">
        <v>4280</v>
      </c>
      <c r="C1913" s="5" t="s">
        <v>80</v>
      </c>
      <c r="D1913" s="5" t="s">
        <v>81</v>
      </c>
      <c r="E1913" s="5" t="s">
        <v>82</v>
      </c>
      <c r="F1913" s="9">
        <v>75</v>
      </c>
      <c r="G1913" s="9" t="s">
        <v>299</v>
      </c>
      <c r="H1913" s="5" t="s">
        <v>21</v>
      </c>
      <c r="I1913" s="5" t="s">
        <v>4281</v>
      </c>
      <c r="J1913" s="12" t="str">
        <f>HYPERLINK("https://www.boe.es/gazeta/dias/1801/08/04/pdfs/GMD-C-1801-75.pdf#page=5","Abrir facsímil")</f>
        <v>Abrir facsímil</v>
      </c>
      <c r="K1913" s="15" t="s">
        <v>23</v>
      </c>
    </row>
    <row r="1914" spans="1:11" ht="42" customHeight="1">
      <c r="A1914" s="4" t="s">
        <v>4282</v>
      </c>
      <c r="B1914" s="5" t="s">
        <v>4283</v>
      </c>
      <c r="C1914" s="5" t="s">
        <v>32</v>
      </c>
      <c r="D1914" s="5" t="s">
        <v>33</v>
      </c>
      <c r="E1914" s="5" t="s">
        <v>924</v>
      </c>
      <c r="F1914" s="9">
        <v>90</v>
      </c>
      <c r="G1914" s="9">
        <v>992</v>
      </c>
      <c r="H1914" s="5" t="s">
        <v>21</v>
      </c>
      <c r="I1914" s="5" t="s">
        <v>4284</v>
      </c>
      <c r="J1914" s="12" t="str">
        <f>HYPERLINK("https://www.boe.es/gazeta/dias/1801/09/18/pdfs/GMD-1801-90.pdf#page=7","Abrir facsímil")</f>
        <v>Abrir facsímil</v>
      </c>
      <c r="K1914" s="15" t="s">
        <v>23</v>
      </c>
    </row>
    <row r="1915" spans="1:11" ht="42" customHeight="1">
      <c r="A1915" s="4" t="s">
        <v>4285</v>
      </c>
      <c r="B1915" s="5" t="s">
        <v>4286</v>
      </c>
      <c r="C1915" s="5" t="s">
        <v>32</v>
      </c>
      <c r="D1915" s="5" t="s">
        <v>33</v>
      </c>
      <c r="E1915" s="5" t="s">
        <v>34</v>
      </c>
      <c r="F1915" s="9">
        <v>38</v>
      </c>
      <c r="G1915" s="9">
        <v>494</v>
      </c>
      <c r="H1915" s="5" t="s">
        <v>21</v>
      </c>
      <c r="I1915" s="5" t="s">
        <v>4287</v>
      </c>
      <c r="J1915" s="12" t="str">
        <f>HYPERLINK("https://www.boe.es/gazeta/dias/1801/05/12/pdfs/GMD-1801-38.pdf#page=10","Abrir facsímil")</f>
        <v>Abrir facsímil</v>
      </c>
      <c r="K1915" s="15" t="s">
        <v>23</v>
      </c>
    </row>
    <row r="1916" spans="1:11" ht="42" customHeight="1">
      <c r="A1916" s="4" t="s">
        <v>4288</v>
      </c>
      <c r="B1916" s="5" t="s">
        <v>4288</v>
      </c>
      <c r="C1916" s="5" t="s">
        <v>18</v>
      </c>
      <c r="D1916" s="5" t="s">
        <v>19</v>
      </c>
      <c r="E1916" s="5" t="s">
        <v>352</v>
      </c>
      <c r="F1916" s="9">
        <v>43</v>
      </c>
      <c r="G1916" s="9">
        <v>539</v>
      </c>
      <c r="H1916" s="5" t="s">
        <v>21</v>
      </c>
      <c r="I1916" s="5" t="s">
        <v>4289</v>
      </c>
      <c r="J1916" s="12" t="str">
        <f>HYPERLINK("https://www.boe.es/gazeta/dias/1801/05/26/pdfs/GMD-1801-43.pdf#page=11","Abrir facsímil")</f>
        <v>Abrir facsímil</v>
      </c>
      <c r="K1916" s="15" t="s">
        <v>23</v>
      </c>
    </row>
    <row r="1917" spans="1:11" ht="42" customHeight="1">
      <c r="A1917" s="4" t="s">
        <v>4290</v>
      </c>
      <c r="B1917" s="5" t="s">
        <v>4291</v>
      </c>
      <c r="C1917" s="5" t="s">
        <v>75</v>
      </c>
      <c r="D1917" s="5" t="s">
        <v>76</v>
      </c>
      <c r="E1917" s="5" t="s">
        <v>251</v>
      </c>
      <c r="F1917" s="9">
        <v>66</v>
      </c>
      <c r="G1917" s="9">
        <v>738</v>
      </c>
      <c r="H1917" s="5" t="s">
        <v>21</v>
      </c>
      <c r="I1917" s="5" t="s">
        <v>4292</v>
      </c>
      <c r="J1917" s="12" t="str">
        <f>HYPERLINK("https://www.boe.es/gazeta/dias/1801/07/10/pdfs/GMD-1801-66.pdf#page=3","Abrir facsímil")</f>
        <v>Abrir facsímil</v>
      </c>
      <c r="K1917" s="15" t="s">
        <v>23</v>
      </c>
    </row>
    <row r="1918" spans="1:11" ht="42" customHeight="1">
      <c r="A1918" s="4" t="s">
        <v>4293</v>
      </c>
      <c r="B1918" s="5" t="s">
        <v>4294</v>
      </c>
      <c r="C1918" s="5" t="s">
        <v>80</v>
      </c>
      <c r="D1918" s="5" t="s">
        <v>81</v>
      </c>
      <c r="E1918" s="5" t="s">
        <v>82</v>
      </c>
      <c r="F1918" s="9">
        <v>75</v>
      </c>
      <c r="G1918" s="9" t="s">
        <v>83</v>
      </c>
      <c r="H1918" s="5" t="s">
        <v>21</v>
      </c>
      <c r="I1918" s="5" t="s">
        <v>4295</v>
      </c>
      <c r="J1918" s="12" t="str">
        <f>HYPERLINK("https://www.boe.es/gazeta/dias/1801/08/04/pdfs/GMD-C-1801-75.pdf#page=2","Abrir facsímil")</f>
        <v>Abrir facsímil</v>
      </c>
      <c r="K1918" s="15" t="s">
        <v>23</v>
      </c>
    </row>
    <row r="1919" spans="1:11" ht="42" customHeight="1">
      <c r="A1919" s="4" t="s">
        <v>4296</v>
      </c>
      <c r="B1919" s="5" t="s">
        <v>4297</v>
      </c>
      <c r="C1919" s="5" t="s">
        <v>80</v>
      </c>
      <c r="D1919" s="5" t="s">
        <v>81</v>
      </c>
      <c r="E1919" s="5" t="s">
        <v>82</v>
      </c>
      <c r="F1919" s="9">
        <v>75</v>
      </c>
      <c r="G1919" s="9" t="s">
        <v>996</v>
      </c>
      <c r="H1919" s="5" t="s">
        <v>21</v>
      </c>
      <c r="I1919" s="5" t="s">
        <v>4298</v>
      </c>
      <c r="J1919" s="12" t="str">
        <f>HYPERLINK("https://www.boe.es/gazeta/dias/1801/08/04/pdfs/GMD-C-1801-75.pdf#page=6","Abrir facsímil")</f>
        <v>Abrir facsímil</v>
      </c>
      <c r="K1919" s="15" t="s">
        <v>23</v>
      </c>
    </row>
    <row r="1920" spans="1:11" ht="42" customHeight="1">
      <c r="A1920" s="4" t="s">
        <v>4299</v>
      </c>
      <c r="B1920" s="5" t="s">
        <v>4300</v>
      </c>
      <c r="C1920" s="5" t="s">
        <v>32</v>
      </c>
      <c r="D1920" s="5" t="s">
        <v>33</v>
      </c>
      <c r="E1920" s="5" t="s">
        <v>66</v>
      </c>
      <c r="F1920" s="9">
        <v>52</v>
      </c>
      <c r="G1920" s="9">
        <v>608</v>
      </c>
      <c r="H1920" s="5" t="s">
        <v>21</v>
      </c>
      <c r="I1920" s="5" t="s">
        <v>4301</v>
      </c>
      <c r="J1920" s="12" t="str">
        <f>HYPERLINK("https://www.boe.es/gazeta/dias/1801/06/12/pdfs/GMD-1801-52.pdf#page=7","Abrir facsímil")</f>
        <v>Abrir facsímil</v>
      </c>
      <c r="K1920" s="15" t="s">
        <v>23</v>
      </c>
    </row>
    <row r="1921" spans="1:11" ht="42" customHeight="1">
      <c r="A1921" s="4" t="s">
        <v>4302</v>
      </c>
      <c r="B1921" s="5" t="s">
        <v>4302</v>
      </c>
      <c r="C1921" s="5" t="s">
        <v>26</v>
      </c>
      <c r="D1921" s="5" t="s">
        <v>27</v>
      </c>
      <c r="E1921" s="5" t="s">
        <v>1085</v>
      </c>
      <c r="F1921" s="9">
        <v>99</v>
      </c>
      <c r="G1921" s="9">
        <v>1090</v>
      </c>
      <c r="H1921" s="5" t="s">
        <v>21</v>
      </c>
      <c r="I1921" s="5" t="s">
        <v>4303</v>
      </c>
      <c r="J1921" s="12" t="str">
        <f>HYPERLINK("https://www.boe.es/gazeta/dias/1801/10/20/pdfs/GMD-1801-99.pdf#page=7","Abrir facsímil")</f>
        <v>Abrir facsímil</v>
      </c>
      <c r="K1921" s="15" t="s">
        <v>23</v>
      </c>
    </row>
    <row r="1922" spans="1:11" ht="42" customHeight="1">
      <c r="A1922" s="4" t="s">
        <v>4304</v>
      </c>
      <c r="B1922" s="5" t="s">
        <v>4305</v>
      </c>
      <c r="C1922" s="5" t="s">
        <v>32</v>
      </c>
      <c r="D1922" s="5" t="s">
        <v>33</v>
      </c>
      <c r="E1922" s="5" t="s">
        <v>131</v>
      </c>
      <c r="F1922" s="9">
        <v>22</v>
      </c>
      <c r="G1922" s="9">
        <v>289</v>
      </c>
      <c r="H1922" s="5" t="s">
        <v>21</v>
      </c>
      <c r="I1922" s="5" t="s">
        <v>4306</v>
      </c>
      <c r="J1922" s="12" t="str">
        <f>HYPERLINK("https://www.boe.es/gazeta/dias/1801/03/17/pdfs/GMD-1801-22.pdf#page=6","Abrir facsímil")</f>
        <v>Abrir facsímil</v>
      </c>
      <c r="K1922" s="15" t="s">
        <v>23</v>
      </c>
    </row>
    <row r="1923" spans="1:11" ht="42" customHeight="1">
      <c r="A1923" s="4" t="s">
        <v>4307</v>
      </c>
      <c r="B1923" s="5" t="s">
        <v>4307</v>
      </c>
      <c r="C1923" s="5" t="s">
        <v>32</v>
      </c>
      <c r="D1923" s="5" t="s">
        <v>33</v>
      </c>
      <c r="E1923" s="5" t="s">
        <v>615</v>
      </c>
      <c r="F1923" s="9">
        <v>72</v>
      </c>
      <c r="G1923" s="9">
        <v>801</v>
      </c>
      <c r="H1923" s="5" t="s">
        <v>21</v>
      </c>
      <c r="I1923" s="5" t="s">
        <v>4308</v>
      </c>
      <c r="J1923" s="12" t="str">
        <f>HYPERLINK("https://www.boe.es/gazeta/dias/1801/07/24/pdfs/GMD-1801-72.pdf#page=6","Abrir facsímil")</f>
        <v>Abrir facsímil</v>
      </c>
      <c r="K1923" s="15" t="s">
        <v>23</v>
      </c>
    </row>
    <row r="1924" spans="1:11" ht="42" customHeight="1">
      <c r="A1924" s="4" t="s">
        <v>4309</v>
      </c>
      <c r="B1924" s="5" t="s">
        <v>4310</v>
      </c>
      <c r="C1924" s="5" t="s">
        <v>75</v>
      </c>
      <c r="D1924" s="5" t="s">
        <v>76</v>
      </c>
      <c r="E1924" s="5" t="s">
        <v>935</v>
      </c>
      <c r="F1924" s="9">
        <v>116</v>
      </c>
      <c r="G1924" s="9">
        <v>1268</v>
      </c>
      <c r="H1924" s="5" t="s">
        <v>21</v>
      </c>
      <c r="I1924" s="5" t="s">
        <v>4311</v>
      </c>
      <c r="J1924" s="12" t="str">
        <f>HYPERLINK("https://www.boe.es/gazeta/dias/1801/12/18/pdfs/GMD-1801-116.pdf#page=10","Abrir facsímil")</f>
        <v>Abrir facsímil</v>
      </c>
      <c r="K1924" s="15" t="s">
        <v>23</v>
      </c>
    </row>
    <row r="1925" spans="1:11" ht="42" customHeight="1">
      <c r="A1925" s="4" t="s">
        <v>4312</v>
      </c>
      <c r="B1925" s="5" t="s">
        <v>4313</v>
      </c>
      <c r="C1925" s="5" t="s">
        <v>32</v>
      </c>
      <c r="D1925" s="5" t="s">
        <v>33</v>
      </c>
      <c r="E1925" s="5" t="s">
        <v>465</v>
      </c>
      <c r="F1925" s="9">
        <v>4</v>
      </c>
      <c r="G1925" s="9">
        <v>46</v>
      </c>
      <c r="H1925" s="5" t="s">
        <v>21</v>
      </c>
      <c r="I1925" s="5" t="s">
        <v>4314</v>
      </c>
      <c r="J1925" s="12" t="str">
        <f>HYPERLINK("https://www.boe.es/gazeta/dias/1801/01/13/pdfs/GMD-1801-4.pdf#page=10","Abrir facsímil")</f>
        <v>Abrir facsímil</v>
      </c>
      <c r="K1925" s="15" t="s">
        <v>23</v>
      </c>
    </row>
    <row r="1926" spans="1:11" ht="42" customHeight="1">
      <c r="A1926" s="4" t="s">
        <v>4315</v>
      </c>
      <c r="B1926" s="5" t="s">
        <v>4316</v>
      </c>
      <c r="C1926" s="5" t="s">
        <v>18</v>
      </c>
      <c r="D1926" s="5" t="s">
        <v>19</v>
      </c>
      <c r="E1926" s="5" t="s">
        <v>55</v>
      </c>
      <c r="F1926" s="9">
        <v>104</v>
      </c>
      <c r="G1926" s="9">
        <v>1146</v>
      </c>
      <c r="H1926" s="5" t="s">
        <v>21</v>
      </c>
      <c r="I1926" s="5" t="s">
        <v>4317</v>
      </c>
      <c r="J1926" s="12" t="str">
        <f>HYPERLINK("https://www.boe.es/gazeta/dias/1801/11/06/pdfs/GMD-1801-104.pdf#page=7","Abrir facsímil")</f>
        <v>Abrir facsímil</v>
      </c>
      <c r="K1926" s="15" t="s">
        <v>23</v>
      </c>
    </row>
    <row r="1927" spans="1:11" ht="42" customHeight="1">
      <c r="A1927" s="4" t="s">
        <v>4318</v>
      </c>
      <c r="B1927" s="5" t="s">
        <v>4319</v>
      </c>
      <c r="C1927" s="5" t="s">
        <v>32</v>
      </c>
      <c r="D1927" s="5" t="s">
        <v>33</v>
      </c>
      <c r="E1927" s="5" t="s">
        <v>44</v>
      </c>
      <c r="F1927" s="9">
        <v>117</v>
      </c>
      <c r="G1927" s="9">
        <v>1282</v>
      </c>
      <c r="H1927" s="5" t="s">
        <v>21</v>
      </c>
      <c r="I1927" s="5" t="s">
        <v>4320</v>
      </c>
      <c r="J1927" s="12" t="str">
        <f>HYPERLINK("https://www.boe.es/gazeta/dias/1801/12/22/pdfs/GMD-1801-117.pdf#page=9","Abrir facsímil")</f>
        <v>Abrir facsímil</v>
      </c>
      <c r="K1927" s="15" t="s">
        <v>23</v>
      </c>
    </row>
    <row r="1928" spans="1:11" ht="42" customHeight="1">
      <c r="A1928" s="4" t="s">
        <v>4321</v>
      </c>
      <c r="B1928" s="5" t="s">
        <v>4322</v>
      </c>
      <c r="C1928" s="5" t="s">
        <v>32</v>
      </c>
      <c r="D1928" s="5" t="s">
        <v>33</v>
      </c>
      <c r="E1928" s="5" t="s">
        <v>313</v>
      </c>
      <c r="F1928" s="9">
        <v>39</v>
      </c>
      <c r="G1928" s="9">
        <v>505</v>
      </c>
      <c r="H1928" s="5" t="s">
        <v>21</v>
      </c>
      <c r="I1928" s="5" t="s">
        <v>4323</v>
      </c>
      <c r="J1928" s="12" t="str">
        <f>HYPERLINK("https://www.boe.es/gazeta/dias/1801/05/15/pdfs/GMD-1801-39.pdf#page=9","Abrir facsímil")</f>
        <v>Abrir facsímil</v>
      </c>
      <c r="K1928" s="15" t="s">
        <v>23</v>
      </c>
    </row>
    <row r="1929" spans="1:11" ht="42" customHeight="1">
      <c r="A1929" s="4" t="s">
        <v>4324</v>
      </c>
      <c r="B1929" s="5" t="s">
        <v>4325</v>
      </c>
      <c r="C1929" s="5" t="s">
        <v>69</v>
      </c>
      <c r="D1929" s="5" t="s">
        <v>19</v>
      </c>
      <c r="E1929" s="5" t="s">
        <v>352</v>
      </c>
      <c r="F1929" s="9">
        <v>43</v>
      </c>
      <c r="G1929" s="9">
        <v>538</v>
      </c>
      <c r="H1929" s="5" t="s">
        <v>21</v>
      </c>
      <c r="I1929" s="5" t="s">
        <v>4326</v>
      </c>
      <c r="J1929" s="12" t="str">
        <f>HYPERLINK("https://www.boe.es/gazeta/dias/1801/05/26/pdfs/GMD-1801-43.pdf#page=10","Abrir facsímil")</f>
        <v>Abrir facsímil</v>
      </c>
      <c r="K1929" s="15" t="s">
        <v>23</v>
      </c>
    </row>
    <row r="1930" spans="1:11" ht="42" customHeight="1">
      <c r="A1930" s="4" t="s">
        <v>4327</v>
      </c>
      <c r="B1930" s="5" t="s">
        <v>4328</v>
      </c>
      <c r="C1930" s="5" t="s">
        <v>80</v>
      </c>
      <c r="D1930" s="5" t="s">
        <v>81</v>
      </c>
      <c r="E1930" s="5" t="s">
        <v>82</v>
      </c>
      <c r="F1930" s="9">
        <v>75</v>
      </c>
      <c r="G1930" s="9" t="s">
        <v>86</v>
      </c>
      <c r="H1930" s="5" t="s">
        <v>21</v>
      </c>
      <c r="I1930" s="5" t="s">
        <v>4329</v>
      </c>
      <c r="J1930" s="12" t="str">
        <f>HYPERLINK("https://www.boe.es/gazeta/dias/1801/08/04/pdfs/GMD-C-1801-75.pdf#page=3","Abrir facsímil")</f>
        <v>Abrir facsímil</v>
      </c>
      <c r="K1930" s="15" t="s">
        <v>23</v>
      </c>
    </row>
    <row r="1931" spans="1:11" ht="42" customHeight="1">
      <c r="A1931" s="4" t="s">
        <v>4330</v>
      </c>
      <c r="B1931" s="5" t="s">
        <v>4331</v>
      </c>
      <c r="C1931" s="5" t="s">
        <v>18</v>
      </c>
      <c r="D1931" s="5" t="s">
        <v>19</v>
      </c>
      <c r="E1931" s="5" t="s">
        <v>90</v>
      </c>
      <c r="F1931" s="9">
        <v>1</v>
      </c>
      <c r="G1931" s="9">
        <v>12</v>
      </c>
      <c r="H1931" s="5" t="s">
        <v>21</v>
      </c>
      <c r="I1931" s="5" t="s">
        <v>4332</v>
      </c>
      <c r="J1931" s="12" t="str">
        <f>HYPERLINK("https://www.boe.es/gazeta/dias/1801/01/02/pdfs/GMD-1801-1.pdf#page=12","Abrir facsímil")</f>
        <v>Abrir facsímil</v>
      </c>
      <c r="K1931" s="15" t="s">
        <v>23</v>
      </c>
    </row>
    <row r="1932" spans="1:11" ht="42" customHeight="1">
      <c r="A1932" s="4" t="s">
        <v>4330</v>
      </c>
      <c r="B1932" s="5" t="s">
        <v>4331</v>
      </c>
      <c r="C1932" s="5" t="s">
        <v>38</v>
      </c>
      <c r="D1932" s="5" t="s">
        <v>39</v>
      </c>
      <c r="E1932" s="5" t="s">
        <v>781</v>
      </c>
      <c r="F1932" s="9">
        <v>14</v>
      </c>
      <c r="G1932" s="9">
        <v>173</v>
      </c>
      <c r="H1932" s="5" t="s">
        <v>21</v>
      </c>
      <c r="I1932" s="5" t="s">
        <v>4333</v>
      </c>
      <c r="J1932" s="12" t="str">
        <f>HYPERLINK("https://www.boe.es/gazeta/dias/1801/02/17/pdfs/GMD-1801-14.pdf#page=8","Abrir facsímil")</f>
        <v>Abrir facsímil</v>
      </c>
      <c r="K1932" s="15" t="s">
        <v>23</v>
      </c>
    </row>
    <row r="1933" spans="1:11" ht="42" customHeight="1">
      <c r="A1933" s="4" t="s">
        <v>4334</v>
      </c>
      <c r="B1933" s="5" t="s">
        <v>4335</v>
      </c>
      <c r="C1933" s="5" t="s">
        <v>32</v>
      </c>
      <c r="D1933" s="5" t="s">
        <v>33</v>
      </c>
      <c r="E1933" s="5" t="s">
        <v>179</v>
      </c>
      <c r="F1933" s="9">
        <v>11</v>
      </c>
      <c r="G1933" s="9">
        <v>137</v>
      </c>
      <c r="H1933" s="5" t="s">
        <v>21</v>
      </c>
      <c r="I1933" s="5" t="s">
        <v>4336</v>
      </c>
      <c r="J1933" s="12" t="str">
        <f>HYPERLINK("https://www.boe.es/gazeta/dias/1801/02/06/pdfs/GMD-1801-11.pdf#page=10","Abrir facsímil")</f>
        <v>Abrir facsímil</v>
      </c>
      <c r="K1933" s="15" t="s">
        <v>23</v>
      </c>
    </row>
    <row r="1934" spans="1:11" ht="42" customHeight="1">
      <c r="A1934" s="4" t="s">
        <v>4337</v>
      </c>
      <c r="B1934" s="5" t="s">
        <v>4338</v>
      </c>
      <c r="C1934" s="5" t="s">
        <v>18</v>
      </c>
      <c r="D1934" s="5" t="s">
        <v>19</v>
      </c>
      <c r="E1934" s="5" t="s">
        <v>1939</v>
      </c>
      <c r="F1934" s="9">
        <v>107</v>
      </c>
      <c r="G1934" s="9">
        <v>1178</v>
      </c>
      <c r="H1934" s="5" t="s">
        <v>21</v>
      </c>
      <c r="I1934" s="5" t="s">
        <v>4339</v>
      </c>
      <c r="J1934" s="12" t="str">
        <f>HYPERLINK("https://www.boe.es/gazeta/dias/1801/11/17/pdfs/GMD-1801-107.pdf#page=7","Abrir facsímil")</f>
        <v>Abrir facsímil</v>
      </c>
      <c r="K1934" s="15" t="s">
        <v>23</v>
      </c>
    </row>
    <row r="1935" spans="1:11" ht="42" customHeight="1">
      <c r="A1935" s="4" t="s">
        <v>4340</v>
      </c>
      <c r="B1935" s="5" t="s">
        <v>4341</v>
      </c>
      <c r="C1935" s="5" t="s">
        <v>38</v>
      </c>
      <c r="D1935" s="5" t="s">
        <v>39</v>
      </c>
      <c r="E1935" s="5" t="s">
        <v>215</v>
      </c>
      <c r="F1935" s="9">
        <v>71</v>
      </c>
      <c r="G1935" s="9">
        <v>787</v>
      </c>
      <c r="H1935" s="5" t="s">
        <v>21</v>
      </c>
      <c r="I1935" s="5" t="s">
        <v>4342</v>
      </c>
      <c r="J1935" s="12" t="str">
        <f>HYPERLINK("https://www.boe.es/gazeta/dias/1801/07/21/pdfs/GMD-1801-71.pdf#page=8","Abrir facsímil")</f>
        <v>Abrir facsímil</v>
      </c>
      <c r="K1935" s="15" t="s">
        <v>23</v>
      </c>
    </row>
    <row r="1936" spans="1:11" ht="42" customHeight="1">
      <c r="A1936" s="4" t="s">
        <v>4343</v>
      </c>
      <c r="B1936" s="5" t="s">
        <v>4344</v>
      </c>
      <c r="C1936" s="5" t="s">
        <v>69</v>
      </c>
      <c r="D1936" s="5" t="s">
        <v>19</v>
      </c>
      <c r="E1936" s="5" t="s">
        <v>158</v>
      </c>
      <c r="F1936" s="9">
        <v>55</v>
      </c>
      <c r="G1936" s="9">
        <v>632</v>
      </c>
      <c r="H1936" s="5" t="s">
        <v>21</v>
      </c>
      <c r="I1936" s="5" t="s">
        <v>4345</v>
      </c>
      <c r="J1936" s="12" t="str">
        <f>HYPERLINK("https://www.boe.es/gazeta/dias/1801/06/16/pdfs/GMD-1801-55.pdf#page=8","Abrir facsímil")</f>
        <v>Abrir facsímil</v>
      </c>
      <c r="K1936" s="15" t="s">
        <v>23</v>
      </c>
    </row>
    <row r="1937" spans="1:11" ht="42" customHeight="1">
      <c r="A1937" s="4" t="s">
        <v>4346</v>
      </c>
      <c r="B1937" s="5" t="s">
        <v>4347</v>
      </c>
      <c r="C1937" s="5" t="s">
        <v>69</v>
      </c>
      <c r="D1937" s="5" t="s">
        <v>19</v>
      </c>
      <c r="E1937" s="5" t="s">
        <v>171</v>
      </c>
      <c r="F1937" s="9">
        <v>76</v>
      </c>
      <c r="G1937" s="9">
        <v>852</v>
      </c>
      <c r="H1937" s="5" t="s">
        <v>21</v>
      </c>
      <c r="I1937" s="5" t="s">
        <v>4348</v>
      </c>
      <c r="J1937" s="12" t="str">
        <f>HYPERLINK("https://www.boe.es/gazeta/dias/1801/08/07/pdfs/GMD-1801-76.pdf#page=9","Abrir facsímil")</f>
        <v>Abrir facsímil</v>
      </c>
      <c r="K1937" s="15" t="s">
        <v>23</v>
      </c>
    </row>
    <row r="1938" spans="1:11" ht="42" customHeight="1">
      <c r="A1938" s="4" t="s">
        <v>4349</v>
      </c>
      <c r="B1938" s="5" t="s">
        <v>4350</v>
      </c>
      <c r="C1938" s="5" t="s">
        <v>1481</v>
      </c>
      <c r="D1938" s="5" t="s">
        <v>1482</v>
      </c>
      <c r="E1938" s="5" t="s">
        <v>1487</v>
      </c>
      <c r="F1938" s="9" t="s">
        <v>1488</v>
      </c>
      <c r="G1938" s="9">
        <v>644</v>
      </c>
      <c r="H1938" s="5" t="s">
        <v>21</v>
      </c>
      <c r="I1938" s="5" t="s">
        <v>4351</v>
      </c>
      <c r="J1938" s="12" t="str">
        <f>HYPERLINK("https://www.boe.es/gazeta/dias/1801/06/17/pdfs/GMD-1801-56E.pdf#page=4","Abrir facsímil")</f>
        <v>Abrir facsímil</v>
      </c>
      <c r="K1938" s="15" t="s">
        <v>23</v>
      </c>
    </row>
    <row r="1939" spans="1:11" ht="42" customHeight="1">
      <c r="A1939" s="4" t="s">
        <v>4352</v>
      </c>
      <c r="B1939" s="5" t="s">
        <v>4353</v>
      </c>
      <c r="C1939" s="5" t="s">
        <v>38</v>
      </c>
      <c r="D1939" s="5" t="s">
        <v>39</v>
      </c>
      <c r="E1939" s="5" t="s">
        <v>112</v>
      </c>
      <c r="F1939" s="9">
        <v>114</v>
      </c>
      <c r="G1939" s="9">
        <v>1250</v>
      </c>
      <c r="H1939" s="5" t="s">
        <v>21</v>
      </c>
      <c r="I1939" s="5" t="s">
        <v>4354</v>
      </c>
      <c r="J1939" s="12" t="str">
        <f>HYPERLINK("https://www.boe.es/gazeta/dias/1801/12/11/pdfs/GMD-1801-114.pdf#page=12","Abrir facsímil")</f>
        <v>Abrir facsímil</v>
      </c>
      <c r="K1939" s="15" t="s">
        <v>23</v>
      </c>
    </row>
    <row r="1940" spans="1:11" ht="42" customHeight="1">
      <c r="A1940" s="4" t="s">
        <v>4355</v>
      </c>
      <c r="B1940" s="5" t="s">
        <v>4356</v>
      </c>
      <c r="C1940" s="5" t="s">
        <v>32</v>
      </c>
      <c r="D1940" s="5" t="s">
        <v>33</v>
      </c>
      <c r="E1940" s="5" t="s">
        <v>349</v>
      </c>
      <c r="F1940" s="9">
        <v>112</v>
      </c>
      <c r="G1940" s="9">
        <v>1225</v>
      </c>
      <c r="H1940" s="5" t="s">
        <v>21</v>
      </c>
      <c r="I1940" s="5" t="s">
        <v>4357</v>
      </c>
      <c r="J1940" s="12" t="str">
        <f>HYPERLINK("https://www.boe.es/gazeta/dias/1801/12/04/pdfs/GMD-1801-112.pdf#page=6","Abrir facsímil")</f>
        <v>Abrir facsímil</v>
      </c>
      <c r="K1940" s="15" t="s">
        <v>23</v>
      </c>
    </row>
    <row r="1941" spans="1:11" ht="42" customHeight="1">
      <c r="A1941" s="4" t="s">
        <v>4358</v>
      </c>
      <c r="B1941" s="5" t="s">
        <v>4359</v>
      </c>
      <c r="C1941" s="5" t="s">
        <v>18</v>
      </c>
      <c r="D1941" s="5" t="s">
        <v>19</v>
      </c>
      <c r="E1941" s="5" t="s">
        <v>317</v>
      </c>
      <c r="F1941" s="9">
        <v>102</v>
      </c>
      <c r="G1941" s="9">
        <v>1122</v>
      </c>
      <c r="H1941" s="5" t="s">
        <v>21</v>
      </c>
      <c r="I1941" s="5" t="s">
        <v>4360</v>
      </c>
      <c r="J1941" s="12" t="str">
        <f>HYPERLINK("https://www.boe.es/gazeta/dias/1801/10/30/pdfs/GMD-1801-102.pdf#page=7","Abrir facsímil")</f>
        <v>Abrir facsímil</v>
      </c>
      <c r="K1941" s="15" t="s">
        <v>23</v>
      </c>
    </row>
    <row r="1942" spans="1:11" ht="42" customHeight="1">
      <c r="A1942" s="4" t="s">
        <v>4361</v>
      </c>
      <c r="B1942" s="5" t="s">
        <v>4362</v>
      </c>
      <c r="C1942" s="5" t="s">
        <v>32</v>
      </c>
      <c r="D1942" s="5" t="s">
        <v>33</v>
      </c>
      <c r="E1942" s="5" t="s">
        <v>48</v>
      </c>
      <c r="F1942" s="9">
        <v>20</v>
      </c>
      <c r="G1942" s="9">
        <v>266</v>
      </c>
      <c r="H1942" s="5" t="s">
        <v>21</v>
      </c>
      <c r="I1942" s="5" t="s">
        <v>4363</v>
      </c>
      <c r="J1942" s="12" t="str">
        <f>HYPERLINK("https://www.boe.es/gazeta/dias/1801/03/10/pdfs/GMD-1801-20.pdf#page=11","Abrir facsímil")</f>
        <v>Abrir facsímil</v>
      </c>
      <c r="K1942" s="15" t="s">
        <v>23</v>
      </c>
    </row>
    <row r="1943" spans="1:11" ht="42" customHeight="1">
      <c r="A1943" s="4" t="s">
        <v>4364</v>
      </c>
      <c r="B1943" s="5" t="s">
        <v>4365</v>
      </c>
      <c r="C1943" s="5" t="s">
        <v>69</v>
      </c>
      <c r="D1943" s="5" t="s">
        <v>19</v>
      </c>
      <c r="E1943" s="5" t="s">
        <v>781</v>
      </c>
      <c r="F1943" s="9">
        <v>14</v>
      </c>
      <c r="G1943" s="9">
        <v>173</v>
      </c>
      <c r="H1943" s="5" t="s">
        <v>21</v>
      </c>
      <c r="I1943" s="5" t="s">
        <v>4366</v>
      </c>
      <c r="J1943" s="12" t="str">
        <f>HYPERLINK("https://www.boe.es/gazeta/dias/1801/02/17/pdfs/GMD-1801-14.pdf#page=8","Abrir facsímil")</f>
        <v>Abrir facsímil</v>
      </c>
      <c r="K1943" s="15" t="s">
        <v>23</v>
      </c>
    </row>
    <row r="1944" spans="1:11" ht="42" customHeight="1">
      <c r="A1944" s="4" t="s">
        <v>4367</v>
      </c>
      <c r="B1944" s="5" t="s">
        <v>4368</v>
      </c>
      <c r="C1944" s="5" t="s">
        <v>69</v>
      </c>
      <c r="D1944" s="5" t="s">
        <v>19</v>
      </c>
      <c r="E1944" s="5" t="s">
        <v>292</v>
      </c>
      <c r="F1944" s="9">
        <v>25</v>
      </c>
      <c r="G1944" s="9">
        <v>331</v>
      </c>
      <c r="H1944" s="5" t="s">
        <v>21</v>
      </c>
      <c r="I1944" s="5" t="s">
        <v>4369</v>
      </c>
      <c r="J1944" s="12" t="str">
        <f>HYPERLINK("https://www.boe.es/gazeta/dias/1801/03/27/pdfs/GMD-1801-25.pdf#page=10","Abrir facsímil")</f>
        <v>Abrir facsímil</v>
      </c>
      <c r="K1944" s="15" t="s">
        <v>23</v>
      </c>
    </row>
    <row r="1945" spans="1:11" ht="42" customHeight="1">
      <c r="A1945" s="4" t="s">
        <v>4370</v>
      </c>
      <c r="B1945" s="5" t="s">
        <v>4371</v>
      </c>
      <c r="C1945" s="5" t="s">
        <v>32</v>
      </c>
      <c r="D1945" s="5" t="s">
        <v>33</v>
      </c>
      <c r="E1945" s="5" t="s">
        <v>122</v>
      </c>
      <c r="F1945" s="9">
        <v>8</v>
      </c>
      <c r="G1945" s="9">
        <v>98</v>
      </c>
      <c r="H1945" s="5" t="s">
        <v>21</v>
      </c>
      <c r="I1945" s="5" t="s">
        <v>4372</v>
      </c>
      <c r="J1945" s="12" t="str">
        <f>HYPERLINK("https://www.boe.es/gazeta/dias/1801/01/27/pdfs/GMD-1801-8.pdf#page=10","Abrir facsímil")</f>
        <v>Abrir facsímil</v>
      </c>
      <c r="K1945" s="15" t="s">
        <v>23</v>
      </c>
    </row>
    <row r="1946" spans="1:11" ht="42" customHeight="1">
      <c r="A1946" s="4" t="s">
        <v>4373</v>
      </c>
      <c r="B1946" s="5" t="s">
        <v>4374</v>
      </c>
      <c r="C1946" s="5" t="s">
        <v>26</v>
      </c>
      <c r="D1946" s="5" t="s">
        <v>27</v>
      </c>
      <c r="E1946" s="5" t="s">
        <v>501</v>
      </c>
      <c r="F1946" s="9">
        <v>115</v>
      </c>
      <c r="G1946" s="9" t="s">
        <v>299</v>
      </c>
      <c r="H1946" s="5" t="s">
        <v>21</v>
      </c>
      <c r="I1946" s="5" t="s">
        <v>4375</v>
      </c>
      <c r="J1946" s="12" t="str">
        <f>HYPERLINK("https://www.boe.es/gazeta/dias/1801/12/15/pdfs/GMD-C-1801-115.pdf#page=5","Abrir facsímil")</f>
        <v>Abrir facsímil</v>
      </c>
      <c r="K1946" s="15" t="s">
        <v>23</v>
      </c>
    </row>
    <row r="1947" spans="1:11" ht="42" customHeight="1">
      <c r="A1947" s="4" t="s">
        <v>4376</v>
      </c>
      <c r="B1947" s="5" t="s">
        <v>4377</v>
      </c>
      <c r="C1947" s="5" t="s">
        <v>18</v>
      </c>
      <c r="D1947" s="5" t="s">
        <v>19</v>
      </c>
      <c r="E1947" s="5" t="s">
        <v>143</v>
      </c>
      <c r="F1947" s="9">
        <v>34</v>
      </c>
      <c r="G1947" s="9">
        <v>440</v>
      </c>
      <c r="H1947" s="5" t="s">
        <v>21</v>
      </c>
      <c r="I1947" s="5" t="s">
        <v>4378</v>
      </c>
      <c r="J1947" s="12" t="str">
        <f>HYPERLINK("https://www.boe.es/gazeta/dias/1801/04/28/pdfs/GMD-1801-34.pdf#page=12","Abrir facsímil")</f>
        <v>Abrir facsímil</v>
      </c>
      <c r="K1947" s="15" t="s">
        <v>23</v>
      </c>
    </row>
    <row r="1948" spans="1:11" ht="42" customHeight="1">
      <c r="A1948" s="4" t="s">
        <v>4379</v>
      </c>
      <c r="B1948" s="5" t="s">
        <v>4380</v>
      </c>
      <c r="C1948" s="5" t="s">
        <v>32</v>
      </c>
      <c r="D1948" s="5" t="s">
        <v>33</v>
      </c>
      <c r="E1948" s="5" t="s">
        <v>131</v>
      </c>
      <c r="F1948" s="9">
        <v>22</v>
      </c>
      <c r="G1948" s="9">
        <v>289</v>
      </c>
      <c r="H1948" s="5" t="s">
        <v>21</v>
      </c>
      <c r="I1948" s="5" t="s">
        <v>4381</v>
      </c>
      <c r="J1948" s="12" t="str">
        <f>HYPERLINK("https://www.boe.es/gazeta/dias/1801/03/17/pdfs/GMD-1801-22.pdf#page=6","Abrir facsímil")</f>
        <v>Abrir facsímil</v>
      </c>
      <c r="K1948" s="15" t="s">
        <v>23</v>
      </c>
    </row>
    <row r="1949" spans="1:11" ht="42" customHeight="1">
      <c r="A1949" s="4" t="s">
        <v>4382</v>
      </c>
      <c r="B1949" s="5" t="s">
        <v>4383</v>
      </c>
      <c r="C1949" s="5" t="s">
        <v>38</v>
      </c>
      <c r="D1949" s="5" t="s">
        <v>39</v>
      </c>
      <c r="E1949" s="5" t="s">
        <v>34</v>
      </c>
      <c r="F1949" s="9">
        <v>38</v>
      </c>
      <c r="G1949" s="9">
        <v>495</v>
      </c>
      <c r="H1949" s="5" t="s">
        <v>21</v>
      </c>
      <c r="I1949" s="5" t="s">
        <v>4384</v>
      </c>
      <c r="J1949" s="12" t="str">
        <f>HYPERLINK("https://www.boe.es/gazeta/dias/1801/05/12/pdfs/GMD-1801-38.pdf#page=11","Abrir facsímil")</f>
        <v>Abrir facsímil</v>
      </c>
      <c r="K1949" s="15" t="s">
        <v>23</v>
      </c>
    </row>
    <row r="1950" spans="1:11" ht="42" customHeight="1">
      <c r="A1950" s="4" t="s">
        <v>4385</v>
      </c>
      <c r="B1950" s="5" t="s">
        <v>4386</v>
      </c>
      <c r="C1950" s="5" t="s">
        <v>38</v>
      </c>
      <c r="D1950" s="5" t="s">
        <v>39</v>
      </c>
      <c r="E1950" s="5" t="s">
        <v>44</v>
      </c>
      <c r="F1950" s="9">
        <v>117</v>
      </c>
      <c r="G1950" s="9">
        <v>1280</v>
      </c>
      <c r="H1950" s="5" t="s">
        <v>21</v>
      </c>
      <c r="I1950" s="5" t="s">
        <v>4387</v>
      </c>
      <c r="J1950" s="12" t="str">
        <f>HYPERLINK("https://www.boe.es/gazeta/dias/1801/12/22/pdfs/GMD-1801-117.pdf#page=7","Abrir facsímil")</f>
        <v>Abrir facsímil</v>
      </c>
      <c r="K1950" s="15" t="s">
        <v>23</v>
      </c>
    </row>
    <row r="1951" spans="1:11" ht="42" customHeight="1">
      <c r="A1951" s="4" t="s">
        <v>4388</v>
      </c>
      <c r="B1951" s="5" t="s">
        <v>4389</v>
      </c>
      <c r="C1951" s="5" t="s">
        <v>38</v>
      </c>
      <c r="D1951" s="5" t="s">
        <v>39</v>
      </c>
      <c r="E1951" s="5" t="s">
        <v>101</v>
      </c>
      <c r="F1951" s="9">
        <v>41</v>
      </c>
      <c r="G1951" s="9">
        <v>523</v>
      </c>
      <c r="H1951" s="5" t="s">
        <v>21</v>
      </c>
      <c r="I1951" s="5" t="s">
        <v>4390</v>
      </c>
      <c r="J1951" s="12" t="str">
        <f>HYPERLINK("https://www.boe.es/gazeta/dias/1801/05/22/pdfs/GMD-1801-41.pdf#page=7","Abrir facsímil")</f>
        <v>Abrir facsímil</v>
      </c>
      <c r="K1951" s="15" t="s">
        <v>23</v>
      </c>
    </row>
    <row r="1952" spans="1:11" ht="42" customHeight="1">
      <c r="A1952" s="4" t="s">
        <v>4391</v>
      </c>
      <c r="B1952" s="5" t="s">
        <v>4392</v>
      </c>
      <c r="C1952" s="5" t="s">
        <v>32</v>
      </c>
      <c r="D1952" s="5" t="s">
        <v>33</v>
      </c>
      <c r="E1952" s="5" t="s">
        <v>155</v>
      </c>
      <c r="F1952" s="9">
        <v>50</v>
      </c>
      <c r="G1952" s="9">
        <v>598</v>
      </c>
      <c r="H1952" s="5" t="s">
        <v>21</v>
      </c>
      <c r="I1952" s="5" t="s">
        <v>4393</v>
      </c>
      <c r="J1952" s="12" t="str">
        <f>HYPERLINK("https://www.boe.es/gazeta/dias/1801/06/09/pdfs/GMD-1801-50.pdf#page=10","Abrir facsímil")</f>
        <v>Abrir facsímil</v>
      </c>
      <c r="K1952" s="15" t="s">
        <v>23</v>
      </c>
    </row>
    <row r="1953" spans="1:11" ht="42" customHeight="1">
      <c r="A1953" s="4" t="s">
        <v>4394</v>
      </c>
      <c r="B1953" s="5" t="s">
        <v>4395</v>
      </c>
      <c r="C1953" s="5" t="s">
        <v>18</v>
      </c>
      <c r="D1953" s="5" t="s">
        <v>19</v>
      </c>
      <c r="E1953" s="5" t="s">
        <v>275</v>
      </c>
      <c r="F1953" s="9">
        <v>9</v>
      </c>
      <c r="G1953" s="9">
        <v>114</v>
      </c>
      <c r="H1953" s="5" t="s">
        <v>21</v>
      </c>
      <c r="I1953" s="5" t="s">
        <v>4396</v>
      </c>
      <c r="J1953" s="12" t="str">
        <f>HYPERLINK("https://www.boe.es/gazeta/dias/1801/01/30/pdfs/GMD-1801-9.pdf#page=11","Abrir facsímil")</f>
        <v>Abrir facsímil</v>
      </c>
      <c r="K1953" s="15" t="s">
        <v>23</v>
      </c>
    </row>
    <row r="1954" spans="1:11" ht="42" customHeight="1">
      <c r="A1954" s="4" t="s">
        <v>4394</v>
      </c>
      <c r="B1954" s="5" t="s">
        <v>4395</v>
      </c>
      <c r="C1954" s="5" t="s">
        <v>32</v>
      </c>
      <c r="D1954" s="5" t="s">
        <v>33</v>
      </c>
      <c r="E1954" s="5" t="s">
        <v>781</v>
      </c>
      <c r="F1954" s="9">
        <v>14</v>
      </c>
      <c r="G1954" s="9">
        <v>174</v>
      </c>
      <c r="H1954" s="5" t="s">
        <v>21</v>
      </c>
      <c r="I1954" s="5" t="s">
        <v>4397</v>
      </c>
      <c r="J1954" s="12" t="str">
        <f>HYPERLINK("https://www.boe.es/gazeta/dias/1801/02/17/pdfs/GMD-1801-14.pdf#page=9","Abrir facsímil")</f>
        <v>Abrir facsímil</v>
      </c>
      <c r="K1954" s="15" t="s">
        <v>23</v>
      </c>
    </row>
    <row r="1955" spans="1:11" ht="42" customHeight="1">
      <c r="A1955" s="4" t="s">
        <v>4398</v>
      </c>
      <c r="B1955" s="5" t="s">
        <v>4399</v>
      </c>
      <c r="C1955" s="5" t="s">
        <v>38</v>
      </c>
      <c r="D1955" s="5" t="s">
        <v>39</v>
      </c>
      <c r="E1955" s="5" t="s">
        <v>44</v>
      </c>
      <c r="F1955" s="9">
        <v>117</v>
      </c>
      <c r="G1955" s="9">
        <v>1282</v>
      </c>
      <c r="H1955" s="5" t="s">
        <v>21</v>
      </c>
      <c r="I1955" s="5" t="s">
        <v>4400</v>
      </c>
      <c r="J1955" s="12" t="str">
        <f>HYPERLINK("https://www.boe.es/gazeta/dias/1801/12/22/pdfs/GMD-1801-117.pdf#page=9","Abrir facsímil")</f>
        <v>Abrir facsímil</v>
      </c>
      <c r="K1955" s="15" t="s">
        <v>23</v>
      </c>
    </row>
    <row r="1956" spans="1:11" ht="42" customHeight="1">
      <c r="A1956" s="4" t="s">
        <v>4401</v>
      </c>
      <c r="B1956" s="5" t="s">
        <v>4402</v>
      </c>
      <c r="C1956" s="5" t="s">
        <v>32</v>
      </c>
      <c r="D1956" s="5" t="s">
        <v>33</v>
      </c>
      <c r="E1956" s="5" t="s">
        <v>313</v>
      </c>
      <c r="F1956" s="9">
        <v>39</v>
      </c>
      <c r="G1956" s="9">
        <v>505</v>
      </c>
      <c r="H1956" s="5" t="s">
        <v>21</v>
      </c>
      <c r="I1956" s="5" t="s">
        <v>4403</v>
      </c>
      <c r="J1956" s="12" t="str">
        <f>HYPERLINK("https://www.boe.es/gazeta/dias/1801/05/15/pdfs/GMD-1801-39.pdf#page=9","Abrir facsímil")</f>
        <v>Abrir facsímil</v>
      </c>
      <c r="K1956" s="15" t="s">
        <v>23</v>
      </c>
    </row>
    <row r="1957" spans="1:11" ht="42" customHeight="1">
      <c r="A1957" s="4" t="s">
        <v>4401</v>
      </c>
      <c r="B1957" s="5" t="s">
        <v>4402</v>
      </c>
      <c r="C1957" s="5" t="s">
        <v>38</v>
      </c>
      <c r="D1957" s="5" t="s">
        <v>39</v>
      </c>
      <c r="E1957" s="5" t="s">
        <v>40</v>
      </c>
      <c r="F1957" s="9">
        <v>63</v>
      </c>
      <c r="G1957" s="9">
        <v>713</v>
      </c>
      <c r="H1957" s="5" t="s">
        <v>21</v>
      </c>
      <c r="I1957" s="5" t="s">
        <v>4404</v>
      </c>
      <c r="J1957" s="12" t="str">
        <f>HYPERLINK("https://www.boe.es/gazeta/dias/1801/07/03/pdfs/GMD-1801-63.pdf#page=10","Abrir facsímil")</f>
        <v>Abrir facsímil</v>
      </c>
      <c r="K1957" s="15" t="s">
        <v>23</v>
      </c>
    </row>
    <row r="1958" spans="1:11" ht="42" customHeight="1">
      <c r="A1958" s="4" t="s">
        <v>4405</v>
      </c>
      <c r="B1958" s="5" t="s">
        <v>4406</v>
      </c>
      <c r="C1958" s="5" t="s">
        <v>32</v>
      </c>
      <c r="D1958" s="5" t="s">
        <v>33</v>
      </c>
      <c r="E1958" s="5" t="s">
        <v>465</v>
      </c>
      <c r="F1958" s="9">
        <v>4</v>
      </c>
      <c r="G1958" s="9">
        <v>46</v>
      </c>
      <c r="H1958" s="5" t="s">
        <v>21</v>
      </c>
      <c r="I1958" s="5" t="s">
        <v>4407</v>
      </c>
      <c r="J1958" s="12" t="str">
        <f>HYPERLINK("https://www.boe.es/gazeta/dias/1801/01/13/pdfs/GMD-1801-4.pdf#page=10","Abrir facsímil")</f>
        <v>Abrir facsímil</v>
      </c>
      <c r="K1958" s="15" t="s">
        <v>23</v>
      </c>
    </row>
    <row r="1959" spans="1:11" ht="42" customHeight="1">
      <c r="A1959" s="4" t="s">
        <v>4408</v>
      </c>
      <c r="B1959" s="5" t="s">
        <v>4409</v>
      </c>
      <c r="C1959" s="5" t="s">
        <v>32</v>
      </c>
      <c r="D1959" s="5" t="s">
        <v>33</v>
      </c>
      <c r="E1959" s="5" t="s">
        <v>448</v>
      </c>
      <c r="F1959" s="9">
        <v>35</v>
      </c>
      <c r="G1959" s="9">
        <v>454</v>
      </c>
      <c r="H1959" s="5" t="s">
        <v>21</v>
      </c>
      <c r="I1959" s="5" t="s">
        <v>4410</v>
      </c>
      <c r="J1959" s="12" t="str">
        <f>HYPERLINK("https://www.boe.es/gazeta/dias/1801/05/01/pdfs/GMD-1801-35.pdf#page=10","Abrir facsímil")</f>
        <v>Abrir facsímil</v>
      </c>
      <c r="K1959" s="15" t="s">
        <v>23</v>
      </c>
    </row>
    <row r="1960" spans="1:11" ht="42" customHeight="1">
      <c r="A1960" s="4" t="s">
        <v>4411</v>
      </c>
      <c r="B1960" s="5" t="s">
        <v>4412</v>
      </c>
      <c r="C1960" s="5" t="s">
        <v>69</v>
      </c>
      <c r="D1960" s="5" t="s">
        <v>19</v>
      </c>
      <c r="E1960" s="5" t="s">
        <v>262</v>
      </c>
      <c r="F1960" s="9">
        <v>109</v>
      </c>
      <c r="G1960" s="9">
        <v>1204</v>
      </c>
      <c r="H1960" s="5" t="s">
        <v>21</v>
      </c>
      <c r="I1960" s="5" t="s">
        <v>4413</v>
      </c>
      <c r="J1960" s="12" t="str">
        <f>HYPERLINK("https://www.boe.es/gazeta/dias/1801/11/24/pdfs/GMD-1801-109.pdf#page=9","Abrir facsímil")</f>
        <v>Abrir facsímil</v>
      </c>
      <c r="K1960" s="15" t="s">
        <v>23</v>
      </c>
    </row>
    <row r="1961" spans="1:11" ht="42" customHeight="1">
      <c r="A1961" s="4" t="s">
        <v>4414</v>
      </c>
      <c r="B1961" s="5" t="s">
        <v>4415</v>
      </c>
      <c r="C1961" s="5" t="s">
        <v>32</v>
      </c>
      <c r="D1961" s="5" t="s">
        <v>33</v>
      </c>
      <c r="E1961" s="5" t="s">
        <v>153</v>
      </c>
      <c r="F1961" s="9">
        <v>48</v>
      </c>
      <c r="G1961" s="9">
        <v>585</v>
      </c>
      <c r="H1961" s="5" t="s">
        <v>21</v>
      </c>
      <c r="I1961" s="5" t="s">
        <v>4416</v>
      </c>
      <c r="J1961" s="12" t="str">
        <f>HYPERLINK("https://www.boe.es/gazeta/dias/1801/06/05/pdfs/GMD-1801-48.pdf#page=7","Abrir facsímil")</f>
        <v>Abrir facsímil</v>
      </c>
      <c r="K1961" s="15" t="s">
        <v>23</v>
      </c>
    </row>
    <row r="1962" spans="1:11" ht="42" customHeight="1">
      <c r="A1962" s="4" t="s">
        <v>4417</v>
      </c>
      <c r="B1962" s="5" t="s">
        <v>4418</v>
      </c>
      <c r="C1962" s="5" t="s">
        <v>32</v>
      </c>
      <c r="D1962" s="5" t="s">
        <v>33</v>
      </c>
      <c r="E1962" s="5" t="s">
        <v>120</v>
      </c>
      <c r="F1962" s="9">
        <v>7</v>
      </c>
      <c r="G1962" s="9">
        <v>85</v>
      </c>
      <c r="H1962" s="5" t="s">
        <v>21</v>
      </c>
      <c r="I1962" s="5" t="s">
        <v>4419</v>
      </c>
      <c r="J1962" s="12" t="str">
        <f>HYPERLINK("https://www.boe.es/gazeta/dias/1801/01/23/pdfs/GMD-1801-7.pdf#page=9","Abrir facsímil")</f>
        <v>Abrir facsímil</v>
      </c>
      <c r="K1962" s="15" t="s">
        <v>23</v>
      </c>
    </row>
    <row r="1963" spans="1:11" ht="42" customHeight="1">
      <c r="A1963" s="4" t="s">
        <v>4420</v>
      </c>
      <c r="B1963" s="5" t="s">
        <v>4421</v>
      </c>
      <c r="C1963" s="5" t="s">
        <v>80</v>
      </c>
      <c r="D1963" s="5" t="s">
        <v>81</v>
      </c>
      <c r="E1963" s="5" t="s">
        <v>289</v>
      </c>
      <c r="F1963" s="9">
        <v>40</v>
      </c>
      <c r="G1963" s="9" t="s">
        <v>996</v>
      </c>
      <c r="H1963" s="5" t="s">
        <v>21</v>
      </c>
      <c r="I1963" s="5" t="s">
        <v>4422</v>
      </c>
      <c r="J1963" s="12" t="str">
        <f>HYPERLINK("https://www.boe.es/gazeta/dias/1801/05/19/pdfs/GMD-C-1801-40.pdf#page=6","Abrir facsímil")</f>
        <v>Abrir facsímil</v>
      </c>
      <c r="K1963" s="15" t="s">
        <v>23</v>
      </c>
    </row>
    <row r="1964" spans="1:11" ht="42" customHeight="1">
      <c r="A1964" s="4" t="s">
        <v>4423</v>
      </c>
      <c r="B1964" s="5" t="s">
        <v>4424</v>
      </c>
      <c r="C1964" s="5" t="s">
        <v>32</v>
      </c>
      <c r="D1964" s="5" t="s">
        <v>33</v>
      </c>
      <c r="E1964" s="5" t="s">
        <v>292</v>
      </c>
      <c r="F1964" s="9">
        <v>25</v>
      </c>
      <c r="G1964" s="9">
        <v>331</v>
      </c>
      <c r="H1964" s="5" t="s">
        <v>21</v>
      </c>
      <c r="I1964" s="5" t="s">
        <v>4425</v>
      </c>
      <c r="J1964" s="12" t="str">
        <f>HYPERLINK("https://www.boe.es/gazeta/dias/1801/03/27/pdfs/GMD-1801-25.pdf#page=10","Abrir facsímil")</f>
        <v>Abrir facsímil</v>
      </c>
      <c r="K1964" s="15" t="s">
        <v>23</v>
      </c>
    </row>
    <row r="1965" spans="1:11" ht="42" customHeight="1">
      <c r="A1965" s="4" t="s">
        <v>4426</v>
      </c>
      <c r="B1965" s="5" t="s">
        <v>4427</v>
      </c>
      <c r="C1965" s="5" t="s">
        <v>32</v>
      </c>
      <c r="D1965" s="5" t="s">
        <v>33</v>
      </c>
      <c r="E1965" s="5" t="s">
        <v>1015</v>
      </c>
      <c r="F1965" s="9">
        <v>15</v>
      </c>
      <c r="G1965" s="9">
        <v>190</v>
      </c>
      <c r="H1965" s="5" t="s">
        <v>21</v>
      </c>
      <c r="I1965" s="5" t="s">
        <v>4428</v>
      </c>
      <c r="J1965" s="12" t="str">
        <f>HYPERLINK("https://www.boe.es/gazeta/dias/1801/02/20/pdfs/GMD-1801-15.pdf#page=9","Abrir facsímil")</f>
        <v>Abrir facsímil</v>
      </c>
      <c r="K1965" s="15" t="s">
        <v>23</v>
      </c>
    </row>
    <row r="1966" spans="1:11" ht="42" customHeight="1">
      <c r="A1966" s="4" t="s">
        <v>4429</v>
      </c>
      <c r="B1966" s="5" t="s">
        <v>4430</v>
      </c>
      <c r="C1966" s="5" t="s">
        <v>32</v>
      </c>
      <c r="D1966" s="5" t="s">
        <v>33</v>
      </c>
      <c r="E1966" s="5" t="s">
        <v>417</v>
      </c>
      <c r="F1966" s="9">
        <v>64</v>
      </c>
      <c r="G1966" s="9">
        <v>729</v>
      </c>
      <c r="H1966" s="5" t="s">
        <v>21</v>
      </c>
      <c r="I1966" s="5" t="s">
        <v>4431</v>
      </c>
      <c r="J1966" s="12" t="str">
        <f>HYPERLINK("https://www.boe.es/gazeta/dias/1801/07/07/pdfs/GMD-1801-64.pdf#page=10","Abrir facsímil")</f>
        <v>Abrir facsímil</v>
      </c>
      <c r="K1966" s="15" t="s">
        <v>23</v>
      </c>
    </row>
    <row r="1967" spans="1:11" ht="42" customHeight="1">
      <c r="A1967" s="4" t="s">
        <v>4432</v>
      </c>
      <c r="B1967" s="5" t="s">
        <v>4433</v>
      </c>
      <c r="C1967" s="5" t="s">
        <v>32</v>
      </c>
      <c r="D1967" s="5" t="s">
        <v>33</v>
      </c>
      <c r="E1967" s="5" t="s">
        <v>155</v>
      </c>
      <c r="F1967" s="9">
        <v>50</v>
      </c>
      <c r="G1967" s="9">
        <v>598</v>
      </c>
      <c r="H1967" s="5" t="s">
        <v>21</v>
      </c>
      <c r="I1967" s="5" t="s">
        <v>4434</v>
      </c>
      <c r="J1967" s="12" t="str">
        <f>HYPERLINK("https://www.boe.es/gazeta/dias/1801/06/09/pdfs/GMD-1801-50.pdf#page=10","Abrir facsímil")</f>
        <v>Abrir facsímil</v>
      </c>
      <c r="K1967" s="15" t="s">
        <v>23</v>
      </c>
    </row>
    <row r="1968" spans="1:11" ht="42" customHeight="1">
      <c r="A1968" s="4" t="s">
        <v>4435</v>
      </c>
      <c r="B1968" s="5" t="s">
        <v>4436</v>
      </c>
      <c r="C1968" s="5" t="s">
        <v>69</v>
      </c>
      <c r="D1968" s="5" t="s">
        <v>19</v>
      </c>
      <c r="E1968" s="5" t="s">
        <v>501</v>
      </c>
      <c r="F1968" s="9">
        <v>115</v>
      </c>
      <c r="G1968" s="9">
        <v>1256</v>
      </c>
      <c r="H1968" s="5" t="s">
        <v>21</v>
      </c>
      <c r="I1968" s="5" t="s">
        <v>4437</v>
      </c>
      <c r="J1968" s="12" t="str">
        <f>HYPERLINK("https://www.boe.es/gazeta/dias/1801/12/15/pdfs/GMD-1801-115.pdf#page=6","Abrir facsímil")</f>
        <v>Abrir facsímil</v>
      </c>
      <c r="K1968" s="15" t="s">
        <v>23</v>
      </c>
    </row>
    <row r="1969" spans="1:11" ht="42" customHeight="1">
      <c r="A1969" s="4" t="s">
        <v>4438</v>
      </c>
      <c r="B1969" s="5" t="s">
        <v>4439</v>
      </c>
      <c r="C1969" s="5" t="s">
        <v>26</v>
      </c>
      <c r="D1969" s="5" t="s">
        <v>27</v>
      </c>
      <c r="E1969" s="5" t="s">
        <v>112</v>
      </c>
      <c r="F1969" s="9">
        <v>114</v>
      </c>
      <c r="G1969" s="9">
        <v>1250</v>
      </c>
      <c r="H1969" s="5" t="s">
        <v>21</v>
      </c>
      <c r="I1969" s="5" t="s">
        <v>4440</v>
      </c>
      <c r="J1969" s="12" t="str">
        <f>HYPERLINK("https://www.boe.es/gazeta/dias/1801/12/11/pdfs/GMD-1801-114.pdf#page=12","Abrir facsímil")</f>
        <v>Abrir facsímil</v>
      </c>
      <c r="K1969" s="15" t="s">
        <v>23</v>
      </c>
    </row>
    <row r="1970" spans="1:11" ht="42" customHeight="1">
      <c r="A1970" s="4" t="s">
        <v>4441</v>
      </c>
      <c r="B1970" s="5" t="s">
        <v>4442</v>
      </c>
      <c r="C1970" s="5" t="s">
        <v>26</v>
      </c>
      <c r="D1970" s="5" t="s">
        <v>27</v>
      </c>
      <c r="E1970" s="5" t="s">
        <v>186</v>
      </c>
      <c r="F1970" s="9">
        <v>21</v>
      </c>
      <c r="G1970" s="9">
        <v>281</v>
      </c>
      <c r="H1970" s="5" t="s">
        <v>21</v>
      </c>
      <c r="I1970" s="5" t="s">
        <v>4443</v>
      </c>
      <c r="J1970" s="12" t="str">
        <f>HYPERLINK("https://www.boe.es/gazeta/dias/1801/03/13/pdfs/GMD-1801-21.pdf#page=10","Abrir facsímil")</f>
        <v>Abrir facsímil</v>
      </c>
      <c r="K1970" s="15" t="s">
        <v>23</v>
      </c>
    </row>
    <row r="1971" spans="1:11" ht="42" customHeight="1">
      <c r="A1971" s="4" t="s">
        <v>4444</v>
      </c>
      <c r="B1971" s="5" t="s">
        <v>4445</v>
      </c>
      <c r="C1971" s="5" t="s">
        <v>515</v>
      </c>
      <c r="D1971" s="5" t="s">
        <v>516</v>
      </c>
      <c r="E1971" s="5" t="s">
        <v>501</v>
      </c>
      <c r="F1971" s="9">
        <v>115</v>
      </c>
      <c r="G1971" s="9" t="s">
        <v>996</v>
      </c>
      <c r="H1971" s="5" t="s">
        <v>21</v>
      </c>
      <c r="I1971" s="5" t="s">
        <v>4446</v>
      </c>
      <c r="J1971" s="12" t="str">
        <f>HYPERLINK("https://www.boe.es/gazeta/dias/1801/12/15/pdfs/GMD-C-1801-115.pdf#page=6","Abrir facsímil")</f>
        <v>Abrir facsímil</v>
      </c>
      <c r="K1971" s="15" t="s">
        <v>23</v>
      </c>
    </row>
    <row r="1972" spans="1:11" ht="42" customHeight="1">
      <c r="A1972" s="4" t="s">
        <v>4447</v>
      </c>
      <c r="B1972" s="5" t="s">
        <v>4448</v>
      </c>
      <c r="C1972" s="5" t="s">
        <v>32</v>
      </c>
      <c r="D1972" s="5" t="s">
        <v>33</v>
      </c>
      <c r="E1972" s="5" t="s">
        <v>145</v>
      </c>
      <c r="F1972" s="9">
        <v>36</v>
      </c>
      <c r="G1972" s="9">
        <v>468</v>
      </c>
      <c r="H1972" s="5" t="s">
        <v>21</v>
      </c>
      <c r="I1972" s="5" t="s">
        <v>4449</v>
      </c>
      <c r="J1972" s="12" t="str">
        <f>HYPERLINK("https://www.boe.es/gazeta/dias/1801/05/05/pdfs/GMD-1801-36.pdf#page=12","Abrir facsímil")</f>
        <v>Abrir facsímil</v>
      </c>
      <c r="K1972" s="15" t="s">
        <v>23</v>
      </c>
    </row>
    <row r="1973" spans="1:11" ht="42" customHeight="1">
      <c r="A1973" s="4" t="s">
        <v>4450</v>
      </c>
      <c r="B1973" s="5" t="s">
        <v>4451</v>
      </c>
      <c r="C1973" s="5" t="s">
        <v>69</v>
      </c>
      <c r="D1973" s="5" t="s">
        <v>19</v>
      </c>
      <c r="E1973" s="5" t="s">
        <v>105</v>
      </c>
      <c r="F1973" s="9">
        <v>44</v>
      </c>
      <c r="G1973" s="9">
        <v>551</v>
      </c>
      <c r="H1973" s="5" t="s">
        <v>21</v>
      </c>
      <c r="I1973" s="5" t="s">
        <v>4452</v>
      </c>
      <c r="J1973" s="12" t="str">
        <f>HYPERLINK("https://www.boe.es/gazeta/dias/1801/05/29/pdfs/GMD-1801-44.pdf#page=11","Abrir facsímil")</f>
        <v>Abrir facsímil</v>
      </c>
      <c r="K1973" s="15" t="s">
        <v>23</v>
      </c>
    </row>
    <row r="1974" spans="1:11" ht="42" customHeight="1">
      <c r="A1974" s="4" t="s">
        <v>4453</v>
      </c>
      <c r="B1974" s="5" t="s">
        <v>4454</v>
      </c>
      <c r="C1974" s="5" t="s">
        <v>32</v>
      </c>
      <c r="D1974" s="5" t="s">
        <v>33</v>
      </c>
      <c r="E1974" s="5" t="s">
        <v>155</v>
      </c>
      <c r="F1974" s="9">
        <v>50</v>
      </c>
      <c r="G1974" s="9">
        <v>598</v>
      </c>
      <c r="H1974" s="5" t="s">
        <v>21</v>
      </c>
      <c r="I1974" s="5" t="s">
        <v>4455</v>
      </c>
      <c r="J1974" s="12" t="str">
        <f>HYPERLINK("https://www.boe.es/gazeta/dias/1801/06/09/pdfs/GMD-1801-50.pdf#page=10","Abrir facsímil")</f>
        <v>Abrir facsímil</v>
      </c>
      <c r="K1974" s="15" t="s">
        <v>23</v>
      </c>
    </row>
    <row r="1975" spans="1:11" ht="42" customHeight="1">
      <c r="A1975" s="4" t="s">
        <v>4456</v>
      </c>
      <c r="B1975" s="5" t="s">
        <v>4457</v>
      </c>
      <c r="C1975" s="5" t="s">
        <v>32</v>
      </c>
      <c r="D1975" s="5" t="s">
        <v>33</v>
      </c>
      <c r="E1975" s="5" t="s">
        <v>155</v>
      </c>
      <c r="F1975" s="9">
        <v>50</v>
      </c>
      <c r="G1975" s="9">
        <v>597</v>
      </c>
      <c r="H1975" s="5" t="s">
        <v>21</v>
      </c>
      <c r="I1975" s="5" t="s">
        <v>4458</v>
      </c>
      <c r="J1975" s="12" t="str">
        <f>HYPERLINK("https://www.boe.es/gazeta/dias/1801/06/09/pdfs/GMD-1801-50.pdf#page=9","Abrir facsímil")</f>
        <v>Abrir facsímil</v>
      </c>
      <c r="K1975" s="15" t="s">
        <v>23</v>
      </c>
    </row>
    <row r="1976" spans="1:11" ht="42" customHeight="1">
      <c r="A1976" s="4" t="s">
        <v>4459</v>
      </c>
      <c r="B1976" s="5" t="s">
        <v>4460</v>
      </c>
      <c r="C1976" s="5" t="s">
        <v>32</v>
      </c>
      <c r="D1976" s="5" t="s">
        <v>33</v>
      </c>
      <c r="E1976" s="5" t="s">
        <v>781</v>
      </c>
      <c r="F1976" s="9">
        <v>14</v>
      </c>
      <c r="G1976" s="9">
        <v>173</v>
      </c>
      <c r="H1976" s="5" t="s">
        <v>21</v>
      </c>
      <c r="I1976" s="5" t="s">
        <v>4461</v>
      </c>
      <c r="J1976" s="12" t="str">
        <f>HYPERLINK("https://www.boe.es/gazeta/dias/1801/02/17/pdfs/GMD-1801-14.pdf#page=8","Abrir facsímil")</f>
        <v>Abrir facsímil</v>
      </c>
      <c r="K1976" s="15" t="s">
        <v>23</v>
      </c>
    </row>
    <row r="1977" spans="1:11" ht="42" customHeight="1">
      <c r="A1977" s="4" t="s">
        <v>4462</v>
      </c>
      <c r="B1977" s="5" t="s">
        <v>4463</v>
      </c>
      <c r="C1977" s="5" t="s">
        <v>26</v>
      </c>
      <c r="D1977" s="5" t="s">
        <v>27</v>
      </c>
      <c r="E1977" s="5" t="s">
        <v>186</v>
      </c>
      <c r="F1977" s="9">
        <v>21</v>
      </c>
      <c r="G1977" s="9">
        <v>281</v>
      </c>
      <c r="H1977" s="5" t="s">
        <v>21</v>
      </c>
      <c r="I1977" s="5" t="s">
        <v>4464</v>
      </c>
      <c r="J1977" s="12" t="str">
        <f>HYPERLINK("https://www.boe.es/gazeta/dias/1801/03/13/pdfs/GMD-1801-21.pdf#page=10","Abrir facsímil")</f>
        <v>Abrir facsímil</v>
      </c>
      <c r="K1977" s="15" t="s">
        <v>23</v>
      </c>
    </row>
    <row r="1978" spans="1:11" ht="42" customHeight="1">
      <c r="A1978" s="4" t="s">
        <v>4465</v>
      </c>
      <c r="B1978" s="5" t="s">
        <v>4466</v>
      </c>
      <c r="C1978" s="5" t="s">
        <v>69</v>
      </c>
      <c r="D1978" s="5" t="s">
        <v>19</v>
      </c>
      <c r="E1978" s="5" t="s">
        <v>501</v>
      </c>
      <c r="F1978" s="9">
        <v>115</v>
      </c>
      <c r="G1978" s="9">
        <v>1256</v>
      </c>
      <c r="H1978" s="5" t="s">
        <v>21</v>
      </c>
      <c r="I1978" s="5" t="s">
        <v>4467</v>
      </c>
      <c r="J1978" s="12" t="str">
        <f>HYPERLINK("https://www.boe.es/gazeta/dias/1801/12/15/pdfs/GMD-1801-115.pdf#page=6","Abrir facsímil")</f>
        <v>Abrir facsímil</v>
      </c>
      <c r="K1978" s="15" t="s">
        <v>23</v>
      </c>
    </row>
    <row r="1979" spans="1:11" ht="42" customHeight="1">
      <c r="A1979" s="4" t="s">
        <v>4468</v>
      </c>
      <c r="B1979" s="5" t="s">
        <v>4469</v>
      </c>
      <c r="C1979" s="5" t="s">
        <v>32</v>
      </c>
      <c r="D1979" s="5" t="s">
        <v>33</v>
      </c>
      <c r="E1979" s="5" t="s">
        <v>378</v>
      </c>
      <c r="F1979" s="9">
        <v>23</v>
      </c>
      <c r="G1979" s="9">
        <v>306</v>
      </c>
      <c r="H1979" s="5" t="s">
        <v>21</v>
      </c>
      <c r="I1979" s="5" t="s">
        <v>4470</v>
      </c>
      <c r="J1979" s="12" t="str">
        <f>HYPERLINK("https://www.boe.es/gazeta/dias/1801/03/20/pdfs/GMD-1801-23.pdf#page=9","Abrir facsímil")</f>
        <v>Abrir facsímil</v>
      </c>
      <c r="K1979" s="15" t="s">
        <v>23</v>
      </c>
    </row>
    <row r="1980" spans="1:11" ht="42" customHeight="1">
      <c r="A1980" s="4" t="s">
        <v>4471</v>
      </c>
      <c r="B1980" s="5" t="s">
        <v>4472</v>
      </c>
      <c r="C1980" s="5" t="s">
        <v>75</v>
      </c>
      <c r="D1980" s="5" t="s">
        <v>76</v>
      </c>
      <c r="E1980" s="5" t="s">
        <v>112</v>
      </c>
      <c r="F1980" s="9">
        <v>114</v>
      </c>
      <c r="G1980" s="9">
        <v>1241</v>
      </c>
      <c r="H1980" s="5" t="s">
        <v>21</v>
      </c>
      <c r="I1980" s="5" t="s">
        <v>4473</v>
      </c>
      <c r="J1980" s="12" t="str">
        <f>HYPERLINK("https://www.boe.es/gazeta/dias/1801/12/11/pdfs/GMD-1801-114.pdf#page=3","Abrir facsímil")</f>
        <v>Abrir facsímil</v>
      </c>
      <c r="K1980" s="15" t="s">
        <v>23</v>
      </c>
    </row>
    <row r="1981" spans="1:11" ht="42" customHeight="1">
      <c r="A1981" s="4" t="s">
        <v>4474</v>
      </c>
      <c r="B1981" s="5" t="s">
        <v>4475</v>
      </c>
      <c r="C1981" s="5" t="s">
        <v>32</v>
      </c>
      <c r="D1981" s="5" t="s">
        <v>33</v>
      </c>
      <c r="E1981" s="5" t="s">
        <v>453</v>
      </c>
      <c r="F1981" s="9">
        <v>100</v>
      </c>
      <c r="G1981" s="9">
        <v>1100</v>
      </c>
      <c r="H1981" s="5" t="s">
        <v>21</v>
      </c>
      <c r="I1981" s="5" t="s">
        <v>4476</v>
      </c>
      <c r="J1981" s="12" t="str">
        <f>HYPERLINK("https://www.boe.es/gazeta/dias/1801/10/23/pdfs/GMD-1801-100.pdf#page=9","Abrir facsímil")</f>
        <v>Abrir facsímil</v>
      </c>
      <c r="K1981" s="15" t="s">
        <v>23</v>
      </c>
    </row>
    <row r="1982" spans="1:11" ht="42" customHeight="1">
      <c r="A1982" s="4" t="s">
        <v>4477</v>
      </c>
      <c r="B1982" s="5" t="s">
        <v>4478</v>
      </c>
      <c r="C1982" s="5" t="s">
        <v>26</v>
      </c>
      <c r="D1982" s="5" t="s">
        <v>27</v>
      </c>
      <c r="E1982" s="5" t="s">
        <v>215</v>
      </c>
      <c r="F1982" s="9">
        <v>71</v>
      </c>
      <c r="G1982" s="9">
        <v>786</v>
      </c>
      <c r="H1982" s="5" t="s">
        <v>21</v>
      </c>
      <c r="I1982" s="5" t="s">
        <v>4479</v>
      </c>
      <c r="J1982" s="12" t="str">
        <f>HYPERLINK("https://www.boe.es/gazeta/dias/1801/07/21/pdfs/GMD-1801-71.pdf#page=7","Abrir facsímil")</f>
        <v>Abrir facsímil</v>
      </c>
      <c r="K1982" s="15" t="s">
        <v>23</v>
      </c>
    </row>
    <row r="1983" spans="1:11" ht="42" customHeight="1">
      <c r="A1983" s="4" t="s">
        <v>4480</v>
      </c>
      <c r="B1983" s="5" t="s">
        <v>4481</v>
      </c>
      <c r="C1983" s="5" t="s">
        <v>38</v>
      </c>
      <c r="D1983" s="5" t="s">
        <v>39</v>
      </c>
      <c r="E1983" s="5" t="s">
        <v>97</v>
      </c>
      <c r="F1983" s="9">
        <v>31</v>
      </c>
      <c r="G1983" s="9">
        <v>401</v>
      </c>
      <c r="H1983" s="5" t="s">
        <v>21</v>
      </c>
      <c r="I1983" s="5" t="s">
        <v>4482</v>
      </c>
      <c r="J1983" s="12" t="str">
        <f>HYPERLINK("https://www.boe.es/gazeta/dias/1801/04/17/pdfs/GMD-1801-31.pdf#page=5","Abrir facsímil")</f>
        <v>Abrir facsímil</v>
      </c>
      <c r="K1983" s="15" t="s">
        <v>23</v>
      </c>
    </row>
    <row r="1984" spans="1:11" ht="42" customHeight="1">
      <c r="A1984" s="4" t="s">
        <v>4480</v>
      </c>
      <c r="B1984" s="5" t="s">
        <v>4481</v>
      </c>
      <c r="C1984" s="5" t="s">
        <v>38</v>
      </c>
      <c r="D1984" s="5" t="s">
        <v>39</v>
      </c>
      <c r="E1984" s="5" t="s">
        <v>215</v>
      </c>
      <c r="F1984" s="9">
        <v>71</v>
      </c>
      <c r="G1984" s="9">
        <v>787</v>
      </c>
      <c r="H1984" s="5" t="s">
        <v>21</v>
      </c>
      <c r="I1984" s="5" t="s">
        <v>4483</v>
      </c>
      <c r="J1984" s="12" t="str">
        <f>HYPERLINK("https://www.boe.es/gazeta/dias/1801/07/21/pdfs/GMD-1801-71.pdf#page=8","Abrir facsímil")</f>
        <v>Abrir facsímil</v>
      </c>
      <c r="K1984" s="15" t="s">
        <v>23</v>
      </c>
    </row>
    <row r="1985" spans="1:11" ht="42" customHeight="1">
      <c r="A1985" s="4" t="s">
        <v>4480</v>
      </c>
      <c r="B1985" s="5" t="s">
        <v>4481</v>
      </c>
      <c r="C1985" s="5" t="s">
        <v>38</v>
      </c>
      <c r="D1985" s="5" t="s">
        <v>39</v>
      </c>
      <c r="E1985" s="5" t="s">
        <v>317</v>
      </c>
      <c r="F1985" s="9">
        <v>102</v>
      </c>
      <c r="G1985" s="9">
        <v>1120</v>
      </c>
      <c r="H1985" s="5" t="s">
        <v>21</v>
      </c>
      <c r="I1985" s="5" t="s">
        <v>4484</v>
      </c>
      <c r="J1985" s="12" t="str">
        <f>HYPERLINK("https://www.boe.es/gazeta/dias/1801/10/30/pdfs/GMD-1801-102.pdf#page=5","Abrir facsímil")</f>
        <v>Abrir facsímil</v>
      </c>
      <c r="K1985" s="15" t="s">
        <v>23</v>
      </c>
    </row>
    <row r="1986" spans="1:11" ht="42" customHeight="1">
      <c r="A1986" s="4" t="s">
        <v>4485</v>
      </c>
      <c r="B1986" s="5" t="s">
        <v>4486</v>
      </c>
      <c r="C1986" s="5" t="s">
        <v>26</v>
      </c>
      <c r="D1986" s="5" t="s">
        <v>27</v>
      </c>
      <c r="E1986" s="5" t="s">
        <v>1085</v>
      </c>
      <c r="F1986" s="9">
        <v>99</v>
      </c>
      <c r="G1986" s="9">
        <v>1091</v>
      </c>
      <c r="H1986" s="5" t="s">
        <v>21</v>
      </c>
      <c r="I1986" s="5" t="s">
        <v>4487</v>
      </c>
      <c r="J1986" s="12" t="str">
        <f>HYPERLINK("https://www.boe.es/gazeta/dias/1801/10/20/pdfs/GMD-1801-99.pdf#page=8","Abrir facsímil")</f>
        <v>Abrir facsímil</v>
      </c>
      <c r="K1986" s="15" t="s">
        <v>23</v>
      </c>
    </row>
    <row r="1987" spans="1:11" ht="42" customHeight="1">
      <c r="A1987" s="4" t="s">
        <v>4488</v>
      </c>
      <c r="B1987" s="5" t="s">
        <v>4489</v>
      </c>
      <c r="C1987" s="5" t="s">
        <v>38</v>
      </c>
      <c r="D1987" s="5" t="s">
        <v>39</v>
      </c>
      <c r="E1987" s="5" t="s">
        <v>55</v>
      </c>
      <c r="F1987" s="9">
        <v>104</v>
      </c>
      <c r="G1987" s="9">
        <v>1146</v>
      </c>
      <c r="H1987" s="5" t="s">
        <v>21</v>
      </c>
      <c r="I1987" s="5" t="s">
        <v>4490</v>
      </c>
      <c r="J1987" s="12" t="str">
        <f>HYPERLINK("https://www.boe.es/gazeta/dias/1801/11/06/pdfs/GMD-1801-104.pdf#page=7","Abrir facsímil")</f>
        <v>Abrir facsímil</v>
      </c>
      <c r="K1987" s="15" t="s">
        <v>23</v>
      </c>
    </row>
    <row r="1988" spans="1:11" ht="42" customHeight="1">
      <c r="A1988" s="4" t="s">
        <v>4491</v>
      </c>
      <c r="B1988" s="5" t="s">
        <v>4492</v>
      </c>
      <c r="C1988" s="5" t="s">
        <v>80</v>
      </c>
      <c r="D1988" s="5" t="s">
        <v>81</v>
      </c>
      <c r="E1988" s="5" t="s">
        <v>82</v>
      </c>
      <c r="F1988" s="9">
        <v>75</v>
      </c>
      <c r="G1988" s="9" t="s">
        <v>299</v>
      </c>
      <c r="H1988" s="5" t="s">
        <v>21</v>
      </c>
      <c r="I1988" s="5" t="s">
        <v>4493</v>
      </c>
      <c r="J1988" s="12" t="str">
        <f>HYPERLINK("https://www.boe.es/gazeta/dias/1801/08/04/pdfs/GMD-C-1801-75.pdf#page=5","Abrir facsímil")</f>
        <v>Abrir facsímil</v>
      </c>
      <c r="K1988" s="15" t="s">
        <v>23</v>
      </c>
    </row>
    <row r="1989" spans="1:11" ht="42" customHeight="1">
      <c r="A1989" s="4" t="s">
        <v>4494</v>
      </c>
      <c r="B1989" s="5" t="s">
        <v>4495</v>
      </c>
      <c r="C1989" s="5" t="s">
        <v>18</v>
      </c>
      <c r="D1989" s="5" t="s">
        <v>19</v>
      </c>
      <c r="E1989" s="5" t="s">
        <v>215</v>
      </c>
      <c r="F1989" s="9">
        <v>71</v>
      </c>
      <c r="G1989" s="9">
        <v>787</v>
      </c>
      <c r="H1989" s="5" t="s">
        <v>21</v>
      </c>
      <c r="I1989" s="5" t="s">
        <v>4496</v>
      </c>
      <c r="J1989" s="12" t="str">
        <f>HYPERLINK("https://www.boe.es/gazeta/dias/1801/07/21/pdfs/GMD-1801-71.pdf#page=8","Abrir facsímil")</f>
        <v>Abrir facsímil</v>
      </c>
      <c r="K1989" s="15" t="s">
        <v>23</v>
      </c>
    </row>
    <row r="1990" spans="1:11" ht="42" customHeight="1">
      <c r="A1990" s="4" t="s">
        <v>4497</v>
      </c>
      <c r="B1990" s="5" t="s">
        <v>4498</v>
      </c>
      <c r="C1990" s="5" t="s">
        <v>75</v>
      </c>
      <c r="D1990" s="5" t="s">
        <v>76</v>
      </c>
      <c r="E1990" s="5" t="s">
        <v>124</v>
      </c>
      <c r="F1990" s="9">
        <v>12</v>
      </c>
      <c r="G1990" s="9">
        <v>144</v>
      </c>
      <c r="H1990" s="5" t="s">
        <v>21</v>
      </c>
      <c r="I1990" s="5" t="s">
        <v>4499</v>
      </c>
      <c r="J1990" s="12" t="str">
        <f>HYPERLINK("https://www.boe.es/gazeta/dias/1801/02/10/pdfs/GMD-1801-12.pdf#page=5","Abrir facsímil")</f>
        <v>Abrir facsímil</v>
      </c>
      <c r="K1990" s="15" t="s">
        <v>23</v>
      </c>
    </row>
    <row r="1991" spans="1:11" ht="42" customHeight="1">
      <c r="A1991" s="4" t="s">
        <v>4500</v>
      </c>
      <c r="B1991" s="5" t="s">
        <v>4501</v>
      </c>
      <c r="C1991" s="5" t="s">
        <v>32</v>
      </c>
      <c r="D1991" s="5" t="s">
        <v>33</v>
      </c>
      <c r="E1991" s="5" t="s">
        <v>48</v>
      </c>
      <c r="F1991" s="9">
        <v>20</v>
      </c>
      <c r="G1991" s="9">
        <v>265</v>
      </c>
      <c r="H1991" s="5" t="s">
        <v>21</v>
      </c>
      <c r="I1991" s="5" t="s">
        <v>4502</v>
      </c>
      <c r="J1991" s="12" t="str">
        <f>HYPERLINK("https://www.boe.es/gazeta/dias/1801/03/10/pdfs/GMD-1801-20.pdf#page=10","Abrir facsímil")</f>
        <v>Abrir facsímil</v>
      </c>
      <c r="K1991" s="15" t="s">
        <v>23</v>
      </c>
    </row>
    <row r="1992" spans="1:11" ht="42" customHeight="1">
      <c r="A1992" s="4" t="s">
        <v>4503</v>
      </c>
      <c r="B1992" s="5" t="s">
        <v>4504</v>
      </c>
      <c r="C1992" s="5" t="s">
        <v>69</v>
      </c>
      <c r="D1992" s="5" t="s">
        <v>19</v>
      </c>
      <c r="E1992" s="5" t="s">
        <v>44</v>
      </c>
      <c r="F1992" s="9">
        <v>117</v>
      </c>
      <c r="G1992" s="9">
        <v>1284</v>
      </c>
      <c r="H1992" s="5" t="s">
        <v>21</v>
      </c>
      <c r="I1992" s="5" t="s">
        <v>4505</v>
      </c>
      <c r="J1992" s="12" t="str">
        <f>HYPERLINK("https://www.boe.es/gazeta/dias/1801/12/22/pdfs/GMD-1801-117.pdf#page=11","Abrir facsímil")</f>
        <v>Abrir facsímil</v>
      </c>
      <c r="K1992" s="15" t="s">
        <v>23</v>
      </c>
    </row>
    <row r="1993" spans="1:11" ht="42" customHeight="1">
      <c r="A1993" s="4" t="s">
        <v>4506</v>
      </c>
      <c r="B1993" s="5" t="s">
        <v>4507</v>
      </c>
      <c r="C1993" s="5" t="s">
        <v>38</v>
      </c>
      <c r="D1993" s="5" t="s">
        <v>39</v>
      </c>
      <c r="E1993" s="5" t="s">
        <v>505</v>
      </c>
      <c r="F1993" s="9">
        <v>94</v>
      </c>
      <c r="G1993" s="9">
        <v>1028</v>
      </c>
      <c r="H1993" s="5" t="s">
        <v>21</v>
      </c>
      <c r="I1993" s="5" t="s">
        <v>4508</v>
      </c>
      <c r="J1993" s="12" t="str">
        <f>HYPERLINK("https://www.boe.es/gazeta/dias/1801/10/02/pdfs/GMD-1801-94.pdf#page=4","Abrir facsímil")</f>
        <v>Abrir facsímil</v>
      </c>
      <c r="K1993" s="15" t="s">
        <v>23</v>
      </c>
    </row>
    <row r="1994" spans="1:11" ht="42" customHeight="1">
      <c r="A1994" s="4" t="s">
        <v>4509</v>
      </c>
      <c r="B1994" s="5" t="s">
        <v>4510</v>
      </c>
      <c r="C1994" s="5" t="s">
        <v>18</v>
      </c>
      <c r="D1994" s="5" t="s">
        <v>19</v>
      </c>
      <c r="E1994" s="5" t="s">
        <v>186</v>
      </c>
      <c r="F1994" s="9">
        <v>21</v>
      </c>
      <c r="G1994" s="9">
        <v>281</v>
      </c>
      <c r="H1994" s="5" t="s">
        <v>21</v>
      </c>
      <c r="I1994" s="5" t="s">
        <v>4511</v>
      </c>
      <c r="J1994" s="12" t="str">
        <f>HYPERLINK("https://www.boe.es/gazeta/dias/1801/03/13/pdfs/GMD-1801-21.pdf#page=10","Abrir facsímil")</f>
        <v>Abrir facsímil</v>
      </c>
      <c r="K1994" s="15" t="s">
        <v>23</v>
      </c>
    </row>
    <row r="1995" spans="1:11" ht="42" customHeight="1">
      <c r="A1995" s="4" t="s">
        <v>4512</v>
      </c>
      <c r="B1995" s="5" t="s">
        <v>4513</v>
      </c>
      <c r="C1995" s="5" t="s">
        <v>32</v>
      </c>
      <c r="D1995" s="5" t="s">
        <v>33</v>
      </c>
      <c r="E1995" s="5" t="s">
        <v>186</v>
      </c>
      <c r="F1995" s="9">
        <v>21</v>
      </c>
      <c r="G1995" s="9">
        <v>279</v>
      </c>
      <c r="H1995" s="5" t="s">
        <v>21</v>
      </c>
      <c r="I1995" s="5" t="s">
        <v>4514</v>
      </c>
      <c r="J1995" s="12" t="str">
        <f>HYPERLINK("https://www.boe.es/gazeta/dias/1801/03/13/pdfs/GMD-1801-21.pdf#page=8","Abrir facsímil")</f>
        <v>Abrir facsímil</v>
      </c>
      <c r="K1995" s="15" t="s">
        <v>23</v>
      </c>
    </row>
    <row r="1996" spans="1:11" ht="42" customHeight="1">
      <c r="A1996" s="4" t="s">
        <v>4515</v>
      </c>
      <c r="B1996" s="5" t="s">
        <v>4516</v>
      </c>
      <c r="C1996" s="5" t="s">
        <v>38</v>
      </c>
      <c r="D1996" s="5" t="s">
        <v>39</v>
      </c>
      <c r="E1996" s="5" t="s">
        <v>44</v>
      </c>
      <c r="F1996" s="9">
        <v>117</v>
      </c>
      <c r="G1996" s="9">
        <v>1280</v>
      </c>
      <c r="H1996" s="5" t="s">
        <v>21</v>
      </c>
      <c r="I1996" s="5" t="s">
        <v>4517</v>
      </c>
      <c r="J1996" s="12" t="str">
        <f>HYPERLINK("https://www.boe.es/gazeta/dias/1801/12/22/pdfs/GMD-1801-117.pdf#page=7","Abrir facsímil")</f>
        <v>Abrir facsímil</v>
      </c>
      <c r="K1996" s="15" t="s">
        <v>23</v>
      </c>
    </row>
    <row r="1997" spans="1:11" ht="42" customHeight="1">
      <c r="A1997" s="4" t="s">
        <v>4518</v>
      </c>
      <c r="B1997" s="5" t="s">
        <v>4519</v>
      </c>
      <c r="C1997" s="5" t="s">
        <v>38</v>
      </c>
      <c r="D1997" s="5" t="s">
        <v>39</v>
      </c>
      <c r="E1997" s="5" t="s">
        <v>124</v>
      </c>
      <c r="F1997" s="9">
        <v>12</v>
      </c>
      <c r="G1997" s="9">
        <v>149</v>
      </c>
      <c r="H1997" s="5" t="s">
        <v>21</v>
      </c>
      <c r="I1997" s="5" t="s">
        <v>4520</v>
      </c>
      <c r="J1997" s="12" t="str">
        <f>HYPERLINK("https://www.boe.es/gazeta/dias/1801/02/10/pdfs/GMD-1801-12.pdf#page=10","Abrir facsímil")</f>
        <v>Abrir facsímil</v>
      </c>
      <c r="K1997" s="15" t="s">
        <v>23</v>
      </c>
    </row>
    <row r="1998" spans="1:11" ht="42" customHeight="1">
      <c r="A1998" s="4" t="s">
        <v>4518</v>
      </c>
      <c r="B1998" s="5" t="s">
        <v>4519</v>
      </c>
      <c r="C1998" s="5" t="s">
        <v>26</v>
      </c>
      <c r="D1998" s="5" t="s">
        <v>27</v>
      </c>
      <c r="E1998" s="5" t="s">
        <v>256</v>
      </c>
      <c r="F1998" s="9">
        <v>78</v>
      </c>
      <c r="G1998" s="9">
        <v>883</v>
      </c>
      <c r="H1998" s="5" t="s">
        <v>21</v>
      </c>
      <c r="I1998" s="5" t="s">
        <v>4521</v>
      </c>
      <c r="J1998" s="12" t="str">
        <f>HYPERLINK("https://www.boe.es/gazeta/dias/1801/08/14/pdfs/GMD-1801-78.pdf#page=12","Abrir facsímil")</f>
        <v>Abrir facsímil</v>
      </c>
      <c r="K1998" s="15" t="s">
        <v>23</v>
      </c>
    </row>
    <row r="1999" spans="1:11" ht="42" customHeight="1">
      <c r="A1999" s="4" t="s">
        <v>4522</v>
      </c>
      <c r="B1999" s="5" t="s">
        <v>4523</v>
      </c>
      <c r="C1999" s="5" t="s">
        <v>75</v>
      </c>
      <c r="D1999" s="5" t="s">
        <v>76</v>
      </c>
      <c r="E1999" s="5" t="s">
        <v>70</v>
      </c>
      <c r="F1999" s="9">
        <v>2</v>
      </c>
      <c r="G1999" s="9">
        <v>20</v>
      </c>
      <c r="H1999" s="5" t="s">
        <v>21</v>
      </c>
      <c r="I1999" s="5" t="s">
        <v>4524</v>
      </c>
      <c r="J1999" s="12" t="str">
        <f>HYPERLINK("https://www.boe.es/gazeta/dias/1801/01/06/pdfs/GMD-1801-2.pdf#page=8","Abrir facsímil")</f>
        <v>Abrir facsímil</v>
      </c>
      <c r="K1999" s="15" t="s">
        <v>23</v>
      </c>
    </row>
    <row r="2000" spans="1:11" ht="42" customHeight="1">
      <c r="A2000" s="4" t="s">
        <v>4525</v>
      </c>
      <c r="B2000" s="5" t="s">
        <v>4526</v>
      </c>
      <c r="C2000" s="5" t="s">
        <v>32</v>
      </c>
      <c r="D2000" s="5" t="s">
        <v>33</v>
      </c>
      <c r="E2000" s="5" t="s">
        <v>77</v>
      </c>
      <c r="F2000" s="9">
        <v>93</v>
      </c>
      <c r="G2000" s="9">
        <v>1020</v>
      </c>
      <c r="H2000" s="5" t="s">
        <v>21</v>
      </c>
      <c r="I2000" s="5" t="s">
        <v>4527</v>
      </c>
      <c r="J2000" s="12" t="str">
        <f>HYPERLINK("https://www.boe.es/gazeta/dias/1801/09/29/pdfs/GMD-1801-93.pdf#page=7","Abrir facsímil")</f>
        <v>Abrir facsímil</v>
      </c>
      <c r="K2000" s="15" t="s">
        <v>23</v>
      </c>
    </row>
    <row r="2001" spans="1:11" ht="42" customHeight="1">
      <c r="A2001" s="4" t="s">
        <v>4528</v>
      </c>
      <c r="B2001" s="5" t="s">
        <v>4529</v>
      </c>
      <c r="C2001" s="5" t="s">
        <v>32</v>
      </c>
      <c r="D2001" s="5" t="s">
        <v>33</v>
      </c>
      <c r="E2001" s="5" t="s">
        <v>179</v>
      </c>
      <c r="F2001" s="9">
        <v>11</v>
      </c>
      <c r="G2001" s="9">
        <v>137</v>
      </c>
      <c r="H2001" s="5" t="s">
        <v>21</v>
      </c>
      <c r="I2001" s="5" t="s">
        <v>4530</v>
      </c>
      <c r="J2001" s="12" t="str">
        <f>HYPERLINK("https://www.boe.es/gazeta/dias/1801/02/06/pdfs/GMD-1801-11.pdf#page=10","Abrir facsímil")</f>
        <v>Abrir facsímil</v>
      </c>
      <c r="K2001" s="15" t="s">
        <v>23</v>
      </c>
    </row>
    <row r="2002" spans="1:11" ht="42" customHeight="1">
      <c r="A2002" s="4" t="s">
        <v>4531</v>
      </c>
      <c r="B2002" s="5" t="s">
        <v>4532</v>
      </c>
      <c r="C2002" s="5" t="s">
        <v>80</v>
      </c>
      <c r="D2002" s="5" t="s">
        <v>81</v>
      </c>
      <c r="E2002" s="5" t="s">
        <v>82</v>
      </c>
      <c r="F2002" s="9">
        <v>75</v>
      </c>
      <c r="G2002" s="9" t="s">
        <v>86</v>
      </c>
      <c r="H2002" s="5" t="s">
        <v>21</v>
      </c>
      <c r="I2002" s="5" t="s">
        <v>4533</v>
      </c>
      <c r="J2002" s="12" t="str">
        <f>HYPERLINK("https://www.boe.es/gazeta/dias/1801/08/04/pdfs/GMD-C-1801-75.pdf#page=3","Abrir facsímil")</f>
        <v>Abrir facsímil</v>
      </c>
      <c r="K2002" s="15" t="s">
        <v>23</v>
      </c>
    </row>
    <row r="2003" spans="1:11" ht="42" customHeight="1">
      <c r="A2003" s="4" t="s">
        <v>4534</v>
      </c>
      <c r="B2003" s="5" t="s">
        <v>4535</v>
      </c>
      <c r="C2003" s="5" t="s">
        <v>32</v>
      </c>
      <c r="D2003" s="5" t="s">
        <v>33</v>
      </c>
      <c r="E2003" s="5" t="s">
        <v>165</v>
      </c>
      <c r="F2003" s="9">
        <v>59</v>
      </c>
      <c r="G2003" s="9">
        <v>676</v>
      </c>
      <c r="H2003" s="5" t="s">
        <v>21</v>
      </c>
      <c r="I2003" s="5" t="s">
        <v>4536</v>
      </c>
      <c r="J2003" s="12" t="str">
        <f>HYPERLINK("https://www.boe.es/gazeta/dias/1801/06/23/pdfs/GMD-1801-59.pdf#page=9","Abrir facsímil")</f>
        <v>Abrir facsímil</v>
      </c>
      <c r="K2003" s="15" t="s">
        <v>23</v>
      </c>
    </row>
    <row r="2004" spans="1:11" ht="42" customHeight="1">
      <c r="A2004" s="4" t="s">
        <v>4537</v>
      </c>
      <c r="B2004" s="5" t="s">
        <v>4538</v>
      </c>
      <c r="C2004" s="5" t="s">
        <v>75</v>
      </c>
      <c r="D2004" s="5" t="s">
        <v>76</v>
      </c>
      <c r="E2004" s="5" t="s">
        <v>924</v>
      </c>
      <c r="F2004" s="9">
        <v>90</v>
      </c>
      <c r="G2004" s="9">
        <v>986</v>
      </c>
      <c r="H2004" s="5" t="s">
        <v>21</v>
      </c>
      <c r="I2004" s="5" t="s">
        <v>4539</v>
      </c>
      <c r="J2004" s="12" t="str">
        <f>HYPERLINK("https://www.boe.es/gazeta/dias/1801/09/18/pdfs/GMD-1801-90.pdf#page=1","Abrir facsímil")</f>
        <v>Abrir facsímil</v>
      </c>
      <c r="K2004" s="15" t="s">
        <v>23</v>
      </c>
    </row>
    <row r="2005" spans="1:11" ht="42" customHeight="1">
      <c r="A2005" s="4" t="s">
        <v>4540</v>
      </c>
      <c r="B2005" s="5" t="s">
        <v>4541</v>
      </c>
      <c r="C2005" s="5" t="s">
        <v>38</v>
      </c>
      <c r="D2005" s="5" t="s">
        <v>39</v>
      </c>
      <c r="E2005" s="5" t="s">
        <v>735</v>
      </c>
      <c r="F2005" s="9">
        <v>97</v>
      </c>
      <c r="G2005" s="9">
        <v>1061</v>
      </c>
      <c r="H2005" s="5" t="s">
        <v>21</v>
      </c>
      <c r="I2005" s="5" t="s">
        <v>4542</v>
      </c>
      <c r="J2005" s="12" t="str">
        <f>HYPERLINK("https://www.boe.es/gazeta/dias/1801/10/13/pdfs/GMD-1801-97.pdf#page=5","Abrir facsímil")</f>
        <v>Abrir facsímil</v>
      </c>
      <c r="K2005" s="15" t="s">
        <v>23</v>
      </c>
    </row>
    <row r="2006" spans="1:11" ht="42" customHeight="1">
      <c r="A2006" s="4" t="s">
        <v>4543</v>
      </c>
      <c r="B2006" s="5" t="s">
        <v>4544</v>
      </c>
      <c r="C2006" s="5" t="s">
        <v>26</v>
      </c>
      <c r="D2006" s="5" t="s">
        <v>27</v>
      </c>
      <c r="E2006" s="5" t="s">
        <v>262</v>
      </c>
      <c r="F2006" s="9">
        <v>109</v>
      </c>
      <c r="G2006" s="9">
        <v>1206</v>
      </c>
      <c r="H2006" s="5" t="s">
        <v>21</v>
      </c>
      <c r="I2006" s="5" t="s">
        <v>4545</v>
      </c>
      <c r="J2006" s="12" t="str">
        <f>HYPERLINK("https://www.boe.es/gazeta/dias/1801/11/24/pdfs/GMD-1801-109.pdf#page=11","Abrir facsímil")</f>
        <v>Abrir facsímil</v>
      </c>
      <c r="K2006" s="15" t="s">
        <v>23</v>
      </c>
    </row>
    <row r="2007" spans="1:11" ht="42" customHeight="1">
      <c r="A2007" s="4" t="s">
        <v>4546</v>
      </c>
      <c r="B2007" s="5" t="s">
        <v>4547</v>
      </c>
      <c r="C2007" s="5" t="s">
        <v>32</v>
      </c>
      <c r="D2007" s="5" t="s">
        <v>33</v>
      </c>
      <c r="E2007" s="5" t="s">
        <v>82</v>
      </c>
      <c r="F2007" s="9">
        <v>75</v>
      </c>
      <c r="G2007" s="9">
        <v>840</v>
      </c>
      <c r="H2007" s="5" t="s">
        <v>21</v>
      </c>
      <c r="I2007" s="5" t="s">
        <v>4548</v>
      </c>
      <c r="J2007" s="12" t="str">
        <f>HYPERLINK("https://www.boe.es/gazeta/dias/1801/08/04/pdfs/GMD-1801-75.pdf#page=9","Abrir facsímil")</f>
        <v>Abrir facsímil</v>
      </c>
      <c r="K2007" s="15" t="s">
        <v>23</v>
      </c>
    </row>
    <row r="2008" spans="1:11" ht="42" customHeight="1">
      <c r="A2008" s="4" t="s">
        <v>4549</v>
      </c>
      <c r="B2008" s="5" t="s">
        <v>4550</v>
      </c>
      <c r="C2008" s="5" t="s">
        <v>32</v>
      </c>
      <c r="D2008" s="5" t="s">
        <v>33</v>
      </c>
      <c r="E2008" s="5" t="s">
        <v>34</v>
      </c>
      <c r="F2008" s="9">
        <v>38</v>
      </c>
      <c r="G2008" s="9">
        <v>494</v>
      </c>
      <c r="H2008" s="5" t="s">
        <v>21</v>
      </c>
      <c r="I2008" s="5" t="s">
        <v>4551</v>
      </c>
      <c r="J2008" s="12" t="str">
        <f>HYPERLINK("https://www.boe.es/gazeta/dias/1801/05/12/pdfs/GMD-1801-38.pdf#page=10","Abrir facsímil")</f>
        <v>Abrir facsímil</v>
      </c>
      <c r="K2008" s="15" t="s">
        <v>23</v>
      </c>
    </row>
    <row r="2009" spans="1:11" ht="42" customHeight="1">
      <c r="A2009" s="4" t="s">
        <v>4552</v>
      </c>
      <c r="B2009" s="5" t="s">
        <v>4553</v>
      </c>
      <c r="C2009" s="5" t="s">
        <v>32</v>
      </c>
      <c r="D2009" s="5" t="s">
        <v>33</v>
      </c>
      <c r="E2009" s="5" t="s">
        <v>34</v>
      </c>
      <c r="F2009" s="9">
        <v>38</v>
      </c>
      <c r="G2009" s="9">
        <v>496</v>
      </c>
      <c r="H2009" s="5" t="s">
        <v>21</v>
      </c>
      <c r="I2009" s="5" t="s">
        <v>4554</v>
      </c>
      <c r="J2009" s="12" t="str">
        <f>HYPERLINK("https://www.boe.es/gazeta/dias/1801/05/12/pdfs/GMD-1801-38.pdf#page=12","Abrir facsímil")</f>
        <v>Abrir facsímil</v>
      </c>
      <c r="K2009" s="15" t="s">
        <v>23</v>
      </c>
    </row>
    <row r="2010" spans="1:11" ht="42" customHeight="1">
      <c r="A2010" s="4" t="s">
        <v>4555</v>
      </c>
      <c r="B2010" s="5" t="s">
        <v>4556</v>
      </c>
      <c r="C2010" s="5" t="s">
        <v>32</v>
      </c>
      <c r="D2010" s="5" t="s">
        <v>33</v>
      </c>
      <c r="E2010" s="5" t="s">
        <v>223</v>
      </c>
      <c r="F2010" s="9">
        <v>74</v>
      </c>
      <c r="G2010" s="9">
        <v>827</v>
      </c>
      <c r="H2010" s="5" t="s">
        <v>21</v>
      </c>
      <c r="I2010" s="5" t="s">
        <v>4557</v>
      </c>
      <c r="J2010" s="12" t="str">
        <f>HYPERLINK("https://www.boe.es/gazeta/dias/1801/07/31/pdfs/GMD-1801-74.pdf#page=8","Abrir facsímil")</f>
        <v>Abrir facsímil</v>
      </c>
      <c r="K2010" s="15" t="s">
        <v>23</v>
      </c>
    </row>
    <row r="2011" spans="1:11" ht="42" customHeight="1">
      <c r="A2011" s="4" t="s">
        <v>4558</v>
      </c>
      <c r="B2011" s="5" t="s">
        <v>4559</v>
      </c>
      <c r="C2011" s="5" t="s">
        <v>38</v>
      </c>
      <c r="D2011" s="5" t="s">
        <v>39</v>
      </c>
      <c r="E2011" s="5" t="s">
        <v>169</v>
      </c>
      <c r="F2011" s="9">
        <v>70</v>
      </c>
      <c r="G2011" s="9">
        <v>779</v>
      </c>
      <c r="H2011" s="5" t="s">
        <v>21</v>
      </c>
      <c r="I2011" s="5" t="s">
        <v>4560</v>
      </c>
      <c r="J2011" s="12" t="str">
        <f>HYPERLINK("https://www.boe.es/gazeta/dias/1801/07/17/pdfs/GMD-1801-70.pdf#page=12","Abrir facsímil")</f>
        <v>Abrir facsímil</v>
      </c>
      <c r="K2011" s="15" t="s">
        <v>23</v>
      </c>
    </row>
    <row r="2012" spans="1:11" ht="42" customHeight="1">
      <c r="A2012" s="4" t="s">
        <v>4561</v>
      </c>
      <c r="B2012" s="5" t="s">
        <v>4562</v>
      </c>
      <c r="C2012" s="5" t="s">
        <v>38</v>
      </c>
      <c r="D2012" s="5" t="s">
        <v>39</v>
      </c>
      <c r="E2012" s="5" t="s">
        <v>480</v>
      </c>
      <c r="F2012" s="9">
        <v>10</v>
      </c>
      <c r="G2012" s="9">
        <v>125</v>
      </c>
      <c r="H2012" s="5" t="s">
        <v>21</v>
      </c>
      <c r="I2012" s="5" t="s">
        <v>4563</v>
      </c>
      <c r="J2012" s="12" t="str">
        <f>HYPERLINK("https://www.boe.es/gazeta/dias/1801/02/03/pdfs/GMD-1801-10.pdf#page=10","Abrir facsímil")</f>
        <v>Abrir facsímil</v>
      </c>
      <c r="K2012" s="15" t="s">
        <v>23</v>
      </c>
    </row>
    <row r="2013" spans="1:11" ht="42" customHeight="1">
      <c r="A2013" s="4" t="s">
        <v>4564</v>
      </c>
      <c r="B2013" s="5" t="s">
        <v>4565</v>
      </c>
      <c r="C2013" s="5" t="s">
        <v>75</v>
      </c>
      <c r="D2013" s="5" t="s">
        <v>76</v>
      </c>
      <c r="E2013" s="5" t="s">
        <v>34</v>
      </c>
      <c r="F2013" s="9">
        <v>38</v>
      </c>
      <c r="G2013" s="9">
        <v>488</v>
      </c>
      <c r="H2013" s="5" t="s">
        <v>21</v>
      </c>
      <c r="I2013" s="5" t="s">
        <v>4566</v>
      </c>
      <c r="J2013" s="12" t="str">
        <f>HYPERLINK("https://www.boe.es/gazeta/dias/1801/05/12/pdfs/GMD-1801-38.pdf#page=4","Abrir facsímil")</f>
        <v>Abrir facsímil</v>
      </c>
      <c r="K2013" s="15" t="s">
        <v>23</v>
      </c>
    </row>
    <row r="2014" spans="1:11" ht="42" customHeight="1">
      <c r="A2014" s="4" t="s">
        <v>4567</v>
      </c>
      <c r="B2014" s="5" t="s">
        <v>4568</v>
      </c>
      <c r="C2014" s="5" t="s">
        <v>69</v>
      </c>
      <c r="D2014" s="5" t="s">
        <v>19</v>
      </c>
      <c r="E2014" s="5" t="s">
        <v>328</v>
      </c>
      <c r="F2014" s="9">
        <v>89</v>
      </c>
      <c r="G2014" s="9">
        <v>984</v>
      </c>
      <c r="H2014" s="5" t="s">
        <v>21</v>
      </c>
      <c r="I2014" s="5" t="s">
        <v>4569</v>
      </c>
      <c r="J2014" s="12" t="str">
        <f>HYPERLINK("https://www.boe.es/gazeta/dias/1801/09/15/pdfs/GMD-1801-89.pdf#page=11","Abrir facsímil")</f>
        <v>Abrir facsímil</v>
      </c>
      <c r="K2014" s="15" t="s">
        <v>23</v>
      </c>
    </row>
    <row r="2015" spans="1:11" ht="42" customHeight="1">
      <c r="A2015" s="4" t="s">
        <v>4570</v>
      </c>
      <c r="B2015" s="5" t="s">
        <v>4571</v>
      </c>
      <c r="C2015" s="5" t="s">
        <v>69</v>
      </c>
      <c r="D2015" s="5" t="s">
        <v>19</v>
      </c>
      <c r="E2015" s="5" t="s">
        <v>328</v>
      </c>
      <c r="F2015" s="9">
        <v>89</v>
      </c>
      <c r="G2015" s="9">
        <v>984</v>
      </c>
      <c r="H2015" s="5" t="s">
        <v>21</v>
      </c>
      <c r="I2015" s="5" t="s">
        <v>4572</v>
      </c>
      <c r="J2015" s="12" t="str">
        <f>HYPERLINK("https://www.boe.es/gazeta/dias/1801/09/15/pdfs/GMD-1801-89.pdf#page=11","Abrir facsímil")</f>
        <v>Abrir facsímil</v>
      </c>
      <c r="K2015" s="15" t="s">
        <v>23</v>
      </c>
    </row>
    <row r="2016" spans="1:11" ht="42" customHeight="1">
      <c r="A2016" s="4" t="s">
        <v>4573</v>
      </c>
      <c r="B2016" s="5" t="s">
        <v>4574</v>
      </c>
      <c r="C2016" s="5" t="s">
        <v>80</v>
      </c>
      <c r="D2016" s="5" t="s">
        <v>81</v>
      </c>
      <c r="E2016" s="5" t="s">
        <v>82</v>
      </c>
      <c r="F2016" s="9">
        <v>75</v>
      </c>
      <c r="G2016" s="9" t="s">
        <v>299</v>
      </c>
      <c r="H2016" s="5" t="s">
        <v>21</v>
      </c>
      <c r="I2016" s="5" t="s">
        <v>4575</v>
      </c>
      <c r="J2016" s="12" t="str">
        <f>HYPERLINK("https://www.boe.es/gazeta/dias/1801/08/04/pdfs/GMD-C-1801-75.pdf#page=5","Abrir facsímil")</f>
        <v>Abrir facsímil</v>
      </c>
      <c r="K2016" s="15" t="s">
        <v>23</v>
      </c>
    </row>
    <row r="2017" spans="1:11" ht="42" customHeight="1">
      <c r="A2017" s="4" t="s">
        <v>4576</v>
      </c>
      <c r="B2017" s="5" t="s">
        <v>4577</v>
      </c>
      <c r="C2017" s="5" t="s">
        <v>69</v>
      </c>
      <c r="D2017" s="5" t="s">
        <v>19</v>
      </c>
      <c r="E2017" s="5" t="s">
        <v>137</v>
      </c>
      <c r="F2017" s="9">
        <v>30</v>
      </c>
      <c r="G2017" s="9">
        <v>394</v>
      </c>
      <c r="H2017" s="5" t="s">
        <v>21</v>
      </c>
      <c r="I2017" s="5" t="s">
        <v>4578</v>
      </c>
      <c r="J2017" s="12" t="str">
        <f>HYPERLINK("https://www.boe.es/gazeta/dias/1801/04/14/pdfs/GMD-1801-30.pdf#page=10","Abrir facsímil")</f>
        <v>Abrir facsímil</v>
      </c>
      <c r="K2017" s="15" t="s">
        <v>23</v>
      </c>
    </row>
    <row r="2018" spans="1:11" ht="42" customHeight="1">
      <c r="A2018" s="4" t="s">
        <v>4579</v>
      </c>
      <c r="B2018" s="5" t="s">
        <v>4580</v>
      </c>
      <c r="C2018" s="5" t="s">
        <v>26</v>
      </c>
      <c r="D2018" s="5" t="s">
        <v>27</v>
      </c>
      <c r="E2018" s="5" t="s">
        <v>321</v>
      </c>
      <c r="F2018" s="9">
        <v>3</v>
      </c>
      <c r="G2018" s="9">
        <v>36</v>
      </c>
      <c r="H2018" s="5" t="s">
        <v>21</v>
      </c>
      <c r="I2018" s="5" t="s">
        <v>4581</v>
      </c>
      <c r="J2018" s="12" t="str">
        <f>HYPERLINK("https://www.boe.es/gazeta/dias/1801/01/09/pdfs/GMD-1801-3.pdf#page=12","Abrir facsímil")</f>
        <v>Abrir facsímil</v>
      </c>
      <c r="K2018" s="15" t="s">
        <v>23</v>
      </c>
    </row>
    <row r="2019" spans="1:11" ht="42" customHeight="1">
      <c r="A2019" s="4" t="s">
        <v>4582</v>
      </c>
      <c r="B2019" s="5" t="s">
        <v>4583</v>
      </c>
      <c r="C2019" s="5" t="s">
        <v>32</v>
      </c>
      <c r="D2019" s="5" t="s">
        <v>33</v>
      </c>
      <c r="E2019" s="5" t="s">
        <v>378</v>
      </c>
      <c r="F2019" s="9">
        <v>23</v>
      </c>
      <c r="G2019" s="9">
        <v>309</v>
      </c>
      <c r="H2019" s="5" t="s">
        <v>21</v>
      </c>
      <c r="I2019" s="5" t="s">
        <v>4584</v>
      </c>
      <c r="J2019" s="12" t="str">
        <f>HYPERLINK("https://www.boe.es/gazeta/dias/1801/03/20/pdfs/GMD-1801-23.pdf#page=12","Abrir facsímil")</f>
        <v>Abrir facsímil</v>
      </c>
      <c r="K2019" s="15" t="s">
        <v>23</v>
      </c>
    </row>
    <row r="2020" spans="1:11" ht="42" customHeight="1">
      <c r="A2020" s="4" t="s">
        <v>4585</v>
      </c>
      <c r="B2020" s="5" t="s">
        <v>4586</v>
      </c>
      <c r="C2020" s="5" t="s">
        <v>69</v>
      </c>
      <c r="D2020" s="5" t="s">
        <v>19</v>
      </c>
      <c r="E2020" s="5" t="s">
        <v>262</v>
      </c>
      <c r="F2020" s="9">
        <v>109</v>
      </c>
      <c r="G2020" s="9">
        <v>1204</v>
      </c>
      <c r="H2020" s="5" t="s">
        <v>21</v>
      </c>
      <c r="I2020" s="5" t="s">
        <v>4587</v>
      </c>
      <c r="J2020" s="12" t="str">
        <f>HYPERLINK("https://www.boe.es/gazeta/dias/1801/11/24/pdfs/GMD-1801-109.pdf#page=9","Abrir facsímil")</f>
        <v>Abrir facsímil</v>
      </c>
      <c r="K2020" s="15" t="s">
        <v>23</v>
      </c>
    </row>
    <row r="2021" spans="1:11" ht="42" customHeight="1">
      <c r="A2021" s="4" t="s">
        <v>4588</v>
      </c>
      <c r="B2021" s="5" t="s">
        <v>4589</v>
      </c>
      <c r="C2021" s="5" t="s">
        <v>32</v>
      </c>
      <c r="D2021" s="5" t="s">
        <v>33</v>
      </c>
      <c r="E2021" s="5" t="s">
        <v>62</v>
      </c>
      <c r="F2021" s="9">
        <v>6</v>
      </c>
      <c r="G2021" s="9">
        <v>72</v>
      </c>
      <c r="H2021" s="5" t="s">
        <v>21</v>
      </c>
      <c r="I2021" s="5" t="s">
        <v>4590</v>
      </c>
      <c r="J2021" s="12" t="str">
        <f>HYPERLINK("https://www.boe.es/gazeta/dias/1801/01/20/pdfs/GMD-1801-6.pdf#page=8","Abrir facsímil")</f>
        <v>Abrir facsímil</v>
      </c>
      <c r="K2021" s="15" t="s">
        <v>23</v>
      </c>
    </row>
    <row r="2022" spans="1:11" ht="42" customHeight="1">
      <c r="A2022" s="4" t="s">
        <v>4591</v>
      </c>
      <c r="B2022" s="5" t="s">
        <v>4592</v>
      </c>
      <c r="C2022" s="5" t="s">
        <v>32</v>
      </c>
      <c r="D2022" s="5" t="s">
        <v>33</v>
      </c>
      <c r="E2022" s="5" t="s">
        <v>99</v>
      </c>
      <c r="F2022" s="9">
        <v>32</v>
      </c>
      <c r="G2022" s="9">
        <v>414</v>
      </c>
      <c r="H2022" s="5" t="s">
        <v>21</v>
      </c>
      <c r="I2022" s="5" t="s">
        <v>4593</v>
      </c>
      <c r="J2022" s="12" t="str">
        <f>HYPERLINK("https://www.boe.es/gazeta/dias/1801/04/21/pdfs/GMD-1801-32.pdf#page=10","Abrir facsímil")</f>
        <v>Abrir facsímil</v>
      </c>
      <c r="K2022" s="15" t="s">
        <v>23</v>
      </c>
    </row>
    <row r="2023" spans="1:11" ht="42" customHeight="1">
      <c r="A2023" s="4" t="s">
        <v>4594</v>
      </c>
      <c r="B2023" s="5" t="s">
        <v>4595</v>
      </c>
      <c r="C2023" s="5" t="s">
        <v>32</v>
      </c>
      <c r="D2023" s="5" t="s">
        <v>33</v>
      </c>
      <c r="E2023" s="5" t="s">
        <v>462</v>
      </c>
      <c r="F2023" s="9">
        <v>5</v>
      </c>
      <c r="G2023" s="9">
        <v>57</v>
      </c>
      <c r="H2023" s="5" t="s">
        <v>21</v>
      </c>
      <c r="I2023" s="5" t="s">
        <v>4596</v>
      </c>
      <c r="J2023" s="12" t="str">
        <f>HYPERLINK("https://www.boe.es/gazeta/dias/1801/01/16/pdfs/GMD-1801-5.pdf#page=9","Abrir facsímil")</f>
        <v>Abrir facsímil</v>
      </c>
      <c r="K2023" s="15" t="s">
        <v>23</v>
      </c>
    </row>
    <row r="2024" spans="1:11" ht="42" customHeight="1">
      <c r="A2024" s="4" t="s">
        <v>4594</v>
      </c>
      <c r="B2024" s="5" t="s">
        <v>4595</v>
      </c>
      <c r="C2024" s="5" t="s">
        <v>32</v>
      </c>
      <c r="D2024" s="5" t="s">
        <v>33</v>
      </c>
      <c r="E2024" s="5" t="s">
        <v>640</v>
      </c>
      <c r="F2024" s="9">
        <v>81</v>
      </c>
      <c r="G2024" s="9">
        <v>910</v>
      </c>
      <c r="H2024" s="5" t="s">
        <v>21</v>
      </c>
      <c r="I2024" s="5" t="s">
        <v>4597</v>
      </c>
      <c r="J2024" s="12" t="str">
        <f>HYPERLINK("https://www.boe.es/gazeta/dias/1801/08/25/pdfs/GMD-1801-81.pdf#page=7","Abrir facsímil")</f>
        <v>Abrir facsímil</v>
      </c>
      <c r="K2024" s="15" t="s">
        <v>23</v>
      </c>
    </row>
    <row r="2025" spans="1:11" ht="42" customHeight="1">
      <c r="A2025" s="4" t="s">
        <v>4598</v>
      </c>
      <c r="B2025" s="5" t="s">
        <v>4599</v>
      </c>
      <c r="C2025" s="5" t="s">
        <v>80</v>
      </c>
      <c r="D2025" s="5" t="s">
        <v>81</v>
      </c>
      <c r="E2025" s="5" t="s">
        <v>289</v>
      </c>
      <c r="F2025" s="9">
        <v>40</v>
      </c>
      <c r="G2025" s="9" t="s">
        <v>996</v>
      </c>
      <c r="H2025" s="5" t="s">
        <v>21</v>
      </c>
      <c r="I2025" s="5" t="s">
        <v>4600</v>
      </c>
      <c r="J2025" s="12" t="str">
        <f>HYPERLINK("https://www.boe.es/gazeta/dias/1801/05/19/pdfs/GMD-C-1801-40.pdf#page=6","Abrir facsímil")</f>
        <v>Abrir facsímil</v>
      </c>
      <c r="K2025" s="15" t="s">
        <v>23</v>
      </c>
    </row>
    <row r="2026" spans="1:11" ht="42" customHeight="1">
      <c r="A2026" s="4" t="s">
        <v>4601</v>
      </c>
      <c r="B2026" s="5" t="s">
        <v>4602</v>
      </c>
      <c r="C2026" s="5" t="s">
        <v>32</v>
      </c>
      <c r="D2026" s="5" t="s">
        <v>33</v>
      </c>
      <c r="E2026" s="5" t="s">
        <v>453</v>
      </c>
      <c r="F2026" s="9">
        <v>100</v>
      </c>
      <c r="G2026" s="9">
        <v>1100</v>
      </c>
      <c r="H2026" s="5" t="s">
        <v>21</v>
      </c>
      <c r="I2026" s="5" t="s">
        <v>4603</v>
      </c>
      <c r="J2026" s="12" t="str">
        <f>HYPERLINK("https://www.boe.es/gazeta/dias/1801/10/23/pdfs/GMD-1801-100.pdf#page=9","Abrir facsímil")</f>
        <v>Abrir facsímil</v>
      </c>
      <c r="K2026" s="15" t="s">
        <v>23</v>
      </c>
    </row>
    <row r="2027" spans="1:11" ht="42" customHeight="1">
      <c r="A2027" s="4" t="s">
        <v>4604</v>
      </c>
      <c r="B2027" s="5" t="s">
        <v>4605</v>
      </c>
      <c r="C2027" s="5" t="s">
        <v>32</v>
      </c>
      <c r="D2027" s="5" t="s">
        <v>33</v>
      </c>
      <c r="E2027" s="5" t="s">
        <v>120</v>
      </c>
      <c r="F2027" s="9">
        <v>7</v>
      </c>
      <c r="G2027" s="9">
        <v>84</v>
      </c>
      <c r="H2027" s="5" t="s">
        <v>21</v>
      </c>
      <c r="I2027" s="5" t="s">
        <v>4606</v>
      </c>
      <c r="J2027" s="12" t="str">
        <f>HYPERLINK("https://www.boe.es/gazeta/dias/1801/01/23/pdfs/GMD-1801-7.pdf#page=8","Abrir facsímil")</f>
        <v>Abrir facsímil</v>
      </c>
      <c r="K2027" s="15" t="s">
        <v>23</v>
      </c>
    </row>
    <row r="2028" spans="1:11" ht="42" customHeight="1">
      <c r="A2028" s="4" t="s">
        <v>4607</v>
      </c>
      <c r="B2028" s="5" t="s">
        <v>4608</v>
      </c>
      <c r="C2028" s="5" t="s">
        <v>32</v>
      </c>
      <c r="D2028" s="5" t="s">
        <v>33</v>
      </c>
      <c r="E2028" s="5" t="s">
        <v>122</v>
      </c>
      <c r="F2028" s="9">
        <v>8</v>
      </c>
      <c r="G2028" s="9">
        <v>97</v>
      </c>
      <c r="H2028" s="5" t="s">
        <v>21</v>
      </c>
      <c r="I2028" s="5" t="s">
        <v>4609</v>
      </c>
      <c r="J2028" s="12" t="str">
        <f>HYPERLINK("https://www.boe.es/gazeta/dias/1801/01/27/pdfs/GMD-1801-8.pdf#page=9","Abrir facsímil")</f>
        <v>Abrir facsímil</v>
      </c>
      <c r="K2028" s="15" t="s">
        <v>23</v>
      </c>
    </row>
    <row r="2029" spans="1:11" ht="42" customHeight="1">
      <c r="A2029" s="4" t="s">
        <v>4610</v>
      </c>
      <c r="B2029" s="5" t="s">
        <v>4611</v>
      </c>
      <c r="C2029" s="5" t="s">
        <v>32</v>
      </c>
      <c r="D2029" s="5" t="s">
        <v>33</v>
      </c>
      <c r="E2029" s="5" t="s">
        <v>338</v>
      </c>
      <c r="F2029" s="9">
        <v>83</v>
      </c>
      <c r="G2029" s="9">
        <v>934</v>
      </c>
      <c r="H2029" s="5" t="s">
        <v>21</v>
      </c>
      <c r="I2029" s="5" t="s">
        <v>4612</v>
      </c>
      <c r="J2029" s="12" t="str">
        <f>HYPERLINK("https://www.boe.es/gazeta/dias/1801/09/01/pdfs/GMD-1801-83.pdf#page=9","Abrir facsímil")</f>
        <v>Abrir facsímil</v>
      </c>
      <c r="K2029" s="15" t="s">
        <v>23</v>
      </c>
    </row>
    <row r="2030" spans="1:11" ht="42" customHeight="1">
      <c r="A2030" s="4" t="s">
        <v>4613</v>
      </c>
      <c r="B2030" s="5" t="s">
        <v>4614</v>
      </c>
      <c r="C2030" s="5" t="s">
        <v>32</v>
      </c>
      <c r="D2030" s="5" t="s">
        <v>33</v>
      </c>
      <c r="E2030" s="5" t="s">
        <v>292</v>
      </c>
      <c r="F2030" s="9">
        <v>25</v>
      </c>
      <c r="G2030" s="9">
        <v>331</v>
      </c>
      <c r="H2030" s="5" t="s">
        <v>21</v>
      </c>
      <c r="I2030" s="5" t="s">
        <v>4615</v>
      </c>
      <c r="J2030" s="12" t="str">
        <f>HYPERLINK("https://www.boe.es/gazeta/dias/1801/03/27/pdfs/GMD-1801-25.pdf#page=10","Abrir facsímil")</f>
        <v>Abrir facsímil</v>
      </c>
      <c r="K2030" s="15" t="s">
        <v>23</v>
      </c>
    </row>
    <row r="2031" spans="1:11" ht="42" customHeight="1">
      <c r="A2031" s="4" t="s">
        <v>4616</v>
      </c>
      <c r="B2031" s="5" t="s">
        <v>4617</v>
      </c>
      <c r="C2031" s="5" t="s">
        <v>32</v>
      </c>
      <c r="D2031" s="5" t="s">
        <v>33</v>
      </c>
      <c r="E2031" s="5" t="s">
        <v>90</v>
      </c>
      <c r="F2031" s="9">
        <v>1</v>
      </c>
      <c r="G2031" s="9">
        <v>8</v>
      </c>
      <c r="H2031" s="5" t="s">
        <v>21</v>
      </c>
      <c r="I2031" s="5" t="s">
        <v>4618</v>
      </c>
      <c r="J2031" s="12" t="str">
        <f>HYPERLINK("https://www.boe.es/gazeta/dias/1801/01/02/pdfs/GMD-1801-1.pdf#page=8","Abrir facsímil")</f>
        <v>Abrir facsímil</v>
      </c>
      <c r="K2031" s="15" t="s">
        <v>23</v>
      </c>
    </row>
    <row r="2032" spans="1:11" ht="42" customHeight="1">
      <c r="A2032" s="4" t="s">
        <v>4619</v>
      </c>
      <c r="B2032" s="5" t="s">
        <v>4620</v>
      </c>
      <c r="C2032" s="5" t="s">
        <v>32</v>
      </c>
      <c r="D2032" s="5" t="s">
        <v>33</v>
      </c>
      <c r="E2032" s="5" t="s">
        <v>171</v>
      </c>
      <c r="F2032" s="9">
        <v>76</v>
      </c>
      <c r="G2032" s="9">
        <v>853</v>
      </c>
      <c r="H2032" s="5" t="s">
        <v>21</v>
      </c>
      <c r="I2032" s="5" t="s">
        <v>4621</v>
      </c>
      <c r="J2032" s="12" t="str">
        <f>HYPERLINK("https://www.boe.es/gazeta/dias/1801/08/07/pdfs/GMD-1801-76.pdf#page=10","Abrir facsímil")</f>
        <v>Abrir facsímil</v>
      </c>
      <c r="K2032" s="15" t="s">
        <v>23</v>
      </c>
    </row>
    <row r="2033" spans="1:11" ht="42" customHeight="1">
      <c r="A2033" s="4" t="s">
        <v>4622</v>
      </c>
      <c r="B2033" s="5" t="s">
        <v>4623</v>
      </c>
      <c r="C2033" s="5" t="s">
        <v>38</v>
      </c>
      <c r="D2033" s="5" t="s">
        <v>39</v>
      </c>
      <c r="E2033" s="5" t="s">
        <v>90</v>
      </c>
      <c r="F2033" s="9">
        <v>1</v>
      </c>
      <c r="G2033" s="9">
        <v>9</v>
      </c>
      <c r="H2033" s="5" t="s">
        <v>21</v>
      </c>
      <c r="I2033" s="5" t="s">
        <v>4624</v>
      </c>
      <c r="J2033" s="12" t="str">
        <f>HYPERLINK("https://www.boe.es/gazeta/dias/1801/01/02/pdfs/GMD-1801-1.pdf#page=9","Abrir facsímil")</f>
        <v>Abrir facsímil</v>
      </c>
      <c r="K2033" s="15" t="s">
        <v>23</v>
      </c>
    </row>
    <row r="2034" spans="1:11" ht="42" customHeight="1">
      <c r="A2034" s="4" t="s">
        <v>4625</v>
      </c>
      <c r="B2034" s="5" t="s">
        <v>4626</v>
      </c>
      <c r="C2034" s="5" t="s">
        <v>32</v>
      </c>
      <c r="D2034" s="5" t="s">
        <v>33</v>
      </c>
      <c r="E2034" s="5" t="s">
        <v>640</v>
      </c>
      <c r="F2034" s="9">
        <v>81</v>
      </c>
      <c r="G2034" s="9">
        <v>909</v>
      </c>
      <c r="H2034" s="5" t="s">
        <v>21</v>
      </c>
      <c r="I2034" s="5" t="s">
        <v>4627</v>
      </c>
      <c r="J2034" s="12" t="str">
        <f>HYPERLINK("https://www.boe.es/gazeta/dias/1801/08/25/pdfs/GMD-1801-81.pdf#page=6","Abrir facsímil")</f>
        <v>Abrir facsímil</v>
      </c>
      <c r="K2034" s="15" t="s">
        <v>23</v>
      </c>
    </row>
    <row r="2035" spans="1:11" ht="42" customHeight="1">
      <c r="A2035" s="4" t="s">
        <v>4628</v>
      </c>
      <c r="B2035" s="5" t="s">
        <v>4629</v>
      </c>
      <c r="C2035" s="5" t="s">
        <v>32</v>
      </c>
      <c r="D2035" s="5" t="s">
        <v>33</v>
      </c>
      <c r="E2035" s="5" t="s">
        <v>640</v>
      </c>
      <c r="F2035" s="9">
        <v>81</v>
      </c>
      <c r="G2035" s="9">
        <v>909</v>
      </c>
      <c r="H2035" s="5" t="s">
        <v>21</v>
      </c>
      <c r="I2035" s="5" t="s">
        <v>4630</v>
      </c>
      <c r="J2035" s="12" t="str">
        <f>HYPERLINK("https://www.boe.es/gazeta/dias/1801/08/25/pdfs/GMD-1801-81.pdf#page=6","Abrir facsímil")</f>
        <v>Abrir facsímil</v>
      </c>
      <c r="K2035" s="15" t="s">
        <v>23</v>
      </c>
    </row>
    <row r="2036" spans="1:11" ht="42" customHeight="1">
      <c r="A2036" s="4" t="s">
        <v>4631</v>
      </c>
      <c r="B2036" s="5" t="s">
        <v>4632</v>
      </c>
      <c r="C2036" s="5" t="s">
        <v>32</v>
      </c>
      <c r="D2036" s="5" t="s">
        <v>33</v>
      </c>
      <c r="E2036" s="5" t="s">
        <v>465</v>
      </c>
      <c r="F2036" s="9">
        <v>4</v>
      </c>
      <c r="G2036" s="9">
        <v>46</v>
      </c>
      <c r="H2036" s="5" t="s">
        <v>21</v>
      </c>
      <c r="I2036" s="5" t="s">
        <v>4633</v>
      </c>
      <c r="J2036" s="12" t="str">
        <f>HYPERLINK("https://www.boe.es/gazeta/dias/1801/01/13/pdfs/GMD-1801-4.pdf#page=10","Abrir facsímil")</f>
        <v>Abrir facsímil</v>
      </c>
      <c r="K2036" s="15" t="s">
        <v>23</v>
      </c>
    </row>
    <row r="2037" spans="1:11" ht="42" customHeight="1">
      <c r="A2037" s="4" t="s">
        <v>4634</v>
      </c>
      <c r="B2037" s="5" t="s">
        <v>4635</v>
      </c>
      <c r="C2037" s="5" t="s">
        <v>32</v>
      </c>
      <c r="D2037" s="5" t="s">
        <v>33</v>
      </c>
      <c r="E2037" s="5" t="s">
        <v>359</v>
      </c>
      <c r="F2037" s="9">
        <v>101</v>
      </c>
      <c r="G2037" s="9">
        <v>1113</v>
      </c>
      <c r="H2037" s="5" t="s">
        <v>21</v>
      </c>
      <c r="I2037" s="5" t="s">
        <v>4636</v>
      </c>
      <c r="J2037" s="12" t="str">
        <f>HYPERLINK("https://www.boe.es/gazeta/dias/1801/10/27/pdfs/GMD-1801-101.pdf#page=6","Abrir facsímil")</f>
        <v>Abrir facsímil</v>
      </c>
      <c r="K2037" s="15" t="s">
        <v>23</v>
      </c>
    </row>
    <row r="2038" spans="1:11" ht="42" customHeight="1">
      <c r="A2038" s="4" t="s">
        <v>4637</v>
      </c>
      <c r="B2038" s="5" t="s">
        <v>4638</v>
      </c>
      <c r="C2038" s="5" t="s">
        <v>75</v>
      </c>
      <c r="D2038" s="5" t="s">
        <v>76</v>
      </c>
      <c r="E2038" s="5" t="s">
        <v>366</v>
      </c>
      <c r="F2038" s="9">
        <v>86</v>
      </c>
      <c r="G2038" s="9">
        <v>951</v>
      </c>
      <c r="H2038" s="5" t="s">
        <v>21</v>
      </c>
      <c r="I2038" s="5" t="s">
        <v>4639</v>
      </c>
      <c r="J2038" s="12" t="str">
        <f>HYPERLINK("https://www.boe.es/gazeta/dias/1801/09/08/pdfs/GMD-1801-86.pdf#page=2","Abrir facsímil")</f>
        <v>Abrir facsímil</v>
      </c>
      <c r="K2038" s="15" t="s">
        <v>23</v>
      </c>
    </row>
    <row r="2039" spans="1:11" ht="42" customHeight="1">
      <c r="A2039" s="4" t="s">
        <v>4640</v>
      </c>
      <c r="B2039" s="5" t="s">
        <v>4641</v>
      </c>
      <c r="C2039" s="5" t="s">
        <v>38</v>
      </c>
      <c r="D2039" s="5" t="s">
        <v>39</v>
      </c>
      <c r="E2039" s="5" t="s">
        <v>194</v>
      </c>
      <c r="F2039" s="9">
        <v>92</v>
      </c>
      <c r="G2039" s="9">
        <v>1010</v>
      </c>
      <c r="H2039" s="5" t="s">
        <v>21</v>
      </c>
      <c r="I2039" s="5" t="s">
        <v>4642</v>
      </c>
      <c r="J2039" s="12" t="str">
        <f>HYPERLINK("https://www.boe.es/gazeta/dias/1801/09/25/pdfs/GMD-1801-92.pdf#page=5","Abrir facsímil")</f>
        <v>Abrir facsímil</v>
      </c>
      <c r="K2039" s="15" t="s">
        <v>23</v>
      </c>
    </row>
    <row r="2040" spans="1:11" ht="42" customHeight="1">
      <c r="A2040" s="4" t="s">
        <v>4643</v>
      </c>
      <c r="B2040" s="5" t="s">
        <v>4644</v>
      </c>
      <c r="C2040" s="5" t="s">
        <v>32</v>
      </c>
      <c r="D2040" s="5" t="s">
        <v>33</v>
      </c>
      <c r="E2040" s="5" t="s">
        <v>764</v>
      </c>
      <c r="F2040" s="9">
        <v>80</v>
      </c>
      <c r="G2040" s="9">
        <v>895</v>
      </c>
      <c r="H2040" s="5" t="s">
        <v>21</v>
      </c>
      <c r="I2040" s="5" t="s">
        <v>4645</v>
      </c>
      <c r="J2040" s="12" t="str">
        <f>HYPERLINK("https://www.boe.es/gazeta/dias/1801/08/21/pdfs/GMD-1801-80.pdf#page=4","Abrir facsímil")</f>
        <v>Abrir facsímil</v>
      </c>
      <c r="K2040" s="15" t="s">
        <v>23</v>
      </c>
    </row>
    <row r="2041" spans="1:11" ht="42" customHeight="1">
      <c r="A2041" s="4" t="s">
        <v>4646</v>
      </c>
      <c r="B2041" s="5" t="s">
        <v>4647</v>
      </c>
      <c r="C2041" s="5" t="s">
        <v>32</v>
      </c>
      <c r="D2041" s="5" t="s">
        <v>33</v>
      </c>
      <c r="E2041" s="5" t="s">
        <v>359</v>
      </c>
      <c r="F2041" s="9">
        <v>101</v>
      </c>
      <c r="G2041" s="9">
        <v>1109</v>
      </c>
      <c r="H2041" s="5" t="s">
        <v>21</v>
      </c>
      <c r="I2041" s="5" t="s">
        <v>4648</v>
      </c>
      <c r="J2041" s="12" t="str">
        <f>HYPERLINK("https://www.boe.es/gazeta/dias/1801/10/27/pdfs/GMD-1801-101.pdf#page=2","Abrir facsímil")</f>
        <v>Abrir facsímil</v>
      </c>
      <c r="K2041" s="15" t="s">
        <v>23</v>
      </c>
    </row>
    <row r="2042" spans="1:11" ht="42" customHeight="1">
      <c r="A2042" s="4" t="s">
        <v>4649</v>
      </c>
      <c r="B2042" s="5" t="s">
        <v>4650</v>
      </c>
      <c r="C2042" s="5" t="s">
        <v>26</v>
      </c>
      <c r="D2042" s="5" t="s">
        <v>27</v>
      </c>
      <c r="E2042" s="5" t="s">
        <v>34</v>
      </c>
      <c r="F2042" s="9">
        <v>38</v>
      </c>
      <c r="G2042" s="9">
        <v>495</v>
      </c>
      <c r="H2042" s="5" t="s">
        <v>21</v>
      </c>
      <c r="I2042" s="5" t="s">
        <v>4651</v>
      </c>
      <c r="J2042" s="12" t="str">
        <f>HYPERLINK("https://www.boe.es/gazeta/dias/1801/05/12/pdfs/GMD-1801-38.pdf#page=11","Abrir facsímil")</f>
        <v>Abrir facsímil</v>
      </c>
      <c r="K2042" s="15" t="s">
        <v>23</v>
      </c>
    </row>
    <row r="2043" spans="1:11" ht="42" customHeight="1">
      <c r="A2043" s="4" t="s">
        <v>4652</v>
      </c>
      <c r="B2043" s="5" t="s">
        <v>4653</v>
      </c>
      <c r="C2043" s="5" t="s">
        <v>69</v>
      </c>
      <c r="D2043" s="5" t="s">
        <v>19</v>
      </c>
      <c r="E2043" s="5" t="s">
        <v>1058</v>
      </c>
      <c r="F2043" s="9">
        <v>108</v>
      </c>
      <c r="G2043" s="9">
        <v>1191</v>
      </c>
      <c r="H2043" s="5" t="s">
        <v>21</v>
      </c>
      <c r="I2043" s="5" t="s">
        <v>4654</v>
      </c>
      <c r="J2043" s="12" t="str">
        <f>HYPERLINK("https://www.boe.es/gazeta/dias/1801/11/20/pdfs/GMD-1801-108.pdf#page=8","Abrir facsímil")</f>
        <v>Abrir facsímil</v>
      </c>
      <c r="K2043" s="15" t="s">
        <v>23</v>
      </c>
    </row>
    <row r="2044" spans="1:11" ht="42" customHeight="1">
      <c r="A2044" s="4" t="s">
        <v>4655</v>
      </c>
      <c r="B2044" s="5" t="s">
        <v>4656</v>
      </c>
      <c r="C2044" s="5" t="s">
        <v>38</v>
      </c>
      <c r="D2044" s="5" t="s">
        <v>39</v>
      </c>
      <c r="E2044" s="5" t="s">
        <v>465</v>
      </c>
      <c r="F2044" s="9">
        <v>4</v>
      </c>
      <c r="G2044" s="9">
        <v>47</v>
      </c>
      <c r="H2044" s="5" t="s">
        <v>21</v>
      </c>
      <c r="I2044" s="5" t="s">
        <v>4657</v>
      </c>
      <c r="J2044" s="12" t="str">
        <f>HYPERLINK("https://www.boe.es/gazeta/dias/1801/01/13/pdfs/GMD-1801-4.pdf#page=11","Abrir facsímil")</f>
        <v>Abrir facsímil</v>
      </c>
      <c r="K2044" s="15" t="s">
        <v>23</v>
      </c>
    </row>
    <row r="2045" spans="1:11" ht="42" customHeight="1">
      <c r="A2045" s="4" t="s">
        <v>4658</v>
      </c>
      <c r="B2045" s="5" t="s">
        <v>4659</v>
      </c>
      <c r="C2045" s="5" t="s">
        <v>32</v>
      </c>
      <c r="D2045" s="5" t="s">
        <v>33</v>
      </c>
      <c r="E2045" s="5" t="s">
        <v>328</v>
      </c>
      <c r="F2045" s="9">
        <v>89</v>
      </c>
      <c r="G2045" s="9">
        <v>982</v>
      </c>
      <c r="H2045" s="5" t="s">
        <v>21</v>
      </c>
      <c r="I2045" s="5" t="s">
        <v>4660</v>
      </c>
      <c r="J2045" s="12" t="str">
        <f>HYPERLINK("https://www.boe.es/gazeta/dias/1801/09/15/pdfs/GMD-1801-89.pdf#page=9","Abrir facsímil")</f>
        <v>Abrir facsímil</v>
      </c>
      <c r="K2045" s="15" t="s">
        <v>23</v>
      </c>
    </row>
    <row r="2046" spans="1:11" ht="42" customHeight="1">
      <c r="A2046" s="4" t="s">
        <v>4661</v>
      </c>
      <c r="B2046" s="5" t="s">
        <v>4662</v>
      </c>
      <c r="C2046" s="5" t="s">
        <v>38</v>
      </c>
      <c r="D2046" s="5" t="s">
        <v>39</v>
      </c>
      <c r="E2046" s="5" t="s">
        <v>82</v>
      </c>
      <c r="F2046" s="9">
        <v>75</v>
      </c>
      <c r="G2046" s="9">
        <v>832</v>
      </c>
      <c r="H2046" s="5" t="s">
        <v>21</v>
      </c>
      <c r="I2046" s="5" t="s">
        <v>4663</v>
      </c>
      <c r="J2046" s="12" t="str">
        <f>HYPERLINK("https://www.boe.es/gazeta/dias/1801/08/04/pdfs/GMD-1801-75.pdf#page=1","Abrir facsímil")</f>
        <v>Abrir facsímil</v>
      </c>
      <c r="K2046" s="15" t="s">
        <v>23</v>
      </c>
    </row>
    <row r="2047" spans="1:11" ht="42" customHeight="1">
      <c r="A2047" s="4" t="s">
        <v>4661</v>
      </c>
      <c r="B2047" s="5" t="s">
        <v>4662</v>
      </c>
      <c r="C2047" s="5" t="s">
        <v>32</v>
      </c>
      <c r="D2047" s="5" t="s">
        <v>33</v>
      </c>
      <c r="E2047" s="5" t="s">
        <v>211</v>
      </c>
      <c r="F2047" s="9">
        <v>87</v>
      </c>
      <c r="G2047" s="9">
        <v>959</v>
      </c>
      <c r="H2047" s="5" t="s">
        <v>21</v>
      </c>
      <c r="I2047" s="5" t="s">
        <v>4664</v>
      </c>
      <c r="J2047" s="12" t="str">
        <f>HYPERLINK("https://www.boe.es/gazeta/dias/1801/09/11/pdfs/GMD-1801-87.pdf#page=2","Abrir facsímil")</f>
        <v>Abrir facsímil</v>
      </c>
      <c r="K2047" s="15" t="s">
        <v>23</v>
      </c>
    </row>
    <row r="2048" spans="1:11" ht="42" customHeight="1">
      <c r="A2048" s="4" t="s">
        <v>4665</v>
      </c>
      <c r="B2048" s="5" t="s">
        <v>4666</v>
      </c>
      <c r="C2048" s="5" t="s">
        <v>75</v>
      </c>
      <c r="D2048" s="5" t="s">
        <v>76</v>
      </c>
      <c r="E2048" s="5" t="s">
        <v>313</v>
      </c>
      <c r="F2048" s="9">
        <v>39</v>
      </c>
      <c r="G2048" s="9">
        <v>499</v>
      </c>
      <c r="H2048" s="5" t="s">
        <v>21</v>
      </c>
      <c r="I2048" s="5" t="s">
        <v>4667</v>
      </c>
      <c r="J2048" s="12" t="str">
        <f>HYPERLINK("https://www.boe.es/gazeta/dias/1801/05/15/pdfs/GMD-1801-39.pdf#page=3","Abrir facsímil")</f>
        <v>Abrir facsímil</v>
      </c>
      <c r="K2048" s="15" t="s">
        <v>23</v>
      </c>
    </row>
    <row r="2049" spans="1:11" ht="42" customHeight="1">
      <c r="A2049" s="4" t="s">
        <v>4668</v>
      </c>
      <c r="B2049" s="5" t="s">
        <v>4669</v>
      </c>
      <c r="C2049" s="5" t="s">
        <v>75</v>
      </c>
      <c r="D2049" s="5" t="s">
        <v>76</v>
      </c>
      <c r="E2049" s="5" t="s">
        <v>359</v>
      </c>
      <c r="F2049" s="9">
        <v>101</v>
      </c>
      <c r="G2049" s="9">
        <v>1114</v>
      </c>
      <c r="H2049" s="5" t="s">
        <v>21</v>
      </c>
      <c r="I2049" s="5" t="s">
        <v>4670</v>
      </c>
      <c r="J2049" s="12" t="str">
        <f>HYPERLINK("https://www.boe.es/gazeta/dias/1801/10/27/pdfs/GMD-1801-101.pdf#page=7","Abrir facsímil")</f>
        <v>Abrir facsímil</v>
      </c>
      <c r="K2049" s="15" t="s">
        <v>23</v>
      </c>
    </row>
    <row r="2050" spans="1:11" ht="42" customHeight="1">
      <c r="A2050" s="4" t="s">
        <v>4671</v>
      </c>
      <c r="B2050" s="5" t="s">
        <v>4672</v>
      </c>
      <c r="C2050" s="5" t="s">
        <v>32</v>
      </c>
      <c r="D2050" s="5" t="s">
        <v>33</v>
      </c>
      <c r="E2050" s="5" t="s">
        <v>120</v>
      </c>
      <c r="F2050" s="9">
        <v>7</v>
      </c>
      <c r="G2050" s="9">
        <v>85</v>
      </c>
      <c r="H2050" s="5" t="s">
        <v>21</v>
      </c>
      <c r="I2050" s="5" t="s">
        <v>4673</v>
      </c>
      <c r="J2050" s="12" t="str">
        <f>HYPERLINK("https://www.boe.es/gazeta/dias/1801/01/23/pdfs/GMD-1801-7.pdf#page=9","Abrir facsímil")</f>
        <v>Abrir facsímil</v>
      </c>
      <c r="K2050" s="15" t="s">
        <v>23</v>
      </c>
    </row>
    <row r="2051" spans="1:11" ht="42" customHeight="1">
      <c r="A2051" s="4" t="s">
        <v>4674</v>
      </c>
      <c r="B2051" s="5" t="s">
        <v>4675</v>
      </c>
      <c r="C2051" s="5" t="s">
        <v>32</v>
      </c>
      <c r="D2051" s="5" t="s">
        <v>33</v>
      </c>
      <c r="E2051" s="5" t="s">
        <v>70</v>
      </c>
      <c r="F2051" s="9">
        <v>2</v>
      </c>
      <c r="G2051" s="9">
        <v>21</v>
      </c>
      <c r="H2051" s="5" t="s">
        <v>21</v>
      </c>
      <c r="I2051" s="5" t="s">
        <v>4676</v>
      </c>
      <c r="J2051" s="12" t="str">
        <f>HYPERLINK("https://www.boe.es/gazeta/dias/1801/01/06/pdfs/GMD-1801-2.pdf#page=9","Abrir facsímil")</f>
        <v>Abrir facsímil</v>
      </c>
      <c r="K2051" s="15" t="s">
        <v>23</v>
      </c>
    </row>
    <row r="2052" spans="1:11" ht="42" customHeight="1">
      <c r="A2052" s="4" t="s">
        <v>4677</v>
      </c>
      <c r="B2052" s="5" t="s">
        <v>4678</v>
      </c>
      <c r="C2052" s="5" t="s">
        <v>75</v>
      </c>
      <c r="D2052" s="5" t="s">
        <v>76</v>
      </c>
      <c r="E2052" s="5" t="s">
        <v>1085</v>
      </c>
      <c r="F2052" s="9">
        <v>99</v>
      </c>
      <c r="G2052" s="9">
        <v>1085</v>
      </c>
      <c r="H2052" s="5" t="s">
        <v>21</v>
      </c>
      <c r="I2052" s="5" t="s">
        <v>4679</v>
      </c>
      <c r="J2052" s="12" t="str">
        <f>HYPERLINK("https://www.boe.es/gazeta/dias/1801/10/20/pdfs/GMD-1801-99.pdf#page=2","Abrir facsímil")</f>
        <v>Abrir facsímil</v>
      </c>
      <c r="K2052" s="15" t="s">
        <v>23</v>
      </c>
    </row>
    <row r="2053" spans="1:11" ht="42" customHeight="1">
      <c r="A2053" s="4" t="s">
        <v>4680</v>
      </c>
      <c r="B2053" s="5" t="s">
        <v>4681</v>
      </c>
      <c r="C2053" s="5" t="s">
        <v>80</v>
      </c>
      <c r="D2053" s="5" t="s">
        <v>81</v>
      </c>
      <c r="E2053" s="5" t="s">
        <v>289</v>
      </c>
      <c r="F2053" s="9">
        <v>40</v>
      </c>
      <c r="G2053" s="9" t="s">
        <v>517</v>
      </c>
      <c r="H2053" s="5" t="s">
        <v>21</v>
      </c>
      <c r="I2053" s="5" t="s">
        <v>4682</v>
      </c>
      <c r="J2053" s="12" t="str">
        <f>HYPERLINK("https://www.boe.es/gazeta/dias/1801/05/19/pdfs/GMD-C-1801-40.pdf#page=7","Abrir facsímil")</f>
        <v>Abrir facsímil</v>
      </c>
      <c r="K2053" s="15" t="s">
        <v>23</v>
      </c>
    </row>
    <row r="2054" spans="1:11" ht="42" customHeight="1">
      <c r="A2054" s="4" t="s">
        <v>4683</v>
      </c>
      <c r="B2054" s="5" t="s">
        <v>4684</v>
      </c>
      <c r="C2054" s="5" t="s">
        <v>32</v>
      </c>
      <c r="D2054" s="5" t="s">
        <v>33</v>
      </c>
      <c r="E2054" s="5" t="s">
        <v>120</v>
      </c>
      <c r="F2054" s="9">
        <v>7</v>
      </c>
      <c r="G2054" s="9">
        <v>84</v>
      </c>
      <c r="H2054" s="5" t="s">
        <v>21</v>
      </c>
      <c r="I2054" s="5" t="s">
        <v>4685</v>
      </c>
      <c r="J2054" s="12" t="str">
        <f>HYPERLINK("https://www.boe.es/gazeta/dias/1801/01/23/pdfs/GMD-1801-7.pdf#page=8","Abrir facsímil")</f>
        <v>Abrir facsímil</v>
      </c>
      <c r="K2054" s="15" t="s">
        <v>23</v>
      </c>
    </row>
    <row r="2055" spans="1:11" ht="42" customHeight="1">
      <c r="A2055" s="4" t="s">
        <v>4686</v>
      </c>
      <c r="B2055" s="5" t="s">
        <v>4687</v>
      </c>
      <c r="C2055" s="5" t="s">
        <v>32</v>
      </c>
      <c r="D2055" s="5" t="s">
        <v>33</v>
      </c>
      <c r="E2055" s="5" t="s">
        <v>2430</v>
      </c>
      <c r="F2055" s="9">
        <v>27</v>
      </c>
      <c r="G2055" s="9">
        <v>352</v>
      </c>
      <c r="H2055" s="5" t="s">
        <v>21</v>
      </c>
      <c r="I2055" s="5" t="s">
        <v>4688</v>
      </c>
      <c r="J2055" s="12" t="str">
        <f>HYPERLINK("https://www.boe.es/gazeta/dias/1801/04/03/pdfs/GMD-1801-27.pdf#page=4","Abrir facsímil")</f>
        <v>Abrir facsímil</v>
      </c>
      <c r="K2055" s="15" t="s">
        <v>23</v>
      </c>
    </row>
    <row r="2056" spans="1:11" ht="42" customHeight="1">
      <c r="A2056" s="4" t="s">
        <v>4689</v>
      </c>
      <c r="B2056" s="5" t="s">
        <v>4690</v>
      </c>
      <c r="C2056" s="5" t="s">
        <v>18</v>
      </c>
      <c r="D2056" s="5" t="s">
        <v>19</v>
      </c>
      <c r="E2056" s="5" t="s">
        <v>126</v>
      </c>
      <c r="F2056" s="9">
        <v>13</v>
      </c>
      <c r="G2056" s="9">
        <v>164</v>
      </c>
      <c r="H2056" s="5" t="s">
        <v>21</v>
      </c>
      <c r="I2056" s="5" t="s">
        <v>4691</v>
      </c>
      <c r="J2056" s="12" t="str">
        <f>HYPERLINK("https://www.boe.es/gazeta/dias/1801/02/13/pdfs/GMD-1801-13.pdf#page=11","Abrir facsímil")</f>
        <v>Abrir facsímil</v>
      </c>
      <c r="K2056" s="15" t="s">
        <v>23</v>
      </c>
    </row>
    <row r="2057" spans="1:11" ht="42" customHeight="1">
      <c r="A2057" s="4" t="s">
        <v>4692</v>
      </c>
      <c r="B2057" s="5" t="s">
        <v>4693</v>
      </c>
      <c r="C2057" s="5" t="s">
        <v>38</v>
      </c>
      <c r="D2057" s="5" t="s">
        <v>39</v>
      </c>
      <c r="E2057" s="5" t="s">
        <v>702</v>
      </c>
      <c r="F2057" s="9">
        <v>69</v>
      </c>
      <c r="G2057" s="9">
        <v>764</v>
      </c>
      <c r="H2057" s="5" t="s">
        <v>21</v>
      </c>
      <c r="I2057" s="5" t="s">
        <v>4694</v>
      </c>
      <c r="J2057" s="12" t="str">
        <f>HYPERLINK("https://www.boe.es/gazeta/dias/1801/07/14/pdfs/GMD-1801-69.pdf#page=9","Abrir facsímil")</f>
        <v>Abrir facsímil</v>
      </c>
      <c r="K2057" s="15" t="s">
        <v>23</v>
      </c>
    </row>
    <row r="2058" spans="1:11" ht="42" customHeight="1">
      <c r="A2058" s="4" t="s">
        <v>4695</v>
      </c>
      <c r="B2058" s="5" t="s">
        <v>4696</v>
      </c>
      <c r="C2058" s="5" t="s">
        <v>38</v>
      </c>
      <c r="D2058" s="5" t="s">
        <v>39</v>
      </c>
      <c r="E2058" s="5" t="s">
        <v>215</v>
      </c>
      <c r="F2058" s="9">
        <v>71</v>
      </c>
      <c r="G2058" s="9">
        <v>788</v>
      </c>
      <c r="H2058" s="5" t="s">
        <v>21</v>
      </c>
      <c r="I2058" s="5" t="s">
        <v>4697</v>
      </c>
      <c r="J2058" s="12" t="str">
        <f>HYPERLINK("https://www.boe.es/gazeta/dias/1801/07/21/pdfs/GMD-1801-71.pdf#page=9","Abrir facsímil")</f>
        <v>Abrir facsímil</v>
      </c>
      <c r="K2058" s="15" t="s">
        <v>23</v>
      </c>
    </row>
    <row r="2059" spans="1:11" ht="42" customHeight="1">
      <c r="A2059" s="4" t="s">
        <v>4692</v>
      </c>
      <c r="B2059" s="5" t="s">
        <v>4693</v>
      </c>
      <c r="C2059" s="5" t="s">
        <v>75</v>
      </c>
      <c r="D2059" s="5" t="s">
        <v>76</v>
      </c>
      <c r="E2059" s="5" t="s">
        <v>1939</v>
      </c>
      <c r="F2059" s="9">
        <v>107</v>
      </c>
      <c r="G2059" s="9">
        <v>1180</v>
      </c>
      <c r="H2059" s="5" t="s">
        <v>21</v>
      </c>
      <c r="I2059" s="5" t="s">
        <v>4698</v>
      </c>
      <c r="J2059" s="12" t="str">
        <f>HYPERLINK("https://www.boe.es/gazeta/dias/1801/11/17/pdfs/GMD-1801-107.pdf#page=9","Abrir facsímil")</f>
        <v>Abrir facsímil</v>
      </c>
      <c r="K2059" s="15" t="s">
        <v>23</v>
      </c>
    </row>
    <row r="2060" spans="1:11" ht="42" customHeight="1">
      <c r="A2060" s="4" t="s">
        <v>4692</v>
      </c>
      <c r="B2060" s="5" t="s">
        <v>4693</v>
      </c>
      <c r="C2060" s="5" t="s">
        <v>38</v>
      </c>
      <c r="D2060" s="5" t="s">
        <v>39</v>
      </c>
      <c r="E2060" s="5" t="s">
        <v>1058</v>
      </c>
      <c r="F2060" s="9">
        <v>108</v>
      </c>
      <c r="G2060" s="9">
        <v>1193</v>
      </c>
      <c r="H2060" s="5" t="s">
        <v>21</v>
      </c>
      <c r="I2060" s="5" t="s">
        <v>4699</v>
      </c>
      <c r="J2060" s="12" t="str">
        <f>HYPERLINK("https://www.boe.es/gazeta/dias/1801/11/20/pdfs/GMD-1801-108.pdf#page=10","Abrir facsímil")</f>
        <v>Abrir facsímil</v>
      </c>
      <c r="K2060" s="15" t="s">
        <v>23</v>
      </c>
    </row>
    <row r="2061" spans="1:11" ht="42" customHeight="1">
      <c r="A2061" s="4" t="s">
        <v>4700</v>
      </c>
      <c r="B2061" s="5" t="s">
        <v>4701</v>
      </c>
      <c r="C2061" s="5" t="s">
        <v>69</v>
      </c>
      <c r="D2061" s="5" t="s">
        <v>19</v>
      </c>
      <c r="E2061" s="5" t="s">
        <v>935</v>
      </c>
      <c r="F2061" s="9">
        <v>116</v>
      </c>
      <c r="G2061" s="9">
        <v>1269</v>
      </c>
      <c r="H2061" s="5" t="s">
        <v>21</v>
      </c>
      <c r="I2061" s="5" t="s">
        <v>4702</v>
      </c>
      <c r="J2061" s="12" t="str">
        <f>HYPERLINK("https://www.boe.es/gazeta/dias/1801/12/18/pdfs/GMD-1801-116.pdf#page=11","Abrir facsímil")</f>
        <v>Abrir facsímil</v>
      </c>
      <c r="K2061" s="15" t="s">
        <v>23</v>
      </c>
    </row>
    <row r="2062" spans="1:11" ht="42" customHeight="1">
      <c r="A2062" s="4" t="s">
        <v>4703</v>
      </c>
      <c r="B2062" s="5" t="s">
        <v>4704</v>
      </c>
      <c r="C2062" s="5" t="s">
        <v>38</v>
      </c>
      <c r="D2062" s="5" t="s">
        <v>39</v>
      </c>
      <c r="E2062" s="5" t="s">
        <v>505</v>
      </c>
      <c r="F2062" s="9">
        <v>94</v>
      </c>
      <c r="G2062" s="9">
        <v>1028</v>
      </c>
      <c r="H2062" s="5" t="s">
        <v>21</v>
      </c>
      <c r="I2062" s="5" t="s">
        <v>4705</v>
      </c>
      <c r="J2062" s="12" t="str">
        <f>HYPERLINK("https://www.boe.es/gazeta/dias/1801/10/02/pdfs/GMD-1801-94.pdf#page=4","Abrir facsímil")</f>
        <v>Abrir facsímil</v>
      </c>
      <c r="K2062" s="15" t="s">
        <v>23</v>
      </c>
    </row>
    <row r="2063" spans="1:11" ht="42" customHeight="1">
      <c r="A2063" s="4" t="s">
        <v>4706</v>
      </c>
      <c r="B2063" s="5" t="s">
        <v>4707</v>
      </c>
      <c r="C2063" s="5" t="s">
        <v>32</v>
      </c>
      <c r="D2063" s="5" t="s">
        <v>33</v>
      </c>
      <c r="E2063" s="5" t="s">
        <v>615</v>
      </c>
      <c r="F2063" s="9">
        <v>72</v>
      </c>
      <c r="G2063" s="9">
        <v>804</v>
      </c>
      <c r="H2063" s="5" t="s">
        <v>21</v>
      </c>
      <c r="I2063" s="5" t="s">
        <v>4708</v>
      </c>
      <c r="J2063" s="12" t="str">
        <f>HYPERLINK("https://www.boe.es/gazeta/dias/1801/07/24/pdfs/GMD-1801-72.pdf#page=9","Abrir facsímil")</f>
        <v>Abrir facsímil</v>
      </c>
      <c r="K2063" s="15" t="s">
        <v>23</v>
      </c>
    </row>
    <row r="2064" spans="1:11" ht="42" customHeight="1">
      <c r="A2064" s="4" t="s">
        <v>4709</v>
      </c>
      <c r="B2064" s="5" t="s">
        <v>4710</v>
      </c>
      <c r="C2064" s="5" t="s">
        <v>75</v>
      </c>
      <c r="D2064" s="5" t="s">
        <v>76</v>
      </c>
      <c r="E2064" s="5" t="s">
        <v>321</v>
      </c>
      <c r="F2064" s="9">
        <v>3</v>
      </c>
      <c r="G2064" s="9">
        <v>27</v>
      </c>
      <c r="H2064" s="5" t="s">
        <v>21</v>
      </c>
      <c r="I2064" s="5" t="s">
        <v>4711</v>
      </c>
      <c r="J2064" s="12" t="str">
        <f>HYPERLINK("https://www.boe.es/gazeta/dias/1801/01/09/pdfs/GMD-1801-3.pdf#page=3","Abrir facsímil")</f>
        <v>Abrir facsímil</v>
      </c>
      <c r="K2064" s="15" t="s">
        <v>23</v>
      </c>
    </row>
    <row r="2065" spans="1:11" ht="42" customHeight="1">
      <c r="A2065" s="4" t="s">
        <v>4712</v>
      </c>
      <c r="B2065" s="5" t="s">
        <v>4713</v>
      </c>
      <c r="C2065" s="5" t="s">
        <v>32</v>
      </c>
      <c r="D2065" s="5" t="s">
        <v>33</v>
      </c>
      <c r="E2065" s="5" t="s">
        <v>66</v>
      </c>
      <c r="F2065" s="9">
        <v>52</v>
      </c>
      <c r="G2065" s="9">
        <v>607</v>
      </c>
      <c r="H2065" s="5" t="s">
        <v>21</v>
      </c>
      <c r="I2065" s="5" t="s">
        <v>4714</v>
      </c>
      <c r="J2065" s="12" t="str">
        <f>HYPERLINK("https://www.boe.es/gazeta/dias/1801/06/12/pdfs/GMD-1801-52.pdf#page=6","Abrir facsímil")</f>
        <v>Abrir facsímil</v>
      </c>
      <c r="K2065" s="15" t="s">
        <v>23</v>
      </c>
    </row>
    <row r="2066" spans="1:11" ht="42" customHeight="1">
      <c r="A2066" s="4" t="s">
        <v>4715</v>
      </c>
      <c r="B2066" s="5" t="s">
        <v>4716</v>
      </c>
      <c r="C2066" s="5" t="s">
        <v>32</v>
      </c>
      <c r="D2066" s="5" t="s">
        <v>33</v>
      </c>
      <c r="E2066" s="5" t="s">
        <v>122</v>
      </c>
      <c r="F2066" s="9">
        <v>8</v>
      </c>
      <c r="G2066" s="9">
        <v>97</v>
      </c>
      <c r="H2066" s="5" t="s">
        <v>21</v>
      </c>
      <c r="I2066" s="5" t="s">
        <v>4717</v>
      </c>
      <c r="J2066" s="12" t="str">
        <f>HYPERLINK("https://www.boe.es/gazeta/dias/1801/01/27/pdfs/GMD-1801-8.pdf#page=9","Abrir facsímil")</f>
        <v>Abrir facsímil</v>
      </c>
      <c r="K2066" s="15" t="s">
        <v>23</v>
      </c>
    </row>
    <row r="2067" spans="1:11" ht="42" customHeight="1">
      <c r="A2067" s="4" t="s">
        <v>4718</v>
      </c>
      <c r="B2067" s="5" t="s">
        <v>4719</v>
      </c>
      <c r="C2067" s="5" t="s">
        <v>515</v>
      </c>
      <c r="D2067" s="5" t="s">
        <v>516</v>
      </c>
      <c r="E2067" s="5" t="s">
        <v>751</v>
      </c>
      <c r="F2067" s="9">
        <v>106</v>
      </c>
      <c r="G2067" s="9">
        <v>1169</v>
      </c>
      <c r="H2067" s="5" t="s">
        <v>21</v>
      </c>
      <c r="I2067" s="5" t="s">
        <v>4720</v>
      </c>
      <c r="J2067" s="12" t="str">
        <f>HYPERLINK("https://www.boe.es/gazeta/dias/1801/11/13/pdfs/GMD-C-1801-106.pdf#page=2","Abrir facsímil")</f>
        <v>Abrir facsímil</v>
      </c>
      <c r="K2067" s="15" t="s">
        <v>23</v>
      </c>
    </row>
    <row r="2068" spans="1:11" ht="42" customHeight="1">
      <c r="A2068" s="4" t="s">
        <v>4718</v>
      </c>
      <c r="B2068" s="5" t="s">
        <v>4719</v>
      </c>
      <c r="C2068" s="5" t="s">
        <v>75</v>
      </c>
      <c r="D2068" s="5" t="s">
        <v>76</v>
      </c>
      <c r="E2068" s="5" t="s">
        <v>1939</v>
      </c>
      <c r="F2068" s="9">
        <v>107</v>
      </c>
      <c r="G2068" s="9">
        <v>1180</v>
      </c>
      <c r="H2068" s="5" t="s">
        <v>21</v>
      </c>
      <c r="I2068" s="5" t="s">
        <v>4721</v>
      </c>
      <c r="J2068" s="12" t="str">
        <f>HYPERLINK("https://www.boe.es/gazeta/dias/1801/11/17/pdfs/GMD-1801-107.pdf#page=9","Abrir facsímil")</f>
        <v>Abrir facsímil</v>
      </c>
      <c r="K2068" s="15" t="s">
        <v>23</v>
      </c>
    </row>
    <row r="2069" spans="1:11" ht="42" customHeight="1">
      <c r="A2069" s="4" t="s">
        <v>4718</v>
      </c>
      <c r="B2069" s="5" t="s">
        <v>4719</v>
      </c>
      <c r="C2069" s="5" t="s">
        <v>38</v>
      </c>
      <c r="D2069" s="5" t="s">
        <v>39</v>
      </c>
      <c r="E2069" s="5" t="s">
        <v>1058</v>
      </c>
      <c r="F2069" s="9">
        <v>108</v>
      </c>
      <c r="G2069" s="9">
        <v>1193</v>
      </c>
      <c r="H2069" s="5" t="s">
        <v>21</v>
      </c>
      <c r="I2069" s="5" t="s">
        <v>4722</v>
      </c>
      <c r="J2069" s="12" t="str">
        <f>HYPERLINK("https://www.boe.es/gazeta/dias/1801/11/20/pdfs/GMD-1801-108.pdf#page=10","Abrir facsímil")</f>
        <v>Abrir facsímil</v>
      </c>
      <c r="K2069" s="15" t="s">
        <v>23</v>
      </c>
    </row>
    <row r="2070" spans="1:11" ht="42" customHeight="1">
      <c r="A2070" s="4" t="s">
        <v>4723</v>
      </c>
      <c r="B2070" s="5" t="s">
        <v>4724</v>
      </c>
      <c r="C2070" s="5" t="s">
        <v>69</v>
      </c>
      <c r="D2070" s="5" t="s">
        <v>19</v>
      </c>
      <c r="E2070" s="5" t="s">
        <v>453</v>
      </c>
      <c r="F2070" s="9">
        <v>100</v>
      </c>
      <c r="G2070" s="9">
        <v>1100</v>
      </c>
      <c r="H2070" s="5" t="s">
        <v>21</v>
      </c>
      <c r="I2070" s="5" t="s">
        <v>4725</v>
      </c>
      <c r="J2070" s="12" t="str">
        <f>HYPERLINK("https://www.boe.es/gazeta/dias/1801/10/23/pdfs/GMD-1801-100.pdf#page=9","Abrir facsímil")</f>
        <v>Abrir facsímil</v>
      </c>
      <c r="K2070" s="15" t="s">
        <v>23</v>
      </c>
    </row>
    <row r="2071" spans="1:11" ht="42" customHeight="1">
      <c r="A2071" s="4" t="s">
        <v>4726</v>
      </c>
      <c r="B2071" s="5" t="s">
        <v>4727</v>
      </c>
      <c r="C2071" s="5" t="s">
        <v>26</v>
      </c>
      <c r="D2071" s="5" t="s">
        <v>27</v>
      </c>
      <c r="E2071" s="5" t="s">
        <v>124</v>
      </c>
      <c r="F2071" s="9">
        <v>12</v>
      </c>
      <c r="G2071" s="9">
        <v>151</v>
      </c>
      <c r="H2071" s="5" t="s">
        <v>21</v>
      </c>
      <c r="I2071" s="5" t="s">
        <v>4728</v>
      </c>
      <c r="J2071" s="12" t="str">
        <f>HYPERLINK("https://www.boe.es/gazeta/dias/1801/02/10/pdfs/GMD-1801-12.pdf#page=12","Abrir facsímil")</f>
        <v>Abrir facsímil</v>
      </c>
      <c r="K2071" s="15" t="s">
        <v>23</v>
      </c>
    </row>
    <row r="2072" spans="1:11" ht="42" customHeight="1">
      <c r="A2072" s="4" t="s">
        <v>4729</v>
      </c>
      <c r="B2072" s="5" t="s">
        <v>4730</v>
      </c>
      <c r="C2072" s="5" t="s">
        <v>32</v>
      </c>
      <c r="D2072" s="5" t="s">
        <v>33</v>
      </c>
      <c r="E2072" s="5" t="s">
        <v>501</v>
      </c>
      <c r="F2072" s="9">
        <v>115</v>
      </c>
      <c r="G2072" s="9" t="s">
        <v>299</v>
      </c>
      <c r="H2072" s="5" t="s">
        <v>21</v>
      </c>
      <c r="I2072" s="5" t="s">
        <v>4731</v>
      </c>
      <c r="J2072" s="12" t="str">
        <f>HYPERLINK("https://www.boe.es/gazeta/dias/1801/12/15/pdfs/GMD-C-1801-115.pdf#page=5","Abrir facsímil")</f>
        <v>Abrir facsímil</v>
      </c>
      <c r="K2072" s="15" t="s">
        <v>23</v>
      </c>
    </row>
    <row r="2073" spans="1:11" ht="42" customHeight="1">
      <c r="A2073" s="4" t="s">
        <v>4729</v>
      </c>
      <c r="B2073" s="5" t="s">
        <v>4730</v>
      </c>
      <c r="C2073" s="5" t="s">
        <v>515</v>
      </c>
      <c r="D2073" s="5" t="s">
        <v>516</v>
      </c>
      <c r="E2073" s="5" t="s">
        <v>501</v>
      </c>
      <c r="F2073" s="9">
        <v>115</v>
      </c>
      <c r="G2073" s="9" t="s">
        <v>517</v>
      </c>
      <c r="H2073" s="5" t="s">
        <v>21</v>
      </c>
      <c r="I2073" s="5" t="s">
        <v>4732</v>
      </c>
      <c r="J2073" s="12" t="str">
        <f>HYPERLINK("https://www.boe.es/gazeta/dias/1801/12/15/pdfs/GMD-C-1801-115.pdf#page=7","Abrir facsímil")</f>
        <v>Abrir facsímil</v>
      </c>
      <c r="K2073" s="15" t="s">
        <v>23</v>
      </c>
    </row>
    <row r="2074" spans="1:11" ht="42" customHeight="1">
      <c r="A2074" s="4" t="s">
        <v>4733</v>
      </c>
      <c r="B2074" s="5" t="s">
        <v>4734</v>
      </c>
      <c r="C2074" s="5" t="s">
        <v>32</v>
      </c>
      <c r="D2074" s="5" t="s">
        <v>33</v>
      </c>
      <c r="E2074" s="5" t="s">
        <v>90</v>
      </c>
      <c r="F2074" s="9">
        <v>1</v>
      </c>
      <c r="G2074" s="9">
        <v>8</v>
      </c>
      <c r="H2074" s="5" t="s">
        <v>21</v>
      </c>
      <c r="I2074" s="5" t="s">
        <v>4735</v>
      </c>
      <c r="J2074" s="12" t="str">
        <f>HYPERLINK("https://www.boe.es/gazeta/dias/1801/01/02/pdfs/GMD-1801-1.pdf#page=8","Abrir facsímil")</f>
        <v>Abrir facsímil</v>
      </c>
      <c r="K2074" s="15" t="s">
        <v>23</v>
      </c>
    </row>
    <row r="2075" spans="1:11" ht="42" customHeight="1">
      <c r="A2075" s="4" t="s">
        <v>4736</v>
      </c>
      <c r="B2075" s="5" t="s">
        <v>4737</v>
      </c>
      <c r="C2075" s="5" t="s">
        <v>32</v>
      </c>
      <c r="D2075" s="5" t="s">
        <v>33</v>
      </c>
      <c r="E2075" s="5" t="s">
        <v>44</v>
      </c>
      <c r="F2075" s="9">
        <v>117</v>
      </c>
      <c r="G2075" s="9">
        <v>1281</v>
      </c>
      <c r="H2075" s="5" t="s">
        <v>21</v>
      </c>
      <c r="I2075" s="5" t="s">
        <v>4738</v>
      </c>
      <c r="J2075" s="12" t="str">
        <f>HYPERLINK("https://www.boe.es/gazeta/dias/1801/12/22/pdfs/GMD-1801-117.pdf#page=8","Abrir facsímil")</f>
        <v>Abrir facsímil</v>
      </c>
      <c r="K2075" s="15" t="s">
        <v>23</v>
      </c>
    </row>
    <row r="2076" spans="1:11" ht="42" customHeight="1">
      <c r="A2076" s="4" t="s">
        <v>4739</v>
      </c>
      <c r="B2076" s="5" t="s">
        <v>4740</v>
      </c>
      <c r="C2076" s="5" t="s">
        <v>32</v>
      </c>
      <c r="D2076" s="5" t="s">
        <v>33</v>
      </c>
      <c r="E2076" s="5" t="s">
        <v>44</v>
      </c>
      <c r="F2076" s="9">
        <v>117</v>
      </c>
      <c r="G2076" s="9">
        <v>1282</v>
      </c>
      <c r="H2076" s="5" t="s">
        <v>21</v>
      </c>
      <c r="I2076" s="5" t="s">
        <v>4741</v>
      </c>
      <c r="J2076" s="12" t="str">
        <f>HYPERLINK("https://www.boe.es/gazeta/dias/1801/12/22/pdfs/GMD-1801-117.pdf#page=9","Abrir facsímil")</f>
        <v>Abrir facsímil</v>
      </c>
      <c r="K2076" s="15" t="s">
        <v>23</v>
      </c>
    </row>
    <row r="2077" spans="1:11" ht="42" customHeight="1">
      <c r="A2077" s="4" t="s">
        <v>4742</v>
      </c>
      <c r="B2077" s="5" t="s">
        <v>4743</v>
      </c>
      <c r="C2077" s="5" t="s">
        <v>32</v>
      </c>
      <c r="D2077" s="5" t="s">
        <v>33</v>
      </c>
      <c r="E2077" s="5" t="s">
        <v>40</v>
      </c>
      <c r="F2077" s="9">
        <v>63</v>
      </c>
      <c r="G2077" s="9">
        <v>713</v>
      </c>
      <c r="H2077" s="5" t="s">
        <v>21</v>
      </c>
      <c r="I2077" s="5" t="s">
        <v>4744</v>
      </c>
      <c r="J2077" s="12" t="str">
        <f>HYPERLINK("https://www.boe.es/gazeta/dias/1801/07/03/pdfs/GMD-1801-63.pdf#page=10","Abrir facsímil")</f>
        <v>Abrir facsímil</v>
      </c>
      <c r="K2077" s="15" t="s">
        <v>23</v>
      </c>
    </row>
    <row r="2078" spans="1:11" ht="42" customHeight="1">
      <c r="A2078" s="4" t="s">
        <v>4745</v>
      </c>
      <c r="B2078" s="5" t="s">
        <v>4746</v>
      </c>
      <c r="C2078" s="5" t="s">
        <v>18</v>
      </c>
      <c r="D2078" s="5" t="s">
        <v>19</v>
      </c>
      <c r="E2078" s="5" t="s">
        <v>128</v>
      </c>
      <c r="F2078" s="9">
        <v>17</v>
      </c>
      <c r="G2078" s="9">
        <v>216</v>
      </c>
      <c r="H2078" s="5" t="s">
        <v>21</v>
      </c>
      <c r="I2078" s="5" t="s">
        <v>4747</v>
      </c>
      <c r="J2078" s="12" t="str">
        <f>HYPERLINK("https://www.boe.es/gazeta/dias/1801/02/27/pdfs/GMD-1801-17.pdf#page=11","Abrir facsímil")</f>
        <v>Abrir facsímil</v>
      </c>
      <c r="K2078" s="15" t="s">
        <v>23</v>
      </c>
    </row>
    <row r="2079" spans="1:11" ht="42" customHeight="1">
      <c r="A2079" s="4" t="s">
        <v>4748</v>
      </c>
      <c r="B2079" s="5" t="s">
        <v>4749</v>
      </c>
      <c r="C2079" s="5" t="s">
        <v>32</v>
      </c>
      <c r="D2079" s="5" t="s">
        <v>33</v>
      </c>
      <c r="E2079" s="5" t="s">
        <v>145</v>
      </c>
      <c r="F2079" s="9">
        <v>36</v>
      </c>
      <c r="G2079" s="9">
        <v>468</v>
      </c>
      <c r="H2079" s="5" t="s">
        <v>21</v>
      </c>
      <c r="I2079" s="5" t="s">
        <v>4750</v>
      </c>
      <c r="J2079" s="12" t="str">
        <f>HYPERLINK("https://www.boe.es/gazeta/dias/1801/05/05/pdfs/GMD-1801-36.pdf#page=12","Abrir facsímil")</f>
        <v>Abrir facsímil</v>
      </c>
      <c r="K2079" s="15" t="s">
        <v>23</v>
      </c>
    </row>
    <row r="2080" spans="1:11" ht="42" customHeight="1">
      <c r="A2080" s="4" t="s">
        <v>4751</v>
      </c>
      <c r="B2080" s="5" t="s">
        <v>4752</v>
      </c>
      <c r="C2080" s="5" t="s">
        <v>32</v>
      </c>
      <c r="D2080" s="5" t="s">
        <v>33</v>
      </c>
      <c r="E2080" s="5" t="s">
        <v>2237</v>
      </c>
      <c r="F2080" s="9">
        <v>82</v>
      </c>
      <c r="G2080" s="9">
        <v>912</v>
      </c>
      <c r="H2080" s="5" t="s">
        <v>21</v>
      </c>
      <c r="I2080" s="5" t="s">
        <v>4753</v>
      </c>
      <c r="J2080" s="12" t="str">
        <f>HYPERLINK("https://www.boe.es/gazeta/dias/1801/08/28/pdfs/GMD-1801-82.pdf#page=1","Abrir facsímil")</f>
        <v>Abrir facsímil</v>
      </c>
      <c r="K2080" s="15" t="s">
        <v>23</v>
      </c>
    </row>
    <row r="2081" spans="1:11" ht="42" customHeight="1">
      <c r="A2081" s="4" t="s">
        <v>4754</v>
      </c>
      <c r="B2081" s="5" t="s">
        <v>4755</v>
      </c>
      <c r="C2081" s="5" t="s">
        <v>32</v>
      </c>
      <c r="D2081" s="5" t="s">
        <v>33</v>
      </c>
      <c r="E2081" s="5" t="s">
        <v>131</v>
      </c>
      <c r="F2081" s="9">
        <v>22</v>
      </c>
      <c r="G2081" s="9">
        <v>290</v>
      </c>
      <c r="H2081" s="5" t="s">
        <v>21</v>
      </c>
      <c r="I2081" s="5" t="s">
        <v>4756</v>
      </c>
      <c r="J2081" s="12" t="str">
        <f>HYPERLINK("https://www.boe.es/gazeta/dias/1801/03/17/pdfs/GMD-1801-22.pdf#page=7","Abrir facsímil")</f>
        <v>Abrir facsímil</v>
      </c>
      <c r="K2081" s="15" t="s">
        <v>23</v>
      </c>
    </row>
    <row r="2082" spans="1:11" ht="42" customHeight="1">
      <c r="A2082" s="4" t="s">
        <v>4757</v>
      </c>
      <c r="B2082" s="5" t="s">
        <v>4758</v>
      </c>
      <c r="C2082" s="5" t="s">
        <v>32</v>
      </c>
      <c r="D2082" s="5" t="s">
        <v>33</v>
      </c>
      <c r="E2082" s="5" t="s">
        <v>254</v>
      </c>
      <c r="F2082" s="9">
        <v>73</v>
      </c>
      <c r="G2082" s="9">
        <v>814</v>
      </c>
      <c r="H2082" s="5" t="s">
        <v>21</v>
      </c>
      <c r="I2082" s="5" t="s">
        <v>4759</v>
      </c>
      <c r="J2082" s="12" t="str">
        <f>HYPERLINK("https://www.boe.es/gazeta/dias/1801/07/28/pdfs/GMD-1801-73.pdf#page=7","Abrir facsímil")</f>
        <v>Abrir facsímil</v>
      </c>
      <c r="K2082" s="15" t="s">
        <v>23</v>
      </c>
    </row>
    <row r="2083" spans="1:11" ht="42" customHeight="1">
      <c r="A2083" s="4" t="s">
        <v>4760</v>
      </c>
      <c r="B2083" s="5" t="s">
        <v>4761</v>
      </c>
      <c r="C2083" s="5" t="s">
        <v>69</v>
      </c>
      <c r="D2083" s="5" t="s">
        <v>19</v>
      </c>
      <c r="E2083" s="5" t="s">
        <v>137</v>
      </c>
      <c r="F2083" s="9">
        <v>30</v>
      </c>
      <c r="G2083" s="9">
        <v>394</v>
      </c>
      <c r="H2083" s="5" t="s">
        <v>21</v>
      </c>
      <c r="I2083" s="5" t="s">
        <v>4762</v>
      </c>
      <c r="J2083" s="12" t="str">
        <f>HYPERLINK("https://www.boe.es/gazeta/dias/1801/04/14/pdfs/GMD-1801-30.pdf#page=10","Abrir facsímil")</f>
        <v>Abrir facsímil</v>
      </c>
      <c r="K2083" s="15" t="s">
        <v>23</v>
      </c>
    </row>
    <row r="2084" spans="1:11" ht="42" customHeight="1">
      <c r="A2084" s="4" t="s">
        <v>4763</v>
      </c>
      <c r="B2084" s="5" t="s">
        <v>4764</v>
      </c>
      <c r="C2084" s="5" t="s">
        <v>26</v>
      </c>
      <c r="D2084" s="5" t="s">
        <v>27</v>
      </c>
      <c r="E2084" s="5" t="s">
        <v>171</v>
      </c>
      <c r="F2084" s="9">
        <v>76</v>
      </c>
      <c r="G2084" s="9">
        <v>855</v>
      </c>
      <c r="H2084" s="5" t="s">
        <v>21</v>
      </c>
      <c r="I2084" s="5" t="s">
        <v>4765</v>
      </c>
      <c r="J2084" s="12" t="str">
        <f>HYPERLINK("https://www.boe.es/gazeta/dias/1801/08/07/pdfs/GMD-1801-76.pdf#page=12","Abrir facsímil")</f>
        <v>Abrir facsímil</v>
      </c>
      <c r="K2084" s="15" t="s">
        <v>23</v>
      </c>
    </row>
    <row r="2085" spans="1:11" ht="42" customHeight="1">
      <c r="A2085" s="4" t="s">
        <v>4766</v>
      </c>
      <c r="B2085" s="5" t="s">
        <v>4767</v>
      </c>
      <c r="C2085" s="5" t="s">
        <v>32</v>
      </c>
      <c r="D2085" s="5" t="s">
        <v>33</v>
      </c>
      <c r="E2085" s="5" t="s">
        <v>90</v>
      </c>
      <c r="F2085" s="9">
        <v>1</v>
      </c>
      <c r="G2085" s="9">
        <v>8</v>
      </c>
      <c r="H2085" s="5" t="s">
        <v>21</v>
      </c>
      <c r="I2085" s="5" t="s">
        <v>4768</v>
      </c>
      <c r="J2085" s="12" t="str">
        <f>HYPERLINK("https://www.boe.es/gazeta/dias/1801/01/02/pdfs/GMD-1801-1.pdf#page=8","Abrir facsímil")</f>
        <v>Abrir facsímil</v>
      </c>
      <c r="K2085" s="15" t="s">
        <v>23</v>
      </c>
    </row>
    <row r="2086" spans="1:11" ht="42" customHeight="1">
      <c r="A2086" s="4" t="s">
        <v>4769</v>
      </c>
      <c r="B2086" s="5" t="s">
        <v>4770</v>
      </c>
      <c r="C2086" s="5" t="s">
        <v>32</v>
      </c>
      <c r="D2086" s="5" t="s">
        <v>33</v>
      </c>
      <c r="E2086" s="5" t="s">
        <v>258</v>
      </c>
      <c r="F2086" s="9">
        <v>96</v>
      </c>
      <c r="G2086" s="9">
        <v>1054</v>
      </c>
      <c r="H2086" s="5" t="s">
        <v>21</v>
      </c>
      <c r="I2086" s="5" t="s">
        <v>4771</v>
      </c>
      <c r="J2086" s="12" t="str">
        <f>HYPERLINK("https://www.boe.es/gazeta/dias/1801/10/09/pdfs/GMD-1801-96.pdf#page=10","Abrir facsímil")</f>
        <v>Abrir facsímil</v>
      </c>
      <c r="K2086" s="15" t="s">
        <v>23</v>
      </c>
    </row>
    <row r="2087" spans="1:11" ht="42" customHeight="1">
      <c r="A2087" s="4" t="s">
        <v>4772</v>
      </c>
      <c r="B2087" s="5" t="s">
        <v>4773</v>
      </c>
      <c r="C2087" s="5" t="s">
        <v>32</v>
      </c>
      <c r="D2087" s="5" t="s">
        <v>33</v>
      </c>
      <c r="E2087" s="5" t="s">
        <v>44</v>
      </c>
      <c r="F2087" s="9">
        <v>117</v>
      </c>
      <c r="G2087" s="9">
        <v>1281</v>
      </c>
      <c r="H2087" s="5" t="s">
        <v>21</v>
      </c>
      <c r="I2087" s="5" t="s">
        <v>4774</v>
      </c>
      <c r="J2087" s="12" t="str">
        <f>HYPERLINK("https://www.boe.es/gazeta/dias/1801/12/22/pdfs/GMD-1801-117.pdf#page=8","Abrir facsímil")</f>
        <v>Abrir facsímil</v>
      </c>
      <c r="K2087" s="15" t="s">
        <v>23</v>
      </c>
    </row>
    <row r="2088" spans="1:11" ht="42" customHeight="1">
      <c r="A2088" s="4" t="s">
        <v>4775</v>
      </c>
      <c r="B2088" s="5" t="s">
        <v>4776</v>
      </c>
      <c r="C2088" s="5" t="s">
        <v>32</v>
      </c>
      <c r="D2088" s="5" t="s">
        <v>33</v>
      </c>
      <c r="E2088" s="5" t="s">
        <v>99</v>
      </c>
      <c r="F2088" s="9">
        <v>32</v>
      </c>
      <c r="G2088" s="9">
        <v>414</v>
      </c>
      <c r="H2088" s="5" t="s">
        <v>21</v>
      </c>
      <c r="I2088" s="5" t="s">
        <v>4777</v>
      </c>
      <c r="J2088" s="12" t="str">
        <f>HYPERLINK("https://www.boe.es/gazeta/dias/1801/04/21/pdfs/GMD-1801-32.pdf#page=10","Abrir facsímil")</f>
        <v>Abrir facsímil</v>
      </c>
      <c r="K2088" s="15" t="s">
        <v>23</v>
      </c>
    </row>
    <row r="2089" spans="1:11" ht="42" customHeight="1">
      <c r="A2089" s="4" t="s">
        <v>4778</v>
      </c>
      <c r="B2089" s="5" t="s">
        <v>4779</v>
      </c>
      <c r="C2089" s="5" t="s">
        <v>38</v>
      </c>
      <c r="D2089" s="5" t="s">
        <v>39</v>
      </c>
      <c r="E2089" s="5" t="s">
        <v>126</v>
      </c>
      <c r="F2089" s="9">
        <v>13</v>
      </c>
      <c r="G2089" s="9">
        <v>162</v>
      </c>
      <c r="H2089" s="5" t="s">
        <v>21</v>
      </c>
      <c r="I2089" s="5" t="s">
        <v>4780</v>
      </c>
      <c r="J2089" s="12" t="str">
        <f>HYPERLINK("https://www.boe.es/gazeta/dias/1801/02/13/pdfs/GMD-1801-13.pdf#page=9","Abrir facsímil")</f>
        <v>Abrir facsímil</v>
      </c>
      <c r="K2089" s="15" t="s">
        <v>23</v>
      </c>
    </row>
    <row r="2090" spans="1:11" ht="42" customHeight="1">
      <c r="A2090" s="4" t="s">
        <v>4781</v>
      </c>
      <c r="B2090" s="5" t="s">
        <v>4782</v>
      </c>
      <c r="C2090" s="5" t="s">
        <v>69</v>
      </c>
      <c r="D2090" s="5" t="s">
        <v>19</v>
      </c>
      <c r="E2090" s="5" t="s">
        <v>126</v>
      </c>
      <c r="F2090" s="9">
        <v>13</v>
      </c>
      <c r="G2090" s="9">
        <v>162</v>
      </c>
      <c r="H2090" s="5" t="s">
        <v>21</v>
      </c>
      <c r="I2090" s="5" t="s">
        <v>4783</v>
      </c>
      <c r="J2090" s="12" t="str">
        <f>HYPERLINK("https://www.boe.es/gazeta/dias/1801/02/13/pdfs/GMD-1801-13.pdf#page=9","Abrir facsímil")</f>
        <v>Abrir facsímil</v>
      </c>
      <c r="K2090" s="15" t="s">
        <v>23</v>
      </c>
    </row>
    <row r="2091" spans="1:11" ht="42" customHeight="1">
      <c r="A2091" s="4" t="s">
        <v>4784</v>
      </c>
      <c r="B2091" s="5" t="s">
        <v>4785</v>
      </c>
      <c r="C2091" s="5" t="s">
        <v>69</v>
      </c>
      <c r="D2091" s="5" t="s">
        <v>19</v>
      </c>
      <c r="E2091" s="5" t="s">
        <v>155</v>
      </c>
      <c r="F2091" s="9">
        <v>50</v>
      </c>
      <c r="G2091" s="9">
        <v>597</v>
      </c>
      <c r="H2091" s="5" t="s">
        <v>21</v>
      </c>
      <c r="I2091" s="5" t="s">
        <v>4786</v>
      </c>
      <c r="J2091" s="12" t="str">
        <f>HYPERLINK("https://www.boe.es/gazeta/dias/1801/06/09/pdfs/GMD-1801-50.pdf#page=9","Abrir facsímil")</f>
        <v>Abrir facsímil</v>
      </c>
      <c r="K2091" s="15" t="s">
        <v>23</v>
      </c>
    </row>
    <row r="2092" spans="1:11" ht="42" customHeight="1">
      <c r="A2092" s="4" t="s">
        <v>4787</v>
      </c>
      <c r="B2092" s="5" t="s">
        <v>4788</v>
      </c>
      <c r="C2092" s="5" t="s">
        <v>32</v>
      </c>
      <c r="D2092" s="5" t="s">
        <v>33</v>
      </c>
      <c r="E2092" s="5" t="s">
        <v>275</v>
      </c>
      <c r="F2092" s="9">
        <v>9</v>
      </c>
      <c r="G2092" s="9">
        <v>112</v>
      </c>
      <c r="H2092" s="5" t="s">
        <v>21</v>
      </c>
      <c r="I2092" s="5" t="s">
        <v>4789</v>
      </c>
      <c r="J2092" s="12" t="str">
        <f>HYPERLINK("https://www.boe.es/gazeta/dias/1801/01/30/pdfs/GMD-1801-9.pdf#page=9","Abrir facsímil")</f>
        <v>Abrir facsímil</v>
      </c>
      <c r="K2092" s="15" t="s">
        <v>23</v>
      </c>
    </row>
    <row r="2093" spans="1:11" ht="42" customHeight="1">
      <c r="A2093" s="4" t="s">
        <v>4790</v>
      </c>
      <c r="B2093" s="5" t="s">
        <v>4791</v>
      </c>
      <c r="C2093" s="5" t="s">
        <v>32</v>
      </c>
      <c r="D2093" s="5" t="s">
        <v>33</v>
      </c>
      <c r="E2093" s="5" t="s">
        <v>90</v>
      </c>
      <c r="F2093" s="9">
        <v>1</v>
      </c>
      <c r="G2093" s="9">
        <v>10</v>
      </c>
      <c r="H2093" s="5" t="s">
        <v>21</v>
      </c>
      <c r="I2093" s="5" t="s">
        <v>4792</v>
      </c>
      <c r="J2093" s="12" t="str">
        <f>HYPERLINK("https://www.boe.es/gazeta/dias/1801/01/02/pdfs/GMD-1801-1.pdf#page=10","Abrir facsímil")</f>
        <v>Abrir facsímil</v>
      </c>
      <c r="K2093" s="15" t="s">
        <v>23</v>
      </c>
    </row>
    <row r="2094" spans="1:11" ht="42" customHeight="1">
      <c r="A2094" s="4" t="s">
        <v>4793</v>
      </c>
      <c r="B2094" s="5" t="s">
        <v>4794</v>
      </c>
      <c r="C2094" s="5" t="s">
        <v>18</v>
      </c>
      <c r="D2094" s="5" t="s">
        <v>19</v>
      </c>
      <c r="E2094" s="5" t="s">
        <v>321</v>
      </c>
      <c r="F2094" s="9">
        <v>3</v>
      </c>
      <c r="G2094" s="9">
        <v>35</v>
      </c>
      <c r="H2094" s="5" t="s">
        <v>21</v>
      </c>
      <c r="I2094" s="5" t="s">
        <v>4795</v>
      </c>
      <c r="J2094" s="12" t="str">
        <f>HYPERLINK("https://www.boe.es/gazeta/dias/1801/01/09/pdfs/GMD-1801-3.pdf#page=11","Abrir facsímil")</f>
        <v>Abrir facsímil</v>
      </c>
      <c r="K2094" s="15" t="s">
        <v>23</v>
      </c>
    </row>
    <row r="2095" spans="1:11" ht="42" customHeight="1">
      <c r="A2095" s="4" t="s">
        <v>4793</v>
      </c>
      <c r="B2095" s="5" t="s">
        <v>4794</v>
      </c>
      <c r="C2095" s="5" t="s">
        <v>38</v>
      </c>
      <c r="D2095" s="5" t="s">
        <v>39</v>
      </c>
      <c r="E2095" s="5" t="s">
        <v>40</v>
      </c>
      <c r="F2095" s="9">
        <v>63</v>
      </c>
      <c r="G2095" s="9">
        <v>713</v>
      </c>
      <c r="H2095" s="5" t="s">
        <v>21</v>
      </c>
      <c r="I2095" s="5" t="s">
        <v>4796</v>
      </c>
      <c r="J2095" s="12" t="str">
        <f>HYPERLINK("https://www.boe.es/gazeta/dias/1801/07/03/pdfs/GMD-1801-63.pdf#page=10","Abrir facsímil")</f>
        <v>Abrir facsímil</v>
      </c>
      <c r="K2095" s="15" t="s">
        <v>23</v>
      </c>
    </row>
    <row r="2096" spans="1:11" ht="42" customHeight="1">
      <c r="A2096" s="4" t="s">
        <v>4793</v>
      </c>
      <c r="B2096" s="5" t="s">
        <v>4794</v>
      </c>
      <c r="C2096" s="5" t="s">
        <v>38</v>
      </c>
      <c r="D2096" s="5" t="s">
        <v>39</v>
      </c>
      <c r="E2096" s="5" t="s">
        <v>215</v>
      </c>
      <c r="F2096" s="9">
        <v>71</v>
      </c>
      <c r="G2096" s="9">
        <v>789</v>
      </c>
      <c r="H2096" s="5" t="s">
        <v>21</v>
      </c>
      <c r="I2096" s="5" t="s">
        <v>4797</v>
      </c>
      <c r="J2096" s="12" t="str">
        <f>HYPERLINK("https://www.boe.es/gazeta/dias/1801/07/21/pdfs/GMD-1801-71.pdf#page=10","Abrir facsímil")</f>
        <v>Abrir facsímil</v>
      </c>
      <c r="K2096" s="15" t="s">
        <v>23</v>
      </c>
    </row>
    <row r="2097" spans="1:11" ht="42" customHeight="1">
      <c r="A2097" s="4" t="s">
        <v>4798</v>
      </c>
      <c r="B2097" s="5" t="s">
        <v>4799</v>
      </c>
      <c r="C2097" s="5" t="s">
        <v>38</v>
      </c>
      <c r="D2097" s="5" t="s">
        <v>39</v>
      </c>
      <c r="E2097" s="5" t="s">
        <v>2430</v>
      </c>
      <c r="F2097" s="9">
        <v>27</v>
      </c>
      <c r="G2097" s="9">
        <v>356</v>
      </c>
      <c r="H2097" s="5" t="s">
        <v>21</v>
      </c>
      <c r="I2097" s="5" t="s">
        <v>4800</v>
      </c>
      <c r="J2097" s="12" t="str">
        <f>HYPERLINK("https://www.boe.es/gazeta/dias/1801/04/03/pdfs/GMD-1801-27.pdf#page=8","Abrir facsímil")</f>
        <v>Abrir facsímil</v>
      </c>
      <c r="K2097" s="15" t="s">
        <v>23</v>
      </c>
    </row>
    <row r="2098" spans="1:11" ht="42" customHeight="1">
      <c r="A2098" s="4" t="s">
        <v>4801</v>
      </c>
      <c r="B2098" s="5" t="s">
        <v>4802</v>
      </c>
      <c r="C2098" s="5" t="s">
        <v>18</v>
      </c>
      <c r="D2098" s="5" t="s">
        <v>19</v>
      </c>
      <c r="E2098" s="5" t="s">
        <v>122</v>
      </c>
      <c r="F2098" s="9">
        <v>8</v>
      </c>
      <c r="G2098" s="9">
        <v>99</v>
      </c>
      <c r="H2098" s="5" t="s">
        <v>21</v>
      </c>
      <c r="I2098" s="5" t="s">
        <v>4803</v>
      </c>
      <c r="J2098" s="12" t="str">
        <f>HYPERLINK("https://www.boe.es/gazeta/dias/1801/01/27/pdfs/GMD-1801-8.pdf#page=11","Abrir facsímil")</f>
        <v>Abrir facsímil</v>
      </c>
      <c r="K2098" s="15" t="s">
        <v>23</v>
      </c>
    </row>
    <row r="2099" spans="1:11" ht="42" customHeight="1">
      <c r="A2099" s="4" t="s">
        <v>4804</v>
      </c>
      <c r="B2099" s="5" t="s">
        <v>4805</v>
      </c>
      <c r="C2099" s="5" t="s">
        <v>38</v>
      </c>
      <c r="D2099" s="5" t="s">
        <v>39</v>
      </c>
      <c r="E2099" s="5" t="s">
        <v>62</v>
      </c>
      <c r="F2099" s="9">
        <v>6</v>
      </c>
      <c r="G2099" s="9">
        <v>76</v>
      </c>
      <c r="H2099" s="5" t="s">
        <v>21</v>
      </c>
      <c r="I2099" s="5" t="s">
        <v>4806</v>
      </c>
      <c r="J2099" s="12" t="str">
        <f>HYPERLINK("https://www.boe.es/gazeta/dias/1801/01/20/pdfs/GMD-1801-6.pdf#page=12","Abrir facsímil")</f>
        <v>Abrir facsímil</v>
      </c>
      <c r="K2099" s="15" t="s">
        <v>23</v>
      </c>
    </row>
    <row r="2100" spans="1:11" ht="42" customHeight="1">
      <c r="A2100" s="4" t="s">
        <v>4807</v>
      </c>
      <c r="B2100" s="5" t="s">
        <v>4808</v>
      </c>
      <c r="C2100" s="5" t="s">
        <v>26</v>
      </c>
      <c r="D2100" s="5" t="s">
        <v>27</v>
      </c>
      <c r="E2100" s="5" t="s">
        <v>221</v>
      </c>
      <c r="F2100" s="9">
        <v>28</v>
      </c>
      <c r="G2100" s="9">
        <v>371</v>
      </c>
      <c r="H2100" s="5" t="s">
        <v>21</v>
      </c>
      <c r="I2100" s="5" t="s">
        <v>4809</v>
      </c>
      <c r="J2100" s="12" t="str">
        <f>HYPERLINK("https://www.boe.es/gazeta/dias/1801/04/07/pdfs/GMD-1801-28.pdf#page=11","Abrir facsímil")</f>
        <v>Abrir facsímil</v>
      </c>
      <c r="K2100" s="15" t="s">
        <v>23</v>
      </c>
    </row>
    <row r="2101" spans="1:11" ht="42" customHeight="1">
      <c r="A2101" s="4" t="s">
        <v>4810</v>
      </c>
      <c r="B2101" s="5" t="s">
        <v>4811</v>
      </c>
      <c r="C2101" s="5" t="s">
        <v>1481</v>
      </c>
      <c r="D2101" s="5" t="s">
        <v>1482</v>
      </c>
      <c r="E2101" s="5" t="s">
        <v>151</v>
      </c>
      <c r="F2101" s="9" t="s">
        <v>1483</v>
      </c>
      <c r="G2101" s="9">
        <v>566</v>
      </c>
      <c r="H2101" s="5" t="s">
        <v>21</v>
      </c>
      <c r="I2101" s="5" t="s">
        <v>4812</v>
      </c>
      <c r="J2101" s="12" t="str">
        <f>HYPERLINK("https://www.boe.es/gazeta/dias/1801/06/02/pdfs/GMD-1801-46E.pdf#page=2","Abrir facsímil")</f>
        <v>Abrir facsímil</v>
      </c>
      <c r="K2101" s="15" t="s">
        <v>23</v>
      </c>
    </row>
    <row r="2102" spans="1:11" ht="42" customHeight="1">
      <c r="A2102" s="4" t="s">
        <v>4813</v>
      </c>
      <c r="B2102" s="5" t="s">
        <v>4814</v>
      </c>
      <c r="C2102" s="5" t="s">
        <v>75</v>
      </c>
      <c r="D2102" s="5" t="s">
        <v>76</v>
      </c>
      <c r="E2102" s="5" t="s">
        <v>137</v>
      </c>
      <c r="F2102" s="9">
        <v>30</v>
      </c>
      <c r="G2102" s="9">
        <v>387</v>
      </c>
      <c r="H2102" s="5" t="s">
        <v>21</v>
      </c>
      <c r="I2102" s="5" t="s">
        <v>4815</v>
      </c>
      <c r="J2102" s="12" t="str">
        <f>HYPERLINK("https://www.boe.es/gazeta/dias/1801/04/14/pdfs/GMD-1801-30.pdf#page=3","Abrir facsímil")</f>
        <v>Abrir facsímil</v>
      </c>
      <c r="K2102" s="15" t="s">
        <v>23</v>
      </c>
    </row>
    <row r="2103" spans="1:11" ht="42" customHeight="1">
      <c r="A2103" s="4" t="s">
        <v>4813</v>
      </c>
      <c r="B2103" s="5" t="s">
        <v>4814</v>
      </c>
      <c r="C2103" s="5" t="s">
        <v>32</v>
      </c>
      <c r="D2103" s="5" t="s">
        <v>33</v>
      </c>
      <c r="E2103" s="5" t="s">
        <v>194</v>
      </c>
      <c r="F2103" s="9">
        <v>92</v>
      </c>
      <c r="G2103" s="9">
        <v>1007</v>
      </c>
      <c r="H2103" s="5" t="s">
        <v>21</v>
      </c>
      <c r="I2103" s="5" t="s">
        <v>4816</v>
      </c>
      <c r="J2103" s="12" t="str">
        <f>HYPERLINK("https://www.boe.es/gazeta/dias/1801/09/25/pdfs/GMD-1801-92.pdf#page=2","Abrir facsímil")</f>
        <v>Abrir facsímil</v>
      </c>
      <c r="K2103" s="15" t="s">
        <v>23</v>
      </c>
    </row>
    <row r="2104" spans="1:11" ht="42" customHeight="1">
      <c r="A2104" s="4" t="s">
        <v>4817</v>
      </c>
      <c r="B2104" s="5" t="s">
        <v>4818</v>
      </c>
      <c r="C2104" s="5" t="s">
        <v>26</v>
      </c>
      <c r="D2104" s="5" t="s">
        <v>27</v>
      </c>
      <c r="E2104" s="5" t="s">
        <v>501</v>
      </c>
      <c r="F2104" s="9">
        <v>115</v>
      </c>
      <c r="G2104" s="9" t="s">
        <v>502</v>
      </c>
      <c r="H2104" s="5" t="s">
        <v>21</v>
      </c>
      <c r="I2104" s="5" t="s">
        <v>4819</v>
      </c>
      <c r="J2104" s="12" t="str">
        <f>HYPERLINK("https://www.boe.es/gazeta/dias/1801/12/15/pdfs/GMD-C-1801-115.pdf#page=8","Abrir facsímil")</f>
        <v>Abrir facsímil</v>
      </c>
      <c r="K2104" s="15" t="s">
        <v>23</v>
      </c>
    </row>
    <row r="2105" spans="1:11" ht="42" customHeight="1">
      <c r="A2105" s="4" t="s">
        <v>4820</v>
      </c>
      <c r="B2105" s="5" t="s">
        <v>4821</v>
      </c>
      <c r="C2105" s="5" t="s">
        <v>38</v>
      </c>
      <c r="D2105" s="5" t="s">
        <v>39</v>
      </c>
      <c r="E2105" s="5" t="s">
        <v>453</v>
      </c>
      <c r="F2105" s="9">
        <v>100</v>
      </c>
      <c r="G2105" s="9">
        <v>1092</v>
      </c>
      <c r="H2105" s="5" t="s">
        <v>21</v>
      </c>
      <c r="I2105" s="5" t="s">
        <v>4822</v>
      </c>
      <c r="J2105" s="12" t="str">
        <f>HYPERLINK("https://www.boe.es/gazeta/dias/1801/10/23/pdfs/GMD-1801-100.pdf#page=1","Abrir facsímil")</f>
        <v>Abrir facsímil</v>
      </c>
      <c r="K2105" s="15" t="s">
        <v>23</v>
      </c>
    </row>
    <row r="2106" spans="1:11" ht="42" customHeight="1">
      <c r="A2106" s="4" t="s">
        <v>4823</v>
      </c>
      <c r="B2106" s="5" t="s">
        <v>4824</v>
      </c>
      <c r="C2106" s="5" t="s">
        <v>32</v>
      </c>
      <c r="D2106" s="5" t="s">
        <v>33</v>
      </c>
      <c r="E2106" s="5" t="s">
        <v>145</v>
      </c>
      <c r="F2106" s="9">
        <v>36</v>
      </c>
      <c r="G2106" s="9">
        <v>468</v>
      </c>
      <c r="H2106" s="5" t="s">
        <v>21</v>
      </c>
      <c r="I2106" s="5" t="s">
        <v>4825</v>
      </c>
      <c r="J2106" s="12" t="str">
        <f>HYPERLINK("https://www.boe.es/gazeta/dias/1801/05/05/pdfs/GMD-1801-36.pdf#page=12","Abrir facsímil")</f>
        <v>Abrir facsímil</v>
      </c>
      <c r="K2106" s="15" t="s">
        <v>23</v>
      </c>
    </row>
    <row r="2107" spans="1:11" ht="42" customHeight="1">
      <c r="A2107" s="4" t="s">
        <v>4826</v>
      </c>
      <c r="B2107" s="5" t="s">
        <v>4827</v>
      </c>
      <c r="C2107" s="5" t="s">
        <v>32</v>
      </c>
      <c r="D2107" s="5" t="s">
        <v>33</v>
      </c>
      <c r="E2107" s="5" t="s">
        <v>48</v>
      </c>
      <c r="F2107" s="9">
        <v>20</v>
      </c>
      <c r="G2107" s="9">
        <v>265</v>
      </c>
      <c r="H2107" s="5" t="s">
        <v>21</v>
      </c>
      <c r="I2107" s="5" t="s">
        <v>4828</v>
      </c>
      <c r="J2107" s="12" t="str">
        <f>HYPERLINK("https://www.boe.es/gazeta/dias/1801/03/10/pdfs/GMD-1801-20.pdf#page=10","Abrir facsímil")</f>
        <v>Abrir facsímil</v>
      </c>
      <c r="K2107" s="15" t="s">
        <v>23</v>
      </c>
    </row>
    <row r="2108" spans="1:11" ht="42" customHeight="1">
      <c r="A2108" s="4" t="s">
        <v>4829</v>
      </c>
      <c r="B2108" s="5" t="s">
        <v>4830</v>
      </c>
      <c r="C2108" s="5" t="s">
        <v>32</v>
      </c>
      <c r="D2108" s="5" t="s">
        <v>33</v>
      </c>
      <c r="E2108" s="5" t="s">
        <v>62</v>
      </c>
      <c r="F2108" s="9">
        <v>6</v>
      </c>
      <c r="G2108" s="9">
        <v>72</v>
      </c>
      <c r="H2108" s="5" t="s">
        <v>21</v>
      </c>
      <c r="I2108" s="5" t="s">
        <v>4831</v>
      </c>
      <c r="J2108" s="12" t="str">
        <f>HYPERLINK("https://www.boe.es/gazeta/dias/1801/01/20/pdfs/GMD-1801-6.pdf#page=8","Abrir facsímil")</f>
        <v>Abrir facsímil</v>
      </c>
      <c r="K2108" s="15" t="s">
        <v>23</v>
      </c>
    </row>
    <row r="2109" spans="1:11" ht="42" customHeight="1">
      <c r="A2109" s="4" t="s">
        <v>4832</v>
      </c>
      <c r="B2109" s="5" t="s">
        <v>4833</v>
      </c>
      <c r="C2109" s="5" t="s">
        <v>38</v>
      </c>
      <c r="D2109" s="5" t="s">
        <v>39</v>
      </c>
      <c r="E2109" s="5" t="s">
        <v>122</v>
      </c>
      <c r="F2109" s="9">
        <v>8</v>
      </c>
      <c r="G2109" s="9">
        <v>99</v>
      </c>
      <c r="H2109" s="5" t="s">
        <v>21</v>
      </c>
      <c r="I2109" s="5" t="s">
        <v>4834</v>
      </c>
      <c r="J2109" s="12" t="str">
        <f>HYPERLINK("https://www.boe.es/gazeta/dias/1801/01/27/pdfs/GMD-1801-8.pdf#page=11","Abrir facsímil")</f>
        <v>Abrir facsímil</v>
      </c>
      <c r="K2109" s="15" t="s">
        <v>23</v>
      </c>
    </row>
    <row r="2110" spans="1:11" ht="42" customHeight="1">
      <c r="A2110" s="4" t="s">
        <v>4835</v>
      </c>
      <c r="B2110" s="5" t="s">
        <v>4836</v>
      </c>
      <c r="C2110" s="5" t="s">
        <v>32</v>
      </c>
      <c r="D2110" s="5" t="s">
        <v>33</v>
      </c>
      <c r="E2110" s="5" t="s">
        <v>453</v>
      </c>
      <c r="F2110" s="9">
        <v>100</v>
      </c>
      <c r="G2110" s="9">
        <v>1101</v>
      </c>
      <c r="H2110" s="5" t="s">
        <v>21</v>
      </c>
      <c r="I2110" s="5" t="s">
        <v>4837</v>
      </c>
      <c r="J2110" s="12" t="str">
        <f>HYPERLINK("https://www.boe.es/gazeta/dias/1801/10/23/pdfs/GMD-1801-100.pdf#page=10","Abrir facsímil")</f>
        <v>Abrir facsímil</v>
      </c>
      <c r="K2110" s="15" t="s">
        <v>23</v>
      </c>
    </row>
    <row r="2111" spans="1:11" ht="42" customHeight="1">
      <c r="A2111" s="4" t="s">
        <v>4838</v>
      </c>
      <c r="B2111" s="5" t="s">
        <v>4839</v>
      </c>
      <c r="C2111" s="5" t="s">
        <v>26</v>
      </c>
      <c r="D2111" s="5" t="s">
        <v>27</v>
      </c>
      <c r="E2111" s="5" t="s">
        <v>262</v>
      </c>
      <c r="F2111" s="9">
        <v>109</v>
      </c>
      <c r="G2111" s="9">
        <v>1206</v>
      </c>
      <c r="H2111" s="5" t="s">
        <v>21</v>
      </c>
      <c r="I2111" s="5" t="s">
        <v>4840</v>
      </c>
      <c r="J2111" s="12" t="str">
        <f>HYPERLINK("https://www.boe.es/gazeta/dias/1801/11/24/pdfs/GMD-1801-109.pdf#page=11","Abrir facsímil")</f>
        <v>Abrir facsímil</v>
      </c>
      <c r="K2111" s="15" t="s">
        <v>23</v>
      </c>
    </row>
    <row r="2112" spans="1:11" ht="42" customHeight="1">
      <c r="A2112" s="4" t="s">
        <v>4841</v>
      </c>
      <c r="B2112" s="5" t="s">
        <v>4842</v>
      </c>
      <c r="C2112" s="5" t="s">
        <v>69</v>
      </c>
      <c r="D2112" s="5" t="s">
        <v>19</v>
      </c>
      <c r="E2112" s="5" t="s">
        <v>211</v>
      </c>
      <c r="F2112" s="9">
        <v>87</v>
      </c>
      <c r="G2112" s="9">
        <v>959</v>
      </c>
      <c r="H2112" s="5" t="s">
        <v>21</v>
      </c>
      <c r="I2112" s="5" t="s">
        <v>4843</v>
      </c>
      <c r="J2112" s="12" t="str">
        <f>HYPERLINK("https://www.boe.es/gazeta/dias/1801/09/11/pdfs/GMD-1801-87.pdf#page=2","Abrir facsímil")</f>
        <v>Abrir facsímil</v>
      </c>
      <c r="K2112" s="15" t="s">
        <v>23</v>
      </c>
    </row>
    <row r="2113" spans="1:11" ht="42" customHeight="1">
      <c r="A2113" s="4" t="s">
        <v>4844</v>
      </c>
      <c r="B2113" s="5" t="s">
        <v>4845</v>
      </c>
      <c r="C2113" s="5" t="s">
        <v>32</v>
      </c>
      <c r="D2113" s="5" t="s">
        <v>33</v>
      </c>
      <c r="E2113" s="5" t="s">
        <v>366</v>
      </c>
      <c r="F2113" s="9">
        <v>86</v>
      </c>
      <c r="G2113" s="9">
        <v>955</v>
      </c>
      <c r="H2113" s="5" t="s">
        <v>21</v>
      </c>
      <c r="I2113" s="5" t="s">
        <v>4846</v>
      </c>
      <c r="J2113" s="12" t="str">
        <f>HYPERLINK("https://www.boe.es/gazeta/dias/1801/09/08/pdfs/GMD-1801-86.pdf#page=6","Abrir facsímil")</f>
        <v>Abrir facsímil</v>
      </c>
      <c r="K2113" s="15" t="s">
        <v>23</v>
      </c>
    </row>
    <row r="2114" spans="1:11" ht="42" customHeight="1">
      <c r="A2114" s="4" t="s">
        <v>4847</v>
      </c>
      <c r="B2114" s="5" t="s">
        <v>4848</v>
      </c>
      <c r="C2114" s="5" t="s">
        <v>32</v>
      </c>
      <c r="D2114" s="5" t="s">
        <v>33</v>
      </c>
      <c r="E2114" s="5" t="s">
        <v>151</v>
      </c>
      <c r="F2114" s="9">
        <v>45</v>
      </c>
      <c r="G2114" s="9">
        <v>561</v>
      </c>
      <c r="H2114" s="5" t="s">
        <v>21</v>
      </c>
      <c r="I2114" s="5" t="s">
        <v>4849</v>
      </c>
      <c r="J2114" s="12" t="str">
        <f>HYPERLINK("https://www.boe.es/gazeta/dias/1801/06/02/pdfs/GMD-1801-45.pdf#page=9","Abrir facsímil")</f>
        <v>Abrir facsímil</v>
      </c>
      <c r="K2114" s="15" t="s">
        <v>23</v>
      </c>
    </row>
    <row r="2115" spans="1:11" ht="42" customHeight="1">
      <c r="A2115" s="4" t="s">
        <v>4850</v>
      </c>
      <c r="B2115" s="5" t="s">
        <v>4851</v>
      </c>
      <c r="C2115" s="5" t="s">
        <v>32</v>
      </c>
      <c r="D2115" s="5" t="s">
        <v>33</v>
      </c>
      <c r="E2115" s="5" t="s">
        <v>359</v>
      </c>
      <c r="F2115" s="9">
        <v>101</v>
      </c>
      <c r="G2115" s="9">
        <v>1113</v>
      </c>
      <c r="H2115" s="5" t="s">
        <v>21</v>
      </c>
      <c r="I2115" s="5" t="s">
        <v>4852</v>
      </c>
      <c r="J2115" s="12" t="str">
        <f>HYPERLINK("https://www.boe.es/gazeta/dias/1801/10/27/pdfs/GMD-1801-101.pdf#page=6","Abrir facsímil")</f>
        <v>Abrir facsímil</v>
      </c>
      <c r="K2115" s="15" t="s">
        <v>23</v>
      </c>
    </row>
    <row r="2116" spans="1:11" ht="42" customHeight="1">
      <c r="A2116" s="4" t="s">
        <v>4853</v>
      </c>
      <c r="B2116" s="5" t="s">
        <v>4854</v>
      </c>
      <c r="C2116" s="5" t="s">
        <v>75</v>
      </c>
      <c r="D2116" s="5" t="s">
        <v>76</v>
      </c>
      <c r="E2116" s="5" t="s">
        <v>90</v>
      </c>
      <c r="F2116" s="9">
        <v>1</v>
      </c>
      <c r="G2116" s="9">
        <v>2</v>
      </c>
      <c r="H2116" s="5" t="s">
        <v>21</v>
      </c>
      <c r="I2116" s="5" t="s">
        <v>4855</v>
      </c>
      <c r="J2116" s="12" t="str">
        <f>HYPERLINK("https://www.boe.es/gazeta/dias/1801/01/02/pdfs/GMD-1801-1.pdf#page=2","Abrir facsímil")</f>
        <v>Abrir facsímil</v>
      </c>
      <c r="K2116" s="15" t="s">
        <v>23</v>
      </c>
    </row>
    <row r="2117" spans="1:11" ht="42" customHeight="1">
      <c r="A2117" s="4" t="s">
        <v>4853</v>
      </c>
      <c r="B2117" s="5" t="s">
        <v>4854</v>
      </c>
      <c r="C2117" s="5" t="s">
        <v>75</v>
      </c>
      <c r="D2117" s="5" t="s">
        <v>76</v>
      </c>
      <c r="E2117" s="5" t="s">
        <v>292</v>
      </c>
      <c r="F2117" s="9">
        <v>25</v>
      </c>
      <c r="G2117" s="9">
        <v>324</v>
      </c>
      <c r="H2117" s="5" t="s">
        <v>21</v>
      </c>
      <c r="I2117" s="5" t="s">
        <v>4856</v>
      </c>
      <c r="J2117" s="12" t="str">
        <f>HYPERLINK("https://www.boe.es/gazeta/dias/1801/03/27/pdfs/GMD-1801-25.pdf#page=3","Abrir facsímil")</f>
        <v>Abrir facsímil</v>
      </c>
      <c r="K2117" s="15" t="s">
        <v>23</v>
      </c>
    </row>
    <row r="2118" spans="1:11" ht="42" customHeight="1">
      <c r="A2118" s="4" t="s">
        <v>4853</v>
      </c>
      <c r="B2118" s="5" t="s">
        <v>4854</v>
      </c>
      <c r="C2118" s="5" t="s">
        <v>32</v>
      </c>
      <c r="D2118" s="5" t="s">
        <v>33</v>
      </c>
      <c r="E2118" s="5" t="s">
        <v>105</v>
      </c>
      <c r="F2118" s="9">
        <v>44</v>
      </c>
      <c r="G2118" s="9">
        <v>543</v>
      </c>
      <c r="H2118" s="5" t="s">
        <v>21</v>
      </c>
      <c r="I2118" s="5" t="s">
        <v>4857</v>
      </c>
      <c r="J2118" s="12" t="str">
        <f>HYPERLINK("https://www.boe.es/gazeta/dias/1801/05/29/pdfs/GMD-1801-44.pdf#page=3","Abrir facsímil")</f>
        <v>Abrir facsímil</v>
      </c>
      <c r="K2118" s="15" t="s">
        <v>23</v>
      </c>
    </row>
    <row r="2119" spans="1:11" ht="42" customHeight="1">
      <c r="A2119" s="4" t="s">
        <v>4853</v>
      </c>
      <c r="B2119" s="5" t="s">
        <v>4854</v>
      </c>
      <c r="C2119" s="5" t="s">
        <v>75</v>
      </c>
      <c r="D2119" s="5" t="s">
        <v>76</v>
      </c>
      <c r="E2119" s="5" t="s">
        <v>702</v>
      </c>
      <c r="F2119" s="9">
        <v>69</v>
      </c>
      <c r="G2119" s="9">
        <v>758</v>
      </c>
      <c r="H2119" s="5" t="s">
        <v>21</v>
      </c>
      <c r="I2119" s="5" t="s">
        <v>4858</v>
      </c>
      <c r="J2119" s="12" t="str">
        <f>HYPERLINK("https://www.boe.es/gazeta/dias/1801/07/14/pdfs/GMD-1801-69.pdf#page=3","Abrir facsímil")</f>
        <v>Abrir facsímil</v>
      </c>
      <c r="K2119" s="15" t="s">
        <v>23</v>
      </c>
    </row>
    <row r="2120" spans="1:11" ht="42" customHeight="1">
      <c r="A2120" s="4" t="s">
        <v>4859</v>
      </c>
      <c r="B2120" s="5" t="s">
        <v>4860</v>
      </c>
      <c r="C2120" s="5" t="s">
        <v>38</v>
      </c>
      <c r="D2120" s="5" t="s">
        <v>39</v>
      </c>
      <c r="E2120" s="5" t="s">
        <v>462</v>
      </c>
      <c r="F2120" s="9">
        <v>5</v>
      </c>
      <c r="G2120" s="9">
        <v>56</v>
      </c>
      <c r="H2120" s="5" t="s">
        <v>21</v>
      </c>
      <c r="I2120" s="5" t="s">
        <v>4861</v>
      </c>
      <c r="J2120" s="12" t="str">
        <f>HYPERLINK("https://www.boe.es/gazeta/dias/1801/01/16/pdfs/GMD-1801-5.pdf#page=8","Abrir facsímil")</f>
        <v>Abrir facsímil</v>
      </c>
      <c r="K2120" s="15" t="s">
        <v>23</v>
      </c>
    </row>
    <row r="2121" spans="1:11" ht="42" customHeight="1">
      <c r="A2121" s="4" t="s">
        <v>4862</v>
      </c>
      <c r="B2121" s="5" t="s">
        <v>4863</v>
      </c>
      <c r="C2121" s="5" t="s">
        <v>26</v>
      </c>
      <c r="D2121" s="5" t="s">
        <v>27</v>
      </c>
      <c r="E2121" s="5" t="s">
        <v>501</v>
      </c>
      <c r="F2121" s="9">
        <v>115</v>
      </c>
      <c r="G2121" s="9" t="s">
        <v>502</v>
      </c>
      <c r="H2121" s="5" t="s">
        <v>21</v>
      </c>
      <c r="I2121" s="5" t="s">
        <v>4864</v>
      </c>
      <c r="J2121" s="12" t="str">
        <f>HYPERLINK("https://www.boe.es/gazeta/dias/1801/12/15/pdfs/GMD-C-1801-115.pdf#page=8","Abrir facsímil")</f>
        <v>Abrir facsímil</v>
      </c>
      <c r="K2121" s="15" t="s">
        <v>23</v>
      </c>
    </row>
    <row r="2122" spans="1:11" ht="42" customHeight="1">
      <c r="A2122" s="4" t="s">
        <v>4865</v>
      </c>
      <c r="B2122" s="5" t="s">
        <v>4866</v>
      </c>
      <c r="C2122" s="5" t="s">
        <v>38</v>
      </c>
      <c r="D2122" s="5" t="s">
        <v>39</v>
      </c>
      <c r="E2122" s="5" t="s">
        <v>135</v>
      </c>
      <c r="F2122" s="9">
        <v>24</v>
      </c>
      <c r="G2122" s="9">
        <v>318</v>
      </c>
      <c r="H2122" s="5" t="s">
        <v>21</v>
      </c>
      <c r="I2122" s="5" t="s">
        <v>4867</v>
      </c>
      <c r="J2122" s="12" t="str">
        <f>HYPERLINK("https://www.boe.es/gazeta/dias/1801/03/24/pdfs/GMD-1801-24.pdf#page=9","Abrir facsímil")</f>
        <v>Abrir facsímil</v>
      </c>
      <c r="K2122" s="15" t="s">
        <v>23</v>
      </c>
    </row>
    <row r="2123" spans="1:11" ht="42" customHeight="1">
      <c r="A2123" s="4" t="s">
        <v>4868</v>
      </c>
      <c r="B2123" s="5" t="s">
        <v>4869</v>
      </c>
      <c r="C2123" s="5" t="s">
        <v>32</v>
      </c>
      <c r="D2123" s="5" t="s">
        <v>33</v>
      </c>
      <c r="E2123" s="5" t="s">
        <v>165</v>
      </c>
      <c r="F2123" s="9">
        <v>59</v>
      </c>
      <c r="G2123" s="9">
        <v>676</v>
      </c>
      <c r="H2123" s="5" t="s">
        <v>21</v>
      </c>
      <c r="I2123" s="5" t="s">
        <v>4870</v>
      </c>
      <c r="J2123" s="12" t="str">
        <f>HYPERLINK("https://www.boe.es/gazeta/dias/1801/06/23/pdfs/GMD-1801-59.pdf#page=9","Abrir facsímil")</f>
        <v>Abrir facsímil</v>
      </c>
      <c r="K2123" s="15" t="s">
        <v>23</v>
      </c>
    </row>
    <row r="2124" spans="1:11" ht="42" customHeight="1">
      <c r="A2124" s="4" t="s">
        <v>4871</v>
      </c>
      <c r="B2124" s="5" t="s">
        <v>4872</v>
      </c>
      <c r="C2124" s="5" t="s">
        <v>75</v>
      </c>
      <c r="D2124" s="5" t="s">
        <v>76</v>
      </c>
      <c r="E2124" s="5" t="s">
        <v>448</v>
      </c>
      <c r="F2124" s="9">
        <v>35</v>
      </c>
      <c r="G2124" s="9">
        <v>446</v>
      </c>
      <c r="H2124" s="5" t="s">
        <v>21</v>
      </c>
      <c r="I2124" s="5" t="s">
        <v>4873</v>
      </c>
      <c r="J2124" s="12" t="str">
        <f>HYPERLINK("https://www.boe.es/gazeta/dias/1801/05/01/pdfs/GMD-1801-35.pdf#page=2","Abrir facsímil")</f>
        <v>Abrir facsímil</v>
      </c>
      <c r="K2124" s="15" t="s">
        <v>23</v>
      </c>
    </row>
    <row r="2125" spans="1:11" ht="42" customHeight="1">
      <c r="A2125" s="4" t="s">
        <v>4871</v>
      </c>
      <c r="B2125" s="5" t="s">
        <v>4872</v>
      </c>
      <c r="C2125" s="5" t="s">
        <v>75</v>
      </c>
      <c r="D2125" s="5" t="s">
        <v>76</v>
      </c>
      <c r="E2125" s="5" t="s">
        <v>145</v>
      </c>
      <c r="F2125" s="9">
        <v>36</v>
      </c>
      <c r="G2125" s="9">
        <v>458</v>
      </c>
      <c r="H2125" s="5" t="s">
        <v>21</v>
      </c>
      <c r="I2125" s="5" t="s">
        <v>4874</v>
      </c>
      <c r="J2125" s="12" t="str">
        <f>HYPERLINK("https://www.boe.es/gazeta/dias/1801/05/05/pdfs/GMD-1801-36.pdf#page=2","Abrir facsímil")</f>
        <v>Abrir facsímil</v>
      </c>
      <c r="K2125" s="15" t="s">
        <v>23</v>
      </c>
    </row>
    <row r="2126" spans="1:11" ht="42" customHeight="1">
      <c r="A2126" s="4" t="s">
        <v>4871</v>
      </c>
      <c r="B2126" s="5" t="s">
        <v>4872</v>
      </c>
      <c r="C2126" s="5" t="s">
        <v>18</v>
      </c>
      <c r="D2126" s="5" t="s">
        <v>19</v>
      </c>
      <c r="E2126" s="5" t="s">
        <v>151</v>
      </c>
      <c r="F2126" s="9">
        <v>45</v>
      </c>
      <c r="G2126" s="9">
        <v>555</v>
      </c>
      <c r="H2126" s="5" t="s">
        <v>21</v>
      </c>
      <c r="I2126" s="5" t="s">
        <v>4875</v>
      </c>
      <c r="J2126" s="12" t="str">
        <f>HYPERLINK("https://www.boe.es/gazeta/dias/1801/06/02/pdfs/GMD-1801-45.pdf#page=3","Abrir facsímil")</f>
        <v>Abrir facsímil</v>
      </c>
      <c r="K2126" s="15" t="s">
        <v>23</v>
      </c>
    </row>
    <row r="2127" spans="1:11" ht="42" customHeight="1">
      <c r="A2127" s="4" t="s">
        <v>4871</v>
      </c>
      <c r="B2127" s="5" t="s">
        <v>4872</v>
      </c>
      <c r="C2127" s="5" t="s">
        <v>75</v>
      </c>
      <c r="D2127" s="5" t="s">
        <v>76</v>
      </c>
      <c r="E2127" s="5" t="s">
        <v>66</v>
      </c>
      <c r="F2127" s="9">
        <v>52</v>
      </c>
      <c r="G2127" s="9">
        <v>602</v>
      </c>
      <c r="H2127" s="5" t="s">
        <v>21</v>
      </c>
      <c r="I2127" s="5" t="s">
        <v>4876</v>
      </c>
      <c r="J2127" s="12" t="str">
        <f>HYPERLINK("https://www.boe.es/gazeta/dias/1801/06/12/pdfs/GMD-1801-52.pdf#page=1","Abrir facsímil")</f>
        <v>Abrir facsímil</v>
      </c>
      <c r="K2127" s="15" t="s">
        <v>23</v>
      </c>
    </row>
    <row r="2128" spans="1:11" ht="42" customHeight="1">
      <c r="A2128" s="4" t="s">
        <v>4871</v>
      </c>
      <c r="B2128" s="5" t="s">
        <v>4872</v>
      </c>
      <c r="C2128" s="5" t="s">
        <v>75</v>
      </c>
      <c r="D2128" s="5" t="s">
        <v>76</v>
      </c>
      <c r="E2128" s="5" t="s">
        <v>702</v>
      </c>
      <c r="F2128" s="9">
        <v>69</v>
      </c>
      <c r="G2128" s="9">
        <v>759</v>
      </c>
      <c r="H2128" s="5" t="s">
        <v>21</v>
      </c>
      <c r="I2128" s="5" t="s">
        <v>4877</v>
      </c>
      <c r="J2128" s="12" t="str">
        <f>HYPERLINK("https://www.boe.es/gazeta/dias/1801/07/14/pdfs/GMD-1801-69.pdf#page=4","Abrir facsímil")</f>
        <v>Abrir facsímil</v>
      </c>
      <c r="K2128" s="15" t="s">
        <v>23</v>
      </c>
    </row>
    <row r="2129" spans="1:11" ht="42" customHeight="1">
      <c r="A2129" s="4" t="s">
        <v>4871</v>
      </c>
      <c r="B2129" s="5" t="s">
        <v>4872</v>
      </c>
      <c r="C2129" s="5" t="s">
        <v>32</v>
      </c>
      <c r="D2129" s="5" t="s">
        <v>33</v>
      </c>
      <c r="E2129" s="5" t="s">
        <v>254</v>
      </c>
      <c r="F2129" s="9">
        <v>73</v>
      </c>
      <c r="G2129" s="9">
        <v>809</v>
      </c>
      <c r="H2129" s="5" t="s">
        <v>21</v>
      </c>
      <c r="I2129" s="5" t="s">
        <v>4878</v>
      </c>
      <c r="J2129" s="12" t="str">
        <f>HYPERLINK("https://www.boe.es/gazeta/dias/1801/07/28/pdfs/GMD-1801-73.pdf#page=2","Abrir facsímil")</f>
        <v>Abrir facsímil</v>
      </c>
      <c r="K2129" s="15" t="s">
        <v>23</v>
      </c>
    </row>
    <row r="2130" spans="1:11" ht="42" customHeight="1">
      <c r="A2130" s="4" t="s">
        <v>4879</v>
      </c>
      <c r="B2130" s="5" t="s">
        <v>4880</v>
      </c>
      <c r="C2130" s="5" t="s">
        <v>69</v>
      </c>
      <c r="D2130" s="5" t="s">
        <v>19</v>
      </c>
      <c r="E2130" s="5" t="s">
        <v>34</v>
      </c>
      <c r="F2130" s="9">
        <v>38</v>
      </c>
      <c r="G2130" s="9">
        <v>493</v>
      </c>
      <c r="H2130" s="5" t="s">
        <v>21</v>
      </c>
      <c r="I2130" s="5" t="s">
        <v>4881</v>
      </c>
      <c r="J2130" s="12" t="str">
        <f>HYPERLINK("https://www.boe.es/gazeta/dias/1801/05/12/pdfs/GMD-1801-38.pdf#page=9","Abrir facsímil")</f>
        <v>Abrir facsímil</v>
      </c>
      <c r="K2130" s="15" t="s">
        <v>23</v>
      </c>
    </row>
    <row r="2131" spans="1:11" ht="42" customHeight="1">
      <c r="A2131" s="4" t="s">
        <v>4882</v>
      </c>
      <c r="B2131" s="5" t="s">
        <v>4883</v>
      </c>
      <c r="C2131" s="5" t="s">
        <v>69</v>
      </c>
      <c r="D2131" s="5" t="s">
        <v>19</v>
      </c>
      <c r="E2131" s="5" t="s">
        <v>359</v>
      </c>
      <c r="F2131" s="9">
        <v>101</v>
      </c>
      <c r="G2131" s="9">
        <v>1113</v>
      </c>
      <c r="H2131" s="5" t="s">
        <v>21</v>
      </c>
      <c r="I2131" s="5" t="s">
        <v>4884</v>
      </c>
      <c r="J2131" s="12" t="str">
        <f>HYPERLINK("https://www.boe.es/gazeta/dias/1801/10/27/pdfs/GMD-1801-101.pdf#page=6","Abrir facsímil")</f>
        <v>Abrir facsímil</v>
      </c>
      <c r="K2131" s="15" t="s">
        <v>23</v>
      </c>
    </row>
    <row r="2132" spans="1:11" ht="42" customHeight="1">
      <c r="A2132" s="4" t="s">
        <v>4885</v>
      </c>
      <c r="B2132" s="5" t="s">
        <v>4886</v>
      </c>
      <c r="C2132" s="5" t="s">
        <v>69</v>
      </c>
      <c r="D2132" s="5" t="s">
        <v>19</v>
      </c>
      <c r="E2132" s="5" t="s">
        <v>366</v>
      </c>
      <c r="F2132" s="9">
        <v>86</v>
      </c>
      <c r="G2132" s="9">
        <v>956</v>
      </c>
      <c r="H2132" s="5" t="s">
        <v>21</v>
      </c>
      <c r="I2132" s="5" t="s">
        <v>4887</v>
      </c>
      <c r="J2132" s="12" t="str">
        <f>HYPERLINK("https://www.boe.es/gazeta/dias/1801/09/08/pdfs/GMD-1801-86.pdf#page=7","Abrir facsímil")</f>
        <v>Abrir facsímil</v>
      </c>
      <c r="K2132" s="15" t="s">
        <v>23</v>
      </c>
    </row>
    <row r="2133" spans="1:11" ht="42" customHeight="1">
      <c r="A2133" s="4" t="s">
        <v>4888</v>
      </c>
      <c r="B2133" s="5" t="s">
        <v>4889</v>
      </c>
      <c r="C2133" s="5" t="s">
        <v>32</v>
      </c>
      <c r="D2133" s="5" t="s">
        <v>33</v>
      </c>
      <c r="E2133" s="5" t="s">
        <v>50</v>
      </c>
      <c r="F2133" s="9">
        <v>29</v>
      </c>
      <c r="G2133" s="9">
        <v>382</v>
      </c>
      <c r="H2133" s="5" t="s">
        <v>21</v>
      </c>
      <c r="I2133" s="5" t="s">
        <v>4890</v>
      </c>
      <c r="J2133" s="12" t="str">
        <f>HYPERLINK("https://www.boe.es/gazeta/dias/1801/04/10/pdfs/GMD-1801-29.pdf#page=10","Abrir facsímil")</f>
        <v>Abrir facsímil</v>
      </c>
      <c r="K2133" s="15" t="s">
        <v>23</v>
      </c>
    </row>
    <row r="2134" spans="1:11" ht="42" customHeight="1">
      <c r="A2134" s="4" t="s">
        <v>4891</v>
      </c>
      <c r="B2134" s="5" t="s">
        <v>4892</v>
      </c>
      <c r="C2134" s="5" t="s">
        <v>32</v>
      </c>
      <c r="D2134" s="5" t="s">
        <v>33</v>
      </c>
      <c r="E2134" s="5" t="s">
        <v>417</v>
      </c>
      <c r="F2134" s="9">
        <v>64</v>
      </c>
      <c r="G2134" s="9">
        <v>729</v>
      </c>
      <c r="H2134" s="5" t="s">
        <v>21</v>
      </c>
      <c r="I2134" s="5" t="s">
        <v>4893</v>
      </c>
      <c r="J2134" s="12" t="str">
        <f>HYPERLINK("https://www.boe.es/gazeta/dias/1801/07/07/pdfs/GMD-1801-64.pdf#page=10","Abrir facsímil")</f>
        <v>Abrir facsímil</v>
      </c>
      <c r="K2134" s="15" t="s">
        <v>23</v>
      </c>
    </row>
    <row r="2135" spans="1:11" ht="42" customHeight="1">
      <c r="A2135" s="4" t="s">
        <v>4894</v>
      </c>
      <c r="B2135" s="5" t="s">
        <v>4895</v>
      </c>
      <c r="C2135" s="5" t="s">
        <v>32</v>
      </c>
      <c r="D2135" s="5" t="s">
        <v>33</v>
      </c>
      <c r="E2135" s="5" t="s">
        <v>615</v>
      </c>
      <c r="F2135" s="9">
        <v>72</v>
      </c>
      <c r="G2135" s="9">
        <v>805</v>
      </c>
      <c r="H2135" s="5" t="s">
        <v>21</v>
      </c>
      <c r="I2135" s="5" t="s">
        <v>4896</v>
      </c>
      <c r="J2135" s="12" t="str">
        <f>HYPERLINK("https://www.boe.es/gazeta/dias/1801/07/24/pdfs/GMD-1801-72.pdf#page=10","Abrir facsímil")</f>
        <v>Abrir facsímil</v>
      </c>
      <c r="K2135" s="15" t="s">
        <v>23</v>
      </c>
    </row>
    <row r="2136" spans="1:11" ht="42" customHeight="1">
      <c r="A2136" s="4" t="s">
        <v>4897</v>
      </c>
      <c r="B2136" s="5" t="s">
        <v>4898</v>
      </c>
      <c r="C2136" s="5" t="s">
        <v>26</v>
      </c>
      <c r="D2136" s="5" t="s">
        <v>27</v>
      </c>
      <c r="E2136" s="5" t="s">
        <v>143</v>
      </c>
      <c r="F2136" s="9">
        <v>34</v>
      </c>
      <c r="G2136" s="9">
        <v>440</v>
      </c>
      <c r="H2136" s="5" t="s">
        <v>21</v>
      </c>
      <c r="I2136" s="5" t="s">
        <v>4899</v>
      </c>
      <c r="J2136" s="12" t="str">
        <f>HYPERLINK("https://www.boe.es/gazeta/dias/1801/04/28/pdfs/GMD-1801-34.pdf#page=12","Abrir facsímil")</f>
        <v>Abrir facsímil</v>
      </c>
      <c r="K2136" s="15" t="s">
        <v>23</v>
      </c>
    </row>
    <row r="2137" spans="1:11" ht="42" customHeight="1">
      <c r="A2137" s="4" t="s">
        <v>4897</v>
      </c>
      <c r="B2137" s="5" t="s">
        <v>4898</v>
      </c>
      <c r="C2137" s="5" t="s">
        <v>18</v>
      </c>
      <c r="D2137" s="5" t="s">
        <v>19</v>
      </c>
      <c r="E2137" s="5" t="s">
        <v>1939</v>
      </c>
      <c r="F2137" s="9">
        <v>107</v>
      </c>
      <c r="G2137" s="9">
        <v>1181</v>
      </c>
      <c r="H2137" s="5" t="s">
        <v>21</v>
      </c>
      <c r="I2137" s="5" t="s">
        <v>4900</v>
      </c>
      <c r="J2137" s="12" t="str">
        <f>HYPERLINK("https://www.boe.es/gazeta/dias/1801/11/17/pdfs/GMD-1801-107.pdf#page=10","Abrir facsímil")</f>
        <v>Abrir facsímil</v>
      </c>
      <c r="K2137" s="15" t="s">
        <v>23</v>
      </c>
    </row>
    <row r="2138" spans="1:11" ht="42" customHeight="1">
      <c r="A2138" s="4" t="s">
        <v>4901</v>
      </c>
      <c r="B2138" s="5" t="s">
        <v>4902</v>
      </c>
      <c r="C2138" s="5" t="s">
        <v>32</v>
      </c>
      <c r="D2138" s="5" t="s">
        <v>33</v>
      </c>
      <c r="E2138" s="5" t="s">
        <v>201</v>
      </c>
      <c r="F2138" s="9">
        <v>79</v>
      </c>
      <c r="G2138" s="9">
        <v>889</v>
      </c>
      <c r="H2138" s="5" t="s">
        <v>21</v>
      </c>
      <c r="I2138" s="5" t="s">
        <v>4903</v>
      </c>
      <c r="J2138" s="12" t="str">
        <f>HYPERLINK("https://www.boe.es/gazeta/dias/1801/08/18/pdfs/GMD-1801-79.pdf#page=6","Abrir facsímil")</f>
        <v>Abrir facsímil</v>
      </c>
      <c r="K2138" s="15" t="s">
        <v>23</v>
      </c>
    </row>
    <row r="2139" spans="1:11" ht="42" customHeight="1">
      <c r="A2139" s="4" t="s">
        <v>4904</v>
      </c>
      <c r="B2139" s="5" t="s">
        <v>4905</v>
      </c>
      <c r="C2139" s="5" t="s">
        <v>75</v>
      </c>
      <c r="D2139" s="5" t="s">
        <v>76</v>
      </c>
      <c r="E2139" s="5" t="s">
        <v>120</v>
      </c>
      <c r="F2139" s="9">
        <v>7</v>
      </c>
      <c r="G2139" s="9">
        <v>82</v>
      </c>
      <c r="H2139" s="5" t="s">
        <v>21</v>
      </c>
      <c r="I2139" s="5" t="s">
        <v>4906</v>
      </c>
      <c r="J2139" s="12" t="str">
        <f>HYPERLINK("https://www.boe.es/gazeta/dias/1801/01/23/pdfs/GMD-1801-7.pdf#page=6","Abrir facsímil")</f>
        <v>Abrir facsímil</v>
      </c>
      <c r="K2139" s="15" t="s">
        <v>23</v>
      </c>
    </row>
    <row r="2140" spans="1:11" ht="42" customHeight="1">
      <c r="A2140" s="4" t="s">
        <v>4907</v>
      </c>
      <c r="B2140" s="5" t="s">
        <v>4908</v>
      </c>
      <c r="C2140" s="5" t="s">
        <v>38</v>
      </c>
      <c r="D2140" s="5" t="s">
        <v>39</v>
      </c>
      <c r="E2140" s="5" t="s">
        <v>124</v>
      </c>
      <c r="F2140" s="9">
        <v>12</v>
      </c>
      <c r="G2140" s="9">
        <v>149</v>
      </c>
      <c r="H2140" s="5" t="s">
        <v>21</v>
      </c>
      <c r="I2140" s="5" t="s">
        <v>4909</v>
      </c>
      <c r="J2140" s="12" t="str">
        <f>HYPERLINK("https://www.boe.es/gazeta/dias/1801/02/10/pdfs/GMD-1801-12.pdf#page=10","Abrir facsímil")</f>
        <v>Abrir facsímil</v>
      </c>
      <c r="K2140" s="15" t="s">
        <v>23</v>
      </c>
    </row>
    <row r="2141" spans="1:11" ht="42" customHeight="1">
      <c r="A2141" s="4" t="s">
        <v>4910</v>
      </c>
      <c r="B2141" s="5" t="s">
        <v>4911</v>
      </c>
      <c r="C2141" s="5" t="s">
        <v>75</v>
      </c>
      <c r="D2141" s="5" t="s">
        <v>76</v>
      </c>
      <c r="E2141" s="5" t="s">
        <v>211</v>
      </c>
      <c r="F2141" s="9">
        <v>87</v>
      </c>
      <c r="G2141" s="9">
        <v>960</v>
      </c>
      <c r="H2141" s="5" t="s">
        <v>21</v>
      </c>
      <c r="I2141" s="5" t="s">
        <v>4912</v>
      </c>
      <c r="J2141" s="12" t="str">
        <f>HYPERLINK("https://www.boe.es/gazeta/dias/1801/09/11/pdfs/GMD-1801-87.pdf#page=3","Abrir facsímil")</f>
        <v>Abrir facsímil</v>
      </c>
      <c r="K2141" s="15" t="s">
        <v>23</v>
      </c>
    </row>
    <row r="2142" spans="1:11" ht="42" customHeight="1">
      <c r="A2142" s="4" t="s">
        <v>4913</v>
      </c>
      <c r="B2142" s="5" t="s">
        <v>4914</v>
      </c>
      <c r="C2142" s="5" t="s">
        <v>38</v>
      </c>
      <c r="D2142" s="5" t="s">
        <v>39</v>
      </c>
      <c r="E2142" s="5" t="s">
        <v>155</v>
      </c>
      <c r="F2142" s="9">
        <v>50</v>
      </c>
      <c r="G2142" s="9">
        <v>598</v>
      </c>
      <c r="H2142" s="5" t="s">
        <v>21</v>
      </c>
      <c r="I2142" s="5" t="s">
        <v>4915</v>
      </c>
      <c r="J2142" s="12" t="str">
        <f>HYPERLINK("https://www.boe.es/gazeta/dias/1801/06/09/pdfs/GMD-1801-50.pdf#page=10","Abrir facsímil")</f>
        <v>Abrir facsímil</v>
      </c>
      <c r="K2142" s="15" t="s">
        <v>23</v>
      </c>
    </row>
    <row r="2143" spans="1:11" ht="42" customHeight="1">
      <c r="A2143" s="4" t="s">
        <v>4916</v>
      </c>
      <c r="B2143" s="5" t="s">
        <v>4917</v>
      </c>
      <c r="C2143" s="5" t="s">
        <v>38</v>
      </c>
      <c r="D2143" s="5" t="s">
        <v>39</v>
      </c>
      <c r="E2143" s="5" t="s">
        <v>55</v>
      </c>
      <c r="F2143" s="9">
        <v>104</v>
      </c>
      <c r="G2143" s="9">
        <v>1146</v>
      </c>
      <c r="H2143" s="5" t="s">
        <v>21</v>
      </c>
      <c r="I2143" s="5" t="s">
        <v>4918</v>
      </c>
      <c r="J2143" s="12" t="str">
        <f>HYPERLINK("https://www.boe.es/gazeta/dias/1801/11/06/pdfs/GMD-1801-104.pdf#page=7","Abrir facsímil")</f>
        <v>Abrir facsímil</v>
      </c>
      <c r="K2143" s="15" t="s">
        <v>23</v>
      </c>
    </row>
    <row r="2144" spans="1:11" ht="42" customHeight="1">
      <c r="A2144" s="4" t="s">
        <v>4919</v>
      </c>
      <c r="B2144" s="5" t="s">
        <v>4920</v>
      </c>
      <c r="C2144" s="5" t="s">
        <v>26</v>
      </c>
      <c r="D2144" s="5" t="s">
        <v>27</v>
      </c>
      <c r="E2144" s="5" t="s">
        <v>501</v>
      </c>
      <c r="F2144" s="9">
        <v>115</v>
      </c>
      <c r="G2144" s="9" t="s">
        <v>83</v>
      </c>
      <c r="H2144" s="5" t="s">
        <v>21</v>
      </c>
      <c r="I2144" s="5" t="s">
        <v>4921</v>
      </c>
      <c r="J2144" s="12" t="str">
        <f>HYPERLINK("https://www.boe.es/gazeta/dias/1801/12/15/pdfs/GMD-C-1801-115.pdf#page=2","Abrir facsímil")</f>
        <v>Abrir facsímil</v>
      </c>
      <c r="K2144" s="15" t="s">
        <v>23</v>
      </c>
    </row>
    <row r="2145" spans="1:11" ht="42" customHeight="1">
      <c r="A2145" s="4" t="s">
        <v>4922</v>
      </c>
      <c r="B2145" s="5" t="s">
        <v>4923</v>
      </c>
      <c r="C2145" s="5" t="s">
        <v>32</v>
      </c>
      <c r="D2145" s="5" t="s">
        <v>33</v>
      </c>
      <c r="E2145" s="5" t="s">
        <v>919</v>
      </c>
      <c r="F2145" s="9">
        <v>91</v>
      </c>
      <c r="G2145" s="9">
        <v>1003</v>
      </c>
      <c r="H2145" s="5" t="s">
        <v>21</v>
      </c>
      <c r="I2145" s="5" t="s">
        <v>4924</v>
      </c>
      <c r="J2145" s="12" t="str">
        <f>HYPERLINK("https://www.boe.es/gazeta/dias/1801/09/22/pdfs/GMD-1801-91.pdf#page=6","Abrir facsímil")</f>
        <v>Abrir facsímil</v>
      </c>
      <c r="K2145" s="15" t="s">
        <v>23</v>
      </c>
    </row>
    <row r="2146" spans="1:11" ht="42" customHeight="1">
      <c r="A2146" s="4" t="s">
        <v>4925</v>
      </c>
      <c r="B2146" s="5" t="s">
        <v>4926</v>
      </c>
      <c r="C2146" s="5" t="s">
        <v>69</v>
      </c>
      <c r="D2146" s="5" t="s">
        <v>19</v>
      </c>
      <c r="E2146" s="5" t="s">
        <v>62</v>
      </c>
      <c r="F2146" s="9">
        <v>6</v>
      </c>
      <c r="G2146" s="9">
        <v>72</v>
      </c>
      <c r="H2146" s="5" t="s">
        <v>21</v>
      </c>
      <c r="I2146" s="5" t="s">
        <v>4927</v>
      </c>
      <c r="J2146" s="12" t="str">
        <f>HYPERLINK("https://www.boe.es/gazeta/dias/1801/01/20/pdfs/GMD-1801-6.pdf#page=8","Abrir facsímil")</f>
        <v>Abrir facsímil</v>
      </c>
      <c r="K2146" s="15" t="s">
        <v>23</v>
      </c>
    </row>
    <row r="2147" spans="1:11" ht="42" customHeight="1">
      <c r="A2147" s="4" t="s">
        <v>4928</v>
      </c>
      <c r="B2147" s="5" t="s">
        <v>4929</v>
      </c>
      <c r="C2147" s="5" t="s">
        <v>18</v>
      </c>
      <c r="D2147" s="5" t="s">
        <v>19</v>
      </c>
      <c r="E2147" s="5" t="s">
        <v>501</v>
      </c>
      <c r="F2147" s="9">
        <v>115</v>
      </c>
      <c r="G2147" s="9">
        <v>1257</v>
      </c>
      <c r="H2147" s="5" t="s">
        <v>21</v>
      </c>
      <c r="I2147" s="5" t="s">
        <v>4930</v>
      </c>
      <c r="J2147" s="12" t="str">
        <f>HYPERLINK("https://www.boe.es/gazeta/dias/1801/12/15/pdfs/GMD-1801-115.pdf#page=7","Abrir facsímil")</f>
        <v>Abrir facsímil</v>
      </c>
      <c r="K2147" s="15" t="s">
        <v>23</v>
      </c>
    </row>
    <row r="2148" spans="1:11" ht="42" customHeight="1">
      <c r="A2148" s="4" t="s">
        <v>4931</v>
      </c>
      <c r="B2148" s="5" t="s">
        <v>4932</v>
      </c>
      <c r="C2148" s="5" t="s">
        <v>38</v>
      </c>
      <c r="D2148" s="5" t="s">
        <v>39</v>
      </c>
      <c r="E2148" s="5" t="s">
        <v>702</v>
      </c>
      <c r="F2148" s="9">
        <v>69</v>
      </c>
      <c r="G2148" s="9">
        <v>764</v>
      </c>
      <c r="H2148" s="5" t="s">
        <v>21</v>
      </c>
      <c r="I2148" s="5" t="s">
        <v>4933</v>
      </c>
      <c r="J2148" s="12" t="str">
        <f>HYPERLINK("https://www.boe.es/gazeta/dias/1801/07/14/pdfs/GMD-1801-69.pdf#page=9","Abrir facsímil")</f>
        <v>Abrir facsímil</v>
      </c>
      <c r="K2148" s="15" t="s">
        <v>23</v>
      </c>
    </row>
    <row r="2149" spans="1:11" ht="42" customHeight="1">
      <c r="A2149" s="4" t="s">
        <v>4934</v>
      </c>
      <c r="B2149" s="5" t="s">
        <v>4935</v>
      </c>
      <c r="C2149" s="5" t="s">
        <v>32</v>
      </c>
      <c r="D2149" s="5" t="s">
        <v>33</v>
      </c>
      <c r="E2149" s="5" t="s">
        <v>2237</v>
      </c>
      <c r="F2149" s="9">
        <v>82</v>
      </c>
      <c r="G2149" s="9">
        <v>917</v>
      </c>
      <c r="H2149" s="5" t="s">
        <v>21</v>
      </c>
      <c r="I2149" s="5" t="s">
        <v>4936</v>
      </c>
      <c r="J2149" s="12" t="str">
        <f>HYPERLINK("https://www.boe.es/gazeta/dias/1801/08/28/pdfs/GMD-1801-82.pdf#page=6","Abrir facsímil")</f>
        <v>Abrir facsímil</v>
      </c>
      <c r="K2149" s="15" t="s">
        <v>23</v>
      </c>
    </row>
    <row r="2150" spans="1:11" ht="42" customHeight="1">
      <c r="A2150" s="4" t="s">
        <v>4937</v>
      </c>
      <c r="B2150" s="5" t="s">
        <v>4938</v>
      </c>
      <c r="C2150" s="5" t="s">
        <v>18</v>
      </c>
      <c r="D2150" s="5" t="s">
        <v>19</v>
      </c>
      <c r="E2150" s="5" t="s">
        <v>2339</v>
      </c>
      <c r="F2150" s="9" t="s">
        <v>2340</v>
      </c>
      <c r="G2150" s="9">
        <v>619</v>
      </c>
      <c r="H2150" s="5" t="s">
        <v>21</v>
      </c>
      <c r="I2150" s="5" t="s">
        <v>4939</v>
      </c>
      <c r="J2150" s="12" t="str">
        <f>HYPERLINK("https://www.boe.es/gazeta/dias/1801/06/15/pdfs/GMD-1801-54E.pdf#page=3","Abrir facsímil")</f>
        <v>Abrir facsímil</v>
      </c>
      <c r="K2150" s="15" t="s">
        <v>23</v>
      </c>
    </row>
    <row r="2151" spans="1:11" ht="42" customHeight="1">
      <c r="A2151" s="4" t="s">
        <v>4940</v>
      </c>
      <c r="B2151" s="5" t="s">
        <v>4941</v>
      </c>
      <c r="C2151" s="5" t="s">
        <v>69</v>
      </c>
      <c r="D2151" s="5" t="s">
        <v>19</v>
      </c>
      <c r="E2151" s="5" t="s">
        <v>501</v>
      </c>
      <c r="F2151" s="9">
        <v>115</v>
      </c>
      <c r="G2151" s="9">
        <v>1256</v>
      </c>
      <c r="H2151" s="5" t="s">
        <v>21</v>
      </c>
      <c r="I2151" s="5" t="s">
        <v>4942</v>
      </c>
      <c r="J2151" s="12" t="str">
        <f>HYPERLINK("https://www.boe.es/gazeta/dias/1801/12/15/pdfs/GMD-1801-115.pdf#page=6","Abrir facsímil")</f>
        <v>Abrir facsímil</v>
      </c>
      <c r="K2151" s="15" t="s">
        <v>23</v>
      </c>
    </row>
    <row r="2152" spans="1:11" ht="42" customHeight="1">
      <c r="A2152" s="4" t="s">
        <v>4943</v>
      </c>
      <c r="B2152" s="5" t="s">
        <v>4944</v>
      </c>
      <c r="C2152" s="5" t="s">
        <v>32</v>
      </c>
      <c r="D2152" s="5" t="s">
        <v>33</v>
      </c>
      <c r="E2152" s="5" t="s">
        <v>211</v>
      </c>
      <c r="F2152" s="9">
        <v>87</v>
      </c>
      <c r="G2152" s="9">
        <v>958</v>
      </c>
      <c r="H2152" s="5" t="s">
        <v>21</v>
      </c>
      <c r="I2152" s="5" t="s">
        <v>4945</v>
      </c>
      <c r="J2152" s="12" t="str">
        <f>HYPERLINK("https://www.boe.es/gazeta/dias/1801/09/11/pdfs/GMD-1801-87.pdf#page=1","Abrir facsímil")</f>
        <v>Abrir facsímil</v>
      </c>
      <c r="K2152" s="15" t="s">
        <v>23</v>
      </c>
    </row>
    <row r="2153" spans="1:11" ht="42" customHeight="1">
      <c r="A2153" s="4" t="s">
        <v>4946</v>
      </c>
      <c r="B2153" s="5" t="s">
        <v>4947</v>
      </c>
      <c r="C2153" s="5" t="s">
        <v>75</v>
      </c>
      <c r="D2153" s="5" t="s">
        <v>76</v>
      </c>
      <c r="E2153" s="5" t="s">
        <v>50</v>
      </c>
      <c r="F2153" s="9">
        <v>29</v>
      </c>
      <c r="G2153" s="9">
        <v>375</v>
      </c>
      <c r="H2153" s="5" t="s">
        <v>21</v>
      </c>
      <c r="I2153" s="5" t="s">
        <v>4948</v>
      </c>
      <c r="J2153" s="12" t="str">
        <f>HYPERLINK("https://www.boe.es/gazeta/dias/1801/04/10/pdfs/GMD-1801-29.pdf#page=3","Abrir facsímil")</f>
        <v>Abrir facsímil</v>
      </c>
      <c r="K2153" s="15" t="s">
        <v>23</v>
      </c>
    </row>
    <row r="2154" spans="1:11" ht="42" customHeight="1">
      <c r="A2154" s="4" t="s">
        <v>4949</v>
      </c>
      <c r="B2154" s="5" t="s">
        <v>4950</v>
      </c>
      <c r="C2154" s="5" t="s">
        <v>38</v>
      </c>
      <c r="D2154" s="5" t="s">
        <v>39</v>
      </c>
      <c r="E2154" s="5" t="s">
        <v>640</v>
      </c>
      <c r="F2154" s="9">
        <v>81</v>
      </c>
      <c r="G2154" s="9">
        <v>910</v>
      </c>
      <c r="H2154" s="5" t="s">
        <v>21</v>
      </c>
      <c r="I2154" s="5" t="s">
        <v>4951</v>
      </c>
      <c r="J2154" s="12" t="str">
        <f>HYPERLINK("https://www.boe.es/gazeta/dias/1801/08/25/pdfs/GMD-1801-81.pdf#page=7","Abrir facsímil")</f>
        <v>Abrir facsímil</v>
      </c>
      <c r="K2154" s="15" t="s">
        <v>23</v>
      </c>
    </row>
    <row r="2155" spans="1:11" ht="42" customHeight="1">
      <c r="A2155" s="4" t="s">
        <v>4952</v>
      </c>
      <c r="B2155" s="5" t="s">
        <v>4953</v>
      </c>
      <c r="C2155" s="5" t="s">
        <v>32</v>
      </c>
      <c r="D2155" s="5" t="s">
        <v>33</v>
      </c>
      <c r="E2155" s="5" t="s">
        <v>186</v>
      </c>
      <c r="F2155" s="9">
        <v>21</v>
      </c>
      <c r="G2155" s="9">
        <v>280</v>
      </c>
      <c r="H2155" s="5" t="s">
        <v>21</v>
      </c>
      <c r="I2155" s="5" t="s">
        <v>4954</v>
      </c>
      <c r="J2155" s="12" t="str">
        <f>HYPERLINK("https://www.boe.es/gazeta/dias/1801/03/13/pdfs/GMD-1801-21.pdf#page=9","Abrir facsímil")</f>
        <v>Abrir facsímil</v>
      </c>
      <c r="K2155" s="15" t="s">
        <v>23</v>
      </c>
    </row>
    <row r="2156" spans="1:11" ht="42" customHeight="1">
      <c r="A2156" s="4" t="s">
        <v>4955</v>
      </c>
      <c r="B2156" s="5" t="s">
        <v>4956</v>
      </c>
      <c r="C2156" s="5" t="s">
        <v>38</v>
      </c>
      <c r="D2156" s="5" t="s">
        <v>39</v>
      </c>
      <c r="E2156" s="5" t="s">
        <v>155</v>
      </c>
      <c r="F2156" s="9">
        <v>50</v>
      </c>
      <c r="G2156" s="9">
        <v>597</v>
      </c>
      <c r="H2156" s="5" t="s">
        <v>21</v>
      </c>
      <c r="I2156" s="5" t="s">
        <v>4957</v>
      </c>
      <c r="J2156" s="12" t="str">
        <f>HYPERLINK("https://www.boe.es/gazeta/dias/1801/06/09/pdfs/GMD-1801-50.pdf#page=9","Abrir facsímil")</f>
        <v>Abrir facsímil</v>
      </c>
      <c r="K2156" s="15" t="s">
        <v>23</v>
      </c>
    </row>
    <row r="2157" spans="1:11" ht="42" customHeight="1">
      <c r="A2157" s="4" t="s">
        <v>4958</v>
      </c>
      <c r="B2157" s="5" t="s">
        <v>4959</v>
      </c>
      <c r="C2157" s="5" t="s">
        <v>38</v>
      </c>
      <c r="D2157" s="5" t="s">
        <v>39</v>
      </c>
      <c r="E2157" s="5" t="s">
        <v>165</v>
      </c>
      <c r="F2157" s="9">
        <v>59</v>
      </c>
      <c r="G2157" s="9">
        <v>676</v>
      </c>
      <c r="H2157" s="5" t="s">
        <v>21</v>
      </c>
      <c r="I2157" s="5" t="s">
        <v>4960</v>
      </c>
      <c r="J2157" s="12" t="str">
        <f>HYPERLINK("https://www.boe.es/gazeta/dias/1801/06/23/pdfs/GMD-1801-59.pdf#page=9","Abrir facsímil")</f>
        <v>Abrir facsímil</v>
      </c>
      <c r="K2157" s="15" t="s">
        <v>23</v>
      </c>
    </row>
    <row r="2158" spans="1:11" ht="42" customHeight="1">
      <c r="A2158" s="4" t="s">
        <v>4961</v>
      </c>
      <c r="B2158" s="5" t="s">
        <v>4962</v>
      </c>
      <c r="C2158" s="5" t="s">
        <v>38</v>
      </c>
      <c r="D2158" s="5" t="s">
        <v>39</v>
      </c>
      <c r="E2158" s="5" t="s">
        <v>317</v>
      </c>
      <c r="F2158" s="9">
        <v>102</v>
      </c>
      <c r="G2158" s="9">
        <v>1122</v>
      </c>
      <c r="H2158" s="5" t="s">
        <v>21</v>
      </c>
      <c r="I2158" s="5" t="s">
        <v>4963</v>
      </c>
      <c r="J2158" s="12" t="str">
        <f>HYPERLINK("https://www.boe.es/gazeta/dias/1801/10/30/pdfs/GMD-1801-102.pdf#page=7","Abrir facsímil")</f>
        <v>Abrir facsímil</v>
      </c>
      <c r="K2158" s="15" t="s">
        <v>23</v>
      </c>
    </row>
    <row r="2159" spans="1:11" ht="42" customHeight="1">
      <c r="A2159" s="4" t="s">
        <v>4961</v>
      </c>
      <c r="B2159" s="5" t="s">
        <v>4962</v>
      </c>
      <c r="C2159" s="5" t="s">
        <v>38</v>
      </c>
      <c r="D2159" s="5" t="s">
        <v>39</v>
      </c>
      <c r="E2159" s="5" t="s">
        <v>723</v>
      </c>
      <c r="F2159" s="9">
        <v>113</v>
      </c>
      <c r="G2159" s="9">
        <v>1235</v>
      </c>
      <c r="H2159" s="5" t="s">
        <v>21</v>
      </c>
      <c r="I2159" s="5" t="s">
        <v>4964</v>
      </c>
      <c r="J2159" s="12" t="str">
        <f>HYPERLINK("https://www.boe.es/gazeta/dias/1801/12/08/pdfs/GMD-1801-113.pdf#page=8","Abrir facsímil")</f>
        <v>Abrir facsímil</v>
      </c>
      <c r="K2159" s="15" t="s">
        <v>23</v>
      </c>
    </row>
    <row r="2160" spans="1:11" ht="42" customHeight="1">
      <c r="A2160" s="4" t="s">
        <v>4965</v>
      </c>
      <c r="B2160" s="5" t="s">
        <v>4966</v>
      </c>
      <c r="C2160" s="5" t="s">
        <v>80</v>
      </c>
      <c r="D2160" s="5" t="s">
        <v>81</v>
      </c>
      <c r="E2160" s="5" t="s">
        <v>82</v>
      </c>
      <c r="F2160" s="9">
        <v>75</v>
      </c>
      <c r="G2160" s="9" t="s">
        <v>305</v>
      </c>
      <c r="H2160" s="5" t="s">
        <v>21</v>
      </c>
      <c r="I2160" s="5" t="s">
        <v>4967</v>
      </c>
      <c r="J2160" s="12" t="str">
        <f>HYPERLINK("https://www.boe.es/gazeta/dias/1801/08/04/pdfs/GMD-C-1801-75.pdf#page=4","Abrir facsímil")</f>
        <v>Abrir facsímil</v>
      </c>
      <c r="K2160" s="15" t="s">
        <v>23</v>
      </c>
    </row>
    <row r="2161" spans="1:11" ht="42" customHeight="1">
      <c r="A2161" s="4" t="s">
        <v>4968</v>
      </c>
      <c r="B2161" s="5" t="s">
        <v>4969</v>
      </c>
      <c r="C2161" s="5" t="s">
        <v>32</v>
      </c>
      <c r="D2161" s="5" t="s">
        <v>33</v>
      </c>
      <c r="E2161" s="5" t="s">
        <v>201</v>
      </c>
      <c r="F2161" s="9">
        <v>79</v>
      </c>
      <c r="G2161" s="9">
        <v>889</v>
      </c>
      <c r="H2161" s="5" t="s">
        <v>21</v>
      </c>
      <c r="I2161" s="5" t="s">
        <v>4970</v>
      </c>
      <c r="J2161" s="12" t="str">
        <f>HYPERLINK("https://www.boe.es/gazeta/dias/1801/08/18/pdfs/GMD-1801-79.pdf#page=6","Abrir facsímil")</f>
        <v>Abrir facsímil</v>
      </c>
      <c r="K2161" s="15" t="s">
        <v>23</v>
      </c>
    </row>
    <row r="2162" spans="1:11" ht="42" customHeight="1">
      <c r="A2162" s="4" t="s">
        <v>4971</v>
      </c>
      <c r="B2162" s="5" t="s">
        <v>4972</v>
      </c>
      <c r="C2162" s="5" t="s">
        <v>1481</v>
      </c>
      <c r="D2162" s="5" t="s">
        <v>1482</v>
      </c>
      <c r="E2162" s="5" t="s">
        <v>2339</v>
      </c>
      <c r="F2162" s="9" t="s">
        <v>2340</v>
      </c>
      <c r="G2162" s="9">
        <v>622</v>
      </c>
      <c r="H2162" s="5" t="s">
        <v>21</v>
      </c>
      <c r="I2162" s="5" t="s">
        <v>4973</v>
      </c>
      <c r="J2162" s="12" t="str">
        <f>HYPERLINK("https://www.boe.es/gazeta/dias/1801/06/15/pdfs/GMD-1801-54E.pdf#page=6","Abrir facsímil")</f>
        <v>Abrir facsímil</v>
      </c>
      <c r="K2162" s="15" t="s">
        <v>23</v>
      </c>
    </row>
    <row r="2163" spans="1:11" ht="42" customHeight="1">
      <c r="A2163" s="4" t="s">
        <v>4974</v>
      </c>
      <c r="B2163" s="5" t="s">
        <v>4975</v>
      </c>
      <c r="C2163" s="5" t="s">
        <v>69</v>
      </c>
      <c r="D2163" s="5" t="s">
        <v>19</v>
      </c>
      <c r="E2163" s="5" t="s">
        <v>94</v>
      </c>
      <c r="F2163" s="9">
        <v>19</v>
      </c>
      <c r="G2163" s="9">
        <v>244</v>
      </c>
      <c r="H2163" s="5" t="s">
        <v>21</v>
      </c>
      <c r="I2163" s="5" t="s">
        <v>4976</v>
      </c>
      <c r="J2163" s="12" t="str">
        <f>HYPERLINK("https://www.boe.es/gazeta/dias/1801/03/06/pdfs/GMD-1801-19.pdf#page=9","Abrir facsímil")</f>
        <v>Abrir facsímil</v>
      </c>
      <c r="K2163" s="15" t="s">
        <v>23</v>
      </c>
    </row>
    <row r="2164" spans="1:11" ht="42" customHeight="1">
      <c r="A2164" s="4" t="s">
        <v>4977</v>
      </c>
      <c r="B2164" s="5" t="s">
        <v>4978</v>
      </c>
      <c r="C2164" s="5" t="s">
        <v>18</v>
      </c>
      <c r="D2164" s="5" t="s">
        <v>19</v>
      </c>
      <c r="E2164" s="5" t="s">
        <v>186</v>
      </c>
      <c r="F2164" s="9">
        <v>21</v>
      </c>
      <c r="G2164" s="9">
        <v>282</v>
      </c>
      <c r="H2164" s="5" t="s">
        <v>21</v>
      </c>
      <c r="I2164" s="5" t="s">
        <v>4979</v>
      </c>
      <c r="J2164" s="12" t="str">
        <f>HYPERLINK("https://www.boe.es/gazeta/dias/1801/03/13/pdfs/GMD-1801-21.pdf#page=11","Abrir facsímil")</f>
        <v>Abrir facsímil</v>
      </c>
      <c r="K2164" s="15" t="s">
        <v>23</v>
      </c>
    </row>
    <row r="2165" spans="1:11" ht="42" customHeight="1">
      <c r="A2165" s="4" t="s">
        <v>4977</v>
      </c>
      <c r="B2165" s="5" t="s">
        <v>4978</v>
      </c>
      <c r="C2165" s="5" t="s">
        <v>32</v>
      </c>
      <c r="D2165" s="5" t="s">
        <v>33</v>
      </c>
      <c r="E2165" s="5" t="s">
        <v>919</v>
      </c>
      <c r="F2165" s="9">
        <v>91</v>
      </c>
      <c r="G2165" s="9">
        <v>1005</v>
      </c>
      <c r="H2165" s="5" t="s">
        <v>21</v>
      </c>
      <c r="I2165" s="5" t="s">
        <v>4980</v>
      </c>
      <c r="J2165" s="12" t="str">
        <f>HYPERLINK("https://www.boe.es/gazeta/dias/1801/09/22/pdfs/GMD-1801-91.pdf#page=8","Abrir facsímil")</f>
        <v>Abrir facsímil</v>
      </c>
      <c r="K2165" s="15" t="s">
        <v>23</v>
      </c>
    </row>
    <row r="2166" spans="1:11" ht="42" customHeight="1">
      <c r="A2166" s="4" t="s">
        <v>4977</v>
      </c>
      <c r="B2166" s="5" t="s">
        <v>4978</v>
      </c>
      <c r="C2166" s="5" t="s">
        <v>18</v>
      </c>
      <c r="D2166" s="5" t="s">
        <v>19</v>
      </c>
      <c r="E2166" s="5" t="s">
        <v>735</v>
      </c>
      <c r="F2166" s="9">
        <v>97</v>
      </c>
      <c r="G2166" s="9">
        <v>1066</v>
      </c>
      <c r="H2166" s="5" t="s">
        <v>21</v>
      </c>
      <c r="I2166" s="5" t="s">
        <v>4981</v>
      </c>
      <c r="J2166" s="12" t="str">
        <f>HYPERLINK("https://www.boe.es/gazeta/dias/1801/10/13/pdfs/GMD-1801-97.pdf#page=10","Abrir facsímil")</f>
        <v>Abrir facsímil</v>
      </c>
      <c r="K2166" s="15" t="s">
        <v>23</v>
      </c>
    </row>
    <row r="2167" spans="1:11" ht="42" customHeight="1">
      <c r="A2167" s="4" t="s">
        <v>4977</v>
      </c>
      <c r="B2167" s="5" t="s">
        <v>4978</v>
      </c>
      <c r="C2167" s="5" t="s">
        <v>32</v>
      </c>
      <c r="D2167" s="5" t="s">
        <v>33</v>
      </c>
      <c r="E2167" s="5" t="s">
        <v>1085</v>
      </c>
      <c r="F2167" s="9">
        <v>99</v>
      </c>
      <c r="G2167" s="9">
        <v>1089</v>
      </c>
      <c r="H2167" s="5" t="s">
        <v>21</v>
      </c>
      <c r="I2167" s="5" t="s">
        <v>4982</v>
      </c>
      <c r="J2167" s="12" t="str">
        <f>HYPERLINK("https://www.boe.es/gazeta/dias/1801/10/20/pdfs/GMD-1801-99.pdf#page=6","Abrir facsímil")</f>
        <v>Abrir facsímil</v>
      </c>
      <c r="K2167" s="15" t="s">
        <v>23</v>
      </c>
    </row>
    <row r="2168" spans="1:11" ht="42" customHeight="1">
      <c r="A2168" s="4" t="s">
        <v>4977</v>
      </c>
      <c r="B2168" s="5" t="s">
        <v>4978</v>
      </c>
      <c r="C2168" s="5" t="s">
        <v>32</v>
      </c>
      <c r="D2168" s="5" t="s">
        <v>33</v>
      </c>
      <c r="E2168" s="5" t="s">
        <v>55</v>
      </c>
      <c r="F2168" s="9">
        <v>104</v>
      </c>
      <c r="G2168" s="9">
        <v>1145</v>
      </c>
      <c r="H2168" s="5" t="s">
        <v>21</v>
      </c>
      <c r="I2168" s="5" t="s">
        <v>4983</v>
      </c>
      <c r="J2168" s="12" t="str">
        <f>HYPERLINK("https://www.boe.es/gazeta/dias/1801/11/06/pdfs/GMD-1801-104.pdf#page=6","Abrir facsímil")</f>
        <v>Abrir facsímil</v>
      </c>
      <c r="K2168" s="15" t="s">
        <v>23</v>
      </c>
    </row>
    <row r="2169" spans="1:11" ht="42" customHeight="1">
      <c r="A2169" s="4" t="s">
        <v>4977</v>
      </c>
      <c r="B2169" s="5" t="s">
        <v>4978</v>
      </c>
      <c r="C2169" s="5" t="s">
        <v>18</v>
      </c>
      <c r="D2169" s="5" t="s">
        <v>19</v>
      </c>
      <c r="E2169" s="5" t="s">
        <v>712</v>
      </c>
      <c r="F2169" s="9">
        <v>105</v>
      </c>
      <c r="G2169" s="9">
        <v>1157</v>
      </c>
      <c r="H2169" s="5" t="s">
        <v>21</v>
      </c>
      <c r="I2169" s="5" t="s">
        <v>4984</v>
      </c>
      <c r="J2169" s="12" t="str">
        <f>HYPERLINK("https://www.boe.es/gazeta/dias/1801/11/10/pdfs/GMD-1801-105.pdf#page=10","Abrir facsímil")</f>
        <v>Abrir facsímil</v>
      </c>
      <c r="K2169" s="15" t="s">
        <v>23</v>
      </c>
    </row>
    <row r="2170" spans="1:11" ht="42" customHeight="1">
      <c r="A2170" s="4" t="s">
        <v>4977</v>
      </c>
      <c r="B2170" s="5" t="s">
        <v>4978</v>
      </c>
      <c r="C2170" s="5" t="s">
        <v>32</v>
      </c>
      <c r="D2170" s="5" t="s">
        <v>33</v>
      </c>
      <c r="E2170" s="5" t="s">
        <v>751</v>
      </c>
      <c r="F2170" s="9">
        <v>106</v>
      </c>
      <c r="G2170" s="9">
        <v>1166</v>
      </c>
      <c r="H2170" s="5" t="s">
        <v>21</v>
      </c>
      <c r="I2170" s="5" t="s">
        <v>4985</v>
      </c>
      <c r="J2170" s="12" t="str">
        <f>HYPERLINK("https://www.boe.es/gazeta/dias/1801/11/13/pdfs/GMD-1801-106.pdf#page=7","Abrir facsímil")</f>
        <v>Abrir facsímil</v>
      </c>
      <c r="K2170" s="15" t="s">
        <v>23</v>
      </c>
    </row>
    <row r="2171" spans="1:11" ht="42" customHeight="1">
      <c r="A2171" s="4" t="s">
        <v>4977</v>
      </c>
      <c r="B2171" s="5" t="s">
        <v>4978</v>
      </c>
      <c r="C2171" s="5" t="s">
        <v>32</v>
      </c>
      <c r="D2171" s="5" t="s">
        <v>33</v>
      </c>
      <c r="E2171" s="5" t="s">
        <v>44</v>
      </c>
      <c r="F2171" s="9">
        <v>117</v>
      </c>
      <c r="G2171" s="9">
        <v>1283</v>
      </c>
      <c r="H2171" s="5" t="s">
        <v>21</v>
      </c>
      <c r="I2171" s="5" t="s">
        <v>4986</v>
      </c>
      <c r="J2171" s="12" t="str">
        <f>HYPERLINK("https://www.boe.es/gazeta/dias/1801/12/22/pdfs/GMD-1801-117.pdf#page=10","Abrir facsímil")</f>
        <v>Abrir facsímil</v>
      </c>
      <c r="K2171" s="15" t="s">
        <v>23</v>
      </c>
    </row>
    <row r="2172" spans="1:11" ht="42" customHeight="1">
      <c r="A2172" s="4" t="s">
        <v>4987</v>
      </c>
      <c r="B2172" s="5" t="s">
        <v>4988</v>
      </c>
      <c r="C2172" s="5" t="s">
        <v>26</v>
      </c>
      <c r="D2172" s="5" t="s">
        <v>27</v>
      </c>
      <c r="E2172" s="5" t="s">
        <v>179</v>
      </c>
      <c r="F2172" s="9">
        <v>11</v>
      </c>
      <c r="G2172" s="9">
        <v>139</v>
      </c>
      <c r="H2172" s="5" t="s">
        <v>21</v>
      </c>
      <c r="I2172" s="5" t="s">
        <v>4989</v>
      </c>
      <c r="J2172" s="12" t="str">
        <f>HYPERLINK("https://www.boe.es/gazeta/dias/1801/02/06/pdfs/GMD-1801-11.pdf#page=12","Abrir facsímil")</f>
        <v>Abrir facsímil</v>
      </c>
      <c r="K2172" s="15" t="s">
        <v>23</v>
      </c>
    </row>
    <row r="2173" spans="1:11" ht="42" customHeight="1">
      <c r="A2173" s="4" t="s">
        <v>4990</v>
      </c>
      <c r="B2173" s="5" t="s">
        <v>4991</v>
      </c>
      <c r="C2173" s="5" t="s">
        <v>26</v>
      </c>
      <c r="D2173" s="5" t="s">
        <v>27</v>
      </c>
      <c r="E2173" s="5" t="s">
        <v>317</v>
      </c>
      <c r="F2173" s="9">
        <v>102</v>
      </c>
      <c r="G2173" s="9">
        <v>1123</v>
      </c>
      <c r="H2173" s="5" t="s">
        <v>21</v>
      </c>
      <c r="I2173" s="5" t="s">
        <v>4992</v>
      </c>
      <c r="J2173" s="12" t="str">
        <f>HYPERLINK("https://www.boe.es/gazeta/dias/1801/10/30/pdfs/GMD-1801-102.pdf#page=8","Abrir facsímil")</f>
        <v>Abrir facsímil</v>
      </c>
      <c r="K2173" s="15" t="s">
        <v>23</v>
      </c>
    </row>
    <row r="2174" spans="1:11" ht="42" customHeight="1">
      <c r="A2174" s="4" t="s">
        <v>4993</v>
      </c>
      <c r="B2174" s="5" t="s">
        <v>4994</v>
      </c>
      <c r="C2174" s="5" t="s">
        <v>26</v>
      </c>
      <c r="D2174" s="5" t="s">
        <v>27</v>
      </c>
      <c r="E2174" s="5" t="s">
        <v>155</v>
      </c>
      <c r="F2174" s="9">
        <v>50</v>
      </c>
      <c r="G2174" s="9">
        <v>600</v>
      </c>
      <c r="H2174" s="5" t="s">
        <v>21</v>
      </c>
      <c r="I2174" s="5" t="s">
        <v>4995</v>
      </c>
      <c r="J2174" s="12" t="str">
        <f>HYPERLINK("https://www.boe.es/gazeta/dias/1801/06/09/pdfs/GMD-1801-50.pdf#page=12","Abrir facsímil")</f>
        <v>Abrir facsímil</v>
      </c>
      <c r="K2174" s="15" t="s">
        <v>23</v>
      </c>
    </row>
    <row r="2175" spans="1:11" ht="42" customHeight="1">
      <c r="A2175" s="4" t="s">
        <v>4993</v>
      </c>
      <c r="B2175" s="5" t="s">
        <v>4994</v>
      </c>
      <c r="C2175" s="5" t="s">
        <v>26</v>
      </c>
      <c r="D2175" s="5" t="s">
        <v>27</v>
      </c>
      <c r="E2175" s="5" t="s">
        <v>158</v>
      </c>
      <c r="F2175" s="9">
        <v>55</v>
      </c>
      <c r="G2175" s="9">
        <v>632</v>
      </c>
      <c r="H2175" s="5" t="s">
        <v>21</v>
      </c>
      <c r="I2175" s="5" t="s">
        <v>4996</v>
      </c>
      <c r="J2175" s="12" t="str">
        <f>HYPERLINK("https://www.boe.es/gazeta/dias/1801/06/16/pdfs/GMD-1801-55.pdf#page=8","Abrir facsímil")</f>
        <v>Abrir facsímil</v>
      </c>
      <c r="K2175" s="15" t="s">
        <v>23</v>
      </c>
    </row>
    <row r="2176" spans="1:11" ht="42" customHeight="1">
      <c r="A2176" s="4" t="s">
        <v>4993</v>
      </c>
      <c r="B2176" s="5" t="s">
        <v>4994</v>
      </c>
      <c r="C2176" s="5" t="s">
        <v>26</v>
      </c>
      <c r="D2176" s="5" t="s">
        <v>27</v>
      </c>
      <c r="E2176" s="5" t="s">
        <v>108</v>
      </c>
      <c r="F2176" s="9">
        <v>61</v>
      </c>
      <c r="G2176" s="9">
        <v>699</v>
      </c>
      <c r="H2176" s="5" t="s">
        <v>21</v>
      </c>
      <c r="I2176" s="5" t="s">
        <v>4997</v>
      </c>
      <c r="J2176" s="12" t="str">
        <f>HYPERLINK("https://www.boe.es/gazeta/dias/1801/06/30/pdfs/GMD-1801-61.pdf#page=8","Abrir facsímil")</f>
        <v>Abrir facsímil</v>
      </c>
      <c r="K2176" s="15" t="s">
        <v>23</v>
      </c>
    </row>
    <row r="2177" spans="1:11" ht="42" customHeight="1">
      <c r="A2177" s="4" t="s">
        <v>4998</v>
      </c>
      <c r="B2177" s="5" t="s">
        <v>4999</v>
      </c>
      <c r="C2177" s="5" t="s">
        <v>18</v>
      </c>
      <c r="D2177" s="5" t="s">
        <v>19</v>
      </c>
      <c r="E2177" s="5" t="s">
        <v>161</v>
      </c>
      <c r="F2177" s="9">
        <v>58</v>
      </c>
      <c r="G2177" s="9">
        <v>664</v>
      </c>
      <c r="H2177" s="5" t="s">
        <v>21</v>
      </c>
      <c r="I2177" s="5" t="s">
        <v>5000</v>
      </c>
      <c r="J2177" s="12" t="str">
        <f>HYPERLINK("https://www.boe.es/gazeta/dias/1801/06/19/pdfs/GMD-1801-58.pdf#page=9","Abrir facsímil")</f>
        <v>Abrir facsímil</v>
      </c>
      <c r="K2177" s="15" t="s">
        <v>23</v>
      </c>
    </row>
    <row r="2178" spans="1:11" ht="42" customHeight="1">
      <c r="A2178" s="4" t="s">
        <v>5001</v>
      </c>
      <c r="B2178" s="5" t="s">
        <v>5002</v>
      </c>
      <c r="C2178" s="5" t="s">
        <v>32</v>
      </c>
      <c r="D2178" s="5" t="s">
        <v>33</v>
      </c>
      <c r="E2178" s="5" t="s">
        <v>101</v>
      </c>
      <c r="F2178" s="9">
        <v>41</v>
      </c>
      <c r="G2178" s="9">
        <v>523</v>
      </c>
      <c r="H2178" s="5" t="s">
        <v>21</v>
      </c>
      <c r="I2178" s="5" t="s">
        <v>5003</v>
      </c>
      <c r="J2178" s="12" t="str">
        <f>HYPERLINK("https://www.boe.es/gazeta/dias/1801/05/22/pdfs/GMD-1801-41.pdf#page=7","Abrir facsímil")</f>
        <v>Abrir facsímil</v>
      </c>
      <c r="K2178" s="15" t="s">
        <v>23</v>
      </c>
    </row>
    <row r="2179" spans="1:11" ht="42" customHeight="1">
      <c r="A2179" s="4" t="s">
        <v>5001</v>
      </c>
      <c r="B2179" s="5" t="s">
        <v>5002</v>
      </c>
      <c r="C2179" s="5" t="s">
        <v>38</v>
      </c>
      <c r="D2179" s="5" t="s">
        <v>39</v>
      </c>
      <c r="E2179" s="5" t="s">
        <v>40</v>
      </c>
      <c r="F2179" s="9">
        <v>63</v>
      </c>
      <c r="G2179" s="9">
        <v>713</v>
      </c>
      <c r="H2179" s="5" t="s">
        <v>21</v>
      </c>
      <c r="I2179" s="5" t="s">
        <v>5004</v>
      </c>
      <c r="J2179" s="12" t="str">
        <f>HYPERLINK("https://www.boe.es/gazeta/dias/1801/07/03/pdfs/GMD-1801-63.pdf#page=10","Abrir facsímil")</f>
        <v>Abrir facsímil</v>
      </c>
      <c r="K2179" s="15" t="s">
        <v>23</v>
      </c>
    </row>
    <row r="2180" spans="1:11" ht="42" customHeight="1">
      <c r="A2180" s="4" t="s">
        <v>5005</v>
      </c>
      <c r="B2180" s="5" t="s">
        <v>5006</v>
      </c>
      <c r="C2180" s="5" t="s">
        <v>32</v>
      </c>
      <c r="D2180" s="5" t="s">
        <v>33</v>
      </c>
      <c r="E2180" s="5" t="s">
        <v>55</v>
      </c>
      <c r="F2180" s="9">
        <v>104</v>
      </c>
      <c r="G2180" s="9">
        <v>1144</v>
      </c>
      <c r="H2180" s="5" t="s">
        <v>21</v>
      </c>
      <c r="I2180" s="5" t="s">
        <v>5007</v>
      </c>
      <c r="J2180" s="12" t="str">
        <f>HYPERLINK("https://www.boe.es/gazeta/dias/1801/11/06/pdfs/GMD-1801-104.pdf#page=5","Abrir facsímil")</f>
        <v>Abrir facsímil</v>
      </c>
      <c r="K2180" s="15" t="s">
        <v>23</v>
      </c>
    </row>
    <row r="2181" spans="1:11" ht="42" customHeight="1">
      <c r="A2181" s="4" t="s">
        <v>5008</v>
      </c>
      <c r="B2181" s="5" t="s">
        <v>5009</v>
      </c>
      <c r="C2181" s="5" t="s">
        <v>32</v>
      </c>
      <c r="D2181" s="5" t="s">
        <v>33</v>
      </c>
      <c r="E2181" s="5" t="s">
        <v>501</v>
      </c>
      <c r="F2181" s="9">
        <v>115</v>
      </c>
      <c r="G2181" s="9" t="s">
        <v>517</v>
      </c>
      <c r="H2181" s="5" t="s">
        <v>21</v>
      </c>
      <c r="I2181" s="5" t="s">
        <v>5010</v>
      </c>
      <c r="J2181" s="12" t="str">
        <f>HYPERLINK("https://www.boe.es/gazeta/dias/1801/12/15/pdfs/GMD-C-1801-115.pdf#page=7","Abrir facsímil")</f>
        <v>Abrir facsímil</v>
      </c>
      <c r="K2181" s="15" t="s">
        <v>23</v>
      </c>
    </row>
    <row r="2182" spans="1:11" ht="42" customHeight="1">
      <c r="A2182" s="4" t="s">
        <v>5011</v>
      </c>
      <c r="B2182" s="5" t="s">
        <v>5012</v>
      </c>
      <c r="C2182" s="5" t="s">
        <v>32</v>
      </c>
      <c r="D2182" s="5" t="s">
        <v>33</v>
      </c>
      <c r="E2182" s="5" t="s">
        <v>186</v>
      </c>
      <c r="F2182" s="9">
        <v>21</v>
      </c>
      <c r="G2182" s="9">
        <v>280</v>
      </c>
      <c r="H2182" s="5" t="s">
        <v>21</v>
      </c>
      <c r="I2182" s="5" t="s">
        <v>5013</v>
      </c>
      <c r="J2182" s="12" t="str">
        <f>HYPERLINK("https://www.boe.es/gazeta/dias/1801/03/13/pdfs/GMD-1801-21.pdf#page=9","Abrir facsímil")</f>
        <v>Abrir facsímil</v>
      </c>
      <c r="K2182" s="15" t="s">
        <v>23</v>
      </c>
    </row>
    <row r="2183" spans="1:11" ht="42" customHeight="1">
      <c r="A2183" s="4" t="s">
        <v>5014</v>
      </c>
      <c r="B2183" s="5" t="s">
        <v>5015</v>
      </c>
      <c r="C2183" s="5" t="s">
        <v>32</v>
      </c>
      <c r="D2183" s="5" t="s">
        <v>33</v>
      </c>
      <c r="E2183" s="5" t="s">
        <v>615</v>
      </c>
      <c r="F2183" s="9">
        <v>72</v>
      </c>
      <c r="G2183" s="9">
        <v>805</v>
      </c>
      <c r="H2183" s="5" t="s">
        <v>21</v>
      </c>
      <c r="I2183" s="5" t="s">
        <v>5016</v>
      </c>
      <c r="J2183" s="12" t="str">
        <f>HYPERLINK("https://www.boe.es/gazeta/dias/1801/07/24/pdfs/GMD-1801-72.pdf#page=10","Abrir facsímil")</f>
        <v>Abrir facsímil</v>
      </c>
      <c r="K2183" s="15" t="s">
        <v>23</v>
      </c>
    </row>
    <row r="2184" spans="1:11" ht="42" customHeight="1">
      <c r="A2184" s="4" t="s">
        <v>5017</v>
      </c>
      <c r="B2184" s="5" t="s">
        <v>5018</v>
      </c>
      <c r="C2184" s="5" t="s">
        <v>75</v>
      </c>
      <c r="D2184" s="5" t="s">
        <v>76</v>
      </c>
      <c r="E2184" s="5" t="s">
        <v>70</v>
      </c>
      <c r="F2184" s="9">
        <v>2</v>
      </c>
      <c r="G2184" s="9">
        <v>20</v>
      </c>
      <c r="H2184" s="5" t="s">
        <v>21</v>
      </c>
      <c r="I2184" s="5" t="s">
        <v>5019</v>
      </c>
      <c r="J2184" s="12" t="str">
        <f>HYPERLINK("https://www.boe.es/gazeta/dias/1801/01/06/pdfs/GMD-1801-2.pdf#page=8","Abrir facsímil")</f>
        <v>Abrir facsímil</v>
      </c>
      <c r="K2184" s="15" t="s">
        <v>23</v>
      </c>
    </row>
    <row r="2185" spans="1:11" ht="42" customHeight="1">
      <c r="A2185" s="4" t="s">
        <v>5020</v>
      </c>
      <c r="B2185" s="5" t="s">
        <v>5021</v>
      </c>
      <c r="C2185" s="5" t="s">
        <v>32</v>
      </c>
      <c r="D2185" s="5" t="s">
        <v>33</v>
      </c>
      <c r="E2185" s="5" t="s">
        <v>1058</v>
      </c>
      <c r="F2185" s="9">
        <v>108</v>
      </c>
      <c r="G2185" s="9">
        <v>1191</v>
      </c>
      <c r="H2185" s="5" t="s">
        <v>21</v>
      </c>
      <c r="I2185" s="5" t="s">
        <v>5022</v>
      </c>
      <c r="J2185" s="12" t="str">
        <f>HYPERLINK("https://www.boe.es/gazeta/dias/1801/11/20/pdfs/GMD-1801-108.pdf#page=8","Abrir facsímil")</f>
        <v>Abrir facsímil</v>
      </c>
      <c r="K2185" s="15" t="s">
        <v>23</v>
      </c>
    </row>
    <row r="2186" spans="1:11" ht="42" customHeight="1">
      <c r="A2186" s="4" t="s">
        <v>5023</v>
      </c>
      <c r="B2186" s="5" t="s">
        <v>5024</v>
      </c>
      <c r="C2186" s="5" t="s">
        <v>69</v>
      </c>
      <c r="D2186" s="5" t="s">
        <v>19</v>
      </c>
      <c r="E2186" s="5" t="s">
        <v>505</v>
      </c>
      <c r="F2186" s="9">
        <v>94</v>
      </c>
      <c r="G2186" s="9">
        <v>1028</v>
      </c>
      <c r="H2186" s="5" t="s">
        <v>21</v>
      </c>
      <c r="I2186" s="5" t="s">
        <v>5025</v>
      </c>
      <c r="J2186" s="12" t="str">
        <f>HYPERLINK("https://www.boe.es/gazeta/dias/1801/10/02/pdfs/GMD-1801-94.pdf#page=4","Abrir facsímil")</f>
        <v>Abrir facsímil</v>
      </c>
      <c r="K2186" s="15" t="s">
        <v>23</v>
      </c>
    </row>
    <row r="2187" spans="1:11" ht="42" customHeight="1">
      <c r="A2187" s="4" t="s">
        <v>5026</v>
      </c>
      <c r="B2187" s="5" t="s">
        <v>5027</v>
      </c>
      <c r="C2187" s="5" t="s">
        <v>32</v>
      </c>
      <c r="D2187" s="5" t="s">
        <v>33</v>
      </c>
      <c r="E2187" s="5" t="s">
        <v>90</v>
      </c>
      <c r="F2187" s="9">
        <v>1</v>
      </c>
      <c r="G2187" s="9">
        <v>10</v>
      </c>
      <c r="H2187" s="5" t="s">
        <v>21</v>
      </c>
      <c r="I2187" s="5" t="s">
        <v>5028</v>
      </c>
      <c r="J2187" s="12" t="str">
        <f>HYPERLINK("https://www.boe.es/gazeta/dias/1801/01/02/pdfs/GMD-1801-1.pdf#page=10","Abrir facsímil")</f>
        <v>Abrir facsímil</v>
      </c>
      <c r="K2187" s="15" t="s">
        <v>23</v>
      </c>
    </row>
    <row r="2188" spans="1:11" ht="42" customHeight="1">
      <c r="A2188" s="4" t="s">
        <v>5029</v>
      </c>
      <c r="B2188" s="5" t="s">
        <v>5030</v>
      </c>
      <c r="C2188" s="5" t="s">
        <v>18</v>
      </c>
      <c r="D2188" s="5" t="s">
        <v>19</v>
      </c>
      <c r="E2188" s="5" t="s">
        <v>128</v>
      </c>
      <c r="F2188" s="9">
        <v>17</v>
      </c>
      <c r="G2188" s="9">
        <v>216</v>
      </c>
      <c r="H2188" s="5" t="s">
        <v>21</v>
      </c>
      <c r="I2188" s="5" t="s">
        <v>5031</v>
      </c>
      <c r="J2188" s="12" t="str">
        <f>HYPERLINK("https://www.boe.es/gazeta/dias/1801/02/27/pdfs/GMD-1801-17.pdf#page=11","Abrir facsímil")</f>
        <v>Abrir facsímil</v>
      </c>
      <c r="K2188" s="15" t="s">
        <v>23</v>
      </c>
    </row>
    <row r="2189" spans="1:11" ht="42" customHeight="1">
      <c r="A2189" s="4" t="s">
        <v>5032</v>
      </c>
      <c r="B2189" s="5" t="s">
        <v>5033</v>
      </c>
      <c r="C2189" s="5" t="s">
        <v>18</v>
      </c>
      <c r="D2189" s="5" t="s">
        <v>19</v>
      </c>
      <c r="E2189" s="5" t="s">
        <v>309</v>
      </c>
      <c r="F2189" s="9">
        <v>118</v>
      </c>
      <c r="G2189" s="9">
        <v>1293</v>
      </c>
      <c r="H2189" s="5" t="s">
        <v>21</v>
      </c>
      <c r="I2189" s="5" t="s">
        <v>5034</v>
      </c>
      <c r="J2189" s="12" t="str">
        <f>HYPERLINK("https://www.boe.es/gazeta/dias/1801/12/25/pdfs/GMD-1801-118.pdf#page=8","Abrir facsímil")</f>
        <v>Abrir facsímil</v>
      </c>
      <c r="K2189" s="15" t="s">
        <v>23</v>
      </c>
    </row>
    <row r="2190" spans="1:11" ht="42" customHeight="1">
      <c r="A2190" s="4" t="s">
        <v>5035</v>
      </c>
      <c r="B2190" s="5" t="s">
        <v>5036</v>
      </c>
      <c r="C2190" s="5" t="s">
        <v>38</v>
      </c>
      <c r="D2190" s="5" t="s">
        <v>39</v>
      </c>
      <c r="E2190" s="5" t="s">
        <v>702</v>
      </c>
      <c r="F2190" s="9">
        <v>69</v>
      </c>
      <c r="G2190" s="9">
        <v>764</v>
      </c>
      <c r="H2190" s="5" t="s">
        <v>21</v>
      </c>
      <c r="I2190" s="5" t="s">
        <v>5037</v>
      </c>
      <c r="J2190" s="12" t="str">
        <f>HYPERLINK("https://www.boe.es/gazeta/dias/1801/07/14/pdfs/GMD-1801-69.pdf#page=9","Abrir facsímil")</f>
        <v>Abrir facsímil</v>
      </c>
      <c r="K2190" s="15" t="s">
        <v>23</v>
      </c>
    </row>
    <row r="2191" spans="1:11" ht="42" customHeight="1">
      <c r="A2191" s="4" t="s">
        <v>5035</v>
      </c>
      <c r="B2191" s="5" t="s">
        <v>5036</v>
      </c>
      <c r="C2191" s="5" t="s">
        <v>38</v>
      </c>
      <c r="D2191" s="5" t="s">
        <v>39</v>
      </c>
      <c r="E2191" s="5" t="s">
        <v>215</v>
      </c>
      <c r="F2191" s="9">
        <v>71</v>
      </c>
      <c r="G2191" s="9">
        <v>788</v>
      </c>
      <c r="H2191" s="5" t="s">
        <v>21</v>
      </c>
      <c r="I2191" s="5" t="s">
        <v>5038</v>
      </c>
      <c r="J2191" s="12" t="str">
        <f>HYPERLINK("https://www.boe.es/gazeta/dias/1801/07/21/pdfs/GMD-1801-71.pdf#page=9","Abrir facsímil")</f>
        <v>Abrir facsímil</v>
      </c>
      <c r="K2191" s="15" t="s">
        <v>23</v>
      </c>
    </row>
    <row r="2192" spans="1:11" ht="42" customHeight="1">
      <c r="A2192" s="4" t="s">
        <v>5035</v>
      </c>
      <c r="B2192" s="5" t="s">
        <v>5036</v>
      </c>
      <c r="C2192" s="5" t="s">
        <v>515</v>
      </c>
      <c r="D2192" s="5" t="s">
        <v>516</v>
      </c>
      <c r="E2192" s="5" t="s">
        <v>751</v>
      </c>
      <c r="F2192" s="9">
        <v>106</v>
      </c>
      <c r="G2192" s="9">
        <v>1169</v>
      </c>
      <c r="H2192" s="5" t="s">
        <v>21</v>
      </c>
      <c r="I2192" s="5" t="s">
        <v>5039</v>
      </c>
      <c r="J2192" s="12" t="str">
        <f>HYPERLINK("https://www.boe.es/gazeta/dias/1801/11/13/pdfs/GMD-C-1801-106.pdf#page=2","Abrir facsímil")</f>
        <v>Abrir facsímil</v>
      </c>
      <c r="K2192" s="15" t="s">
        <v>23</v>
      </c>
    </row>
    <row r="2193" spans="1:11" ht="42" customHeight="1">
      <c r="A2193" s="4" t="s">
        <v>5035</v>
      </c>
      <c r="B2193" s="5" t="s">
        <v>5036</v>
      </c>
      <c r="C2193" s="5" t="s">
        <v>75</v>
      </c>
      <c r="D2193" s="5" t="s">
        <v>76</v>
      </c>
      <c r="E2193" s="5" t="s">
        <v>1939</v>
      </c>
      <c r="F2193" s="9">
        <v>107</v>
      </c>
      <c r="G2193" s="9">
        <v>1180</v>
      </c>
      <c r="H2193" s="5" t="s">
        <v>21</v>
      </c>
      <c r="I2193" s="5" t="s">
        <v>5040</v>
      </c>
      <c r="J2193" s="12" t="str">
        <f>HYPERLINK("https://www.boe.es/gazeta/dias/1801/11/17/pdfs/GMD-1801-107.pdf#page=9","Abrir facsímil")</f>
        <v>Abrir facsímil</v>
      </c>
      <c r="K2193" s="15" t="s">
        <v>23</v>
      </c>
    </row>
    <row r="2194" spans="1:11" ht="42" customHeight="1">
      <c r="A2194" s="4" t="s">
        <v>5035</v>
      </c>
      <c r="B2194" s="5" t="s">
        <v>5036</v>
      </c>
      <c r="C2194" s="5" t="s">
        <v>38</v>
      </c>
      <c r="D2194" s="5" t="s">
        <v>39</v>
      </c>
      <c r="E2194" s="5" t="s">
        <v>1058</v>
      </c>
      <c r="F2194" s="9">
        <v>108</v>
      </c>
      <c r="G2194" s="9">
        <v>1193</v>
      </c>
      <c r="H2194" s="5" t="s">
        <v>21</v>
      </c>
      <c r="I2194" s="5" t="s">
        <v>5041</v>
      </c>
      <c r="J2194" s="12" t="str">
        <f>HYPERLINK("https://www.boe.es/gazeta/dias/1801/11/20/pdfs/GMD-1801-108.pdf#page=10","Abrir facsímil")</f>
        <v>Abrir facsímil</v>
      </c>
      <c r="K2194" s="15" t="s">
        <v>23</v>
      </c>
    </row>
    <row r="2195" spans="1:11" ht="42" customHeight="1">
      <c r="A2195" s="4" t="s">
        <v>5042</v>
      </c>
      <c r="B2195" s="5" t="s">
        <v>5043</v>
      </c>
      <c r="C2195" s="5" t="s">
        <v>32</v>
      </c>
      <c r="D2195" s="5" t="s">
        <v>33</v>
      </c>
      <c r="E2195" s="5" t="s">
        <v>55</v>
      </c>
      <c r="F2195" s="9">
        <v>104</v>
      </c>
      <c r="G2195" s="9">
        <v>1146</v>
      </c>
      <c r="H2195" s="5" t="s">
        <v>21</v>
      </c>
      <c r="I2195" s="5" t="s">
        <v>5044</v>
      </c>
      <c r="J2195" s="12" t="str">
        <f>HYPERLINK("https://www.boe.es/gazeta/dias/1801/11/06/pdfs/GMD-1801-104.pdf#page=7","Abrir facsímil")</f>
        <v>Abrir facsímil</v>
      </c>
      <c r="K2195" s="15" t="s">
        <v>23</v>
      </c>
    </row>
    <row r="2196" spans="1:11" ht="42" customHeight="1">
      <c r="A2196" s="4" t="s">
        <v>5045</v>
      </c>
      <c r="B2196" s="5" t="s">
        <v>5046</v>
      </c>
      <c r="C2196" s="5" t="s">
        <v>32</v>
      </c>
      <c r="D2196" s="5" t="s">
        <v>33</v>
      </c>
      <c r="E2196" s="5" t="s">
        <v>77</v>
      </c>
      <c r="F2196" s="9">
        <v>93</v>
      </c>
      <c r="G2196" s="9">
        <v>1020</v>
      </c>
      <c r="H2196" s="5" t="s">
        <v>21</v>
      </c>
      <c r="I2196" s="5" t="s">
        <v>5047</v>
      </c>
      <c r="J2196" s="12" t="str">
        <f>HYPERLINK("https://www.boe.es/gazeta/dias/1801/09/29/pdfs/GMD-1801-93.pdf#page=7","Abrir facsímil")</f>
        <v>Abrir facsímil</v>
      </c>
      <c r="K2196" s="15" t="s">
        <v>23</v>
      </c>
    </row>
    <row r="2197" spans="1:11" ht="42" customHeight="1">
      <c r="A2197" s="4" t="s">
        <v>5048</v>
      </c>
      <c r="B2197" s="5" t="s">
        <v>5049</v>
      </c>
      <c r="C2197" s="5" t="s">
        <v>18</v>
      </c>
      <c r="D2197" s="5" t="s">
        <v>19</v>
      </c>
      <c r="E2197" s="5" t="s">
        <v>1487</v>
      </c>
      <c r="F2197" s="9" t="s">
        <v>1488</v>
      </c>
      <c r="G2197" s="9">
        <v>642</v>
      </c>
      <c r="H2197" s="5" t="s">
        <v>21</v>
      </c>
      <c r="I2197" s="5" t="s">
        <v>5050</v>
      </c>
      <c r="J2197" s="12" t="str">
        <f>HYPERLINK("https://www.boe.es/gazeta/dias/1801/06/17/pdfs/GMD-1801-56E.pdf#page=2","Abrir facsímil")</f>
        <v>Abrir facsímil</v>
      </c>
      <c r="K2197" s="15" t="s">
        <v>23</v>
      </c>
    </row>
    <row r="2198" spans="1:11" ht="42" customHeight="1">
      <c r="A2198" s="4" t="s">
        <v>5051</v>
      </c>
      <c r="B2198" s="5" t="s">
        <v>5052</v>
      </c>
      <c r="C2198" s="5" t="s">
        <v>32</v>
      </c>
      <c r="D2198" s="5" t="s">
        <v>33</v>
      </c>
      <c r="E2198" s="5" t="s">
        <v>128</v>
      </c>
      <c r="F2198" s="9">
        <v>17</v>
      </c>
      <c r="G2198" s="9">
        <v>214</v>
      </c>
      <c r="H2198" s="5" t="s">
        <v>21</v>
      </c>
      <c r="I2198" s="5" t="s">
        <v>5053</v>
      </c>
      <c r="J2198" s="12" t="str">
        <f>HYPERLINK("https://www.boe.es/gazeta/dias/1801/02/27/pdfs/GMD-1801-17.pdf#page=9","Abrir facsímil")</f>
        <v>Abrir facsímil</v>
      </c>
      <c r="K2198" s="15" t="s">
        <v>23</v>
      </c>
    </row>
    <row r="2199" spans="1:11" ht="42" customHeight="1">
      <c r="A2199" s="4" t="s">
        <v>5054</v>
      </c>
      <c r="B2199" s="5" t="s">
        <v>5055</v>
      </c>
      <c r="C2199" s="5" t="s">
        <v>38</v>
      </c>
      <c r="D2199" s="5" t="s">
        <v>39</v>
      </c>
      <c r="E2199" s="5" t="s">
        <v>215</v>
      </c>
      <c r="F2199" s="9">
        <v>71</v>
      </c>
      <c r="G2199" s="9">
        <v>788</v>
      </c>
      <c r="H2199" s="5" t="s">
        <v>21</v>
      </c>
      <c r="I2199" s="5" t="s">
        <v>5056</v>
      </c>
      <c r="J2199" s="12" t="str">
        <f>HYPERLINK("https://www.boe.es/gazeta/dias/1801/07/21/pdfs/GMD-1801-71.pdf#page=9","Abrir facsímil")</f>
        <v>Abrir facsímil</v>
      </c>
      <c r="K2199" s="15" t="s">
        <v>23</v>
      </c>
    </row>
    <row r="2200" spans="1:11" ht="42" customHeight="1">
      <c r="A2200" s="4" t="s">
        <v>5054</v>
      </c>
      <c r="B2200" s="5" t="s">
        <v>5055</v>
      </c>
      <c r="C2200" s="5" t="s">
        <v>515</v>
      </c>
      <c r="D2200" s="5" t="s">
        <v>516</v>
      </c>
      <c r="E2200" s="5" t="s">
        <v>751</v>
      </c>
      <c r="F2200" s="9">
        <v>106</v>
      </c>
      <c r="G2200" s="9">
        <v>1169</v>
      </c>
      <c r="H2200" s="5" t="s">
        <v>21</v>
      </c>
      <c r="I2200" s="5" t="s">
        <v>5057</v>
      </c>
      <c r="J2200" s="12" t="str">
        <f>HYPERLINK("https://www.boe.es/gazeta/dias/1801/11/13/pdfs/GMD-C-1801-106.pdf#page=2","Abrir facsímil")</f>
        <v>Abrir facsímil</v>
      </c>
      <c r="K2200" s="15" t="s">
        <v>23</v>
      </c>
    </row>
    <row r="2201" spans="1:11" ht="42" customHeight="1">
      <c r="A2201" s="4" t="s">
        <v>5054</v>
      </c>
      <c r="B2201" s="5" t="s">
        <v>5055</v>
      </c>
      <c r="C2201" s="5" t="s">
        <v>75</v>
      </c>
      <c r="D2201" s="5" t="s">
        <v>76</v>
      </c>
      <c r="E2201" s="5" t="s">
        <v>1939</v>
      </c>
      <c r="F2201" s="9">
        <v>107</v>
      </c>
      <c r="G2201" s="9">
        <v>1180</v>
      </c>
      <c r="H2201" s="5" t="s">
        <v>21</v>
      </c>
      <c r="I2201" s="5" t="s">
        <v>5058</v>
      </c>
      <c r="J2201" s="12" t="str">
        <f>HYPERLINK("https://www.boe.es/gazeta/dias/1801/11/17/pdfs/GMD-1801-107.pdf#page=9","Abrir facsímil")</f>
        <v>Abrir facsímil</v>
      </c>
      <c r="K2201" s="15" t="s">
        <v>23</v>
      </c>
    </row>
    <row r="2202" spans="1:11" ht="42" customHeight="1">
      <c r="A2202" s="4" t="s">
        <v>5054</v>
      </c>
      <c r="B2202" s="5" t="s">
        <v>5055</v>
      </c>
      <c r="C2202" s="5" t="s">
        <v>38</v>
      </c>
      <c r="D2202" s="5" t="s">
        <v>39</v>
      </c>
      <c r="E2202" s="5" t="s">
        <v>1058</v>
      </c>
      <c r="F2202" s="9">
        <v>108</v>
      </c>
      <c r="G2202" s="9">
        <v>1193</v>
      </c>
      <c r="H2202" s="5" t="s">
        <v>21</v>
      </c>
      <c r="I2202" s="5" t="s">
        <v>5059</v>
      </c>
      <c r="J2202" s="12" t="str">
        <f>HYPERLINK("https://www.boe.es/gazeta/dias/1801/11/20/pdfs/GMD-1801-108.pdf#page=10","Abrir facsímil")</f>
        <v>Abrir facsímil</v>
      </c>
      <c r="K2202" s="15" t="s">
        <v>23</v>
      </c>
    </row>
    <row r="2203" spans="1:11" ht="42" customHeight="1">
      <c r="A2203" s="4" t="s">
        <v>5060</v>
      </c>
      <c r="B2203" s="5" t="s">
        <v>5061</v>
      </c>
      <c r="C2203" s="5" t="s">
        <v>38</v>
      </c>
      <c r="D2203" s="5" t="s">
        <v>39</v>
      </c>
      <c r="E2203" s="5" t="s">
        <v>702</v>
      </c>
      <c r="F2203" s="9">
        <v>69</v>
      </c>
      <c r="G2203" s="9">
        <v>764</v>
      </c>
      <c r="H2203" s="5" t="s">
        <v>21</v>
      </c>
      <c r="I2203" s="5" t="s">
        <v>5062</v>
      </c>
      <c r="J2203" s="12" t="str">
        <f>HYPERLINK("https://www.boe.es/gazeta/dias/1801/07/14/pdfs/GMD-1801-69.pdf#page=9","Abrir facsímil")</f>
        <v>Abrir facsímil</v>
      </c>
      <c r="K2203" s="15" t="s">
        <v>23</v>
      </c>
    </row>
    <row r="2204" spans="1:11" ht="42" customHeight="1">
      <c r="A2204" s="4" t="s">
        <v>5060</v>
      </c>
      <c r="B2204" s="5" t="s">
        <v>5061</v>
      </c>
      <c r="C2204" s="5" t="s">
        <v>75</v>
      </c>
      <c r="D2204" s="5" t="s">
        <v>76</v>
      </c>
      <c r="E2204" s="5" t="s">
        <v>169</v>
      </c>
      <c r="F2204" s="9">
        <v>70</v>
      </c>
      <c r="G2204" s="9">
        <v>776</v>
      </c>
      <c r="H2204" s="5" t="s">
        <v>21</v>
      </c>
      <c r="I2204" s="5" t="s">
        <v>5063</v>
      </c>
      <c r="J2204" s="12" t="str">
        <f>HYPERLINK("https://www.boe.es/gazeta/dias/1801/07/17/pdfs/GMD-1801-70.pdf#page=9","Abrir facsímil")</f>
        <v>Abrir facsímil</v>
      </c>
      <c r="K2204" s="15" t="s">
        <v>23</v>
      </c>
    </row>
    <row r="2205" spans="1:11" ht="42" customHeight="1">
      <c r="A2205" s="4" t="s">
        <v>5060</v>
      </c>
      <c r="B2205" s="5" t="s">
        <v>5061</v>
      </c>
      <c r="C2205" s="5" t="s">
        <v>38</v>
      </c>
      <c r="D2205" s="5" t="s">
        <v>39</v>
      </c>
      <c r="E2205" s="5" t="s">
        <v>215</v>
      </c>
      <c r="F2205" s="9">
        <v>71</v>
      </c>
      <c r="G2205" s="9">
        <v>788</v>
      </c>
      <c r="H2205" s="5" t="s">
        <v>21</v>
      </c>
      <c r="I2205" s="5" t="s">
        <v>5064</v>
      </c>
      <c r="J2205" s="12" t="str">
        <f>HYPERLINK("https://www.boe.es/gazeta/dias/1801/07/21/pdfs/GMD-1801-71.pdf#page=9","Abrir facsímil")</f>
        <v>Abrir facsímil</v>
      </c>
      <c r="K2205" s="15" t="s">
        <v>23</v>
      </c>
    </row>
    <row r="2206" spans="1:11" ht="42" customHeight="1">
      <c r="A2206" s="4" t="s">
        <v>5060</v>
      </c>
      <c r="B2206" s="5" t="s">
        <v>5061</v>
      </c>
      <c r="C2206" s="5" t="s">
        <v>515</v>
      </c>
      <c r="D2206" s="5" t="s">
        <v>516</v>
      </c>
      <c r="E2206" s="5" t="s">
        <v>751</v>
      </c>
      <c r="F2206" s="9">
        <v>106</v>
      </c>
      <c r="G2206" s="9">
        <v>1169</v>
      </c>
      <c r="H2206" s="5" t="s">
        <v>21</v>
      </c>
      <c r="I2206" s="5" t="s">
        <v>5065</v>
      </c>
      <c r="J2206" s="12" t="str">
        <f>HYPERLINK("https://www.boe.es/gazeta/dias/1801/11/13/pdfs/GMD-C-1801-106.pdf#page=2","Abrir facsímil")</f>
        <v>Abrir facsímil</v>
      </c>
      <c r="K2206" s="15" t="s">
        <v>23</v>
      </c>
    </row>
    <row r="2207" spans="1:11" ht="42" customHeight="1">
      <c r="A2207" s="4" t="s">
        <v>5060</v>
      </c>
      <c r="B2207" s="5" t="s">
        <v>5061</v>
      </c>
      <c r="C2207" s="5" t="s">
        <v>75</v>
      </c>
      <c r="D2207" s="5" t="s">
        <v>76</v>
      </c>
      <c r="E2207" s="5" t="s">
        <v>1939</v>
      </c>
      <c r="F2207" s="9">
        <v>107</v>
      </c>
      <c r="G2207" s="9">
        <v>1180</v>
      </c>
      <c r="H2207" s="5" t="s">
        <v>21</v>
      </c>
      <c r="I2207" s="5" t="s">
        <v>5066</v>
      </c>
      <c r="J2207" s="12" t="str">
        <f>HYPERLINK("https://www.boe.es/gazeta/dias/1801/11/17/pdfs/GMD-1801-107.pdf#page=9","Abrir facsímil")</f>
        <v>Abrir facsímil</v>
      </c>
      <c r="K2207" s="15" t="s">
        <v>23</v>
      </c>
    </row>
    <row r="2208" spans="1:11" ht="42" customHeight="1">
      <c r="A2208" s="4" t="s">
        <v>5060</v>
      </c>
      <c r="B2208" s="5" t="s">
        <v>5061</v>
      </c>
      <c r="C2208" s="5" t="s">
        <v>38</v>
      </c>
      <c r="D2208" s="5" t="s">
        <v>39</v>
      </c>
      <c r="E2208" s="5" t="s">
        <v>1058</v>
      </c>
      <c r="F2208" s="9">
        <v>108</v>
      </c>
      <c r="G2208" s="9">
        <v>1193</v>
      </c>
      <c r="H2208" s="5" t="s">
        <v>21</v>
      </c>
      <c r="I2208" s="5" t="s">
        <v>5067</v>
      </c>
      <c r="J2208" s="12" t="str">
        <f>HYPERLINK("https://www.boe.es/gazeta/dias/1801/11/20/pdfs/GMD-1801-108.pdf#page=10","Abrir facsímil")</f>
        <v>Abrir facsímil</v>
      </c>
      <c r="K2208" s="15" t="s">
        <v>23</v>
      </c>
    </row>
    <row r="2209" spans="1:11" ht="42" customHeight="1">
      <c r="A2209" s="4" t="s">
        <v>5068</v>
      </c>
      <c r="B2209" s="5" t="s">
        <v>5069</v>
      </c>
      <c r="C2209" s="5" t="s">
        <v>69</v>
      </c>
      <c r="D2209" s="5" t="s">
        <v>19</v>
      </c>
      <c r="E2209" s="5" t="s">
        <v>1015</v>
      </c>
      <c r="F2209" s="9">
        <v>15</v>
      </c>
      <c r="G2209" s="9">
        <v>191</v>
      </c>
      <c r="H2209" s="5" t="s">
        <v>21</v>
      </c>
      <c r="I2209" s="5" t="s">
        <v>5070</v>
      </c>
      <c r="J2209" s="12" t="str">
        <f>HYPERLINK("https://www.boe.es/gazeta/dias/1801/02/20/pdfs/GMD-1801-15.pdf#page=10","Abrir facsímil")</f>
        <v>Abrir facsímil</v>
      </c>
      <c r="K2209" s="15" t="s">
        <v>23</v>
      </c>
    </row>
    <row r="2210" spans="1:11" ht="42" customHeight="1">
      <c r="A2210" s="4" t="s">
        <v>5071</v>
      </c>
      <c r="B2210" s="5" t="s">
        <v>5072</v>
      </c>
      <c r="C2210" s="5" t="s">
        <v>32</v>
      </c>
      <c r="D2210" s="5" t="s">
        <v>33</v>
      </c>
      <c r="E2210" s="5" t="s">
        <v>186</v>
      </c>
      <c r="F2210" s="9">
        <v>21</v>
      </c>
      <c r="G2210" s="9">
        <v>280</v>
      </c>
      <c r="H2210" s="5" t="s">
        <v>21</v>
      </c>
      <c r="I2210" s="5" t="s">
        <v>5073</v>
      </c>
      <c r="J2210" s="12" t="str">
        <f>HYPERLINK("https://www.boe.es/gazeta/dias/1801/03/13/pdfs/GMD-1801-21.pdf#page=9","Abrir facsímil")</f>
        <v>Abrir facsímil</v>
      </c>
      <c r="K2210" s="15" t="s">
        <v>23</v>
      </c>
    </row>
    <row r="2211" spans="1:11" ht="42" customHeight="1">
      <c r="A2211" s="4" t="s">
        <v>5074</v>
      </c>
      <c r="B2211" s="5" t="s">
        <v>5075</v>
      </c>
      <c r="C2211" s="5" t="s">
        <v>32</v>
      </c>
      <c r="D2211" s="5" t="s">
        <v>33</v>
      </c>
      <c r="E2211" s="5" t="s">
        <v>120</v>
      </c>
      <c r="F2211" s="9">
        <v>7</v>
      </c>
      <c r="G2211" s="9">
        <v>84</v>
      </c>
      <c r="H2211" s="5" t="s">
        <v>21</v>
      </c>
      <c r="I2211" s="5" t="s">
        <v>5076</v>
      </c>
      <c r="J2211" s="12" t="str">
        <f>HYPERLINK("https://www.boe.es/gazeta/dias/1801/01/23/pdfs/GMD-1801-7.pdf#page=8","Abrir facsímil")</f>
        <v>Abrir facsímil</v>
      </c>
      <c r="K2211" s="15" t="s">
        <v>23</v>
      </c>
    </row>
    <row r="2212" spans="1:11" ht="42" customHeight="1">
      <c r="A2212" s="4" t="s">
        <v>5077</v>
      </c>
      <c r="B2212" s="5" t="s">
        <v>5078</v>
      </c>
      <c r="C2212" s="5" t="s">
        <v>18</v>
      </c>
      <c r="D2212" s="5" t="s">
        <v>19</v>
      </c>
      <c r="E2212" s="5" t="s">
        <v>143</v>
      </c>
      <c r="F2212" s="9">
        <v>34</v>
      </c>
      <c r="G2212" s="9">
        <v>440</v>
      </c>
      <c r="H2212" s="5" t="s">
        <v>21</v>
      </c>
      <c r="I2212" s="5" t="s">
        <v>5079</v>
      </c>
      <c r="J2212" s="12" t="str">
        <f>HYPERLINK("https://www.boe.es/gazeta/dias/1801/04/28/pdfs/GMD-1801-34.pdf#page=12","Abrir facsímil")</f>
        <v>Abrir facsímil</v>
      </c>
      <c r="K2212" s="15" t="s">
        <v>23</v>
      </c>
    </row>
    <row r="2213" spans="1:11" ht="42" customHeight="1">
      <c r="A2213" s="4" t="s">
        <v>5080</v>
      </c>
      <c r="B2213" s="5" t="s">
        <v>5081</v>
      </c>
      <c r="C2213" s="5" t="s">
        <v>38</v>
      </c>
      <c r="D2213" s="5" t="s">
        <v>39</v>
      </c>
      <c r="E2213" s="5" t="s">
        <v>751</v>
      </c>
      <c r="F2213" s="9">
        <v>106</v>
      </c>
      <c r="G2213" s="9">
        <v>1167</v>
      </c>
      <c r="H2213" s="5" t="s">
        <v>21</v>
      </c>
      <c r="I2213" s="5" t="s">
        <v>5082</v>
      </c>
      <c r="J2213" s="12" t="str">
        <f>HYPERLINK("https://www.boe.es/gazeta/dias/1801/11/13/pdfs/GMD-1801-106.pdf#page=8","Abrir facsímil")</f>
        <v>Abrir facsímil</v>
      </c>
      <c r="K2213" s="15" t="s">
        <v>23</v>
      </c>
    </row>
    <row r="2214" spans="1:11" ht="42" customHeight="1">
      <c r="A2214" s="4" t="s">
        <v>5083</v>
      </c>
      <c r="B2214" s="5" t="s">
        <v>5084</v>
      </c>
      <c r="C2214" s="5" t="s">
        <v>26</v>
      </c>
      <c r="D2214" s="5" t="s">
        <v>27</v>
      </c>
      <c r="E2214" s="5" t="s">
        <v>888</v>
      </c>
      <c r="F2214" s="9">
        <v>103</v>
      </c>
      <c r="G2214" s="9">
        <v>1138</v>
      </c>
      <c r="H2214" s="5" t="s">
        <v>21</v>
      </c>
      <c r="I2214" s="5" t="s">
        <v>5085</v>
      </c>
      <c r="J2214" s="12" t="str">
        <f>HYPERLINK("https://www.boe.es/gazeta/dias/1801/11/03/pdfs/GMD-1801-103.pdf#page=11","Abrir facsímil")</f>
        <v>Abrir facsímil</v>
      </c>
      <c r="K2214" s="15" t="s">
        <v>23</v>
      </c>
    </row>
    <row r="2215" spans="1:11" ht="42" customHeight="1">
      <c r="A2215" s="4" t="s">
        <v>5083</v>
      </c>
      <c r="B2215" s="5" t="s">
        <v>5084</v>
      </c>
      <c r="C2215" s="5" t="s">
        <v>38</v>
      </c>
      <c r="D2215" s="5" t="s">
        <v>39</v>
      </c>
      <c r="E2215" s="5" t="s">
        <v>1939</v>
      </c>
      <c r="F2215" s="9">
        <v>107</v>
      </c>
      <c r="G2215" s="9">
        <v>1182</v>
      </c>
      <c r="H2215" s="5" t="s">
        <v>21</v>
      </c>
      <c r="I2215" s="5" t="s">
        <v>5086</v>
      </c>
      <c r="J2215" s="12" t="str">
        <f>HYPERLINK("https://www.boe.es/gazeta/dias/1801/11/17/pdfs/GMD-1801-107.pdf#page=11","Abrir facsímil")</f>
        <v>Abrir facsímil</v>
      </c>
      <c r="K2215" s="15" t="s">
        <v>23</v>
      </c>
    </row>
    <row r="2216" spans="1:11" ht="42" customHeight="1">
      <c r="A2216" s="4" t="s">
        <v>5087</v>
      </c>
      <c r="B2216" s="5" t="s">
        <v>5088</v>
      </c>
      <c r="C2216" s="5" t="s">
        <v>32</v>
      </c>
      <c r="D2216" s="5" t="s">
        <v>33</v>
      </c>
      <c r="E2216" s="5" t="s">
        <v>131</v>
      </c>
      <c r="F2216" s="9">
        <v>22</v>
      </c>
      <c r="G2216" s="9">
        <v>290</v>
      </c>
      <c r="H2216" s="5" t="s">
        <v>21</v>
      </c>
      <c r="I2216" s="5" t="s">
        <v>5089</v>
      </c>
      <c r="J2216" s="12" t="str">
        <f>HYPERLINK("https://www.boe.es/gazeta/dias/1801/03/17/pdfs/GMD-1801-22.pdf#page=7","Abrir facsímil")</f>
        <v>Abrir facsímil</v>
      </c>
      <c r="K2216" s="15" t="s">
        <v>23</v>
      </c>
    </row>
    <row r="2217" spans="1:11" ht="42" customHeight="1">
      <c r="A2217" s="4" t="s">
        <v>5090</v>
      </c>
      <c r="B2217" s="5" t="s">
        <v>5091</v>
      </c>
      <c r="C2217" s="5" t="s">
        <v>32</v>
      </c>
      <c r="D2217" s="5" t="s">
        <v>33</v>
      </c>
      <c r="E2217" s="5" t="s">
        <v>462</v>
      </c>
      <c r="F2217" s="9">
        <v>5</v>
      </c>
      <c r="G2217" s="9">
        <v>57</v>
      </c>
      <c r="H2217" s="5" t="s">
        <v>21</v>
      </c>
      <c r="I2217" s="5" t="s">
        <v>5092</v>
      </c>
      <c r="J2217" s="12" t="str">
        <f>HYPERLINK("https://www.boe.es/gazeta/dias/1801/01/16/pdfs/GMD-1801-5.pdf#page=9","Abrir facsímil")</f>
        <v>Abrir facsímil</v>
      </c>
      <c r="K2217" s="15" t="s">
        <v>23</v>
      </c>
    </row>
    <row r="2218" spans="1:11" ht="42" customHeight="1">
      <c r="A2218" s="4" t="s">
        <v>5090</v>
      </c>
      <c r="B2218" s="5" t="s">
        <v>5091</v>
      </c>
      <c r="C2218" s="5" t="s">
        <v>32</v>
      </c>
      <c r="D2218" s="5" t="s">
        <v>33</v>
      </c>
      <c r="E2218" s="5" t="s">
        <v>313</v>
      </c>
      <c r="F2218" s="9">
        <v>39</v>
      </c>
      <c r="G2218" s="9">
        <v>506</v>
      </c>
      <c r="H2218" s="5" t="s">
        <v>21</v>
      </c>
      <c r="I2218" s="5" t="s">
        <v>5093</v>
      </c>
      <c r="J2218" s="12" t="str">
        <f>HYPERLINK("https://www.boe.es/gazeta/dias/1801/05/15/pdfs/GMD-1801-39.pdf#page=10","Abrir facsímil")</f>
        <v>Abrir facsímil</v>
      </c>
      <c r="K2218" s="15" t="s">
        <v>23</v>
      </c>
    </row>
    <row r="2219" spans="1:11" ht="42" customHeight="1">
      <c r="A2219" s="4" t="s">
        <v>5094</v>
      </c>
      <c r="B2219" s="5" t="s">
        <v>5095</v>
      </c>
      <c r="C2219" s="5" t="s">
        <v>32</v>
      </c>
      <c r="D2219" s="5" t="s">
        <v>33</v>
      </c>
      <c r="E2219" s="5" t="s">
        <v>48</v>
      </c>
      <c r="F2219" s="9">
        <v>20</v>
      </c>
      <c r="G2219" s="9">
        <v>271</v>
      </c>
      <c r="H2219" s="5" t="s">
        <v>21</v>
      </c>
      <c r="I2219" s="5" t="s">
        <v>5096</v>
      </c>
      <c r="J2219" s="12" t="str">
        <f>HYPERLINK("https://www.boe.es/gazeta/dias/1801/03/10/pdfs/GMD-1801-20.pdf#page=16","Abrir facsímil")</f>
        <v>Abrir facsímil</v>
      </c>
      <c r="K2219" s="15" t="s">
        <v>23</v>
      </c>
    </row>
    <row r="2220" spans="1:11" ht="42" customHeight="1">
      <c r="A2220" s="4" t="s">
        <v>5097</v>
      </c>
      <c r="B2220" s="5" t="s">
        <v>5098</v>
      </c>
      <c r="C2220" s="5" t="s">
        <v>26</v>
      </c>
      <c r="D2220" s="5" t="s">
        <v>27</v>
      </c>
      <c r="E2220" s="5" t="s">
        <v>1085</v>
      </c>
      <c r="F2220" s="9">
        <v>99</v>
      </c>
      <c r="G2220" s="9">
        <v>1091</v>
      </c>
      <c r="H2220" s="5" t="s">
        <v>21</v>
      </c>
      <c r="I2220" s="5" t="s">
        <v>5099</v>
      </c>
      <c r="J2220" s="12" t="str">
        <f>HYPERLINK("https://www.boe.es/gazeta/dias/1801/10/20/pdfs/GMD-1801-99.pdf#page=8","Abrir facsímil")</f>
        <v>Abrir facsímil</v>
      </c>
      <c r="K2220" s="15" t="s">
        <v>23</v>
      </c>
    </row>
    <row r="2221" spans="1:11" ht="42" customHeight="1">
      <c r="A2221" s="4" t="s">
        <v>5100</v>
      </c>
      <c r="B2221" s="5" t="s">
        <v>5101</v>
      </c>
      <c r="C2221" s="5" t="s">
        <v>32</v>
      </c>
      <c r="D2221" s="5" t="s">
        <v>33</v>
      </c>
      <c r="E2221" s="5" t="s">
        <v>165</v>
      </c>
      <c r="F2221" s="9">
        <v>59</v>
      </c>
      <c r="G2221" s="9">
        <v>677</v>
      </c>
      <c r="H2221" s="5" t="s">
        <v>21</v>
      </c>
      <c r="I2221" s="5" t="s">
        <v>5102</v>
      </c>
      <c r="J2221" s="12" t="str">
        <f>HYPERLINK("https://www.boe.es/gazeta/dias/1801/06/23/pdfs/GMD-1801-59.pdf#page=10","Abrir facsímil")</f>
        <v>Abrir facsímil</v>
      </c>
      <c r="K2221" s="15" t="s">
        <v>23</v>
      </c>
    </row>
    <row r="2222" spans="1:11" ht="42" customHeight="1">
      <c r="A2222" s="4" t="s">
        <v>5103</v>
      </c>
      <c r="B2222" s="5" t="s">
        <v>5104</v>
      </c>
      <c r="C2222" s="5" t="s">
        <v>69</v>
      </c>
      <c r="D2222" s="5" t="s">
        <v>19</v>
      </c>
      <c r="E2222" s="5" t="s">
        <v>465</v>
      </c>
      <c r="F2222" s="9">
        <v>4</v>
      </c>
      <c r="G2222" s="9">
        <v>46</v>
      </c>
      <c r="H2222" s="5" t="s">
        <v>21</v>
      </c>
      <c r="I2222" s="5" t="s">
        <v>5105</v>
      </c>
      <c r="J2222" s="12" t="str">
        <f>HYPERLINK("https://www.boe.es/gazeta/dias/1801/01/13/pdfs/GMD-1801-4.pdf#page=10","Abrir facsímil")</f>
        <v>Abrir facsímil</v>
      </c>
      <c r="K2222" s="15" t="s">
        <v>23</v>
      </c>
    </row>
    <row r="2223" spans="1:11" ht="42" customHeight="1">
      <c r="A2223" s="4" t="s">
        <v>5106</v>
      </c>
      <c r="B2223" s="5" t="s">
        <v>5107</v>
      </c>
      <c r="C2223" s="5" t="s">
        <v>32</v>
      </c>
      <c r="D2223" s="5" t="s">
        <v>33</v>
      </c>
      <c r="E2223" s="5" t="s">
        <v>171</v>
      </c>
      <c r="F2223" s="9">
        <v>76</v>
      </c>
      <c r="G2223" s="9">
        <v>853</v>
      </c>
      <c r="H2223" s="5" t="s">
        <v>21</v>
      </c>
      <c r="I2223" s="5" t="s">
        <v>5108</v>
      </c>
      <c r="J2223" s="12" t="str">
        <f>HYPERLINK("https://www.boe.es/gazeta/dias/1801/08/07/pdfs/GMD-1801-76.pdf#page=10","Abrir facsímil")</f>
        <v>Abrir facsímil</v>
      </c>
      <c r="K2223" s="15" t="s">
        <v>23</v>
      </c>
    </row>
    <row r="2224" spans="1:11" ht="42" customHeight="1">
      <c r="A2224" s="4" t="s">
        <v>5109</v>
      </c>
      <c r="B2224" s="5" t="s">
        <v>5110</v>
      </c>
      <c r="C2224" s="5" t="s">
        <v>32</v>
      </c>
      <c r="D2224" s="5" t="s">
        <v>33</v>
      </c>
      <c r="E2224" s="5" t="s">
        <v>90</v>
      </c>
      <c r="F2224" s="9">
        <v>1</v>
      </c>
      <c r="G2224" s="9">
        <v>8</v>
      </c>
      <c r="H2224" s="5" t="s">
        <v>21</v>
      </c>
      <c r="I2224" s="5" t="s">
        <v>5111</v>
      </c>
      <c r="J2224" s="12" t="str">
        <f>HYPERLINK("https://www.boe.es/gazeta/dias/1801/01/02/pdfs/GMD-1801-1.pdf#page=8","Abrir facsímil")</f>
        <v>Abrir facsímil</v>
      </c>
      <c r="K2224" s="15" t="s">
        <v>23</v>
      </c>
    </row>
    <row r="2225" spans="1:11" ht="42" customHeight="1">
      <c r="A2225" s="4" t="s">
        <v>5112</v>
      </c>
      <c r="B2225" s="5" t="s">
        <v>5113</v>
      </c>
      <c r="C2225" s="5" t="s">
        <v>26</v>
      </c>
      <c r="D2225" s="5" t="s">
        <v>27</v>
      </c>
      <c r="E2225" s="5" t="s">
        <v>105</v>
      </c>
      <c r="F2225" s="9">
        <v>44</v>
      </c>
      <c r="G2225" s="9">
        <v>550</v>
      </c>
      <c r="H2225" s="5" t="s">
        <v>21</v>
      </c>
      <c r="I2225" s="5" t="s">
        <v>5114</v>
      </c>
      <c r="J2225" s="12" t="str">
        <f>HYPERLINK("https://www.boe.es/gazeta/dias/1801/05/29/pdfs/GMD-1801-44.pdf#page=10","Abrir facsímil")</f>
        <v>Abrir facsímil</v>
      </c>
      <c r="K2225" s="15" t="s">
        <v>23</v>
      </c>
    </row>
    <row r="2226" spans="1:11" ht="42" customHeight="1">
      <c r="A2226" s="4" t="s">
        <v>5115</v>
      </c>
      <c r="B2226" s="5" t="s">
        <v>5116</v>
      </c>
      <c r="C2226" s="5" t="s">
        <v>38</v>
      </c>
      <c r="D2226" s="5" t="s">
        <v>39</v>
      </c>
      <c r="E2226" s="5" t="s">
        <v>55</v>
      </c>
      <c r="F2226" s="9">
        <v>104</v>
      </c>
      <c r="G2226" s="9">
        <v>1146</v>
      </c>
      <c r="H2226" s="5" t="s">
        <v>21</v>
      </c>
      <c r="I2226" s="5" t="s">
        <v>5117</v>
      </c>
      <c r="J2226" s="12" t="str">
        <f>HYPERLINK("https://www.boe.es/gazeta/dias/1801/11/06/pdfs/GMD-1801-104.pdf#page=7","Abrir facsímil")</f>
        <v>Abrir facsímil</v>
      </c>
      <c r="K2226" s="15" t="s">
        <v>23</v>
      </c>
    </row>
    <row r="2227" spans="1:11" ht="42" customHeight="1">
      <c r="A2227" s="4" t="s">
        <v>5118</v>
      </c>
      <c r="B2227" s="5" t="s">
        <v>5119</v>
      </c>
      <c r="C2227" s="5" t="s">
        <v>32</v>
      </c>
      <c r="D2227" s="5" t="s">
        <v>33</v>
      </c>
      <c r="E2227" s="5" t="s">
        <v>55</v>
      </c>
      <c r="F2227" s="9">
        <v>104</v>
      </c>
      <c r="G2227" s="9">
        <v>1146</v>
      </c>
      <c r="H2227" s="5" t="s">
        <v>21</v>
      </c>
      <c r="I2227" s="5" t="s">
        <v>5120</v>
      </c>
      <c r="J2227" s="12" t="str">
        <f>HYPERLINK("https://www.boe.es/gazeta/dias/1801/11/06/pdfs/GMD-1801-104.pdf#page=7","Abrir facsímil")</f>
        <v>Abrir facsímil</v>
      </c>
      <c r="K2227" s="15" t="s">
        <v>23</v>
      </c>
    </row>
    <row r="2228" spans="1:11" ht="42" customHeight="1">
      <c r="A2228" s="4" t="s">
        <v>5121</v>
      </c>
      <c r="B2228" s="5" t="s">
        <v>5122</v>
      </c>
      <c r="C2228" s="5" t="s">
        <v>38</v>
      </c>
      <c r="D2228" s="5" t="s">
        <v>39</v>
      </c>
      <c r="E2228" s="5" t="s">
        <v>309</v>
      </c>
      <c r="F2228" s="9">
        <v>118</v>
      </c>
      <c r="G2228" s="9">
        <v>1293</v>
      </c>
      <c r="H2228" s="5" t="s">
        <v>21</v>
      </c>
      <c r="I2228" s="5" t="s">
        <v>5123</v>
      </c>
      <c r="J2228" s="12" t="str">
        <f>HYPERLINK("https://www.boe.es/gazeta/dias/1801/12/25/pdfs/GMD-1801-118.pdf#page=8","Abrir facsímil")</f>
        <v>Abrir facsímil</v>
      </c>
      <c r="K2228" s="15" t="s">
        <v>23</v>
      </c>
    </row>
    <row r="2229" spans="1:11" ht="42" customHeight="1">
      <c r="A2229" s="4" t="s">
        <v>5124</v>
      </c>
      <c r="B2229" s="5" t="s">
        <v>5125</v>
      </c>
      <c r="C2229" s="5" t="s">
        <v>38</v>
      </c>
      <c r="D2229" s="5" t="s">
        <v>39</v>
      </c>
      <c r="E2229" s="5" t="s">
        <v>120</v>
      </c>
      <c r="F2229" s="9">
        <v>7</v>
      </c>
      <c r="G2229" s="9">
        <v>87</v>
      </c>
      <c r="H2229" s="5" t="s">
        <v>21</v>
      </c>
      <c r="I2229" s="5" t="s">
        <v>5126</v>
      </c>
      <c r="J2229" s="12" t="str">
        <f>HYPERLINK("https://www.boe.es/gazeta/dias/1801/01/23/pdfs/GMD-1801-7.pdf#page=11","Abrir facsímil")</f>
        <v>Abrir facsímil</v>
      </c>
      <c r="K2229" s="15" t="s">
        <v>23</v>
      </c>
    </row>
    <row r="2230" spans="1:11" ht="42" customHeight="1">
      <c r="A2230" s="4" t="s">
        <v>5127</v>
      </c>
      <c r="B2230" s="5" t="s">
        <v>5128</v>
      </c>
      <c r="C2230" s="5" t="s">
        <v>32</v>
      </c>
      <c r="D2230" s="5" t="s">
        <v>33</v>
      </c>
      <c r="E2230" s="5" t="s">
        <v>55</v>
      </c>
      <c r="F2230" s="9">
        <v>104</v>
      </c>
      <c r="G2230" s="9">
        <v>1146</v>
      </c>
      <c r="H2230" s="5" t="s">
        <v>21</v>
      </c>
      <c r="I2230" s="5" t="s">
        <v>5129</v>
      </c>
      <c r="J2230" s="12" t="str">
        <f>HYPERLINK("https://www.boe.es/gazeta/dias/1801/11/06/pdfs/GMD-1801-104.pdf#page=7","Abrir facsímil")</f>
        <v>Abrir facsímil</v>
      </c>
      <c r="K2230" s="15" t="s">
        <v>23</v>
      </c>
    </row>
    <row r="2231" spans="1:11" ht="42" customHeight="1">
      <c r="A2231" s="4" t="s">
        <v>5130</v>
      </c>
      <c r="B2231" s="5" t="s">
        <v>5131</v>
      </c>
      <c r="C2231" s="5" t="s">
        <v>38</v>
      </c>
      <c r="D2231" s="5" t="s">
        <v>39</v>
      </c>
      <c r="E2231" s="5" t="s">
        <v>131</v>
      </c>
      <c r="F2231" s="9">
        <v>22</v>
      </c>
      <c r="G2231" s="9">
        <v>289</v>
      </c>
      <c r="H2231" s="5" t="s">
        <v>21</v>
      </c>
      <c r="I2231" s="5" t="s">
        <v>5132</v>
      </c>
      <c r="J2231" s="12" t="str">
        <f>HYPERLINK("https://www.boe.es/gazeta/dias/1801/03/17/pdfs/GMD-1801-22.pdf#page=6","Abrir facsímil")</f>
        <v>Abrir facsímil</v>
      </c>
      <c r="K2231" s="15" t="s">
        <v>23</v>
      </c>
    </row>
    <row r="2232" spans="1:11" ht="42" customHeight="1">
      <c r="A2232" s="4" t="s">
        <v>5133</v>
      </c>
      <c r="B2232" s="5" t="s">
        <v>5134</v>
      </c>
      <c r="C2232" s="5" t="s">
        <v>18</v>
      </c>
      <c r="D2232" s="5" t="s">
        <v>19</v>
      </c>
      <c r="E2232" s="5" t="s">
        <v>781</v>
      </c>
      <c r="F2232" s="9">
        <v>14</v>
      </c>
      <c r="G2232" s="9">
        <v>174</v>
      </c>
      <c r="H2232" s="5" t="s">
        <v>21</v>
      </c>
      <c r="I2232" s="5" t="s">
        <v>5135</v>
      </c>
      <c r="J2232" s="12" t="str">
        <f>HYPERLINK("https://www.boe.es/gazeta/dias/1801/02/17/pdfs/GMD-1801-14.pdf#page=9","Abrir facsímil")</f>
        <v>Abrir facsímil</v>
      </c>
      <c r="K2232" s="15" t="s">
        <v>23</v>
      </c>
    </row>
    <row r="2233" spans="1:11" ht="42" customHeight="1">
      <c r="A2233" s="4" t="s">
        <v>5136</v>
      </c>
      <c r="B2233" s="5" t="s">
        <v>5137</v>
      </c>
      <c r="C2233" s="5" t="s">
        <v>18</v>
      </c>
      <c r="D2233" s="5" t="s">
        <v>19</v>
      </c>
      <c r="E2233" s="5" t="s">
        <v>256</v>
      </c>
      <c r="F2233" s="9">
        <v>78</v>
      </c>
      <c r="G2233" s="9">
        <v>882</v>
      </c>
      <c r="H2233" s="5" t="s">
        <v>21</v>
      </c>
      <c r="I2233" s="5" t="s">
        <v>5138</v>
      </c>
      <c r="J2233" s="12" t="str">
        <f>HYPERLINK("https://www.boe.es/gazeta/dias/1801/08/14/pdfs/GMD-1801-78.pdf#page=11","Abrir facsímil")</f>
        <v>Abrir facsímil</v>
      </c>
      <c r="K2233" s="15" t="s">
        <v>23</v>
      </c>
    </row>
    <row r="2234" spans="1:11" ht="42" customHeight="1">
      <c r="A2234" s="4" t="s">
        <v>5139</v>
      </c>
      <c r="B2234" s="5" t="s">
        <v>5140</v>
      </c>
      <c r="C2234" s="5" t="s">
        <v>38</v>
      </c>
      <c r="D2234" s="5" t="s">
        <v>39</v>
      </c>
      <c r="E2234" s="5" t="s">
        <v>179</v>
      </c>
      <c r="F2234" s="9">
        <v>11</v>
      </c>
      <c r="G2234" s="9">
        <v>139</v>
      </c>
      <c r="H2234" s="5" t="s">
        <v>21</v>
      </c>
      <c r="I2234" s="5" t="s">
        <v>5141</v>
      </c>
      <c r="J2234" s="12" t="str">
        <f>HYPERLINK("https://www.boe.es/gazeta/dias/1801/02/06/pdfs/GMD-1801-11.pdf#page=12","Abrir facsímil")</f>
        <v>Abrir facsímil</v>
      </c>
      <c r="K2234" s="15" t="s">
        <v>23</v>
      </c>
    </row>
    <row r="2235" spans="1:11" ht="42" customHeight="1">
      <c r="A2235" s="4" t="s">
        <v>5142</v>
      </c>
      <c r="B2235" s="5" t="s">
        <v>5143</v>
      </c>
      <c r="C2235" s="5" t="s">
        <v>32</v>
      </c>
      <c r="D2235" s="5" t="s">
        <v>33</v>
      </c>
      <c r="E2235" s="5" t="s">
        <v>194</v>
      </c>
      <c r="F2235" s="9">
        <v>92</v>
      </c>
      <c r="G2235" s="9">
        <v>1011</v>
      </c>
      <c r="H2235" s="5" t="s">
        <v>21</v>
      </c>
      <c r="I2235" s="5" t="s">
        <v>5144</v>
      </c>
      <c r="J2235" s="12" t="str">
        <f>HYPERLINK("https://www.boe.es/gazeta/dias/1801/09/25/pdfs/GMD-1801-92.pdf#page=6","Abrir facsímil")</f>
        <v>Abrir facsímil</v>
      </c>
      <c r="K2235" s="15" t="s">
        <v>23</v>
      </c>
    </row>
    <row r="2236" spans="1:11" ht="42" customHeight="1">
      <c r="A2236" s="4" t="s">
        <v>5145</v>
      </c>
      <c r="B2236" s="5" t="s">
        <v>5146</v>
      </c>
      <c r="C2236" s="5" t="s">
        <v>32</v>
      </c>
      <c r="D2236" s="5" t="s">
        <v>33</v>
      </c>
      <c r="E2236" s="5" t="s">
        <v>128</v>
      </c>
      <c r="F2236" s="9">
        <v>17</v>
      </c>
      <c r="G2236" s="9">
        <v>214</v>
      </c>
      <c r="H2236" s="5" t="s">
        <v>21</v>
      </c>
      <c r="I2236" s="5" t="s">
        <v>5147</v>
      </c>
      <c r="J2236" s="12" t="str">
        <f>HYPERLINK("https://www.boe.es/gazeta/dias/1801/02/27/pdfs/GMD-1801-17.pdf#page=9","Abrir facsímil")</f>
        <v>Abrir facsímil</v>
      </c>
      <c r="K2236" s="15" t="s">
        <v>23</v>
      </c>
    </row>
    <row r="2237" spans="1:11" ht="42" customHeight="1">
      <c r="A2237" s="4" t="s">
        <v>5148</v>
      </c>
      <c r="B2237" s="5" t="s">
        <v>5149</v>
      </c>
      <c r="C2237" s="5" t="s">
        <v>32</v>
      </c>
      <c r="D2237" s="5" t="s">
        <v>33</v>
      </c>
      <c r="E2237" s="5" t="s">
        <v>256</v>
      </c>
      <c r="F2237" s="9">
        <v>78</v>
      </c>
      <c r="G2237" s="9">
        <v>881</v>
      </c>
      <c r="H2237" s="5" t="s">
        <v>21</v>
      </c>
      <c r="I2237" s="5" t="s">
        <v>5150</v>
      </c>
      <c r="J2237" s="12" t="str">
        <f>HYPERLINK("https://www.boe.es/gazeta/dias/1801/08/14/pdfs/GMD-1801-78.pdf#page=10","Abrir facsímil")</f>
        <v>Abrir facsímil</v>
      </c>
      <c r="K2237" s="15" t="s">
        <v>23</v>
      </c>
    </row>
    <row r="2238" spans="1:11" ht="42" customHeight="1">
      <c r="A2238" s="4" t="s">
        <v>5151</v>
      </c>
      <c r="B2238" s="5" t="s">
        <v>5152</v>
      </c>
      <c r="C2238" s="5" t="s">
        <v>515</v>
      </c>
      <c r="D2238" s="5" t="s">
        <v>516</v>
      </c>
      <c r="E2238" s="5" t="s">
        <v>501</v>
      </c>
      <c r="F2238" s="9">
        <v>115</v>
      </c>
      <c r="G2238" s="9" t="s">
        <v>517</v>
      </c>
      <c r="H2238" s="5" t="s">
        <v>21</v>
      </c>
      <c r="I2238" s="5" t="s">
        <v>5153</v>
      </c>
      <c r="J2238" s="12" t="str">
        <f>HYPERLINK("https://www.boe.es/gazeta/dias/1801/12/15/pdfs/GMD-C-1801-115.pdf#page=7","Abrir facsímil")</f>
        <v>Abrir facsímil</v>
      </c>
      <c r="K2238" s="15" t="s">
        <v>23</v>
      </c>
    </row>
    <row r="2239" spans="1:11" ht="42" customHeight="1">
      <c r="A2239" s="4" t="s">
        <v>5154</v>
      </c>
      <c r="B2239" s="5" t="s">
        <v>5155</v>
      </c>
      <c r="C2239" s="5" t="s">
        <v>32</v>
      </c>
      <c r="D2239" s="5" t="s">
        <v>33</v>
      </c>
      <c r="E2239" s="5" t="s">
        <v>201</v>
      </c>
      <c r="F2239" s="9">
        <v>79</v>
      </c>
      <c r="G2239" s="9">
        <v>889</v>
      </c>
      <c r="H2239" s="5" t="s">
        <v>21</v>
      </c>
      <c r="I2239" s="5" t="s">
        <v>5156</v>
      </c>
      <c r="J2239" s="12" t="str">
        <f>HYPERLINK("https://www.boe.es/gazeta/dias/1801/08/18/pdfs/GMD-1801-79.pdf#page=6","Abrir facsímil")</f>
        <v>Abrir facsímil</v>
      </c>
      <c r="K2239" s="15" t="s">
        <v>23</v>
      </c>
    </row>
    <row r="2240" spans="1:11" ht="42" customHeight="1">
      <c r="A2240" s="4" t="s">
        <v>5157</v>
      </c>
      <c r="B2240" s="5" t="s">
        <v>5158</v>
      </c>
      <c r="C2240" s="5" t="s">
        <v>32</v>
      </c>
      <c r="D2240" s="5" t="s">
        <v>33</v>
      </c>
      <c r="E2240" s="5" t="s">
        <v>131</v>
      </c>
      <c r="F2240" s="9">
        <v>22</v>
      </c>
      <c r="G2240" s="9">
        <v>294</v>
      </c>
      <c r="H2240" s="5" t="s">
        <v>21</v>
      </c>
      <c r="I2240" s="5" t="s">
        <v>5159</v>
      </c>
      <c r="J2240" s="12" t="str">
        <f>HYPERLINK("https://www.boe.es/gazeta/dias/1801/03/17/pdfs/GMD-1801-22.pdf#page=11","Abrir facsímil")</f>
        <v>Abrir facsímil</v>
      </c>
      <c r="K2240" s="15" t="s">
        <v>23</v>
      </c>
    </row>
    <row r="2241" spans="1:11" ht="42" customHeight="1">
      <c r="A2241" s="4" t="s">
        <v>5160</v>
      </c>
      <c r="B2241" s="5" t="s">
        <v>5161</v>
      </c>
      <c r="C2241" s="5" t="s">
        <v>32</v>
      </c>
      <c r="D2241" s="5" t="s">
        <v>33</v>
      </c>
      <c r="E2241" s="5" t="s">
        <v>131</v>
      </c>
      <c r="F2241" s="9">
        <v>22</v>
      </c>
      <c r="G2241" s="9">
        <v>289</v>
      </c>
      <c r="H2241" s="5" t="s">
        <v>21</v>
      </c>
      <c r="I2241" s="5" t="s">
        <v>5162</v>
      </c>
      <c r="J2241" s="12" t="str">
        <f>HYPERLINK("https://www.boe.es/gazeta/dias/1801/03/17/pdfs/GMD-1801-22.pdf#page=6","Abrir facsímil")</f>
        <v>Abrir facsímil</v>
      </c>
      <c r="K2241" s="15" t="s">
        <v>23</v>
      </c>
    </row>
    <row r="2242" spans="1:11" ht="42" customHeight="1">
      <c r="A2242" s="4" t="s">
        <v>5163</v>
      </c>
      <c r="B2242" s="5" t="s">
        <v>5164</v>
      </c>
      <c r="C2242" s="5" t="s">
        <v>69</v>
      </c>
      <c r="D2242" s="5" t="s">
        <v>19</v>
      </c>
      <c r="E2242" s="5" t="s">
        <v>158</v>
      </c>
      <c r="F2242" s="9">
        <v>55</v>
      </c>
      <c r="G2242" s="9">
        <v>631</v>
      </c>
      <c r="H2242" s="5" t="s">
        <v>21</v>
      </c>
      <c r="I2242" s="5" t="s">
        <v>5165</v>
      </c>
      <c r="J2242" s="12" t="str">
        <f>HYPERLINK("https://www.boe.es/gazeta/dias/1801/06/16/pdfs/GMD-1801-55.pdf#page=7","Abrir facsímil")</f>
        <v>Abrir facsímil</v>
      </c>
      <c r="K2242" s="15" t="s">
        <v>23</v>
      </c>
    </row>
    <row r="2243" spans="1:11" ht="42" customHeight="1">
      <c r="A2243" s="4" t="s">
        <v>5166</v>
      </c>
      <c r="B2243" s="5" t="s">
        <v>5167</v>
      </c>
      <c r="C2243" s="5" t="s">
        <v>32</v>
      </c>
      <c r="D2243" s="5" t="s">
        <v>33</v>
      </c>
      <c r="E2243" s="5" t="s">
        <v>155</v>
      </c>
      <c r="F2243" s="9">
        <v>50</v>
      </c>
      <c r="G2243" s="9">
        <v>597</v>
      </c>
      <c r="H2243" s="5" t="s">
        <v>21</v>
      </c>
      <c r="I2243" s="5" t="s">
        <v>5168</v>
      </c>
      <c r="J2243" s="12" t="str">
        <f>HYPERLINK("https://www.boe.es/gazeta/dias/1801/06/09/pdfs/GMD-1801-50.pdf#page=9","Abrir facsímil")</f>
        <v>Abrir facsímil</v>
      </c>
      <c r="K2243" s="15" t="s">
        <v>23</v>
      </c>
    </row>
    <row r="2244" spans="1:11" ht="42" customHeight="1">
      <c r="A2244" s="4" t="s">
        <v>5169</v>
      </c>
      <c r="B2244" s="5" t="s">
        <v>5170</v>
      </c>
      <c r="C2244" s="5" t="s">
        <v>32</v>
      </c>
      <c r="D2244" s="5" t="s">
        <v>33</v>
      </c>
      <c r="E2244" s="5" t="s">
        <v>2237</v>
      </c>
      <c r="F2244" s="9">
        <v>82</v>
      </c>
      <c r="G2244" s="9">
        <v>917</v>
      </c>
      <c r="H2244" s="5" t="s">
        <v>21</v>
      </c>
      <c r="I2244" s="5" t="s">
        <v>5171</v>
      </c>
      <c r="J2244" s="12" t="str">
        <f>HYPERLINK("https://www.boe.es/gazeta/dias/1801/08/28/pdfs/GMD-1801-82.pdf#page=6","Abrir facsímil")</f>
        <v>Abrir facsímil</v>
      </c>
      <c r="K2244" s="15" t="s">
        <v>23</v>
      </c>
    </row>
    <row r="2245" spans="1:11" ht="42" customHeight="1">
      <c r="A2245" s="4" t="s">
        <v>5172</v>
      </c>
      <c r="B2245" s="5" t="s">
        <v>5173</v>
      </c>
      <c r="C2245" s="5" t="s">
        <v>32</v>
      </c>
      <c r="D2245" s="5" t="s">
        <v>33</v>
      </c>
      <c r="E2245" s="5" t="s">
        <v>313</v>
      </c>
      <c r="F2245" s="9">
        <v>39</v>
      </c>
      <c r="G2245" s="9">
        <v>505</v>
      </c>
      <c r="H2245" s="5" t="s">
        <v>21</v>
      </c>
      <c r="I2245" s="5" t="s">
        <v>5174</v>
      </c>
      <c r="J2245" s="12" t="str">
        <f>HYPERLINK("https://www.boe.es/gazeta/dias/1801/05/15/pdfs/GMD-1801-39.pdf#page=9","Abrir facsímil")</f>
        <v>Abrir facsímil</v>
      </c>
      <c r="K2245" s="15" t="s">
        <v>23</v>
      </c>
    </row>
    <row r="2246" spans="1:11" ht="42" customHeight="1">
      <c r="A2246" s="4" t="s">
        <v>5175</v>
      </c>
      <c r="B2246" s="5" t="s">
        <v>5176</v>
      </c>
      <c r="C2246" s="5" t="s">
        <v>26</v>
      </c>
      <c r="D2246" s="5" t="s">
        <v>27</v>
      </c>
      <c r="E2246" s="5" t="s">
        <v>366</v>
      </c>
      <c r="F2246" s="9">
        <v>86</v>
      </c>
      <c r="G2246" s="9">
        <v>957</v>
      </c>
      <c r="H2246" s="5" t="s">
        <v>21</v>
      </c>
      <c r="I2246" s="5" t="s">
        <v>5177</v>
      </c>
      <c r="J2246" s="12" t="str">
        <f>HYPERLINK("https://www.boe.es/gazeta/dias/1801/09/08/pdfs/GMD-1801-86.pdf#page=8","Abrir facsímil")</f>
        <v>Abrir facsímil</v>
      </c>
      <c r="K2246" s="15" t="s">
        <v>23</v>
      </c>
    </row>
    <row r="2247" spans="1:11" ht="42" customHeight="1">
      <c r="A2247" s="4" t="s">
        <v>5178</v>
      </c>
      <c r="B2247" s="5" t="s">
        <v>5179</v>
      </c>
      <c r="C2247" s="5" t="s">
        <v>32</v>
      </c>
      <c r="D2247" s="5" t="s">
        <v>33</v>
      </c>
      <c r="E2247" s="5" t="s">
        <v>128</v>
      </c>
      <c r="F2247" s="9">
        <v>17</v>
      </c>
      <c r="G2247" s="9">
        <v>214</v>
      </c>
      <c r="H2247" s="5" t="s">
        <v>21</v>
      </c>
      <c r="I2247" s="5" t="s">
        <v>5180</v>
      </c>
      <c r="J2247" s="12" t="str">
        <f>HYPERLINK("https://www.boe.es/gazeta/dias/1801/02/27/pdfs/GMD-1801-17.pdf#page=9","Abrir facsímil")</f>
        <v>Abrir facsímil</v>
      </c>
      <c r="K2247" s="15" t="s">
        <v>23</v>
      </c>
    </row>
    <row r="2248" spans="1:11" ht="42" customHeight="1">
      <c r="A2248" s="4" t="s">
        <v>5181</v>
      </c>
      <c r="B2248" s="5" t="s">
        <v>5182</v>
      </c>
      <c r="C2248" s="5" t="s">
        <v>38</v>
      </c>
      <c r="D2248" s="5" t="s">
        <v>39</v>
      </c>
      <c r="E2248" s="5" t="s">
        <v>44</v>
      </c>
      <c r="F2248" s="9">
        <v>117</v>
      </c>
      <c r="G2248" s="9">
        <v>1280</v>
      </c>
      <c r="H2248" s="5" t="s">
        <v>21</v>
      </c>
      <c r="I2248" s="5" t="s">
        <v>5183</v>
      </c>
      <c r="J2248" s="12" t="str">
        <f>HYPERLINK("https://www.boe.es/gazeta/dias/1801/12/22/pdfs/GMD-1801-117.pdf#page=7","Abrir facsímil")</f>
        <v>Abrir facsímil</v>
      </c>
      <c r="K2248" s="15" t="s">
        <v>23</v>
      </c>
    </row>
    <row r="2249" spans="1:11" ht="42" customHeight="1">
      <c r="A2249" s="4" t="s">
        <v>5184</v>
      </c>
      <c r="B2249" s="5" t="s">
        <v>5185</v>
      </c>
      <c r="C2249" s="5" t="s">
        <v>32</v>
      </c>
      <c r="D2249" s="5" t="s">
        <v>33</v>
      </c>
      <c r="E2249" s="5" t="s">
        <v>2185</v>
      </c>
      <c r="F2249" s="9">
        <v>84</v>
      </c>
      <c r="G2249" s="9">
        <v>943</v>
      </c>
      <c r="H2249" s="5" t="s">
        <v>21</v>
      </c>
      <c r="I2249" s="5" t="s">
        <v>5186</v>
      </c>
      <c r="J2249" s="12" t="str">
        <f>HYPERLINK("https://www.boe.es/gazeta/dias/1801/09/04/pdfs/GMD-1801-84.pdf#page=6","Abrir facsímil")</f>
        <v>Abrir facsímil</v>
      </c>
      <c r="K2249" s="15" t="s">
        <v>23</v>
      </c>
    </row>
    <row r="2250" spans="1:11" ht="42" customHeight="1">
      <c r="A2250" s="4" t="s">
        <v>5187</v>
      </c>
      <c r="B2250" s="5" t="s">
        <v>5188</v>
      </c>
      <c r="C2250" s="5" t="s">
        <v>32</v>
      </c>
      <c r="D2250" s="5" t="s">
        <v>33</v>
      </c>
      <c r="E2250" s="5" t="s">
        <v>313</v>
      </c>
      <c r="F2250" s="9">
        <v>39</v>
      </c>
      <c r="G2250" s="9">
        <v>505</v>
      </c>
      <c r="H2250" s="5" t="s">
        <v>21</v>
      </c>
      <c r="I2250" s="5" t="s">
        <v>5189</v>
      </c>
      <c r="J2250" s="12" t="str">
        <f>HYPERLINK("https://www.boe.es/gazeta/dias/1801/05/15/pdfs/GMD-1801-39.pdf#page=9","Abrir facsímil")</f>
        <v>Abrir facsímil</v>
      </c>
      <c r="K2250" s="15" t="s">
        <v>23</v>
      </c>
    </row>
    <row r="2251" spans="1:11" ht="42" customHeight="1">
      <c r="A2251" s="4" t="s">
        <v>5190</v>
      </c>
      <c r="B2251" s="5" t="s">
        <v>5191</v>
      </c>
      <c r="C2251" s="5" t="s">
        <v>32</v>
      </c>
      <c r="D2251" s="5" t="s">
        <v>33</v>
      </c>
      <c r="E2251" s="5" t="s">
        <v>723</v>
      </c>
      <c r="F2251" s="9">
        <v>113</v>
      </c>
      <c r="G2251" s="9">
        <v>1234</v>
      </c>
      <c r="H2251" s="5" t="s">
        <v>21</v>
      </c>
      <c r="I2251" s="5" t="s">
        <v>5192</v>
      </c>
      <c r="J2251" s="12" t="str">
        <f>HYPERLINK("https://www.boe.es/gazeta/dias/1801/12/08/pdfs/GMD-1801-113.pdf#page=7","Abrir facsímil")</f>
        <v>Abrir facsímil</v>
      </c>
      <c r="K2251" s="15" t="s">
        <v>23</v>
      </c>
    </row>
    <row r="2252" spans="1:11" ht="42" customHeight="1">
      <c r="A2252" s="4" t="s">
        <v>5193</v>
      </c>
      <c r="B2252" s="5" t="s">
        <v>5194</v>
      </c>
      <c r="C2252" s="5" t="s">
        <v>69</v>
      </c>
      <c r="D2252" s="5" t="s">
        <v>19</v>
      </c>
      <c r="E2252" s="5" t="s">
        <v>122</v>
      </c>
      <c r="F2252" s="9">
        <v>8</v>
      </c>
      <c r="G2252" s="9">
        <v>96</v>
      </c>
      <c r="H2252" s="5" t="s">
        <v>21</v>
      </c>
      <c r="I2252" s="5" t="s">
        <v>5195</v>
      </c>
      <c r="J2252" s="12" t="str">
        <f>HYPERLINK("https://www.boe.es/gazeta/dias/1801/01/27/pdfs/GMD-1801-8.pdf#page=8","Abrir facsímil")</f>
        <v>Abrir facsímil</v>
      </c>
      <c r="K2252" s="15" t="s">
        <v>23</v>
      </c>
    </row>
    <row r="2253" spans="1:11" ht="42" customHeight="1">
      <c r="A2253" s="4" t="s">
        <v>5196</v>
      </c>
      <c r="B2253" s="5" t="s">
        <v>5197</v>
      </c>
      <c r="C2253" s="5" t="s">
        <v>32</v>
      </c>
      <c r="D2253" s="5" t="s">
        <v>33</v>
      </c>
      <c r="E2253" s="5" t="s">
        <v>317</v>
      </c>
      <c r="F2253" s="9">
        <v>102</v>
      </c>
      <c r="G2253" s="9">
        <v>1122</v>
      </c>
      <c r="H2253" s="5" t="s">
        <v>21</v>
      </c>
      <c r="I2253" s="5" t="s">
        <v>5198</v>
      </c>
      <c r="J2253" s="12" t="str">
        <f>HYPERLINK("https://www.boe.es/gazeta/dias/1801/10/30/pdfs/GMD-1801-102.pdf#page=7","Abrir facsímil")</f>
        <v>Abrir facsímil</v>
      </c>
      <c r="K2253" s="15" t="s">
        <v>23</v>
      </c>
    </row>
    <row r="2254" spans="1:11" ht="42" customHeight="1">
      <c r="A2254" s="4" t="s">
        <v>5199</v>
      </c>
      <c r="B2254" s="5" t="s">
        <v>5200</v>
      </c>
      <c r="C2254" s="5" t="s">
        <v>32</v>
      </c>
      <c r="D2254" s="5" t="s">
        <v>33</v>
      </c>
      <c r="E2254" s="5" t="s">
        <v>55</v>
      </c>
      <c r="F2254" s="9">
        <v>104</v>
      </c>
      <c r="G2254" s="9">
        <v>1146</v>
      </c>
      <c r="H2254" s="5" t="s">
        <v>21</v>
      </c>
      <c r="I2254" s="5" t="s">
        <v>5201</v>
      </c>
      <c r="J2254" s="12" t="str">
        <f>HYPERLINK("https://www.boe.es/gazeta/dias/1801/11/06/pdfs/GMD-1801-104.pdf#page=7","Abrir facsímil")</f>
        <v>Abrir facsímil</v>
      </c>
      <c r="K2254" s="15" t="s">
        <v>23</v>
      </c>
    </row>
    <row r="2255" spans="1:11" ht="42" customHeight="1">
      <c r="A2255" s="4" t="s">
        <v>5202</v>
      </c>
      <c r="B2255" s="5" t="s">
        <v>5203</v>
      </c>
      <c r="C2255" s="5" t="s">
        <v>32</v>
      </c>
      <c r="D2255" s="5" t="s">
        <v>33</v>
      </c>
      <c r="E2255" s="5" t="s">
        <v>55</v>
      </c>
      <c r="F2255" s="9">
        <v>104</v>
      </c>
      <c r="G2255" s="9">
        <v>1145</v>
      </c>
      <c r="H2255" s="5" t="s">
        <v>21</v>
      </c>
      <c r="I2255" s="5" t="s">
        <v>5204</v>
      </c>
      <c r="J2255" s="12" t="str">
        <f>HYPERLINK("https://www.boe.es/gazeta/dias/1801/11/06/pdfs/GMD-1801-104.pdf#page=6","Abrir facsímil")</f>
        <v>Abrir facsímil</v>
      </c>
      <c r="K2255" s="15" t="s">
        <v>23</v>
      </c>
    </row>
    <row r="2256" spans="1:11" ht="42" customHeight="1">
      <c r="A2256" s="4" t="s">
        <v>5205</v>
      </c>
      <c r="B2256" s="5" t="s">
        <v>5206</v>
      </c>
      <c r="C2256" s="5" t="s">
        <v>32</v>
      </c>
      <c r="D2256" s="5" t="s">
        <v>33</v>
      </c>
      <c r="E2256" s="5" t="s">
        <v>781</v>
      </c>
      <c r="F2256" s="9">
        <v>14</v>
      </c>
      <c r="G2256" s="9">
        <v>174</v>
      </c>
      <c r="H2256" s="5" t="s">
        <v>21</v>
      </c>
      <c r="I2256" s="5" t="s">
        <v>5207</v>
      </c>
      <c r="J2256" s="12" t="str">
        <f>HYPERLINK("https://www.boe.es/gazeta/dias/1801/02/17/pdfs/GMD-1801-14.pdf#page=9","Abrir facsímil")</f>
        <v>Abrir facsímil</v>
      </c>
      <c r="K2256" s="15" t="s">
        <v>23</v>
      </c>
    </row>
    <row r="2257" spans="1:11" ht="42" customHeight="1">
      <c r="A2257" s="4" t="s">
        <v>5208</v>
      </c>
      <c r="B2257" s="5" t="s">
        <v>5209</v>
      </c>
      <c r="C2257" s="5" t="s">
        <v>32</v>
      </c>
      <c r="D2257" s="5" t="s">
        <v>33</v>
      </c>
      <c r="E2257" s="5" t="s">
        <v>48</v>
      </c>
      <c r="F2257" s="9">
        <v>20</v>
      </c>
      <c r="G2257" s="9">
        <v>266</v>
      </c>
      <c r="H2257" s="5" t="s">
        <v>21</v>
      </c>
      <c r="I2257" s="5" t="s">
        <v>5210</v>
      </c>
      <c r="J2257" s="12" t="str">
        <f>HYPERLINK("https://www.boe.es/gazeta/dias/1801/03/10/pdfs/GMD-1801-20.pdf#page=11","Abrir facsímil")</f>
        <v>Abrir facsímil</v>
      </c>
      <c r="K2257" s="15" t="s">
        <v>23</v>
      </c>
    </row>
    <row r="2258" spans="1:11" ht="42" customHeight="1">
      <c r="A2258" s="4" t="s">
        <v>5211</v>
      </c>
      <c r="B2258" s="5" t="s">
        <v>5212</v>
      </c>
      <c r="C2258" s="5" t="s">
        <v>32</v>
      </c>
      <c r="D2258" s="5" t="s">
        <v>33</v>
      </c>
      <c r="E2258" s="5" t="s">
        <v>66</v>
      </c>
      <c r="F2258" s="9">
        <v>52</v>
      </c>
      <c r="G2258" s="9">
        <v>609</v>
      </c>
      <c r="H2258" s="5" t="s">
        <v>21</v>
      </c>
      <c r="I2258" s="5" t="s">
        <v>5213</v>
      </c>
      <c r="J2258" s="12" t="str">
        <f>HYPERLINK("https://www.boe.es/gazeta/dias/1801/06/12/pdfs/GMD-1801-52.pdf#page=8","Abrir facsímil")</f>
        <v>Abrir facsímil</v>
      </c>
      <c r="K2258" s="15" t="s">
        <v>23</v>
      </c>
    </row>
    <row r="2259" spans="1:11" ht="42" customHeight="1">
      <c r="A2259" s="4" t="s">
        <v>5214</v>
      </c>
      <c r="B2259" s="5" t="s">
        <v>5215</v>
      </c>
      <c r="C2259" s="5" t="s">
        <v>32</v>
      </c>
      <c r="D2259" s="5" t="s">
        <v>33</v>
      </c>
      <c r="E2259" s="5" t="s">
        <v>62</v>
      </c>
      <c r="F2259" s="9">
        <v>6</v>
      </c>
      <c r="G2259" s="9">
        <v>74</v>
      </c>
      <c r="H2259" s="5" t="s">
        <v>21</v>
      </c>
      <c r="I2259" s="5" t="s">
        <v>5216</v>
      </c>
      <c r="J2259" s="12" t="str">
        <f>HYPERLINK("https://www.boe.es/gazeta/dias/1801/01/20/pdfs/GMD-1801-6.pdf#page=10","Abrir facsímil")</f>
        <v>Abrir facsímil</v>
      </c>
      <c r="K2259" s="15" t="s">
        <v>23</v>
      </c>
    </row>
    <row r="2260" spans="1:11" ht="42" customHeight="1">
      <c r="A2260" s="4" t="s">
        <v>5217</v>
      </c>
      <c r="B2260" s="5" t="s">
        <v>5218</v>
      </c>
      <c r="C2260" s="5" t="s">
        <v>32</v>
      </c>
      <c r="D2260" s="5" t="s">
        <v>33</v>
      </c>
      <c r="E2260" s="5" t="s">
        <v>186</v>
      </c>
      <c r="F2260" s="9">
        <v>21</v>
      </c>
      <c r="G2260" s="9">
        <v>280</v>
      </c>
      <c r="H2260" s="5" t="s">
        <v>21</v>
      </c>
      <c r="I2260" s="5" t="s">
        <v>5219</v>
      </c>
      <c r="J2260" s="12" t="str">
        <f>HYPERLINK("https://www.boe.es/gazeta/dias/1801/03/13/pdfs/GMD-1801-21.pdf#page=9","Abrir facsímil")</f>
        <v>Abrir facsímil</v>
      </c>
      <c r="K2260" s="15" t="s">
        <v>23</v>
      </c>
    </row>
    <row r="2261" spans="1:11" ht="42" customHeight="1">
      <c r="A2261" s="4" t="s">
        <v>5220</v>
      </c>
      <c r="B2261" s="5" t="s">
        <v>5221</v>
      </c>
      <c r="C2261" s="5" t="s">
        <v>32</v>
      </c>
      <c r="D2261" s="5" t="s">
        <v>33</v>
      </c>
      <c r="E2261" s="5" t="s">
        <v>145</v>
      </c>
      <c r="F2261" s="9">
        <v>36</v>
      </c>
      <c r="G2261" s="9">
        <v>468</v>
      </c>
      <c r="H2261" s="5" t="s">
        <v>21</v>
      </c>
      <c r="I2261" s="5" t="s">
        <v>5222</v>
      </c>
      <c r="J2261" s="12" t="str">
        <f>HYPERLINK("https://www.boe.es/gazeta/dias/1801/05/05/pdfs/GMD-1801-36.pdf#page=12","Abrir facsímil")</f>
        <v>Abrir facsímil</v>
      </c>
      <c r="K2261" s="15" t="s">
        <v>23</v>
      </c>
    </row>
    <row r="2262" spans="1:11" ht="42" customHeight="1">
      <c r="A2262" s="4" t="s">
        <v>5223</v>
      </c>
      <c r="B2262" s="5" t="s">
        <v>5224</v>
      </c>
      <c r="C2262" s="5" t="s">
        <v>69</v>
      </c>
      <c r="D2262" s="5" t="s">
        <v>19</v>
      </c>
      <c r="E2262" s="5" t="s">
        <v>105</v>
      </c>
      <c r="F2262" s="9">
        <v>44</v>
      </c>
      <c r="G2262" s="9">
        <v>548</v>
      </c>
      <c r="H2262" s="5" t="s">
        <v>21</v>
      </c>
      <c r="I2262" s="5" t="s">
        <v>5225</v>
      </c>
      <c r="J2262" s="12" t="str">
        <f>HYPERLINK("https://www.boe.es/gazeta/dias/1801/05/29/pdfs/GMD-1801-44.pdf#page=8","Abrir facsímil")</f>
        <v>Abrir facsímil</v>
      </c>
      <c r="K2262" s="15" t="s">
        <v>23</v>
      </c>
    </row>
    <row r="2263" spans="1:11" ht="42" customHeight="1">
      <c r="A2263" s="4" t="s">
        <v>5223</v>
      </c>
      <c r="B2263" s="5" t="s">
        <v>5224</v>
      </c>
      <c r="C2263" s="5" t="s">
        <v>32</v>
      </c>
      <c r="D2263" s="5" t="s">
        <v>33</v>
      </c>
      <c r="E2263" s="5" t="s">
        <v>151</v>
      </c>
      <c r="F2263" s="9">
        <v>45</v>
      </c>
      <c r="G2263" s="9">
        <v>560</v>
      </c>
      <c r="H2263" s="5" t="s">
        <v>21</v>
      </c>
      <c r="I2263" s="5" t="s">
        <v>5226</v>
      </c>
      <c r="J2263" s="12" t="str">
        <f>HYPERLINK("https://www.boe.es/gazeta/dias/1801/06/02/pdfs/GMD-1801-45.pdf#page=8","Abrir facsímil")</f>
        <v>Abrir facsímil</v>
      </c>
      <c r="K2263" s="15" t="s">
        <v>23</v>
      </c>
    </row>
    <row r="2264" spans="1:11" ht="42" customHeight="1">
      <c r="A2264" s="4" t="s">
        <v>5227</v>
      </c>
      <c r="B2264" s="5" t="s">
        <v>5228</v>
      </c>
      <c r="C2264" s="5" t="s">
        <v>38</v>
      </c>
      <c r="D2264" s="5" t="s">
        <v>39</v>
      </c>
      <c r="E2264" s="5" t="s">
        <v>90</v>
      </c>
      <c r="F2264" s="9">
        <v>1</v>
      </c>
      <c r="G2264" s="9">
        <v>9</v>
      </c>
      <c r="H2264" s="5" t="s">
        <v>21</v>
      </c>
      <c r="I2264" s="5" t="s">
        <v>5229</v>
      </c>
      <c r="J2264" s="12" t="str">
        <f>HYPERLINK("https://www.boe.es/gazeta/dias/1801/01/02/pdfs/GMD-1801-1.pdf#page=9","Abrir facsímil")</f>
        <v>Abrir facsímil</v>
      </c>
      <c r="K2264" s="15" t="s">
        <v>23</v>
      </c>
    </row>
    <row r="2265" spans="1:11" ht="42" customHeight="1">
      <c r="A2265" s="4" t="s">
        <v>5230</v>
      </c>
      <c r="B2265" s="5" t="s">
        <v>5231</v>
      </c>
      <c r="C2265" s="5" t="s">
        <v>32</v>
      </c>
      <c r="D2265" s="5" t="s">
        <v>33</v>
      </c>
      <c r="E2265" s="5" t="s">
        <v>90</v>
      </c>
      <c r="F2265" s="9">
        <v>1</v>
      </c>
      <c r="G2265" s="9">
        <v>9</v>
      </c>
      <c r="H2265" s="5" t="s">
        <v>21</v>
      </c>
      <c r="I2265" s="5" t="s">
        <v>5232</v>
      </c>
      <c r="J2265" s="12" t="str">
        <f>HYPERLINK("https://www.boe.es/gazeta/dias/1801/01/02/pdfs/GMD-1801-1.pdf#page=9","Abrir facsímil")</f>
        <v>Abrir facsímil</v>
      </c>
      <c r="K2265" s="15" t="s">
        <v>23</v>
      </c>
    </row>
    <row r="2266" spans="1:11" ht="42" customHeight="1">
      <c r="A2266" s="4" t="s">
        <v>5233</v>
      </c>
      <c r="B2266" s="5" t="s">
        <v>5234</v>
      </c>
      <c r="C2266" s="5" t="s">
        <v>69</v>
      </c>
      <c r="D2266" s="5" t="s">
        <v>19</v>
      </c>
      <c r="E2266" s="5" t="s">
        <v>151</v>
      </c>
      <c r="F2266" s="9">
        <v>45</v>
      </c>
      <c r="G2266" s="9">
        <v>560</v>
      </c>
      <c r="H2266" s="5" t="s">
        <v>21</v>
      </c>
      <c r="I2266" s="5" t="s">
        <v>5235</v>
      </c>
      <c r="J2266" s="12" t="str">
        <f>HYPERLINK("https://www.boe.es/gazeta/dias/1801/06/02/pdfs/GMD-1801-45.pdf#page=8","Abrir facsímil")</f>
        <v>Abrir facsímil</v>
      </c>
      <c r="K2266" s="15" t="s">
        <v>23</v>
      </c>
    </row>
    <row r="2267" spans="1:11" ht="42" customHeight="1">
      <c r="A2267" s="4" t="s">
        <v>5236</v>
      </c>
      <c r="B2267" s="5" t="s">
        <v>5237</v>
      </c>
      <c r="C2267" s="5" t="s">
        <v>69</v>
      </c>
      <c r="D2267" s="5" t="s">
        <v>19</v>
      </c>
      <c r="E2267" s="5" t="s">
        <v>338</v>
      </c>
      <c r="F2267" s="9">
        <v>83</v>
      </c>
      <c r="G2267" s="9">
        <v>933</v>
      </c>
      <c r="H2267" s="5" t="s">
        <v>21</v>
      </c>
      <c r="I2267" s="5" t="s">
        <v>5238</v>
      </c>
      <c r="J2267" s="12" t="str">
        <f>HYPERLINK("https://www.boe.es/gazeta/dias/1801/09/01/pdfs/GMD-1801-83.pdf#page=8","Abrir facsímil")</f>
        <v>Abrir facsímil</v>
      </c>
      <c r="K2267" s="15" t="s">
        <v>23</v>
      </c>
    </row>
    <row r="2268" spans="1:11" ht="42" customHeight="1">
      <c r="A2268" s="4" t="s">
        <v>5239</v>
      </c>
      <c r="B2268" s="5" t="s">
        <v>5240</v>
      </c>
      <c r="C2268" s="5" t="s">
        <v>69</v>
      </c>
      <c r="D2268" s="5" t="s">
        <v>19</v>
      </c>
      <c r="E2268" s="5" t="s">
        <v>258</v>
      </c>
      <c r="F2268" s="9">
        <v>96</v>
      </c>
      <c r="G2268" s="9">
        <v>1052</v>
      </c>
      <c r="H2268" s="5" t="s">
        <v>21</v>
      </c>
      <c r="I2268" s="5" t="s">
        <v>5241</v>
      </c>
      <c r="J2268" s="12" t="str">
        <f>HYPERLINK("https://www.boe.es/gazeta/dias/1801/10/09/pdfs/GMD-1801-96.pdf#page=8","Abrir facsímil")</f>
        <v>Abrir facsímil</v>
      </c>
      <c r="K2268" s="15" t="s">
        <v>23</v>
      </c>
    </row>
    <row r="2269" spans="1:11" ht="42" customHeight="1">
      <c r="A2269" s="4" t="s">
        <v>5242</v>
      </c>
      <c r="B2269" s="5" t="s">
        <v>5243</v>
      </c>
      <c r="C2269" s="5" t="s">
        <v>69</v>
      </c>
      <c r="D2269" s="5" t="s">
        <v>19</v>
      </c>
      <c r="E2269" s="5" t="s">
        <v>171</v>
      </c>
      <c r="F2269" s="9">
        <v>76</v>
      </c>
      <c r="G2269" s="9">
        <v>853</v>
      </c>
      <c r="H2269" s="5" t="s">
        <v>21</v>
      </c>
      <c r="I2269" s="5" t="s">
        <v>5244</v>
      </c>
      <c r="J2269" s="12" t="str">
        <f>HYPERLINK("https://www.boe.es/gazeta/dias/1801/08/07/pdfs/GMD-1801-76.pdf#page=10","Abrir facsímil")</f>
        <v>Abrir facsímil</v>
      </c>
      <c r="K2269" s="15" t="s">
        <v>23</v>
      </c>
    </row>
    <row r="2270" spans="1:11" ht="42" customHeight="1">
      <c r="A2270" s="4" t="s">
        <v>5242</v>
      </c>
      <c r="B2270" s="5" t="s">
        <v>5243</v>
      </c>
      <c r="C2270" s="5" t="s">
        <v>32</v>
      </c>
      <c r="D2270" s="5" t="s">
        <v>33</v>
      </c>
      <c r="E2270" s="5" t="s">
        <v>505</v>
      </c>
      <c r="F2270" s="9">
        <v>94</v>
      </c>
      <c r="G2270" s="9">
        <v>1033</v>
      </c>
      <c r="H2270" s="5" t="s">
        <v>21</v>
      </c>
      <c r="I2270" s="5" t="s">
        <v>5245</v>
      </c>
      <c r="J2270" s="12" t="str">
        <f>HYPERLINK("https://www.boe.es/gazeta/dias/1801/10/02/pdfs/GMD-1801-94.pdf#page=9","Abrir facsímil")</f>
        <v>Abrir facsímil</v>
      </c>
      <c r="K2270" s="15" t="s">
        <v>23</v>
      </c>
    </row>
    <row r="2271" spans="1:11" ht="42" customHeight="1">
      <c r="A2271" s="4" t="s">
        <v>5246</v>
      </c>
      <c r="B2271" s="5" t="s">
        <v>5247</v>
      </c>
      <c r="C2271" s="5" t="s">
        <v>32</v>
      </c>
      <c r="D2271" s="5" t="s">
        <v>33</v>
      </c>
      <c r="E2271" s="5" t="s">
        <v>275</v>
      </c>
      <c r="F2271" s="9">
        <v>9</v>
      </c>
      <c r="G2271" s="9">
        <v>112</v>
      </c>
      <c r="H2271" s="5" t="s">
        <v>21</v>
      </c>
      <c r="I2271" s="5" t="s">
        <v>5248</v>
      </c>
      <c r="J2271" s="12" t="str">
        <f>HYPERLINK("https://www.boe.es/gazeta/dias/1801/01/30/pdfs/GMD-1801-9.pdf#page=9","Abrir facsímil")</f>
        <v>Abrir facsímil</v>
      </c>
      <c r="K2271" s="15" t="s">
        <v>23</v>
      </c>
    </row>
    <row r="2272" spans="1:11" ht="42" customHeight="1">
      <c r="A2272" s="4" t="s">
        <v>5249</v>
      </c>
      <c r="B2272" s="5" t="s">
        <v>5250</v>
      </c>
      <c r="C2272" s="5" t="s">
        <v>38</v>
      </c>
      <c r="D2272" s="5" t="s">
        <v>39</v>
      </c>
      <c r="E2272" s="5" t="s">
        <v>702</v>
      </c>
      <c r="F2272" s="9">
        <v>69</v>
      </c>
      <c r="G2272" s="9">
        <v>764</v>
      </c>
      <c r="H2272" s="5" t="s">
        <v>21</v>
      </c>
      <c r="I2272" s="5" t="s">
        <v>5251</v>
      </c>
      <c r="J2272" s="12" t="str">
        <f>HYPERLINK("https://www.boe.es/gazeta/dias/1801/07/14/pdfs/GMD-1801-69.pdf#page=9","Abrir facsímil")</f>
        <v>Abrir facsímil</v>
      </c>
      <c r="K2272" s="15" t="s">
        <v>23</v>
      </c>
    </row>
    <row r="2273" spans="1:11" ht="42" customHeight="1">
      <c r="A2273" s="4" t="s">
        <v>5249</v>
      </c>
      <c r="B2273" s="5" t="s">
        <v>5250</v>
      </c>
      <c r="C2273" s="5" t="s">
        <v>515</v>
      </c>
      <c r="D2273" s="5" t="s">
        <v>516</v>
      </c>
      <c r="E2273" s="5" t="s">
        <v>751</v>
      </c>
      <c r="F2273" s="9">
        <v>106</v>
      </c>
      <c r="G2273" s="9">
        <v>1169</v>
      </c>
      <c r="H2273" s="5" t="s">
        <v>21</v>
      </c>
      <c r="I2273" s="5" t="s">
        <v>5252</v>
      </c>
      <c r="J2273" s="12" t="str">
        <f>HYPERLINK("https://www.boe.es/gazeta/dias/1801/11/13/pdfs/GMD-C-1801-106.pdf#page=2","Abrir facsímil")</f>
        <v>Abrir facsímil</v>
      </c>
      <c r="K2273" s="15" t="s">
        <v>23</v>
      </c>
    </row>
    <row r="2274" spans="1:11" ht="42" customHeight="1">
      <c r="A2274" s="4" t="s">
        <v>5249</v>
      </c>
      <c r="B2274" s="5" t="s">
        <v>5250</v>
      </c>
      <c r="C2274" s="5" t="s">
        <v>38</v>
      </c>
      <c r="D2274" s="5" t="s">
        <v>39</v>
      </c>
      <c r="E2274" s="5" t="s">
        <v>1058</v>
      </c>
      <c r="F2274" s="9">
        <v>108</v>
      </c>
      <c r="G2274" s="9">
        <v>1193</v>
      </c>
      <c r="H2274" s="5" t="s">
        <v>21</v>
      </c>
      <c r="I2274" s="5" t="s">
        <v>5253</v>
      </c>
      <c r="J2274" s="12" t="str">
        <f>HYPERLINK("https://www.boe.es/gazeta/dias/1801/11/20/pdfs/GMD-1801-108.pdf#page=10","Abrir facsímil")</f>
        <v>Abrir facsímil</v>
      </c>
      <c r="K2274" s="15" t="s">
        <v>23</v>
      </c>
    </row>
    <row r="2275" spans="1:11" ht="42" customHeight="1">
      <c r="A2275" s="4" t="s">
        <v>5254</v>
      </c>
      <c r="B2275" s="5" t="s">
        <v>5255</v>
      </c>
      <c r="C2275" s="5" t="s">
        <v>75</v>
      </c>
      <c r="D2275" s="5" t="s">
        <v>76</v>
      </c>
      <c r="E2275" s="5" t="s">
        <v>266</v>
      </c>
      <c r="F2275" s="9">
        <v>119</v>
      </c>
      <c r="G2275" s="9">
        <v>1297</v>
      </c>
      <c r="H2275" s="5" t="s">
        <v>21</v>
      </c>
      <c r="I2275" s="5" t="s">
        <v>5256</v>
      </c>
      <c r="J2275" s="12" t="str">
        <f>HYPERLINK("https://www.boe.es/gazeta/dias/1801/12/29/pdfs/GMD-1801-119.pdf#page=1","Abrir facsímil")</f>
        <v>Abrir facsímil</v>
      </c>
      <c r="K2275" s="15" t="s">
        <v>23</v>
      </c>
    </row>
    <row r="2276" spans="1:11" ht="42" customHeight="1">
      <c r="A2276" s="4" t="s">
        <v>5257</v>
      </c>
      <c r="B2276" s="5" t="s">
        <v>5258</v>
      </c>
      <c r="C2276" s="5" t="s">
        <v>32</v>
      </c>
      <c r="D2276" s="5" t="s">
        <v>33</v>
      </c>
      <c r="E2276" s="5" t="s">
        <v>1058</v>
      </c>
      <c r="F2276" s="9">
        <v>108</v>
      </c>
      <c r="G2276" s="9">
        <v>1191</v>
      </c>
      <c r="H2276" s="5" t="s">
        <v>21</v>
      </c>
      <c r="I2276" s="5" t="s">
        <v>5259</v>
      </c>
      <c r="J2276" s="12" t="str">
        <f>HYPERLINK("https://www.boe.es/gazeta/dias/1801/11/20/pdfs/GMD-1801-108.pdf#page=8","Abrir facsímil")</f>
        <v>Abrir facsímil</v>
      </c>
      <c r="K2276" s="15" t="s">
        <v>23</v>
      </c>
    </row>
    <row r="2277" spans="1:11" ht="42" customHeight="1">
      <c r="A2277" s="4" t="s">
        <v>5260</v>
      </c>
      <c r="B2277" s="5" t="s">
        <v>5261</v>
      </c>
      <c r="C2277" s="5" t="s">
        <v>69</v>
      </c>
      <c r="D2277" s="5" t="s">
        <v>19</v>
      </c>
      <c r="E2277" s="5" t="s">
        <v>262</v>
      </c>
      <c r="F2277" s="9">
        <v>109</v>
      </c>
      <c r="G2277" s="9">
        <v>1204</v>
      </c>
      <c r="H2277" s="5" t="s">
        <v>21</v>
      </c>
      <c r="I2277" s="5" t="s">
        <v>5262</v>
      </c>
      <c r="J2277" s="12" t="str">
        <f>HYPERLINK("https://www.boe.es/gazeta/dias/1801/11/24/pdfs/GMD-1801-109.pdf#page=9","Abrir facsímil")</f>
        <v>Abrir facsímil</v>
      </c>
      <c r="K2277" s="15" t="s">
        <v>23</v>
      </c>
    </row>
    <row r="2278" spans="1:11" ht="42" customHeight="1">
      <c r="A2278" s="4" t="s">
        <v>5263</v>
      </c>
      <c r="B2278" s="5" t="s">
        <v>5264</v>
      </c>
      <c r="C2278" s="5" t="s">
        <v>32</v>
      </c>
      <c r="D2278" s="5" t="s">
        <v>33</v>
      </c>
      <c r="E2278" s="5" t="s">
        <v>480</v>
      </c>
      <c r="F2278" s="9">
        <v>10</v>
      </c>
      <c r="G2278" s="9">
        <v>123</v>
      </c>
      <c r="H2278" s="5" t="s">
        <v>21</v>
      </c>
      <c r="I2278" s="5" t="s">
        <v>5265</v>
      </c>
      <c r="J2278" s="12" t="str">
        <f>HYPERLINK("https://www.boe.es/gazeta/dias/1801/02/03/pdfs/GMD-1801-10.pdf#page=8","Abrir facsímil")</f>
        <v>Abrir facsímil</v>
      </c>
      <c r="K2278" s="15" t="s">
        <v>23</v>
      </c>
    </row>
    <row r="2279" spans="1:11" ht="42" customHeight="1">
      <c r="A2279" s="4" t="s">
        <v>5266</v>
      </c>
      <c r="B2279" s="5" t="s">
        <v>5267</v>
      </c>
      <c r="C2279" s="5" t="s">
        <v>32</v>
      </c>
      <c r="D2279" s="5" t="s">
        <v>33</v>
      </c>
      <c r="E2279" s="5" t="s">
        <v>258</v>
      </c>
      <c r="F2279" s="9">
        <v>96</v>
      </c>
      <c r="G2279" s="9">
        <v>1056</v>
      </c>
      <c r="H2279" s="5" t="s">
        <v>21</v>
      </c>
      <c r="I2279" s="5" t="s">
        <v>5268</v>
      </c>
      <c r="J2279" s="12" t="str">
        <f>HYPERLINK("https://www.boe.es/gazeta/dias/1801/10/09/pdfs/GMD-1801-96.pdf#page=12","Abrir facsímil")</f>
        <v>Abrir facsímil</v>
      </c>
      <c r="K2279" s="15" t="s">
        <v>23</v>
      </c>
    </row>
    <row r="2280" spans="1:11" ht="42" customHeight="1">
      <c r="A2280" s="4" t="s">
        <v>5269</v>
      </c>
      <c r="B2280" s="5" t="s">
        <v>5270</v>
      </c>
      <c r="C2280" s="5" t="s">
        <v>69</v>
      </c>
      <c r="D2280" s="5" t="s">
        <v>19</v>
      </c>
      <c r="E2280" s="5" t="s">
        <v>169</v>
      </c>
      <c r="F2280" s="9">
        <v>70</v>
      </c>
      <c r="G2280" s="9">
        <v>775</v>
      </c>
      <c r="H2280" s="5" t="s">
        <v>21</v>
      </c>
      <c r="I2280" s="5" t="s">
        <v>5271</v>
      </c>
      <c r="J2280" s="12" t="str">
        <f>HYPERLINK("https://www.boe.es/gazeta/dias/1801/07/17/pdfs/GMD-1801-70.pdf#page=8","Abrir facsímil")</f>
        <v>Abrir facsímil</v>
      </c>
      <c r="K2280" s="15" t="s">
        <v>23</v>
      </c>
    </row>
    <row r="2281" spans="1:11" ht="42" customHeight="1">
      <c r="A2281" s="4" t="s">
        <v>5272</v>
      </c>
      <c r="B2281" s="5" t="s">
        <v>5273</v>
      </c>
      <c r="C2281" s="5" t="s">
        <v>32</v>
      </c>
      <c r="D2281" s="5" t="s">
        <v>33</v>
      </c>
      <c r="E2281" s="5" t="s">
        <v>122</v>
      </c>
      <c r="F2281" s="9">
        <v>8</v>
      </c>
      <c r="G2281" s="9">
        <v>97</v>
      </c>
      <c r="H2281" s="5" t="s">
        <v>21</v>
      </c>
      <c r="I2281" s="5" t="s">
        <v>5274</v>
      </c>
      <c r="J2281" s="12" t="str">
        <f>HYPERLINK("https://www.boe.es/gazeta/dias/1801/01/27/pdfs/GMD-1801-8.pdf#page=9","Abrir facsímil")</f>
        <v>Abrir facsímil</v>
      </c>
      <c r="K2281" s="15" t="s">
        <v>23</v>
      </c>
    </row>
    <row r="2282" spans="1:11" ht="42" customHeight="1">
      <c r="A2282" s="4" t="s">
        <v>5275</v>
      </c>
      <c r="B2282" s="5" t="s">
        <v>5276</v>
      </c>
      <c r="C2282" s="5" t="s">
        <v>26</v>
      </c>
      <c r="D2282" s="5" t="s">
        <v>27</v>
      </c>
      <c r="E2282" s="5" t="s">
        <v>501</v>
      </c>
      <c r="F2282" s="9">
        <v>115</v>
      </c>
      <c r="G2282" s="9" t="s">
        <v>502</v>
      </c>
      <c r="H2282" s="5" t="s">
        <v>21</v>
      </c>
      <c r="I2282" s="5" t="s">
        <v>5277</v>
      </c>
      <c r="J2282" s="12" t="str">
        <f>HYPERLINK("https://www.boe.es/gazeta/dias/1801/12/15/pdfs/GMD-C-1801-115.pdf#page=8","Abrir facsímil")</f>
        <v>Abrir facsímil</v>
      </c>
      <c r="K2282" s="15" t="s">
        <v>23</v>
      </c>
    </row>
    <row r="2283" spans="1:11" ht="42" customHeight="1">
      <c r="A2283" s="4" t="s">
        <v>5278</v>
      </c>
      <c r="B2283" s="5" t="s">
        <v>5279</v>
      </c>
      <c r="C2283" s="5" t="s">
        <v>69</v>
      </c>
      <c r="D2283" s="5" t="s">
        <v>19</v>
      </c>
      <c r="E2283" s="5" t="s">
        <v>501</v>
      </c>
      <c r="F2283" s="9">
        <v>115</v>
      </c>
      <c r="G2283" s="9">
        <v>1256</v>
      </c>
      <c r="H2283" s="5" t="s">
        <v>21</v>
      </c>
      <c r="I2283" s="5" t="s">
        <v>5280</v>
      </c>
      <c r="J2283" s="12" t="str">
        <f>HYPERLINK("https://www.boe.es/gazeta/dias/1801/12/15/pdfs/GMD-1801-115.pdf#page=6","Abrir facsímil")</f>
        <v>Abrir facsímil</v>
      </c>
      <c r="K2283" s="15" t="s">
        <v>23</v>
      </c>
    </row>
    <row r="2284" spans="1:11" ht="42" customHeight="1">
      <c r="A2284" s="4" t="s">
        <v>5281</v>
      </c>
      <c r="B2284" s="5" t="s">
        <v>5282</v>
      </c>
      <c r="C2284" s="5" t="s">
        <v>32</v>
      </c>
      <c r="D2284" s="5" t="s">
        <v>33</v>
      </c>
      <c r="E2284" s="5" t="s">
        <v>328</v>
      </c>
      <c r="F2284" s="9">
        <v>89</v>
      </c>
      <c r="G2284" s="9">
        <v>984</v>
      </c>
      <c r="H2284" s="5" t="s">
        <v>21</v>
      </c>
      <c r="I2284" s="5" t="s">
        <v>5283</v>
      </c>
      <c r="J2284" s="12" t="str">
        <f>HYPERLINK("https://www.boe.es/gazeta/dias/1801/09/15/pdfs/GMD-1801-89.pdf#page=11","Abrir facsímil")</f>
        <v>Abrir facsímil</v>
      </c>
      <c r="K2284" s="15" t="s">
        <v>23</v>
      </c>
    </row>
    <row r="2285" spans="1:11" ht="42" customHeight="1">
      <c r="A2285" s="4" t="s">
        <v>5284</v>
      </c>
      <c r="B2285" s="5" t="s">
        <v>5285</v>
      </c>
      <c r="C2285" s="5" t="s">
        <v>38</v>
      </c>
      <c r="D2285" s="5" t="s">
        <v>39</v>
      </c>
      <c r="E2285" s="5" t="s">
        <v>173</v>
      </c>
      <c r="F2285" s="9">
        <v>98</v>
      </c>
      <c r="G2285" s="9">
        <v>1079</v>
      </c>
      <c r="H2285" s="5" t="s">
        <v>21</v>
      </c>
      <c r="I2285" s="5" t="s">
        <v>5286</v>
      </c>
      <c r="J2285" s="12" t="str">
        <f>HYPERLINK("https://www.boe.es/gazeta/dias/1801/10/16/pdfs/GMD-1801-98.pdf#page=11","Abrir facsímil")</f>
        <v>Abrir facsímil</v>
      </c>
      <c r="K2285" s="15" t="s">
        <v>23</v>
      </c>
    </row>
    <row r="2286" spans="1:11" ht="42" customHeight="1">
      <c r="A2286" s="4" t="s">
        <v>5287</v>
      </c>
      <c r="B2286" s="5" t="s">
        <v>5288</v>
      </c>
      <c r="C2286" s="5" t="s">
        <v>32</v>
      </c>
      <c r="D2286" s="5" t="s">
        <v>33</v>
      </c>
      <c r="E2286" s="5" t="s">
        <v>313</v>
      </c>
      <c r="F2286" s="9">
        <v>39</v>
      </c>
      <c r="G2286" s="9">
        <v>505</v>
      </c>
      <c r="H2286" s="5" t="s">
        <v>21</v>
      </c>
      <c r="I2286" s="5" t="s">
        <v>5289</v>
      </c>
      <c r="J2286" s="12" t="str">
        <f>HYPERLINK("https://www.boe.es/gazeta/dias/1801/05/15/pdfs/GMD-1801-39.pdf#page=9","Abrir facsímil")</f>
        <v>Abrir facsímil</v>
      </c>
      <c r="K2286" s="15" t="s">
        <v>23</v>
      </c>
    </row>
    <row r="2287" spans="1:11" ht="42" customHeight="1">
      <c r="A2287" s="4" t="s">
        <v>5290</v>
      </c>
      <c r="B2287" s="5" t="s">
        <v>5291</v>
      </c>
      <c r="C2287" s="5" t="s">
        <v>32</v>
      </c>
      <c r="D2287" s="5" t="s">
        <v>33</v>
      </c>
      <c r="E2287" s="5" t="s">
        <v>48</v>
      </c>
      <c r="F2287" s="9">
        <v>20</v>
      </c>
      <c r="G2287" s="9">
        <v>265</v>
      </c>
      <c r="H2287" s="5" t="s">
        <v>21</v>
      </c>
      <c r="I2287" s="5" t="s">
        <v>5292</v>
      </c>
      <c r="J2287" s="12" t="str">
        <f>HYPERLINK("https://www.boe.es/gazeta/dias/1801/03/10/pdfs/GMD-1801-20.pdf#page=10","Abrir facsímil")</f>
        <v>Abrir facsímil</v>
      </c>
      <c r="K2287" s="15" t="s">
        <v>23</v>
      </c>
    </row>
    <row r="2288" spans="1:11" ht="42" customHeight="1">
      <c r="A2288" s="4" t="s">
        <v>5293</v>
      </c>
      <c r="B2288" s="5" t="s">
        <v>5294</v>
      </c>
      <c r="C2288" s="5" t="s">
        <v>32</v>
      </c>
      <c r="D2288" s="5" t="s">
        <v>33</v>
      </c>
      <c r="E2288" s="5" t="s">
        <v>66</v>
      </c>
      <c r="F2288" s="9">
        <v>52</v>
      </c>
      <c r="G2288" s="9">
        <v>608</v>
      </c>
      <c r="H2288" s="5" t="s">
        <v>21</v>
      </c>
      <c r="I2288" s="5" t="s">
        <v>5295</v>
      </c>
      <c r="J2288" s="12" t="str">
        <f>HYPERLINK("https://www.boe.es/gazeta/dias/1801/06/12/pdfs/GMD-1801-52.pdf#page=7","Abrir facsímil")</f>
        <v>Abrir facsímil</v>
      </c>
      <c r="K2288" s="15" t="s">
        <v>23</v>
      </c>
    </row>
    <row r="2289" spans="1:11" ht="42" customHeight="1">
      <c r="A2289" s="4" t="s">
        <v>5296</v>
      </c>
      <c r="B2289" s="5" t="s">
        <v>5297</v>
      </c>
      <c r="C2289" s="5" t="s">
        <v>26</v>
      </c>
      <c r="D2289" s="5" t="s">
        <v>27</v>
      </c>
      <c r="E2289" s="5" t="s">
        <v>723</v>
      </c>
      <c r="F2289" s="9">
        <v>113</v>
      </c>
      <c r="G2289" s="9">
        <v>1235</v>
      </c>
      <c r="H2289" s="5" t="s">
        <v>21</v>
      </c>
      <c r="I2289" s="5" t="s">
        <v>5298</v>
      </c>
      <c r="J2289" s="12" t="str">
        <f>HYPERLINK("https://www.boe.es/gazeta/dias/1801/12/08/pdfs/GMD-1801-113.pdf#page=8","Abrir facsímil")</f>
        <v>Abrir facsímil</v>
      </c>
      <c r="K2289" s="15" t="s">
        <v>23</v>
      </c>
    </row>
    <row r="2290" spans="1:11" ht="42" customHeight="1">
      <c r="A2290" s="4" t="s">
        <v>5299</v>
      </c>
      <c r="B2290" s="5" t="s">
        <v>5300</v>
      </c>
      <c r="C2290" s="5" t="s">
        <v>32</v>
      </c>
      <c r="D2290" s="5" t="s">
        <v>33</v>
      </c>
      <c r="E2290" s="5" t="s">
        <v>55</v>
      </c>
      <c r="F2290" s="9">
        <v>104</v>
      </c>
      <c r="G2290" s="9">
        <v>1145</v>
      </c>
      <c r="H2290" s="5" t="s">
        <v>21</v>
      </c>
      <c r="I2290" s="5" t="s">
        <v>5301</v>
      </c>
      <c r="J2290" s="12" t="str">
        <f>HYPERLINK("https://www.boe.es/gazeta/dias/1801/11/06/pdfs/GMD-1801-104.pdf#page=6","Abrir facsímil")</f>
        <v>Abrir facsímil</v>
      </c>
      <c r="K2290" s="15" t="s">
        <v>23</v>
      </c>
    </row>
    <row r="2291" spans="1:11" ht="42" customHeight="1">
      <c r="A2291" s="4" t="s">
        <v>5302</v>
      </c>
      <c r="B2291" s="5" t="s">
        <v>5303</v>
      </c>
      <c r="C2291" s="5" t="s">
        <v>32</v>
      </c>
      <c r="D2291" s="5" t="s">
        <v>33</v>
      </c>
      <c r="E2291" s="5" t="s">
        <v>70</v>
      </c>
      <c r="F2291" s="9">
        <v>2</v>
      </c>
      <c r="G2291" s="9">
        <v>21</v>
      </c>
      <c r="H2291" s="5" t="s">
        <v>21</v>
      </c>
      <c r="I2291" s="5" t="s">
        <v>5304</v>
      </c>
      <c r="J2291" s="12" t="str">
        <f>HYPERLINK("https://www.boe.es/gazeta/dias/1801/01/06/pdfs/GMD-1801-2.pdf#page=9","Abrir facsímil")</f>
        <v>Abrir facsímil</v>
      </c>
      <c r="K2291" s="15" t="s">
        <v>23</v>
      </c>
    </row>
    <row r="2292" spans="1:11" ht="42" customHeight="1">
      <c r="A2292" s="4" t="s">
        <v>5305</v>
      </c>
      <c r="B2292" s="5" t="s">
        <v>5306</v>
      </c>
      <c r="C2292" s="5" t="s">
        <v>26</v>
      </c>
      <c r="D2292" s="5" t="s">
        <v>27</v>
      </c>
      <c r="E2292" s="5" t="s">
        <v>501</v>
      </c>
      <c r="F2292" s="9">
        <v>115</v>
      </c>
      <c r="G2292" s="9" t="s">
        <v>996</v>
      </c>
      <c r="H2292" s="5" t="s">
        <v>21</v>
      </c>
      <c r="I2292" s="5" t="s">
        <v>5307</v>
      </c>
      <c r="J2292" s="12" t="str">
        <f>HYPERLINK("https://www.boe.es/gazeta/dias/1801/12/15/pdfs/GMD-C-1801-115.pdf#page=6","Abrir facsímil")</f>
        <v>Abrir facsímil</v>
      </c>
      <c r="K2292" s="15" t="s">
        <v>23</v>
      </c>
    </row>
    <row r="2293" spans="1:11" ht="42" customHeight="1">
      <c r="A2293" s="4" t="s">
        <v>5308</v>
      </c>
      <c r="B2293" s="5" t="s">
        <v>5309</v>
      </c>
      <c r="C2293" s="5" t="s">
        <v>38</v>
      </c>
      <c r="D2293" s="5" t="s">
        <v>39</v>
      </c>
      <c r="E2293" s="5" t="s">
        <v>417</v>
      </c>
      <c r="F2293" s="9">
        <v>64</v>
      </c>
      <c r="G2293" s="9">
        <v>730</v>
      </c>
      <c r="H2293" s="5" t="s">
        <v>21</v>
      </c>
      <c r="I2293" s="5" t="s">
        <v>5310</v>
      </c>
      <c r="J2293" s="12" t="str">
        <f>HYPERLINK("https://www.boe.es/gazeta/dias/1801/07/07/pdfs/GMD-1801-64.pdf#page=11","Abrir facsímil")</f>
        <v>Abrir facsímil</v>
      </c>
      <c r="K2293" s="15" t="s">
        <v>23</v>
      </c>
    </row>
    <row r="2294" spans="1:11" ht="42" customHeight="1">
      <c r="A2294" s="4" t="s">
        <v>5311</v>
      </c>
      <c r="B2294" s="5" t="s">
        <v>5312</v>
      </c>
      <c r="C2294" s="5" t="s">
        <v>69</v>
      </c>
      <c r="D2294" s="5" t="s">
        <v>19</v>
      </c>
      <c r="E2294" s="5" t="s">
        <v>328</v>
      </c>
      <c r="F2294" s="9">
        <v>89</v>
      </c>
      <c r="G2294" s="9">
        <v>981</v>
      </c>
      <c r="H2294" s="5" t="s">
        <v>21</v>
      </c>
      <c r="I2294" s="5" t="s">
        <v>5313</v>
      </c>
      <c r="J2294" s="12" t="str">
        <f>HYPERLINK("https://www.boe.es/gazeta/dias/1801/09/15/pdfs/GMD-1801-89.pdf#page=8","Abrir facsímil")</f>
        <v>Abrir facsímil</v>
      </c>
      <c r="K2294" s="15" t="s">
        <v>23</v>
      </c>
    </row>
    <row r="2295" spans="1:11" ht="42" customHeight="1">
      <c r="A2295" s="4" t="s">
        <v>5314</v>
      </c>
      <c r="B2295" s="5" t="s">
        <v>5315</v>
      </c>
      <c r="C2295" s="5" t="s">
        <v>32</v>
      </c>
      <c r="D2295" s="5" t="s">
        <v>33</v>
      </c>
      <c r="E2295" s="5" t="s">
        <v>179</v>
      </c>
      <c r="F2295" s="9">
        <v>11</v>
      </c>
      <c r="G2295" s="9">
        <v>138</v>
      </c>
      <c r="H2295" s="5" t="s">
        <v>21</v>
      </c>
      <c r="I2295" s="5" t="s">
        <v>5316</v>
      </c>
      <c r="J2295" s="12" t="str">
        <f>HYPERLINK("https://www.boe.es/gazeta/dias/1801/02/06/pdfs/GMD-1801-11.pdf#page=11","Abrir facsímil")</f>
        <v>Abrir facsímil</v>
      </c>
      <c r="K2295" s="15" t="s">
        <v>23</v>
      </c>
    </row>
    <row r="2296" spans="1:11" ht="42" customHeight="1">
      <c r="A2296" s="4" t="s">
        <v>5317</v>
      </c>
      <c r="B2296" s="5" t="s">
        <v>5318</v>
      </c>
      <c r="C2296" s="5" t="s">
        <v>32</v>
      </c>
      <c r="D2296" s="5" t="s">
        <v>33</v>
      </c>
      <c r="E2296" s="5" t="s">
        <v>781</v>
      </c>
      <c r="F2296" s="9">
        <v>14</v>
      </c>
      <c r="G2296" s="9">
        <v>174</v>
      </c>
      <c r="H2296" s="5" t="s">
        <v>21</v>
      </c>
      <c r="I2296" s="5" t="s">
        <v>5319</v>
      </c>
      <c r="J2296" s="12" t="str">
        <f>HYPERLINK("https://www.boe.es/gazeta/dias/1801/02/17/pdfs/GMD-1801-14.pdf#page=9","Abrir facsímil")</f>
        <v>Abrir facsímil</v>
      </c>
      <c r="K2296" s="15" t="s">
        <v>23</v>
      </c>
    </row>
    <row r="2297" spans="1:11" ht="42" customHeight="1">
      <c r="A2297" s="4" t="s">
        <v>5320</v>
      </c>
      <c r="B2297" s="5" t="s">
        <v>5321</v>
      </c>
      <c r="C2297" s="5" t="s">
        <v>32</v>
      </c>
      <c r="D2297" s="5" t="s">
        <v>33</v>
      </c>
      <c r="E2297" s="5" t="s">
        <v>120</v>
      </c>
      <c r="F2297" s="9">
        <v>7</v>
      </c>
      <c r="G2297" s="9">
        <v>84</v>
      </c>
      <c r="H2297" s="5" t="s">
        <v>21</v>
      </c>
      <c r="I2297" s="5" t="s">
        <v>5322</v>
      </c>
      <c r="J2297" s="12" t="str">
        <f>HYPERLINK("https://www.boe.es/gazeta/dias/1801/01/23/pdfs/GMD-1801-7.pdf#page=8","Abrir facsímil")</f>
        <v>Abrir facsímil</v>
      </c>
      <c r="K2297" s="15" t="s">
        <v>23</v>
      </c>
    </row>
    <row r="2298" spans="1:11" ht="42" customHeight="1">
      <c r="A2298" s="4" t="s">
        <v>5323</v>
      </c>
      <c r="B2298" s="5" t="s">
        <v>5324</v>
      </c>
      <c r="C2298" s="5" t="s">
        <v>26</v>
      </c>
      <c r="D2298" s="5" t="s">
        <v>27</v>
      </c>
      <c r="E2298" s="5" t="s">
        <v>186</v>
      </c>
      <c r="F2298" s="9">
        <v>21</v>
      </c>
      <c r="G2298" s="9">
        <v>281</v>
      </c>
      <c r="H2298" s="5" t="s">
        <v>21</v>
      </c>
      <c r="I2298" s="5" t="s">
        <v>5325</v>
      </c>
      <c r="J2298" s="12" t="str">
        <f>HYPERLINK("https://www.boe.es/gazeta/dias/1801/03/13/pdfs/GMD-1801-21.pdf#page=10","Abrir facsímil")</f>
        <v>Abrir facsímil</v>
      </c>
      <c r="K2298" s="15" t="s">
        <v>23</v>
      </c>
    </row>
    <row r="2299" spans="1:11" ht="42" customHeight="1">
      <c r="A2299" s="4" t="s">
        <v>5326</v>
      </c>
      <c r="B2299" s="5" t="s">
        <v>5327</v>
      </c>
      <c r="C2299" s="5" t="s">
        <v>515</v>
      </c>
      <c r="D2299" s="5" t="s">
        <v>516</v>
      </c>
      <c r="E2299" s="5" t="s">
        <v>501</v>
      </c>
      <c r="F2299" s="9">
        <v>115</v>
      </c>
      <c r="G2299" s="9" t="s">
        <v>996</v>
      </c>
      <c r="H2299" s="5" t="s">
        <v>21</v>
      </c>
      <c r="I2299" s="5" t="s">
        <v>5328</v>
      </c>
      <c r="J2299" s="12" t="str">
        <f>HYPERLINK("https://www.boe.es/gazeta/dias/1801/12/15/pdfs/GMD-C-1801-115.pdf#page=6","Abrir facsímil")</f>
        <v>Abrir facsímil</v>
      </c>
      <c r="K2299" s="15" t="s">
        <v>23</v>
      </c>
    </row>
    <row r="2300" spans="1:11" ht="42" customHeight="1">
      <c r="A2300" s="4" t="s">
        <v>5329</v>
      </c>
      <c r="B2300" s="5" t="s">
        <v>5330</v>
      </c>
      <c r="C2300" s="5" t="s">
        <v>32</v>
      </c>
      <c r="D2300" s="5" t="s">
        <v>33</v>
      </c>
      <c r="E2300" s="5" t="s">
        <v>266</v>
      </c>
      <c r="F2300" s="9">
        <v>119</v>
      </c>
      <c r="G2300" s="9">
        <v>1303</v>
      </c>
      <c r="H2300" s="5" t="s">
        <v>21</v>
      </c>
      <c r="I2300" s="5" t="s">
        <v>5331</v>
      </c>
      <c r="J2300" s="12" t="str">
        <f>HYPERLINK("https://www.boe.es/gazeta/dias/1801/12/29/pdfs/GMD-1801-119.pdf#page=7","Abrir facsímil")</f>
        <v>Abrir facsímil</v>
      </c>
      <c r="K2300" s="15" t="s">
        <v>23</v>
      </c>
    </row>
    <row r="2301" spans="1:11" ht="42" customHeight="1">
      <c r="A2301" s="4" t="s">
        <v>5332</v>
      </c>
      <c r="B2301" s="5" t="s">
        <v>5333</v>
      </c>
      <c r="C2301" s="5" t="s">
        <v>32</v>
      </c>
      <c r="D2301" s="5" t="s">
        <v>33</v>
      </c>
      <c r="E2301" s="5" t="s">
        <v>289</v>
      </c>
      <c r="F2301" s="9">
        <v>40</v>
      </c>
      <c r="G2301" s="9">
        <v>515</v>
      </c>
      <c r="H2301" s="5" t="s">
        <v>21</v>
      </c>
      <c r="I2301" s="5" t="s">
        <v>5334</v>
      </c>
      <c r="J2301" s="12" t="str">
        <f>HYPERLINK("https://www.boe.es/gazeta/dias/1801/05/19/pdfs/GMD-1801-40.pdf#page=7","Abrir facsímil")</f>
        <v>Abrir facsímil</v>
      </c>
      <c r="K2301" s="15" t="s">
        <v>23</v>
      </c>
    </row>
    <row r="2302" spans="1:11" ht="42" customHeight="1">
      <c r="A2302" s="4" t="s">
        <v>5335</v>
      </c>
      <c r="B2302" s="5" t="s">
        <v>5336</v>
      </c>
      <c r="C2302" s="5" t="s">
        <v>32</v>
      </c>
      <c r="D2302" s="5" t="s">
        <v>33</v>
      </c>
      <c r="E2302" s="5" t="s">
        <v>275</v>
      </c>
      <c r="F2302" s="9">
        <v>9</v>
      </c>
      <c r="G2302" s="9">
        <v>112</v>
      </c>
      <c r="H2302" s="5" t="s">
        <v>21</v>
      </c>
      <c r="I2302" s="5" t="s">
        <v>5337</v>
      </c>
      <c r="J2302" s="12" t="str">
        <f>HYPERLINK("https://www.boe.es/gazeta/dias/1801/01/30/pdfs/GMD-1801-9.pdf#page=9","Abrir facsímil")</f>
        <v>Abrir facsímil</v>
      </c>
      <c r="K2302" s="15" t="s">
        <v>23</v>
      </c>
    </row>
    <row r="2303" spans="1:11" ht="42" customHeight="1">
      <c r="A2303" s="4" t="s">
        <v>5338</v>
      </c>
      <c r="B2303" s="5" t="s">
        <v>5339</v>
      </c>
      <c r="C2303" s="5" t="s">
        <v>32</v>
      </c>
      <c r="D2303" s="5" t="s">
        <v>33</v>
      </c>
      <c r="E2303" s="5" t="s">
        <v>44</v>
      </c>
      <c r="F2303" s="9">
        <v>117</v>
      </c>
      <c r="G2303" s="9">
        <v>1282</v>
      </c>
      <c r="H2303" s="5" t="s">
        <v>21</v>
      </c>
      <c r="I2303" s="5" t="s">
        <v>5340</v>
      </c>
      <c r="J2303" s="12" t="str">
        <f>HYPERLINK("https://www.boe.es/gazeta/dias/1801/12/22/pdfs/GMD-1801-117.pdf#page=9","Abrir facsímil")</f>
        <v>Abrir facsímil</v>
      </c>
      <c r="K2303" s="15" t="s">
        <v>23</v>
      </c>
    </row>
    <row r="2304" spans="1:11" ht="42" customHeight="1">
      <c r="A2304" s="4" t="s">
        <v>5341</v>
      </c>
      <c r="B2304" s="5" t="s">
        <v>5342</v>
      </c>
      <c r="C2304" s="5" t="s">
        <v>69</v>
      </c>
      <c r="D2304" s="5" t="s">
        <v>19</v>
      </c>
      <c r="E2304" s="5" t="s">
        <v>105</v>
      </c>
      <c r="F2304" s="9">
        <v>44</v>
      </c>
      <c r="G2304" s="9">
        <v>550</v>
      </c>
      <c r="H2304" s="5" t="s">
        <v>21</v>
      </c>
      <c r="I2304" s="5" t="s">
        <v>5343</v>
      </c>
      <c r="J2304" s="12" t="str">
        <f>HYPERLINK("https://www.boe.es/gazeta/dias/1801/05/29/pdfs/GMD-1801-44.pdf#page=10","Abrir facsímil")</f>
        <v>Abrir facsímil</v>
      </c>
      <c r="K2304" s="15" t="s">
        <v>23</v>
      </c>
    </row>
    <row r="2305" spans="1:11" ht="42" customHeight="1">
      <c r="A2305" s="4" t="s">
        <v>5344</v>
      </c>
      <c r="B2305" s="5" t="s">
        <v>5345</v>
      </c>
      <c r="C2305" s="5" t="s">
        <v>32</v>
      </c>
      <c r="D2305" s="5" t="s">
        <v>33</v>
      </c>
      <c r="E2305" s="5" t="s">
        <v>328</v>
      </c>
      <c r="F2305" s="9">
        <v>89</v>
      </c>
      <c r="G2305" s="9">
        <v>983</v>
      </c>
      <c r="H2305" s="5" t="s">
        <v>21</v>
      </c>
      <c r="I2305" s="5" t="s">
        <v>5346</v>
      </c>
      <c r="J2305" s="12" t="str">
        <f>HYPERLINK("https://www.boe.es/gazeta/dias/1801/09/15/pdfs/GMD-1801-89.pdf#page=10","Abrir facsímil")</f>
        <v>Abrir facsímil</v>
      </c>
      <c r="K2305" s="15" t="s">
        <v>23</v>
      </c>
    </row>
    <row r="2306" spans="1:11" ht="42" customHeight="1">
      <c r="A2306" s="4" t="s">
        <v>5347</v>
      </c>
      <c r="B2306" s="5" t="s">
        <v>5348</v>
      </c>
      <c r="C2306" s="5" t="s">
        <v>32</v>
      </c>
      <c r="D2306" s="5" t="s">
        <v>33</v>
      </c>
      <c r="E2306" s="5" t="s">
        <v>313</v>
      </c>
      <c r="F2306" s="9">
        <v>39</v>
      </c>
      <c r="G2306" s="9">
        <v>506</v>
      </c>
      <c r="H2306" s="5" t="s">
        <v>21</v>
      </c>
      <c r="I2306" s="5" t="s">
        <v>5349</v>
      </c>
      <c r="J2306" s="12" t="str">
        <f>HYPERLINK("https://www.boe.es/gazeta/dias/1801/05/15/pdfs/GMD-1801-39.pdf#page=10","Abrir facsímil")</f>
        <v>Abrir facsímil</v>
      </c>
      <c r="K2306" s="15" t="s">
        <v>23</v>
      </c>
    </row>
    <row r="2307" spans="1:11" ht="42" customHeight="1">
      <c r="A2307" s="4" t="s">
        <v>5350</v>
      </c>
      <c r="B2307" s="5" t="s">
        <v>5351</v>
      </c>
      <c r="C2307" s="5" t="s">
        <v>18</v>
      </c>
      <c r="D2307" s="5" t="s">
        <v>19</v>
      </c>
      <c r="E2307" s="5" t="s">
        <v>120</v>
      </c>
      <c r="F2307" s="9">
        <v>7</v>
      </c>
      <c r="G2307" s="9">
        <v>87</v>
      </c>
      <c r="H2307" s="5" t="s">
        <v>21</v>
      </c>
      <c r="I2307" s="5" t="s">
        <v>5352</v>
      </c>
      <c r="J2307" s="12" t="str">
        <f>HYPERLINK("https://www.boe.es/gazeta/dias/1801/01/23/pdfs/GMD-1801-7.pdf#page=11","Abrir facsímil")</f>
        <v>Abrir facsímil</v>
      </c>
      <c r="K2307" s="15" t="s">
        <v>23</v>
      </c>
    </row>
    <row r="2308" spans="1:11" ht="42" customHeight="1">
      <c r="A2308" s="4" t="s">
        <v>5350</v>
      </c>
      <c r="B2308" s="5" t="s">
        <v>5351</v>
      </c>
      <c r="C2308" s="5" t="s">
        <v>18</v>
      </c>
      <c r="D2308" s="5" t="s">
        <v>19</v>
      </c>
      <c r="E2308" s="5" t="s">
        <v>615</v>
      </c>
      <c r="F2308" s="9">
        <v>72</v>
      </c>
      <c r="G2308" s="9">
        <v>806</v>
      </c>
      <c r="H2308" s="5" t="s">
        <v>21</v>
      </c>
      <c r="I2308" s="5" t="s">
        <v>5353</v>
      </c>
      <c r="J2308" s="12" t="str">
        <f>HYPERLINK("https://www.boe.es/gazeta/dias/1801/07/24/pdfs/GMD-1801-72.pdf#page=11","Abrir facsímil")</f>
        <v>Abrir facsímil</v>
      </c>
      <c r="K2308" s="15" t="s">
        <v>23</v>
      </c>
    </row>
    <row r="2309" spans="1:11" ht="42" customHeight="1">
      <c r="A2309" s="4" t="s">
        <v>5350</v>
      </c>
      <c r="B2309" s="5" t="s">
        <v>5351</v>
      </c>
      <c r="C2309" s="5" t="s">
        <v>69</v>
      </c>
      <c r="D2309" s="5" t="s">
        <v>19</v>
      </c>
      <c r="E2309" s="5" t="s">
        <v>764</v>
      </c>
      <c r="F2309" s="9">
        <v>80</v>
      </c>
      <c r="G2309" s="9">
        <v>898</v>
      </c>
      <c r="H2309" s="5" t="s">
        <v>21</v>
      </c>
      <c r="I2309" s="5" t="s">
        <v>5354</v>
      </c>
      <c r="J2309" s="12" t="str">
        <f>HYPERLINK("https://www.boe.es/gazeta/dias/1801/08/21/pdfs/GMD-1801-80.pdf#page=7","Abrir facsímil")</f>
        <v>Abrir facsímil</v>
      </c>
      <c r="K2309" s="15" t="s">
        <v>23</v>
      </c>
    </row>
    <row r="2310" spans="1:11" ht="42" customHeight="1">
      <c r="A2310" s="4" t="s">
        <v>5355</v>
      </c>
      <c r="B2310" s="5" t="s">
        <v>5356</v>
      </c>
      <c r="C2310" s="5" t="s">
        <v>32</v>
      </c>
      <c r="D2310" s="5" t="s">
        <v>33</v>
      </c>
      <c r="E2310" s="5" t="s">
        <v>99</v>
      </c>
      <c r="F2310" s="9">
        <v>32</v>
      </c>
      <c r="G2310" s="9">
        <v>414</v>
      </c>
      <c r="H2310" s="5" t="s">
        <v>21</v>
      </c>
      <c r="I2310" s="5" t="s">
        <v>5357</v>
      </c>
      <c r="J2310" s="12" t="str">
        <f>HYPERLINK("https://www.boe.es/gazeta/dias/1801/04/21/pdfs/GMD-1801-32.pdf#page=10","Abrir facsímil")</f>
        <v>Abrir facsímil</v>
      </c>
      <c r="K2310" s="15" t="s">
        <v>23</v>
      </c>
    </row>
    <row r="2311" spans="1:11" ht="42" customHeight="1">
      <c r="A2311" s="4" t="s">
        <v>5358</v>
      </c>
      <c r="B2311" s="5" t="s">
        <v>5359</v>
      </c>
      <c r="C2311" s="5" t="s">
        <v>38</v>
      </c>
      <c r="D2311" s="5" t="s">
        <v>39</v>
      </c>
      <c r="E2311" s="5" t="s">
        <v>151</v>
      </c>
      <c r="F2311" s="9">
        <v>45</v>
      </c>
      <c r="G2311" s="9">
        <v>561</v>
      </c>
      <c r="H2311" s="5" t="s">
        <v>21</v>
      </c>
      <c r="I2311" s="5" t="s">
        <v>5360</v>
      </c>
      <c r="J2311" s="12" t="str">
        <f>HYPERLINK("https://www.boe.es/gazeta/dias/1801/06/02/pdfs/GMD-1801-45.pdf#page=9","Abrir facsímil")</f>
        <v>Abrir facsímil</v>
      </c>
      <c r="K2311" s="15" t="s">
        <v>23</v>
      </c>
    </row>
    <row r="2312" spans="1:11" ht="42" customHeight="1">
      <c r="A2312" s="4" t="s">
        <v>5361</v>
      </c>
      <c r="B2312" s="5" t="s">
        <v>5362</v>
      </c>
      <c r="C2312" s="5" t="s">
        <v>69</v>
      </c>
      <c r="D2312" s="5" t="s">
        <v>19</v>
      </c>
      <c r="E2312" s="5" t="s">
        <v>223</v>
      </c>
      <c r="F2312" s="9">
        <v>74</v>
      </c>
      <c r="G2312" s="9">
        <v>827</v>
      </c>
      <c r="H2312" s="5" t="s">
        <v>21</v>
      </c>
      <c r="I2312" s="5" t="s">
        <v>5363</v>
      </c>
      <c r="J2312" s="12" t="str">
        <f>HYPERLINK("https://www.boe.es/gazeta/dias/1801/07/31/pdfs/GMD-1801-74.pdf#page=8","Abrir facsímil")</f>
        <v>Abrir facsímil</v>
      </c>
      <c r="K2312" s="15" t="s">
        <v>23</v>
      </c>
    </row>
    <row r="2313" spans="1:11" ht="42" customHeight="1">
      <c r="A2313" s="4" t="s">
        <v>5364</v>
      </c>
      <c r="B2313" s="5" t="s">
        <v>5365</v>
      </c>
      <c r="C2313" s="5" t="s">
        <v>32</v>
      </c>
      <c r="D2313" s="5" t="s">
        <v>33</v>
      </c>
      <c r="E2313" s="5" t="s">
        <v>888</v>
      </c>
      <c r="F2313" s="9">
        <v>103</v>
      </c>
      <c r="G2313" s="9">
        <v>1135</v>
      </c>
      <c r="H2313" s="5" t="s">
        <v>21</v>
      </c>
      <c r="I2313" s="5" t="s">
        <v>5366</v>
      </c>
      <c r="J2313" s="12" t="str">
        <f>HYPERLINK("https://www.boe.es/gazeta/dias/1801/11/03/pdfs/GMD-1801-103.pdf#page=8","Abrir facsímil")</f>
        <v>Abrir facsímil</v>
      </c>
      <c r="K2313" s="15" t="s">
        <v>23</v>
      </c>
    </row>
    <row r="2314" spans="1:11" ht="42" customHeight="1">
      <c r="A2314" s="4" t="s">
        <v>5367</v>
      </c>
      <c r="B2314" s="5" t="s">
        <v>5368</v>
      </c>
      <c r="C2314" s="5" t="s">
        <v>80</v>
      </c>
      <c r="D2314" s="5" t="s">
        <v>81</v>
      </c>
      <c r="E2314" s="5" t="s">
        <v>82</v>
      </c>
      <c r="F2314" s="9">
        <v>75</v>
      </c>
      <c r="G2314" s="9" t="s">
        <v>86</v>
      </c>
      <c r="H2314" s="5" t="s">
        <v>21</v>
      </c>
      <c r="I2314" s="5" t="s">
        <v>5369</v>
      </c>
      <c r="J2314" s="12" t="str">
        <f>HYPERLINK("https://www.boe.es/gazeta/dias/1801/08/04/pdfs/GMD-C-1801-75.pdf#page=3","Abrir facsímil")</f>
        <v>Abrir facsímil</v>
      </c>
      <c r="K2314" s="15" t="s">
        <v>23</v>
      </c>
    </row>
    <row r="2315" spans="1:11" ht="42" customHeight="1">
      <c r="A2315" s="4" t="s">
        <v>5370</v>
      </c>
      <c r="B2315" s="5" t="s">
        <v>5371</v>
      </c>
      <c r="C2315" s="5" t="s">
        <v>69</v>
      </c>
      <c r="D2315" s="5" t="s">
        <v>19</v>
      </c>
      <c r="E2315" s="5" t="s">
        <v>453</v>
      </c>
      <c r="F2315" s="9">
        <v>100</v>
      </c>
      <c r="G2315" s="9">
        <v>1099</v>
      </c>
      <c r="H2315" s="5" t="s">
        <v>21</v>
      </c>
      <c r="I2315" s="5" t="s">
        <v>5372</v>
      </c>
      <c r="J2315" s="12" t="str">
        <f>HYPERLINK("https://www.boe.es/gazeta/dias/1801/10/23/pdfs/GMD-1801-100.pdf#page=8","Abrir facsímil")</f>
        <v>Abrir facsímil</v>
      </c>
      <c r="K2315" s="15" t="s">
        <v>23</v>
      </c>
    </row>
    <row r="2316" spans="1:11" ht="42" customHeight="1">
      <c r="A2316" s="4" t="s">
        <v>5373</v>
      </c>
      <c r="B2316" s="5" t="s">
        <v>5374</v>
      </c>
      <c r="C2316" s="5" t="s">
        <v>32</v>
      </c>
      <c r="D2316" s="5" t="s">
        <v>33</v>
      </c>
      <c r="E2316" s="5" t="s">
        <v>194</v>
      </c>
      <c r="F2316" s="9">
        <v>92</v>
      </c>
      <c r="G2316" s="9">
        <v>1011</v>
      </c>
      <c r="H2316" s="5" t="s">
        <v>21</v>
      </c>
      <c r="I2316" s="5" t="s">
        <v>5375</v>
      </c>
      <c r="J2316" s="12" t="str">
        <f>HYPERLINK("https://www.boe.es/gazeta/dias/1801/09/25/pdfs/GMD-1801-92.pdf#page=6","Abrir facsímil")</f>
        <v>Abrir facsímil</v>
      </c>
      <c r="K2316" s="15" t="s">
        <v>23</v>
      </c>
    </row>
    <row r="2317" spans="1:11" ht="42" customHeight="1">
      <c r="A2317" s="4" t="s">
        <v>5376</v>
      </c>
      <c r="B2317" s="5" t="s">
        <v>5377</v>
      </c>
      <c r="C2317" s="5" t="s">
        <v>18</v>
      </c>
      <c r="D2317" s="5" t="s">
        <v>19</v>
      </c>
      <c r="E2317" s="5" t="s">
        <v>186</v>
      </c>
      <c r="F2317" s="9">
        <v>21</v>
      </c>
      <c r="G2317" s="9">
        <v>282</v>
      </c>
      <c r="H2317" s="5" t="s">
        <v>21</v>
      </c>
      <c r="I2317" s="5" t="s">
        <v>5378</v>
      </c>
      <c r="J2317" s="12" t="str">
        <f>HYPERLINK("https://www.boe.es/gazeta/dias/1801/03/13/pdfs/GMD-1801-21.pdf#page=11","Abrir facsímil")</f>
        <v>Abrir facsímil</v>
      </c>
      <c r="K2317" s="15" t="s">
        <v>23</v>
      </c>
    </row>
    <row r="2318" spans="1:11" ht="42" customHeight="1">
      <c r="A2318" s="4" t="s">
        <v>5379</v>
      </c>
      <c r="B2318" s="5" t="s">
        <v>5380</v>
      </c>
      <c r="C2318" s="5" t="s">
        <v>18</v>
      </c>
      <c r="D2318" s="5" t="s">
        <v>19</v>
      </c>
      <c r="E2318" s="5" t="s">
        <v>352</v>
      </c>
      <c r="F2318" s="9">
        <v>43</v>
      </c>
      <c r="G2318" s="9">
        <v>538</v>
      </c>
      <c r="H2318" s="5" t="s">
        <v>21</v>
      </c>
      <c r="I2318" s="5" t="s">
        <v>5381</v>
      </c>
      <c r="J2318" s="12" t="str">
        <f>HYPERLINK("https://www.boe.es/gazeta/dias/1801/05/26/pdfs/GMD-1801-43.pdf#page=10","Abrir facsímil")</f>
        <v>Abrir facsímil</v>
      </c>
      <c r="K2318" s="15" t="s">
        <v>23</v>
      </c>
    </row>
    <row r="2319" spans="1:11" ht="42" customHeight="1">
      <c r="A2319" s="4" t="s">
        <v>5382</v>
      </c>
      <c r="B2319" s="5" t="s">
        <v>5383</v>
      </c>
      <c r="C2319" s="5" t="s">
        <v>26</v>
      </c>
      <c r="D2319" s="5" t="s">
        <v>27</v>
      </c>
      <c r="E2319" s="5" t="s">
        <v>615</v>
      </c>
      <c r="F2319" s="9">
        <v>72</v>
      </c>
      <c r="G2319" s="9">
        <v>807</v>
      </c>
      <c r="H2319" s="5" t="s">
        <v>21</v>
      </c>
      <c r="I2319" s="5" t="s">
        <v>5384</v>
      </c>
      <c r="J2319" s="12" t="str">
        <f>HYPERLINK("https://www.boe.es/gazeta/dias/1801/07/24/pdfs/GMD-1801-72.pdf#page=12","Abrir facsímil")</f>
        <v>Abrir facsímil</v>
      </c>
      <c r="K2319" s="15" t="s">
        <v>23</v>
      </c>
    </row>
    <row r="2320" spans="1:11" ht="42" customHeight="1">
      <c r="A2320" s="4" t="s">
        <v>5385</v>
      </c>
      <c r="B2320" s="5" t="s">
        <v>5386</v>
      </c>
      <c r="C2320" s="5" t="s">
        <v>26</v>
      </c>
      <c r="D2320" s="5" t="s">
        <v>27</v>
      </c>
      <c r="E2320" s="5" t="s">
        <v>112</v>
      </c>
      <c r="F2320" s="9">
        <v>114</v>
      </c>
      <c r="G2320" s="9">
        <v>1249</v>
      </c>
      <c r="H2320" s="5" t="s">
        <v>21</v>
      </c>
      <c r="I2320" s="5" t="s">
        <v>5387</v>
      </c>
      <c r="J2320" s="12" t="str">
        <f>HYPERLINK("https://www.boe.es/gazeta/dias/1801/12/11/pdfs/GMD-1801-114.pdf#page=11","Abrir facsímil")</f>
        <v>Abrir facsímil</v>
      </c>
      <c r="K2320" s="15" t="s">
        <v>23</v>
      </c>
    </row>
    <row r="2321" spans="1:11" ht="42" customHeight="1">
      <c r="A2321" s="4" t="s">
        <v>5388</v>
      </c>
      <c r="B2321" s="5" t="s">
        <v>5389</v>
      </c>
      <c r="C2321" s="5" t="s">
        <v>32</v>
      </c>
      <c r="D2321" s="5" t="s">
        <v>33</v>
      </c>
      <c r="E2321" s="5" t="s">
        <v>2225</v>
      </c>
      <c r="F2321" s="9" t="s">
        <v>2226</v>
      </c>
      <c r="G2321" s="9">
        <v>574</v>
      </c>
      <c r="H2321" s="5" t="s">
        <v>21</v>
      </c>
      <c r="I2321" s="5" t="s">
        <v>5390</v>
      </c>
      <c r="J2321" s="12" t="str">
        <f>HYPERLINK("https://www.boe.es/gazeta/dias/1801/06/03/pdfs/GMD-1801-47E.pdf#page=4","Abrir facsímil")</f>
        <v>Abrir facsímil</v>
      </c>
      <c r="K2321" s="15" t="s">
        <v>23</v>
      </c>
    </row>
    <row r="2322" spans="1:11" ht="42" customHeight="1">
      <c r="A2322" s="4" t="s">
        <v>5391</v>
      </c>
      <c r="B2322" s="5" t="s">
        <v>5392</v>
      </c>
      <c r="C2322" s="5" t="s">
        <v>38</v>
      </c>
      <c r="D2322" s="5" t="s">
        <v>39</v>
      </c>
      <c r="E2322" s="5" t="s">
        <v>292</v>
      </c>
      <c r="F2322" s="9">
        <v>25</v>
      </c>
      <c r="G2322" s="9">
        <v>332</v>
      </c>
      <c r="H2322" s="5" t="s">
        <v>21</v>
      </c>
      <c r="I2322" s="5" t="s">
        <v>5393</v>
      </c>
      <c r="J2322" s="12" t="str">
        <f>HYPERLINK("https://www.boe.es/gazeta/dias/1801/03/27/pdfs/GMD-1801-25.pdf#page=11","Abrir facsímil")</f>
        <v>Abrir facsímil</v>
      </c>
      <c r="K2322" s="15" t="s">
        <v>23</v>
      </c>
    </row>
    <row r="2323" spans="1:11" ht="42" customHeight="1">
      <c r="A2323" s="4" t="s">
        <v>5394</v>
      </c>
      <c r="B2323" s="5" t="s">
        <v>5395</v>
      </c>
      <c r="C2323" s="5" t="s">
        <v>32</v>
      </c>
      <c r="D2323" s="5" t="s">
        <v>33</v>
      </c>
      <c r="E2323" s="5" t="s">
        <v>94</v>
      </c>
      <c r="F2323" s="9">
        <v>19</v>
      </c>
      <c r="G2323" s="9">
        <v>244</v>
      </c>
      <c r="H2323" s="5" t="s">
        <v>21</v>
      </c>
      <c r="I2323" s="5" t="s">
        <v>5396</v>
      </c>
      <c r="J2323" s="12" t="str">
        <f>HYPERLINK("https://www.boe.es/gazeta/dias/1801/03/06/pdfs/GMD-1801-19.pdf#page=9","Abrir facsímil")</f>
        <v>Abrir facsímil</v>
      </c>
      <c r="K2323" s="15" t="s">
        <v>23</v>
      </c>
    </row>
    <row r="2324" spans="1:11" ht="42" customHeight="1">
      <c r="A2324" s="4" t="s">
        <v>5397</v>
      </c>
      <c r="B2324" s="5" t="s">
        <v>5398</v>
      </c>
      <c r="C2324" s="5" t="s">
        <v>69</v>
      </c>
      <c r="D2324" s="5" t="s">
        <v>19</v>
      </c>
      <c r="E2324" s="5" t="s">
        <v>105</v>
      </c>
      <c r="F2324" s="9">
        <v>44</v>
      </c>
      <c r="G2324" s="9">
        <v>550</v>
      </c>
      <c r="H2324" s="5" t="s">
        <v>21</v>
      </c>
      <c r="I2324" s="5" t="s">
        <v>5399</v>
      </c>
      <c r="J2324" s="12" t="str">
        <f>HYPERLINK("https://www.boe.es/gazeta/dias/1801/05/29/pdfs/GMD-1801-44.pdf#page=10","Abrir facsímil")</f>
        <v>Abrir facsímil</v>
      </c>
      <c r="K2324" s="15" t="s">
        <v>23</v>
      </c>
    </row>
    <row r="2325" spans="1:11" ht="42" customHeight="1">
      <c r="A2325" s="4" t="s">
        <v>5400</v>
      </c>
      <c r="B2325" s="5" t="s">
        <v>5401</v>
      </c>
      <c r="C2325" s="5" t="s">
        <v>18</v>
      </c>
      <c r="D2325" s="5" t="s">
        <v>19</v>
      </c>
      <c r="E2325" s="5" t="s">
        <v>62</v>
      </c>
      <c r="F2325" s="9">
        <v>6</v>
      </c>
      <c r="G2325" s="9">
        <v>75</v>
      </c>
      <c r="H2325" s="5" t="s">
        <v>21</v>
      </c>
      <c r="I2325" s="5" t="s">
        <v>5402</v>
      </c>
      <c r="J2325" s="12" t="str">
        <f>HYPERLINK("https://www.boe.es/gazeta/dias/1801/01/20/pdfs/GMD-1801-6.pdf#page=11","Abrir facsímil")</f>
        <v>Abrir facsímil</v>
      </c>
      <c r="K2325" s="15" t="s">
        <v>23</v>
      </c>
    </row>
    <row r="2326" spans="1:11" ht="42" customHeight="1">
      <c r="A2326" s="4" t="s">
        <v>5400</v>
      </c>
      <c r="B2326" s="5" t="s">
        <v>5401</v>
      </c>
      <c r="C2326" s="5" t="s">
        <v>18</v>
      </c>
      <c r="D2326" s="5" t="s">
        <v>19</v>
      </c>
      <c r="E2326" s="5" t="s">
        <v>120</v>
      </c>
      <c r="F2326" s="9">
        <v>7</v>
      </c>
      <c r="G2326" s="9">
        <v>85</v>
      </c>
      <c r="H2326" s="5" t="s">
        <v>21</v>
      </c>
      <c r="I2326" s="5" t="s">
        <v>5403</v>
      </c>
      <c r="J2326" s="12" t="str">
        <f>HYPERLINK("https://www.boe.es/gazeta/dias/1801/01/23/pdfs/GMD-1801-7.pdf#page=9","Abrir facsímil")</f>
        <v>Abrir facsímil</v>
      </c>
      <c r="K2326" s="15" t="s">
        <v>23</v>
      </c>
    </row>
    <row r="2327" spans="1:11" ht="42" customHeight="1">
      <c r="A2327" s="4" t="s">
        <v>5400</v>
      </c>
      <c r="B2327" s="5" t="s">
        <v>5401</v>
      </c>
      <c r="C2327" s="5" t="s">
        <v>69</v>
      </c>
      <c r="D2327" s="5" t="s">
        <v>19</v>
      </c>
      <c r="E2327" s="5" t="s">
        <v>165</v>
      </c>
      <c r="F2327" s="9">
        <v>59</v>
      </c>
      <c r="G2327" s="9">
        <v>675</v>
      </c>
      <c r="H2327" s="5" t="s">
        <v>21</v>
      </c>
      <c r="I2327" s="5" t="s">
        <v>5404</v>
      </c>
      <c r="J2327" s="12" t="str">
        <f>HYPERLINK("https://www.boe.es/gazeta/dias/1801/06/23/pdfs/GMD-1801-59.pdf#page=8","Abrir facsímil")</f>
        <v>Abrir facsímil</v>
      </c>
      <c r="K2327" s="15" t="s">
        <v>23</v>
      </c>
    </row>
    <row r="2328" spans="1:11" ht="42" customHeight="1">
      <c r="A2328" s="4" t="s">
        <v>5400</v>
      </c>
      <c r="B2328" s="5" t="s">
        <v>5401</v>
      </c>
      <c r="C2328" s="5" t="s">
        <v>26</v>
      </c>
      <c r="D2328" s="5" t="s">
        <v>27</v>
      </c>
      <c r="E2328" s="5" t="s">
        <v>2237</v>
      </c>
      <c r="F2328" s="9">
        <v>82</v>
      </c>
      <c r="G2328" s="9">
        <v>919</v>
      </c>
      <c r="H2328" s="5" t="s">
        <v>21</v>
      </c>
      <c r="I2328" s="5" t="s">
        <v>5405</v>
      </c>
      <c r="J2328" s="12" t="str">
        <f>HYPERLINK("https://www.boe.es/gazeta/dias/1801/08/28/pdfs/GMD-1801-82.pdf#page=8","Abrir facsímil")</f>
        <v>Abrir facsímil</v>
      </c>
      <c r="K2328" s="15" t="s">
        <v>23</v>
      </c>
    </row>
    <row r="2329" spans="1:11" ht="42" customHeight="1">
      <c r="A2329" s="4" t="s">
        <v>5406</v>
      </c>
      <c r="B2329" s="5" t="s">
        <v>5407</v>
      </c>
      <c r="C2329" s="5" t="s">
        <v>32</v>
      </c>
      <c r="D2329" s="5" t="s">
        <v>33</v>
      </c>
      <c r="E2329" s="5" t="s">
        <v>378</v>
      </c>
      <c r="F2329" s="9">
        <v>23</v>
      </c>
      <c r="G2329" s="9">
        <v>306</v>
      </c>
      <c r="H2329" s="5" t="s">
        <v>21</v>
      </c>
      <c r="I2329" s="5" t="s">
        <v>5408</v>
      </c>
      <c r="J2329" s="12" t="str">
        <f>HYPERLINK("https://www.boe.es/gazeta/dias/1801/03/20/pdfs/GMD-1801-23.pdf#page=9","Abrir facsímil")</f>
        <v>Abrir facsímil</v>
      </c>
      <c r="K2329" s="15" t="s">
        <v>23</v>
      </c>
    </row>
    <row r="2330" spans="1:11" ht="42" customHeight="1">
      <c r="A2330" s="4" t="s">
        <v>5409</v>
      </c>
      <c r="B2330" s="5" t="s">
        <v>5410</v>
      </c>
      <c r="C2330" s="5" t="s">
        <v>69</v>
      </c>
      <c r="D2330" s="5" t="s">
        <v>19</v>
      </c>
      <c r="E2330" s="5" t="s">
        <v>723</v>
      </c>
      <c r="F2330" s="9">
        <v>113</v>
      </c>
      <c r="G2330" s="9">
        <v>1234</v>
      </c>
      <c r="H2330" s="5" t="s">
        <v>21</v>
      </c>
      <c r="I2330" s="5" t="s">
        <v>5411</v>
      </c>
      <c r="J2330" s="12" t="str">
        <f>HYPERLINK("https://www.boe.es/gazeta/dias/1801/12/08/pdfs/GMD-1801-113.pdf#page=7","Abrir facsímil")</f>
        <v>Abrir facsímil</v>
      </c>
      <c r="K2330" s="15" t="s">
        <v>23</v>
      </c>
    </row>
    <row r="2331" spans="1:11" ht="42" customHeight="1">
      <c r="A2331" s="4" t="s">
        <v>5412</v>
      </c>
      <c r="B2331" s="5" t="s">
        <v>5413</v>
      </c>
      <c r="C2331" s="5" t="s">
        <v>32</v>
      </c>
      <c r="D2331" s="5" t="s">
        <v>33</v>
      </c>
      <c r="E2331" s="5" t="s">
        <v>169</v>
      </c>
      <c r="F2331" s="9">
        <v>70</v>
      </c>
      <c r="G2331" s="9">
        <v>775</v>
      </c>
      <c r="H2331" s="5" t="s">
        <v>21</v>
      </c>
      <c r="I2331" s="5" t="s">
        <v>5414</v>
      </c>
      <c r="J2331" s="12" t="str">
        <f>HYPERLINK("https://www.boe.es/gazeta/dias/1801/07/17/pdfs/GMD-1801-70.pdf#page=8","Abrir facsímil")</f>
        <v>Abrir facsímil</v>
      </c>
      <c r="K2331" s="15" t="s">
        <v>23</v>
      </c>
    </row>
    <row r="2332" spans="1:11" ht="42" customHeight="1">
      <c r="A2332" s="4" t="s">
        <v>5415</v>
      </c>
      <c r="B2332" s="5" t="s">
        <v>5416</v>
      </c>
      <c r="C2332" s="5" t="s">
        <v>32</v>
      </c>
      <c r="D2332" s="5" t="s">
        <v>33</v>
      </c>
      <c r="E2332" s="5" t="s">
        <v>50</v>
      </c>
      <c r="F2332" s="9">
        <v>29</v>
      </c>
      <c r="G2332" s="9">
        <v>382</v>
      </c>
      <c r="H2332" s="5" t="s">
        <v>21</v>
      </c>
      <c r="I2332" s="5" t="s">
        <v>5417</v>
      </c>
      <c r="J2332" s="12" t="str">
        <f>HYPERLINK("https://www.boe.es/gazeta/dias/1801/04/10/pdfs/GMD-1801-29.pdf#page=10","Abrir facsímil")</f>
        <v>Abrir facsímil</v>
      </c>
      <c r="K2332" s="15" t="s">
        <v>23</v>
      </c>
    </row>
    <row r="2333" spans="1:11" ht="42" customHeight="1">
      <c r="A2333" s="4" t="s">
        <v>5418</v>
      </c>
      <c r="B2333" s="5" t="s">
        <v>5419</v>
      </c>
      <c r="C2333" s="5" t="s">
        <v>1481</v>
      </c>
      <c r="D2333" s="5" t="s">
        <v>1482</v>
      </c>
      <c r="E2333" s="5" t="s">
        <v>5420</v>
      </c>
      <c r="F2333" s="9" t="s">
        <v>5421</v>
      </c>
      <c r="G2333" s="9">
        <v>610</v>
      </c>
      <c r="H2333" s="5" t="s">
        <v>21</v>
      </c>
      <c r="I2333" s="5" t="s">
        <v>5422</v>
      </c>
      <c r="J2333" s="12" t="str">
        <f>HYPERLINK("https://www.boe.es/gazeta/dias/1801/06/14/pdfs/GMD-1801-53E.pdf#page=1","Abrir facsímil")</f>
        <v>Abrir facsímil</v>
      </c>
      <c r="K2333" s="15" t="s">
        <v>23</v>
      </c>
    </row>
    <row r="2334" spans="1:11" ht="42" customHeight="1">
      <c r="A2334" s="4" t="s">
        <v>5423</v>
      </c>
      <c r="B2334" s="5" t="s">
        <v>5424</v>
      </c>
      <c r="C2334" s="5" t="s">
        <v>38</v>
      </c>
      <c r="D2334" s="5" t="s">
        <v>39</v>
      </c>
      <c r="E2334" s="5" t="s">
        <v>105</v>
      </c>
      <c r="F2334" s="9">
        <v>44</v>
      </c>
      <c r="G2334" s="9">
        <v>550</v>
      </c>
      <c r="H2334" s="5" t="s">
        <v>21</v>
      </c>
      <c r="I2334" s="5" t="s">
        <v>5425</v>
      </c>
      <c r="J2334" s="12" t="str">
        <f>HYPERLINK("https://www.boe.es/gazeta/dias/1801/05/29/pdfs/GMD-1801-44.pdf#page=10","Abrir facsímil")</f>
        <v>Abrir facsímil</v>
      </c>
      <c r="K2334" s="15" t="s">
        <v>23</v>
      </c>
    </row>
    <row r="2335" spans="1:11" ht="42" customHeight="1">
      <c r="A2335" s="4" t="s">
        <v>5426</v>
      </c>
      <c r="B2335" s="5" t="s">
        <v>5427</v>
      </c>
      <c r="C2335" s="5" t="s">
        <v>75</v>
      </c>
      <c r="D2335" s="5" t="s">
        <v>76</v>
      </c>
      <c r="E2335" s="5" t="s">
        <v>124</v>
      </c>
      <c r="F2335" s="9">
        <v>12</v>
      </c>
      <c r="G2335" s="9">
        <v>144</v>
      </c>
      <c r="H2335" s="5" t="s">
        <v>21</v>
      </c>
      <c r="I2335" s="5" t="s">
        <v>5428</v>
      </c>
      <c r="J2335" s="12" t="str">
        <f>HYPERLINK("https://www.boe.es/gazeta/dias/1801/02/10/pdfs/GMD-1801-12.pdf#page=5","Abrir facsímil")</f>
        <v>Abrir facsímil</v>
      </c>
      <c r="K2335" s="15" t="s">
        <v>23</v>
      </c>
    </row>
    <row r="2336" spans="1:11" ht="42" customHeight="1">
      <c r="A2336" s="4" t="s">
        <v>5429</v>
      </c>
      <c r="B2336" s="5" t="s">
        <v>5430</v>
      </c>
      <c r="C2336" s="5" t="s">
        <v>32</v>
      </c>
      <c r="D2336" s="5" t="s">
        <v>33</v>
      </c>
      <c r="E2336" s="5" t="s">
        <v>179</v>
      </c>
      <c r="F2336" s="9">
        <v>11</v>
      </c>
      <c r="G2336" s="9">
        <v>137</v>
      </c>
      <c r="H2336" s="5" t="s">
        <v>21</v>
      </c>
      <c r="I2336" s="5" t="s">
        <v>5431</v>
      </c>
      <c r="J2336" s="12" t="str">
        <f>HYPERLINK("https://www.boe.es/gazeta/dias/1801/02/06/pdfs/GMD-1801-11.pdf#page=10","Abrir facsímil")</f>
        <v>Abrir facsímil</v>
      </c>
      <c r="K2336" s="15" t="s">
        <v>23</v>
      </c>
    </row>
    <row r="2337" spans="1:11" ht="42" customHeight="1">
      <c r="A2337" s="4" t="s">
        <v>5432</v>
      </c>
      <c r="B2337" s="5" t="s">
        <v>5433</v>
      </c>
      <c r="C2337" s="5" t="s">
        <v>32</v>
      </c>
      <c r="D2337" s="5" t="s">
        <v>33</v>
      </c>
      <c r="E2337" s="5" t="s">
        <v>201</v>
      </c>
      <c r="F2337" s="9">
        <v>79</v>
      </c>
      <c r="G2337" s="9">
        <v>889</v>
      </c>
      <c r="H2337" s="5" t="s">
        <v>21</v>
      </c>
      <c r="I2337" s="5" t="s">
        <v>5434</v>
      </c>
      <c r="J2337" s="12" t="str">
        <f>HYPERLINK("https://www.boe.es/gazeta/dias/1801/08/18/pdfs/GMD-1801-79.pdf#page=6","Abrir facsímil")</f>
        <v>Abrir facsímil</v>
      </c>
      <c r="K2337" s="15" t="s">
        <v>23</v>
      </c>
    </row>
    <row r="2338" spans="1:11" ht="42" customHeight="1">
      <c r="A2338" s="4" t="s">
        <v>5435</v>
      </c>
      <c r="B2338" s="5" t="s">
        <v>5436</v>
      </c>
      <c r="C2338" s="5" t="s">
        <v>38</v>
      </c>
      <c r="D2338" s="5" t="s">
        <v>39</v>
      </c>
      <c r="E2338" s="5" t="s">
        <v>165</v>
      </c>
      <c r="F2338" s="9">
        <v>59</v>
      </c>
      <c r="G2338" s="9">
        <v>676</v>
      </c>
      <c r="H2338" s="5" t="s">
        <v>21</v>
      </c>
      <c r="I2338" s="5" t="s">
        <v>5437</v>
      </c>
      <c r="J2338" s="12" t="str">
        <f>HYPERLINK("https://www.boe.es/gazeta/dias/1801/06/23/pdfs/GMD-1801-59.pdf#page=9","Abrir facsímil")</f>
        <v>Abrir facsímil</v>
      </c>
      <c r="K2338" s="15" t="s">
        <v>23</v>
      </c>
    </row>
    <row r="2339" spans="1:11" ht="42" customHeight="1">
      <c r="A2339" s="4" t="s">
        <v>5438</v>
      </c>
      <c r="B2339" s="5" t="s">
        <v>5439</v>
      </c>
      <c r="C2339" s="5" t="s">
        <v>32</v>
      </c>
      <c r="D2339" s="5" t="s">
        <v>33</v>
      </c>
      <c r="E2339" s="5" t="s">
        <v>378</v>
      </c>
      <c r="F2339" s="9">
        <v>23</v>
      </c>
      <c r="G2339" s="9">
        <v>306</v>
      </c>
      <c r="H2339" s="5" t="s">
        <v>21</v>
      </c>
      <c r="I2339" s="5" t="s">
        <v>5440</v>
      </c>
      <c r="J2339" s="12" t="str">
        <f>HYPERLINK("https://www.boe.es/gazeta/dias/1801/03/20/pdfs/GMD-1801-23.pdf#page=9","Abrir facsímil")</f>
        <v>Abrir facsímil</v>
      </c>
      <c r="K2339" s="15" t="s">
        <v>23</v>
      </c>
    </row>
    <row r="2340" spans="1:11" ht="42" customHeight="1">
      <c r="A2340" s="4" t="s">
        <v>5441</v>
      </c>
      <c r="B2340" s="5" t="s">
        <v>5442</v>
      </c>
      <c r="C2340" s="5" t="s">
        <v>32</v>
      </c>
      <c r="D2340" s="5" t="s">
        <v>33</v>
      </c>
      <c r="E2340" s="5" t="s">
        <v>165</v>
      </c>
      <c r="F2340" s="9">
        <v>59</v>
      </c>
      <c r="G2340" s="9">
        <v>675</v>
      </c>
      <c r="H2340" s="5" t="s">
        <v>21</v>
      </c>
      <c r="I2340" s="5" t="s">
        <v>5443</v>
      </c>
      <c r="J2340" s="12" t="str">
        <f>HYPERLINK("https://www.boe.es/gazeta/dias/1801/06/23/pdfs/GMD-1801-59.pdf#page=8","Abrir facsímil")</f>
        <v>Abrir facsímil</v>
      </c>
      <c r="K2340" s="15" t="s">
        <v>23</v>
      </c>
    </row>
    <row r="2341" spans="1:11" ht="42" customHeight="1">
      <c r="A2341" s="4" t="s">
        <v>5444</v>
      </c>
      <c r="B2341" s="5" t="s">
        <v>5445</v>
      </c>
      <c r="C2341" s="5" t="s">
        <v>38</v>
      </c>
      <c r="D2341" s="5" t="s">
        <v>39</v>
      </c>
      <c r="E2341" s="5" t="s">
        <v>615</v>
      </c>
      <c r="F2341" s="9">
        <v>72</v>
      </c>
      <c r="G2341" s="9">
        <v>806</v>
      </c>
      <c r="H2341" s="5" t="s">
        <v>21</v>
      </c>
      <c r="I2341" s="5" t="s">
        <v>5446</v>
      </c>
      <c r="J2341" s="12" t="str">
        <f>HYPERLINK("https://www.boe.es/gazeta/dias/1801/07/24/pdfs/GMD-1801-72.pdf#page=11","Abrir facsímil")</f>
        <v>Abrir facsímil</v>
      </c>
      <c r="K2341" s="15" t="s">
        <v>23</v>
      </c>
    </row>
    <row r="2342" spans="1:11" ht="42" customHeight="1">
      <c r="A2342" s="4" t="s">
        <v>5447</v>
      </c>
      <c r="B2342" s="5" t="s">
        <v>5448</v>
      </c>
      <c r="C2342" s="5" t="s">
        <v>80</v>
      </c>
      <c r="D2342" s="5" t="s">
        <v>81</v>
      </c>
      <c r="E2342" s="5" t="s">
        <v>82</v>
      </c>
      <c r="F2342" s="9">
        <v>75</v>
      </c>
      <c r="G2342" s="9" t="s">
        <v>305</v>
      </c>
      <c r="H2342" s="5" t="s">
        <v>21</v>
      </c>
      <c r="I2342" s="5" t="s">
        <v>5449</v>
      </c>
      <c r="J2342" s="12" t="str">
        <f>HYPERLINK("https://www.boe.es/gazeta/dias/1801/08/04/pdfs/GMD-C-1801-75.pdf#page=4","Abrir facsímil")</f>
        <v>Abrir facsímil</v>
      </c>
      <c r="K2342" s="15" t="s">
        <v>23</v>
      </c>
    </row>
    <row r="2343" spans="1:11" ht="42" customHeight="1">
      <c r="A2343" s="4" t="s">
        <v>5450</v>
      </c>
      <c r="B2343" s="5" t="s">
        <v>5451</v>
      </c>
      <c r="C2343" s="5" t="s">
        <v>80</v>
      </c>
      <c r="D2343" s="5" t="s">
        <v>81</v>
      </c>
      <c r="E2343" s="5" t="s">
        <v>82</v>
      </c>
      <c r="F2343" s="9">
        <v>75</v>
      </c>
      <c r="G2343" s="9" t="s">
        <v>305</v>
      </c>
      <c r="H2343" s="5" t="s">
        <v>21</v>
      </c>
      <c r="I2343" s="5" t="s">
        <v>5452</v>
      </c>
      <c r="J2343" s="12" t="str">
        <f>HYPERLINK("https://www.boe.es/gazeta/dias/1801/08/04/pdfs/GMD-C-1801-75.pdf#page=4","Abrir facsímil")</f>
        <v>Abrir facsímil</v>
      </c>
      <c r="K2343" s="15" t="s">
        <v>23</v>
      </c>
    </row>
    <row r="2344" spans="1:11" ht="42" customHeight="1">
      <c r="A2344" s="4" t="s">
        <v>5453</v>
      </c>
      <c r="B2344" s="5" t="s">
        <v>5454</v>
      </c>
      <c r="C2344" s="5" t="s">
        <v>18</v>
      </c>
      <c r="D2344" s="5" t="s">
        <v>19</v>
      </c>
      <c r="E2344" s="5" t="s">
        <v>338</v>
      </c>
      <c r="F2344" s="9">
        <v>83</v>
      </c>
      <c r="G2344" s="9">
        <v>935</v>
      </c>
      <c r="H2344" s="5" t="s">
        <v>21</v>
      </c>
      <c r="I2344" s="5" t="s">
        <v>5455</v>
      </c>
      <c r="J2344" s="12" t="str">
        <f>HYPERLINK("https://www.boe.es/gazeta/dias/1801/09/01/pdfs/GMD-1801-83.pdf#page=10","Abrir facsímil")</f>
        <v>Abrir facsímil</v>
      </c>
      <c r="K2344" s="15" t="s">
        <v>23</v>
      </c>
    </row>
    <row r="2345" spans="1:11" ht="42" customHeight="1">
      <c r="A2345" s="4" t="s">
        <v>5456</v>
      </c>
      <c r="B2345" s="5" t="s">
        <v>5457</v>
      </c>
      <c r="C2345" s="5" t="s">
        <v>32</v>
      </c>
      <c r="D2345" s="5" t="s">
        <v>33</v>
      </c>
      <c r="E2345" s="5" t="s">
        <v>321</v>
      </c>
      <c r="F2345" s="9">
        <v>3</v>
      </c>
      <c r="G2345" s="9">
        <v>32</v>
      </c>
      <c r="H2345" s="5" t="s">
        <v>21</v>
      </c>
      <c r="I2345" s="5" t="s">
        <v>5458</v>
      </c>
      <c r="J2345" s="12" t="str">
        <f>HYPERLINK("https://www.boe.es/gazeta/dias/1801/01/09/pdfs/GMD-1801-3.pdf#page=8","Abrir facsímil")</f>
        <v>Abrir facsímil</v>
      </c>
      <c r="K2345" s="15" t="s">
        <v>23</v>
      </c>
    </row>
    <row r="2346" spans="1:11" ht="42" customHeight="1">
      <c r="A2346" s="4" t="s">
        <v>5459</v>
      </c>
      <c r="B2346" s="5" t="s">
        <v>5460</v>
      </c>
      <c r="C2346" s="5" t="s">
        <v>32</v>
      </c>
      <c r="D2346" s="5" t="s">
        <v>33</v>
      </c>
      <c r="E2346" s="5" t="s">
        <v>221</v>
      </c>
      <c r="F2346" s="9">
        <v>28</v>
      </c>
      <c r="G2346" s="9">
        <v>370</v>
      </c>
      <c r="H2346" s="5" t="s">
        <v>21</v>
      </c>
      <c r="I2346" s="5" t="s">
        <v>5461</v>
      </c>
      <c r="J2346" s="12" t="str">
        <f>HYPERLINK("https://www.boe.es/gazeta/dias/1801/04/07/pdfs/GMD-1801-28.pdf#page=10","Abrir facsímil")</f>
        <v>Abrir facsímil</v>
      </c>
      <c r="K2346" s="15" t="s">
        <v>23</v>
      </c>
    </row>
    <row r="2347" spans="1:11" ht="42" customHeight="1">
      <c r="A2347" s="4" t="s">
        <v>5462</v>
      </c>
      <c r="B2347" s="5" t="s">
        <v>5463</v>
      </c>
      <c r="C2347" s="5" t="s">
        <v>75</v>
      </c>
      <c r="D2347" s="5" t="s">
        <v>76</v>
      </c>
      <c r="E2347" s="5" t="s">
        <v>70</v>
      </c>
      <c r="F2347" s="9">
        <v>2</v>
      </c>
      <c r="G2347" s="9">
        <v>20</v>
      </c>
      <c r="H2347" s="5" t="s">
        <v>21</v>
      </c>
      <c r="I2347" s="5" t="s">
        <v>5464</v>
      </c>
      <c r="J2347" s="12" t="str">
        <f>HYPERLINK("https://www.boe.es/gazeta/dias/1801/01/06/pdfs/GMD-1801-2.pdf#page=8","Abrir facsímil")</f>
        <v>Abrir facsímil</v>
      </c>
      <c r="K2347" s="15" t="s">
        <v>23</v>
      </c>
    </row>
    <row r="2348" spans="1:11" ht="42" customHeight="1">
      <c r="A2348" s="4" t="s">
        <v>5465</v>
      </c>
      <c r="B2348" s="5" t="s">
        <v>5466</v>
      </c>
      <c r="C2348" s="5" t="s">
        <v>75</v>
      </c>
      <c r="D2348" s="5" t="s">
        <v>76</v>
      </c>
      <c r="E2348" s="5" t="s">
        <v>137</v>
      </c>
      <c r="F2348" s="9">
        <v>30</v>
      </c>
      <c r="G2348" s="9">
        <v>385</v>
      </c>
      <c r="H2348" s="5" t="s">
        <v>21</v>
      </c>
      <c r="I2348" s="5" t="s">
        <v>5467</v>
      </c>
      <c r="J2348" s="12" t="str">
        <f>HYPERLINK("https://www.boe.es/gazeta/dias/1801/04/14/pdfs/GMD-1801-30.pdf#page=1","Abrir facsímil")</f>
        <v>Abrir facsímil</v>
      </c>
      <c r="K2348" s="15" t="s">
        <v>23</v>
      </c>
    </row>
    <row r="2349" spans="1:11" ht="42" customHeight="1">
      <c r="A2349" s="4" t="s">
        <v>5468</v>
      </c>
      <c r="B2349" s="5" t="s">
        <v>5469</v>
      </c>
      <c r="C2349" s="5" t="s">
        <v>38</v>
      </c>
      <c r="D2349" s="5" t="s">
        <v>39</v>
      </c>
      <c r="E2349" s="5" t="s">
        <v>702</v>
      </c>
      <c r="F2349" s="9">
        <v>69</v>
      </c>
      <c r="G2349" s="9">
        <v>764</v>
      </c>
      <c r="H2349" s="5" t="s">
        <v>21</v>
      </c>
      <c r="I2349" s="5" t="s">
        <v>5470</v>
      </c>
      <c r="J2349" s="12" t="str">
        <f>HYPERLINK("https://www.boe.es/gazeta/dias/1801/07/14/pdfs/GMD-1801-69.pdf#page=9","Abrir facsímil")</f>
        <v>Abrir facsímil</v>
      </c>
      <c r="K2349" s="15" t="s">
        <v>23</v>
      </c>
    </row>
    <row r="2350" spans="1:11" ht="42" customHeight="1">
      <c r="A2350" s="4" t="s">
        <v>5468</v>
      </c>
      <c r="B2350" s="5" t="s">
        <v>5469</v>
      </c>
      <c r="C2350" s="5" t="s">
        <v>38</v>
      </c>
      <c r="D2350" s="5" t="s">
        <v>39</v>
      </c>
      <c r="E2350" s="5" t="s">
        <v>215</v>
      </c>
      <c r="F2350" s="9">
        <v>71</v>
      </c>
      <c r="G2350" s="9">
        <v>788</v>
      </c>
      <c r="H2350" s="5" t="s">
        <v>21</v>
      </c>
      <c r="I2350" s="5" t="s">
        <v>5471</v>
      </c>
      <c r="J2350" s="12" t="str">
        <f>HYPERLINK("https://www.boe.es/gazeta/dias/1801/07/21/pdfs/GMD-1801-71.pdf#page=9","Abrir facsímil")</f>
        <v>Abrir facsímil</v>
      </c>
      <c r="K2350" s="15" t="s">
        <v>23</v>
      </c>
    </row>
    <row r="2351" spans="1:11" ht="42" customHeight="1">
      <c r="A2351" s="4" t="s">
        <v>5468</v>
      </c>
      <c r="B2351" s="5" t="s">
        <v>5469</v>
      </c>
      <c r="C2351" s="5" t="s">
        <v>515</v>
      </c>
      <c r="D2351" s="5" t="s">
        <v>516</v>
      </c>
      <c r="E2351" s="5" t="s">
        <v>751</v>
      </c>
      <c r="F2351" s="9">
        <v>106</v>
      </c>
      <c r="G2351" s="9">
        <v>1169</v>
      </c>
      <c r="H2351" s="5" t="s">
        <v>21</v>
      </c>
      <c r="I2351" s="5" t="s">
        <v>5472</v>
      </c>
      <c r="J2351" s="12" t="str">
        <f>HYPERLINK("https://www.boe.es/gazeta/dias/1801/11/13/pdfs/GMD-C-1801-106.pdf#page=2","Abrir facsímil")</f>
        <v>Abrir facsímil</v>
      </c>
      <c r="K2351" s="15" t="s">
        <v>23</v>
      </c>
    </row>
    <row r="2352" spans="1:11" ht="42" customHeight="1">
      <c r="A2352" s="4" t="s">
        <v>5468</v>
      </c>
      <c r="B2352" s="5" t="s">
        <v>5469</v>
      </c>
      <c r="C2352" s="5" t="s">
        <v>75</v>
      </c>
      <c r="D2352" s="5" t="s">
        <v>76</v>
      </c>
      <c r="E2352" s="5" t="s">
        <v>1939</v>
      </c>
      <c r="F2352" s="9">
        <v>107</v>
      </c>
      <c r="G2352" s="9">
        <v>1180</v>
      </c>
      <c r="H2352" s="5" t="s">
        <v>21</v>
      </c>
      <c r="I2352" s="5" t="s">
        <v>5473</v>
      </c>
      <c r="J2352" s="12" t="str">
        <f>HYPERLINK("https://www.boe.es/gazeta/dias/1801/11/17/pdfs/GMD-1801-107.pdf#page=9","Abrir facsímil")</f>
        <v>Abrir facsímil</v>
      </c>
      <c r="K2352" s="15" t="s">
        <v>23</v>
      </c>
    </row>
    <row r="2353" spans="1:11" ht="42" customHeight="1">
      <c r="A2353" s="4" t="s">
        <v>5468</v>
      </c>
      <c r="B2353" s="5" t="s">
        <v>5469</v>
      </c>
      <c r="C2353" s="5" t="s">
        <v>38</v>
      </c>
      <c r="D2353" s="5" t="s">
        <v>39</v>
      </c>
      <c r="E2353" s="5" t="s">
        <v>1058</v>
      </c>
      <c r="F2353" s="9">
        <v>108</v>
      </c>
      <c r="G2353" s="9">
        <v>1193</v>
      </c>
      <c r="H2353" s="5" t="s">
        <v>21</v>
      </c>
      <c r="I2353" s="5" t="s">
        <v>5474</v>
      </c>
      <c r="J2353" s="12" t="str">
        <f>HYPERLINK("https://www.boe.es/gazeta/dias/1801/11/20/pdfs/GMD-1801-108.pdf#page=10","Abrir facsímil")</f>
        <v>Abrir facsímil</v>
      </c>
      <c r="K2353" s="15" t="s">
        <v>23</v>
      </c>
    </row>
    <row r="2354" spans="1:11" ht="42" customHeight="1">
      <c r="A2354" s="4" t="s">
        <v>5475</v>
      </c>
      <c r="B2354" s="5" t="s">
        <v>5476</v>
      </c>
      <c r="C2354" s="5" t="s">
        <v>32</v>
      </c>
      <c r="D2354" s="5" t="s">
        <v>33</v>
      </c>
      <c r="E2354" s="5" t="s">
        <v>338</v>
      </c>
      <c r="F2354" s="9">
        <v>83</v>
      </c>
      <c r="G2354" s="9">
        <v>933</v>
      </c>
      <c r="H2354" s="5" t="s">
        <v>21</v>
      </c>
      <c r="I2354" s="5" t="s">
        <v>5477</v>
      </c>
      <c r="J2354" s="12" t="str">
        <f>HYPERLINK("https://www.boe.es/gazeta/dias/1801/09/01/pdfs/GMD-1801-83.pdf#page=8","Abrir facsímil")</f>
        <v>Abrir facsímil</v>
      </c>
      <c r="K2354" s="15" t="s">
        <v>23</v>
      </c>
    </row>
    <row r="2355" spans="1:11" ht="42" customHeight="1">
      <c r="A2355" s="4" t="s">
        <v>5478</v>
      </c>
      <c r="B2355" s="5" t="s">
        <v>5479</v>
      </c>
      <c r="C2355" s="5" t="s">
        <v>26</v>
      </c>
      <c r="D2355" s="5" t="s">
        <v>27</v>
      </c>
      <c r="E2355" s="5" t="s">
        <v>501</v>
      </c>
      <c r="F2355" s="9">
        <v>115</v>
      </c>
      <c r="G2355" s="9" t="s">
        <v>502</v>
      </c>
      <c r="H2355" s="5" t="s">
        <v>21</v>
      </c>
      <c r="I2355" s="5" t="s">
        <v>5480</v>
      </c>
      <c r="J2355" s="12" t="str">
        <f>HYPERLINK("https://www.boe.es/gazeta/dias/1801/12/15/pdfs/GMD-C-1801-115.pdf#page=8","Abrir facsímil")</f>
        <v>Abrir facsímil</v>
      </c>
      <c r="K2355" s="15" t="s">
        <v>23</v>
      </c>
    </row>
    <row r="2356" spans="1:11" ht="42" customHeight="1">
      <c r="A2356" s="4" t="s">
        <v>5481</v>
      </c>
      <c r="B2356" s="5" t="s">
        <v>5482</v>
      </c>
      <c r="C2356" s="5" t="s">
        <v>69</v>
      </c>
      <c r="D2356" s="5" t="s">
        <v>19</v>
      </c>
      <c r="E2356" s="5" t="s">
        <v>186</v>
      </c>
      <c r="F2356" s="9">
        <v>21</v>
      </c>
      <c r="G2356" s="9">
        <v>279</v>
      </c>
      <c r="H2356" s="5" t="s">
        <v>21</v>
      </c>
      <c r="I2356" s="5" t="s">
        <v>5483</v>
      </c>
      <c r="J2356" s="12" t="str">
        <f>HYPERLINK("https://www.boe.es/gazeta/dias/1801/03/13/pdfs/GMD-1801-21.pdf#page=8","Abrir facsímil")</f>
        <v>Abrir facsímil</v>
      </c>
      <c r="K2356" s="15" t="s">
        <v>23</v>
      </c>
    </row>
    <row r="2357" spans="1:11" ht="42" customHeight="1">
      <c r="A2357" s="4" t="s">
        <v>5481</v>
      </c>
      <c r="B2357" s="5" t="s">
        <v>5482</v>
      </c>
      <c r="C2357" s="5" t="s">
        <v>38</v>
      </c>
      <c r="D2357" s="5" t="s">
        <v>39</v>
      </c>
      <c r="E2357" s="5" t="s">
        <v>2430</v>
      </c>
      <c r="F2357" s="9">
        <v>27</v>
      </c>
      <c r="G2357" s="9">
        <v>355</v>
      </c>
      <c r="H2357" s="5" t="s">
        <v>21</v>
      </c>
      <c r="I2357" s="5" t="s">
        <v>5484</v>
      </c>
      <c r="J2357" s="12" t="str">
        <f>HYPERLINK("https://www.boe.es/gazeta/dias/1801/04/03/pdfs/GMD-1801-27.pdf#page=7","Abrir facsímil")</f>
        <v>Abrir facsímil</v>
      </c>
      <c r="K2357" s="15" t="s">
        <v>23</v>
      </c>
    </row>
    <row r="2358" spans="1:11" ht="42" customHeight="1">
      <c r="A2358" s="4" t="s">
        <v>5485</v>
      </c>
      <c r="B2358" s="5" t="s">
        <v>5486</v>
      </c>
      <c r="C2358" s="5" t="s">
        <v>32</v>
      </c>
      <c r="D2358" s="5" t="s">
        <v>33</v>
      </c>
      <c r="E2358" s="5" t="s">
        <v>352</v>
      </c>
      <c r="F2358" s="9">
        <v>43</v>
      </c>
      <c r="G2358" s="9">
        <v>538</v>
      </c>
      <c r="H2358" s="5" t="s">
        <v>21</v>
      </c>
      <c r="I2358" s="5" t="s">
        <v>5487</v>
      </c>
      <c r="J2358" s="12" t="str">
        <f>HYPERLINK("https://www.boe.es/gazeta/dias/1801/05/26/pdfs/GMD-1801-43.pdf#page=10","Abrir facsímil")</f>
        <v>Abrir facsímil</v>
      </c>
      <c r="K2358" s="15" t="s">
        <v>23</v>
      </c>
    </row>
    <row r="2359" spans="1:11" ht="42" customHeight="1">
      <c r="A2359" s="4" t="s">
        <v>5488</v>
      </c>
      <c r="B2359" s="5" t="s">
        <v>5489</v>
      </c>
      <c r="C2359" s="5" t="s">
        <v>69</v>
      </c>
      <c r="D2359" s="5" t="s">
        <v>19</v>
      </c>
      <c r="E2359" s="5" t="s">
        <v>219</v>
      </c>
      <c r="F2359" s="9">
        <v>26</v>
      </c>
      <c r="G2359" s="9">
        <v>346</v>
      </c>
      <c r="H2359" s="5" t="s">
        <v>21</v>
      </c>
      <c r="I2359" s="5" t="s">
        <v>5490</v>
      </c>
      <c r="J2359" s="12" t="str">
        <f>HYPERLINK("https://www.boe.es/gazeta/dias/1801/03/31/pdfs/GMD-1801-26.pdf#page=10","Abrir facsímil")</f>
        <v>Abrir facsímil</v>
      </c>
      <c r="K2359" s="15" t="s">
        <v>23</v>
      </c>
    </row>
    <row r="2360" spans="1:11" ht="42" customHeight="1">
      <c r="A2360" s="4" t="s">
        <v>5491</v>
      </c>
      <c r="B2360" s="5" t="s">
        <v>5492</v>
      </c>
      <c r="C2360" s="5" t="s">
        <v>32</v>
      </c>
      <c r="D2360" s="5" t="s">
        <v>33</v>
      </c>
      <c r="E2360" s="5" t="s">
        <v>141</v>
      </c>
      <c r="F2360" s="9">
        <v>33</v>
      </c>
      <c r="G2360" s="9">
        <v>425</v>
      </c>
      <c r="H2360" s="5" t="s">
        <v>21</v>
      </c>
      <c r="I2360" s="5" t="s">
        <v>5493</v>
      </c>
      <c r="J2360" s="12" t="str">
        <f>HYPERLINK("https://www.boe.es/gazeta/dias/1801/04/24/pdfs/GMD-1801-33.pdf#page=9","Abrir facsímil")</f>
        <v>Abrir facsímil</v>
      </c>
      <c r="K2360" s="15" t="s">
        <v>23</v>
      </c>
    </row>
    <row r="2361" spans="1:11" ht="42" customHeight="1">
      <c r="A2361" s="4" t="s">
        <v>5494</v>
      </c>
      <c r="B2361" s="5" t="s">
        <v>5495</v>
      </c>
      <c r="C2361" s="5" t="s">
        <v>69</v>
      </c>
      <c r="D2361" s="5" t="s">
        <v>19</v>
      </c>
      <c r="E2361" s="5" t="s">
        <v>366</v>
      </c>
      <c r="F2361" s="9">
        <v>86</v>
      </c>
      <c r="G2361" s="9">
        <v>956</v>
      </c>
      <c r="H2361" s="5" t="s">
        <v>21</v>
      </c>
      <c r="I2361" s="5" t="s">
        <v>5496</v>
      </c>
      <c r="J2361" s="12" t="str">
        <f>HYPERLINK("https://www.boe.es/gazeta/dias/1801/09/08/pdfs/GMD-1801-86.pdf#page=7","Abrir facsímil")</f>
        <v>Abrir facsímil</v>
      </c>
      <c r="K2361" s="15" t="s">
        <v>23</v>
      </c>
    </row>
    <row r="2362" spans="1:11" ht="42" customHeight="1">
      <c r="A2362" s="4" t="s">
        <v>5497</v>
      </c>
      <c r="B2362" s="5" t="s">
        <v>5498</v>
      </c>
      <c r="C2362" s="5" t="s">
        <v>32</v>
      </c>
      <c r="D2362" s="5" t="s">
        <v>33</v>
      </c>
      <c r="E2362" s="5" t="s">
        <v>171</v>
      </c>
      <c r="F2362" s="9">
        <v>76</v>
      </c>
      <c r="G2362" s="9">
        <v>853</v>
      </c>
      <c r="H2362" s="5" t="s">
        <v>21</v>
      </c>
      <c r="I2362" s="5" t="s">
        <v>5499</v>
      </c>
      <c r="J2362" s="12" t="str">
        <f>HYPERLINK("https://www.boe.es/gazeta/dias/1801/08/07/pdfs/GMD-1801-76.pdf#page=10","Abrir facsímil")</f>
        <v>Abrir facsímil</v>
      </c>
      <c r="K2362" s="15" t="s">
        <v>23</v>
      </c>
    </row>
    <row r="2363" spans="1:11" ht="42" customHeight="1">
      <c r="A2363" s="4" t="s">
        <v>5500</v>
      </c>
      <c r="B2363" s="5" t="s">
        <v>5501</v>
      </c>
      <c r="C2363" s="5" t="s">
        <v>32</v>
      </c>
      <c r="D2363" s="5" t="s">
        <v>33</v>
      </c>
      <c r="E2363" s="5" t="s">
        <v>151</v>
      </c>
      <c r="F2363" s="9">
        <v>45</v>
      </c>
      <c r="G2363" s="9">
        <v>561</v>
      </c>
      <c r="H2363" s="5" t="s">
        <v>21</v>
      </c>
      <c r="I2363" s="5" t="s">
        <v>5502</v>
      </c>
      <c r="J2363" s="12" t="str">
        <f>HYPERLINK("https://www.boe.es/gazeta/dias/1801/06/02/pdfs/GMD-1801-45.pdf#page=9","Abrir facsímil")</f>
        <v>Abrir facsímil</v>
      </c>
      <c r="K2363" s="15" t="s">
        <v>23</v>
      </c>
    </row>
    <row r="2364" spans="1:11" ht="42" customHeight="1">
      <c r="A2364" s="4" t="s">
        <v>5503</v>
      </c>
      <c r="B2364" s="5" t="s">
        <v>5504</v>
      </c>
      <c r="C2364" s="5" t="s">
        <v>32</v>
      </c>
      <c r="D2364" s="5" t="s">
        <v>33</v>
      </c>
      <c r="E2364" s="5" t="s">
        <v>264</v>
      </c>
      <c r="F2364" s="9">
        <v>111</v>
      </c>
      <c r="G2364" s="9">
        <v>1219</v>
      </c>
      <c r="H2364" s="5" t="s">
        <v>21</v>
      </c>
      <c r="I2364" s="5" t="s">
        <v>5505</v>
      </c>
      <c r="J2364" s="12" t="str">
        <f>HYPERLINK("https://www.boe.es/gazeta/dias/1801/12/01/pdfs/GMD-1801-111.pdf#page=8","Abrir facsímil")</f>
        <v>Abrir facsímil</v>
      </c>
      <c r="K2364" s="15" t="s">
        <v>23</v>
      </c>
    </row>
    <row r="2365" spans="1:11" ht="42" customHeight="1">
      <c r="A2365" s="4" t="s">
        <v>5506</v>
      </c>
      <c r="B2365" s="5" t="s">
        <v>5507</v>
      </c>
      <c r="C2365" s="5" t="s">
        <v>69</v>
      </c>
      <c r="D2365" s="5" t="s">
        <v>19</v>
      </c>
      <c r="E2365" s="5" t="s">
        <v>171</v>
      </c>
      <c r="F2365" s="9">
        <v>76</v>
      </c>
      <c r="G2365" s="9">
        <v>852</v>
      </c>
      <c r="H2365" s="5" t="s">
        <v>21</v>
      </c>
      <c r="I2365" s="5" t="s">
        <v>5508</v>
      </c>
      <c r="J2365" s="12" t="str">
        <f>HYPERLINK("https://www.boe.es/gazeta/dias/1801/08/07/pdfs/GMD-1801-76.pdf#page=9","Abrir facsímil")</f>
        <v>Abrir facsímil</v>
      </c>
      <c r="K2365" s="15" t="s">
        <v>23</v>
      </c>
    </row>
    <row r="2366" spans="1:11" ht="42" customHeight="1">
      <c r="A2366" s="4" t="s">
        <v>5509</v>
      </c>
      <c r="B2366" s="5" t="s">
        <v>5510</v>
      </c>
      <c r="C2366" s="5" t="s">
        <v>32</v>
      </c>
      <c r="D2366" s="5" t="s">
        <v>33</v>
      </c>
      <c r="E2366" s="5" t="s">
        <v>256</v>
      </c>
      <c r="F2366" s="9">
        <v>78</v>
      </c>
      <c r="G2366" s="9">
        <v>882</v>
      </c>
      <c r="H2366" s="5" t="s">
        <v>21</v>
      </c>
      <c r="I2366" s="5" t="s">
        <v>5511</v>
      </c>
      <c r="J2366" s="12" t="str">
        <f>HYPERLINK("https://www.boe.es/gazeta/dias/1801/08/14/pdfs/GMD-1801-78.pdf#page=11","Abrir facsímil")</f>
        <v>Abrir facsímil</v>
      </c>
      <c r="K2366" s="15" t="s">
        <v>23</v>
      </c>
    </row>
    <row r="2367" spans="1:11" ht="42" customHeight="1">
      <c r="A2367" s="4" t="s">
        <v>5512</v>
      </c>
      <c r="B2367" s="5" t="s">
        <v>5513</v>
      </c>
      <c r="C2367" s="5" t="s">
        <v>32</v>
      </c>
      <c r="D2367" s="5" t="s">
        <v>33</v>
      </c>
      <c r="E2367" s="5" t="s">
        <v>751</v>
      </c>
      <c r="F2367" s="9">
        <v>106</v>
      </c>
      <c r="G2367" s="9">
        <v>1165</v>
      </c>
      <c r="H2367" s="5" t="s">
        <v>21</v>
      </c>
      <c r="I2367" s="5" t="s">
        <v>5514</v>
      </c>
      <c r="J2367" s="12" t="str">
        <f>HYPERLINK("https://www.boe.es/gazeta/dias/1801/11/13/pdfs/GMD-1801-106.pdf#page=6","Abrir facsímil")</f>
        <v>Abrir facsímil</v>
      </c>
      <c r="K2367" s="15" t="s">
        <v>23</v>
      </c>
    </row>
    <row r="2368" spans="1:11" ht="42" customHeight="1">
      <c r="A2368" s="4" t="s">
        <v>5512</v>
      </c>
      <c r="B2368" s="5" t="s">
        <v>5513</v>
      </c>
      <c r="C2368" s="5" t="s">
        <v>32</v>
      </c>
      <c r="D2368" s="5" t="s">
        <v>33</v>
      </c>
      <c r="E2368" s="5" t="s">
        <v>1939</v>
      </c>
      <c r="F2368" s="9">
        <v>107</v>
      </c>
      <c r="G2368" s="9">
        <v>1178</v>
      </c>
      <c r="H2368" s="5" t="s">
        <v>21</v>
      </c>
      <c r="I2368" s="5" t="s">
        <v>5515</v>
      </c>
      <c r="J2368" s="12" t="str">
        <f>HYPERLINK("https://www.boe.es/gazeta/dias/1801/11/17/pdfs/GMD-1801-107.pdf#page=7","Abrir facsímil")</f>
        <v>Abrir facsímil</v>
      </c>
      <c r="K2368" s="15" t="s">
        <v>23</v>
      </c>
    </row>
    <row r="2369" spans="1:11" ht="42" customHeight="1">
      <c r="A2369" s="4" t="s">
        <v>5516</v>
      </c>
      <c r="B2369" s="5" t="s">
        <v>5517</v>
      </c>
      <c r="C2369" s="5" t="s">
        <v>32</v>
      </c>
      <c r="D2369" s="5" t="s">
        <v>33</v>
      </c>
      <c r="E2369" s="5" t="s">
        <v>254</v>
      </c>
      <c r="F2369" s="9">
        <v>73</v>
      </c>
      <c r="G2369" s="9">
        <v>814</v>
      </c>
      <c r="H2369" s="5" t="s">
        <v>21</v>
      </c>
      <c r="I2369" s="5" t="s">
        <v>5518</v>
      </c>
      <c r="J2369" s="12" t="str">
        <f>HYPERLINK("https://www.boe.es/gazeta/dias/1801/07/28/pdfs/GMD-1801-73.pdf#page=7","Abrir facsímil")</f>
        <v>Abrir facsímil</v>
      </c>
      <c r="K2369" s="15" t="s">
        <v>23</v>
      </c>
    </row>
    <row r="2370" spans="1:11" ht="42" customHeight="1">
      <c r="A2370" s="4" t="s">
        <v>5519</v>
      </c>
      <c r="B2370" s="5" t="s">
        <v>5520</v>
      </c>
      <c r="C2370" s="5" t="s">
        <v>32</v>
      </c>
      <c r="D2370" s="5" t="s">
        <v>33</v>
      </c>
      <c r="E2370" s="5" t="s">
        <v>256</v>
      </c>
      <c r="F2370" s="9">
        <v>78</v>
      </c>
      <c r="G2370" s="9">
        <v>881</v>
      </c>
      <c r="H2370" s="5" t="s">
        <v>21</v>
      </c>
      <c r="I2370" s="5" t="s">
        <v>5521</v>
      </c>
      <c r="J2370" s="12" t="str">
        <f>HYPERLINK("https://www.boe.es/gazeta/dias/1801/08/14/pdfs/GMD-1801-78.pdf#page=10","Abrir facsímil")</f>
        <v>Abrir facsímil</v>
      </c>
      <c r="K2370" s="15" t="s">
        <v>23</v>
      </c>
    </row>
    <row r="2371" spans="1:11" ht="42" customHeight="1">
      <c r="A2371" s="4" t="s">
        <v>5522</v>
      </c>
      <c r="B2371" s="5" t="s">
        <v>5523</v>
      </c>
      <c r="C2371" s="5" t="s">
        <v>32</v>
      </c>
      <c r="D2371" s="5" t="s">
        <v>33</v>
      </c>
      <c r="E2371" s="5" t="s">
        <v>90</v>
      </c>
      <c r="F2371" s="9">
        <v>1</v>
      </c>
      <c r="G2371" s="9">
        <v>8</v>
      </c>
      <c r="H2371" s="5" t="s">
        <v>21</v>
      </c>
      <c r="I2371" s="5" t="s">
        <v>5524</v>
      </c>
      <c r="J2371" s="12" t="str">
        <f>HYPERLINK("https://www.boe.es/gazeta/dias/1801/01/02/pdfs/GMD-1801-1.pdf#page=8","Abrir facsímil")</f>
        <v>Abrir facsímil</v>
      </c>
      <c r="K2371" s="15" t="s">
        <v>23</v>
      </c>
    </row>
    <row r="2372" spans="1:11" ht="42" customHeight="1">
      <c r="A2372" s="4" t="s">
        <v>5525</v>
      </c>
      <c r="B2372" s="5" t="s">
        <v>5526</v>
      </c>
      <c r="C2372" s="5" t="s">
        <v>32</v>
      </c>
      <c r="D2372" s="5" t="s">
        <v>33</v>
      </c>
      <c r="E2372" s="5" t="s">
        <v>48</v>
      </c>
      <c r="F2372" s="9">
        <v>20</v>
      </c>
      <c r="G2372" s="9">
        <v>265</v>
      </c>
      <c r="H2372" s="5" t="s">
        <v>21</v>
      </c>
      <c r="I2372" s="5" t="s">
        <v>5527</v>
      </c>
      <c r="J2372" s="12" t="str">
        <f>HYPERLINK("https://www.boe.es/gazeta/dias/1801/03/10/pdfs/GMD-1801-20.pdf#page=10","Abrir facsímil")</f>
        <v>Abrir facsímil</v>
      </c>
      <c r="K2372" s="15" t="s">
        <v>23</v>
      </c>
    </row>
    <row r="2373" spans="1:11" ht="42" customHeight="1">
      <c r="A2373" s="4" t="s">
        <v>5528</v>
      </c>
      <c r="B2373" s="5" t="s">
        <v>5529</v>
      </c>
      <c r="C2373" s="5" t="s">
        <v>32</v>
      </c>
      <c r="D2373" s="5" t="s">
        <v>33</v>
      </c>
      <c r="E2373" s="5" t="s">
        <v>1015</v>
      </c>
      <c r="F2373" s="9">
        <v>15</v>
      </c>
      <c r="G2373" s="9">
        <v>190</v>
      </c>
      <c r="H2373" s="5" t="s">
        <v>21</v>
      </c>
      <c r="I2373" s="5" t="s">
        <v>5530</v>
      </c>
      <c r="J2373" s="12" t="str">
        <f>HYPERLINK("https://www.boe.es/gazeta/dias/1801/02/20/pdfs/GMD-1801-15.pdf#page=9","Abrir facsímil")</f>
        <v>Abrir facsímil</v>
      </c>
      <c r="K2373" s="15" t="s">
        <v>23</v>
      </c>
    </row>
    <row r="2374" spans="1:11" ht="42" customHeight="1">
      <c r="A2374" s="4" t="s">
        <v>5531</v>
      </c>
      <c r="B2374" s="5" t="s">
        <v>5532</v>
      </c>
      <c r="C2374" s="5" t="s">
        <v>32</v>
      </c>
      <c r="D2374" s="5" t="s">
        <v>33</v>
      </c>
      <c r="E2374" s="5" t="s">
        <v>640</v>
      </c>
      <c r="F2374" s="9">
        <v>81</v>
      </c>
      <c r="G2374" s="9">
        <v>909</v>
      </c>
      <c r="H2374" s="5" t="s">
        <v>21</v>
      </c>
      <c r="I2374" s="5" t="s">
        <v>5533</v>
      </c>
      <c r="J2374" s="12" t="str">
        <f>HYPERLINK("https://www.boe.es/gazeta/dias/1801/08/25/pdfs/GMD-1801-81.pdf#page=6","Abrir facsímil")</f>
        <v>Abrir facsímil</v>
      </c>
      <c r="K2374" s="15" t="s">
        <v>23</v>
      </c>
    </row>
    <row r="2375" spans="1:11" ht="42" customHeight="1">
      <c r="A2375" s="4" t="s">
        <v>5534</v>
      </c>
      <c r="B2375" s="5" t="s">
        <v>5535</v>
      </c>
      <c r="C2375" s="5" t="s">
        <v>26</v>
      </c>
      <c r="D2375" s="5" t="s">
        <v>27</v>
      </c>
      <c r="E2375" s="5" t="s">
        <v>20</v>
      </c>
      <c r="F2375" s="9">
        <v>37</v>
      </c>
      <c r="G2375" s="9">
        <v>484</v>
      </c>
      <c r="H2375" s="5" t="s">
        <v>21</v>
      </c>
      <c r="I2375" s="5" t="s">
        <v>5536</v>
      </c>
      <c r="J2375" s="12" t="str">
        <f>HYPERLINK("https://www.boe.es/gazeta/dias/1801/05/08/pdfs/GMD-1801-37.pdf#page=12","Abrir facsímil")</f>
        <v>Abrir facsímil</v>
      </c>
      <c r="K2375" s="15" t="s">
        <v>23</v>
      </c>
    </row>
    <row r="2376" spans="1:11" ht="42" customHeight="1">
      <c r="A2376" s="4" t="s">
        <v>5537</v>
      </c>
      <c r="B2376" s="5" t="s">
        <v>5538</v>
      </c>
      <c r="C2376" s="5" t="s">
        <v>32</v>
      </c>
      <c r="D2376" s="5" t="s">
        <v>33</v>
      </c>
      <c r="E2376" s="5" t="s">
        <v>309</v>
      </c>
      <c r="F2376" s="9">
        <v>118</v>
      </c>
      <c r="G2376" s="9">
        <v>1292</v>
      </c>
      <c r="H2376" s="5" t="s">
        <v>21</v>
      </c>
      <c r="I2376" s="5" t="s">
        <v>5539</v>
      </c>
      <c r="J2376" s="12" t="str">
        <f>HYPERLINK("https://www.boe.es/gazeta/dias/1801/12/25/pdfs/GMD-1801-118.pdf#page=7","Abrir facsímil")</f>
        <v>Abrir facsímil</v>
      </c>
      <c r="K2376" s="15" t="s">
        <v>23</v>
      </c>
    </row>
    <row r="2377" spans="1:11" ht="42" customHeight="1">
      <c r="A2377" s="4" t="s">
        <v>5540</v>
      </c>
      <c r="B2377" s="5" t="s">
        <v>5541</v>
      </c>
      <c r="C2377" s="5" t="s">
        <v>38</v>
      </c>
      <c r="D2377" s="5" t="s">
        <v>39</v>
      </c>
      <c r="E2377" s="5" t="s">
        <v>735</v>
      </c>
      <c r="F2377" s="9">
        <v>97</v>
      </c>
      <c r="G2377" s="9">
        <v>1061</v>
      </c>
      <c r="H2377" s="5" t="s">
        <v>21</v>
      </c>
      <c r="I2377" s="5" t="s">
        <v>5542</v>
      </c>
      <c r="J2377" s="12" t="str">
        <f>HYPERLINK("https://www.boe.es/gazeta/dias/1801/10/13/pdfs/GMD-1801-97.pdf#page=5","Abrir facsímil")</f>
        <v>Abrir facsímil</v>
      </c>
      <c r="K2377" s="15" t="s">
        <v>23</v>
      </c>
    </row>
    <row r="2378" spans="1:11" ht="42" customHeight="1">
      <c r="A2378" s="4" t="s">
        <v>5543</v>
      </c>
      <c r="B2378" s="5" t="s">
        <v>5544</v>
      </c>
      <c r="C2378" s="5" t="s">
        <v>32</v>
      </c>
      <c r="D2378" s="5" t="s">
        <v>33</v>
      </c>
      <c r="E2378" s="5" t="s">
        <v>62</v>
      </c>
      <c r="F2378" s="9">
        <v>6</v>
      </c>
      <c r="G2378" s="9">
        <v>73</v>
      </c>
      <c r="H2378" s="5" t="s">
        <v>21</v>
      </c>
      <c r="I2378" s="5" t="s">
        <v>5545</v>
      </c>
      <c r="J2378" s="12" t="str">
        <f>HYPERLINK("https://www.boe.es/gazeta/dias/1801/01/20/pdfs/GMD-1801-6.pdf#page=9","Abrir facsímil")</f>
        <v>Abrir facsímil</v>
      </c>
      <c r="K2378" s="15" t="s">
        <v>23</v>
      </c>
    </row>
    <row r="2379" spans="1:11" ht="42" customHeight="1">
      <c r="A2379" s="4" t="s">
        <v>5546</v>
      </c>
      <c r="B2379" s="5" t="s">
        <v>5547</v>
      </c>
      <c r="C2379" s="5" t="s">
        <v>32</v>
      </c>
      <c r="D2379" s="5" t="s">
        <v>33</v>
      </c>
      <c r="E2379" s="5" t="s">
        <v>173</v>
      </c>
      <c r="F2379" s="9">
        <v>98</v>
      </c>
      <c r="G2379" s="9">
        <v>1078</v>
      </c>
      <c r="H2379" s="5" t="s">
        <v>21</v>
      </c>
      <c r="I2379" s="5" t="s">
        <v>5548</v>
      </c>
      <c r="J2379" s="12" t="str">
        <f>HYPERLINK("https://www.boe.es/gazeta/dias/1801/10/16/pdfs/GMD-1801-98.pdf#page=10","Abrir facsímil")</f>
        <v>Abrir facsímil</v>
      </c>
      <c r="K2379" s="15" t="s">
        <v>23</v>
      </c>
    </row>
    <row r="2380" spans="1:11" ht="42" customHeight="1">
      <c r="A2380" s="4" t="s">
        <v>5549</v>
      </c>
      <c r="B2380" s="5" t="s">
        <v>5550</v>
      </c>
      <c r="C2380" s="5" t="s">
        <v>26</v>
      </c>
      <c r="D2380" s="5" t="s">
        <v>27</v>
      </c>
      <c r="E2380" s="5" t="s">
        <v>153</v>
      </c>
      <c r="F2380" s="9">
        <v>48</v>
      </c>
      <c r="G2380" s="9">
        <v>586</v>
      </c>
      <c r="H2380" s="5" t="s">
        <v>21</v>
      </c>
      <c r="I2380" s="5" t="s">
        <v>5551</v>
      </c>
      <c r="J2380" s="12" t="str">
        <f>HYPERLINK("https://www.boe.es/gazeta/dias/1801/06/05/pdfs/GMD-1801-48.pdf#page=8","Abrir facsímil")</f>
        <v>Abrir facsímil</v>
      </c>
      <c r="K2380" s="15" t="s">
        <v>23</v>
      </c>
    </row>
    <row r="2381" spans="1:11" ht="42" customHeight="1">
      <c r="A2381" s="4" t="s">
        <v>5552</v>
      </c>
      <c r="B2381" s="5" t="s">
        <v>5553</v>
      </c>
      <c r="C2381" s="5" t="s">
        <v>38</v>
      </c>
      <c r="D2381" s="5" t="s">
        <v>39</v>
      </c>
      <c r="E2381" s="5" t="s">
        <v>108</v>
      </c>
      <c r="F2381" s="9">
        <v>61</v>
      </c>
      <c r="G2381" s="9">
        <v>697</v>
      </c>
      <c r="H2381" s="5" t="s">
        <v>21</v>
      </c>
      <c r="I2381" s="5" t="s">
        <v>5554</v>
      </c>
      <c r="J2381" s="12" t="str">
        <f>HYPERLINK("https://www.boe.es/gazeta/dias/1801/06/30/pdfs/GMD-1801-61.pdf#page=6","Abrir facsímil")</f>
        <v>Abrir facsímil</v>
      </c>
      <c r="K2381" s="15" t="s">
        <v>23</v>
      </c>
    </row>
    <row r="2382" spans="1:11" ht="42" customHeight="1">
      <c r="A2382" s="4" t="s">
        <v>5555</v>
      </c>
      <c r="B2382" s="5" t="s">
        <v>5556</v>
      </c>
      <c r="C2382" s="5" t="s">
        <v>75</v>
      </c>
      <c r="D2382" s="5" t="s">
        <v>76</v>
      </c>
      <c r="E2382" s="5" t="s">
        <v>615</v>
      </c>
      <c r="F2382" s="9">
        <v>72</v>
      </c>
      <c r="G2382" s="9">
        <v>798</v>
      </c>
      <c r="H2382" s="5" t="s">
        <v>21</v>
      </c>
      <c r="I2382" s="5" t="s">
        <v>5557</v>
      </c>
      <c r="J2382" s="12" t="str">
        <f>HYPERLINK("https://www.boe.es/gazeta/dias/1801/07/24/pdfs/GMD-1801-72.pdf#page=3","Abrir facsímil")</f>
        <v>Abrir facsímil</v>
      </c>
      <c r="K2382" s="15" t="s">
        <v>23</v>
      </c>
    </row>
    <row r="2383" spans="1:11" ht="42" customHeight="1">
      <c r="A2383" s="4" t="s">
        <v>5558</v>
      </c>
      <c r="B2383" s="5" t="s">
        <v>5559</v>
      </c>
      <c r="C2383" s="5" t="s">
        <v>75</v>
      </c>
      <c r="D2383" s="5" t="s">
        <v>76</v>
      </c>
      <c r="E2383" s="5" t="s">
        <v>145</v>
      </c>
      <c r="F2383" s="9">
        <v>36</v>
      </c>
      <c r="G2383" s="9">
        <v>460</v>
      </c>
      <c r="H2383" s="5" t="s">
        <v>21</v>
      </c>
      <c r="I2383" s="5" t="s">
        <v>5560</v>
      </c>
      <c r="J2383" s="12" t="str">
        <f>HYPERLINK("https://www.boe.es/gazeta/dias/1801/05/05/pdfs/GMD-1801-36.pdf#page=4","Abrir facsímil")</f>
        <v>Abrir facsímil</v>
      </c>
      <c r="K2383" s="15" t="s">
        <v>23</v>
      </c>
    </row>
    <row r="2384" spans="1:11" ht="42" customHeight="1">
      <c r="A2384" s="4" t="s">
        <v>5558</v>
      </c>
      <c r="B2384" s="5" t="s">
        <v>5559</v>
      </c>
      <c r="C2384" s="5" t="s">
        <v>75</v>
      </c>
      <c r="D2384" s="5" t="s">
        <v>76</v>
      </c>
      <c r="E2384" s="5" t="s">
        <v>313</v>
      </c>
      <c r="F2384" s="9">
        <v>39</v>
      </c>
      <c r="G2384" s="9">
        <v>499</v>
      </c>
      <c r="H2384" s="5" t="s">
        <v>21</v>
      </c>
      <c r="I2384" s="5" t="s">
        <v>5561</v>
      </c>
      <c r="J2384" s="12" t="str">
        <f>HYPERLINK("https://www.boe.es/gazeta/dias/1801/05/15/pdfs/GMD-1801-39.pdf#page=3","Abrir facsímil")</f>
        <v>Abrir facsímil</v>
      </c>
      <c r="K2384" s="15" t="s">
        <v>23</v>
      </c>
    </row>
    <row r="2385" spans="1:11" ht="42" customHeight="1">
      <c r="A2385" s="4" t="s">
        <v>5562</v>
      </c>
      <c r="B2385" s="5" t="s">
        <v>5563</v>
      </c>
      <c r="C2385" s="5" t="s">
        <v>80</v>
      </c>
      <c r="D2385" s="5" t="s">
        <v>81</v>
      </c>
      <c r="E2385" s="5" t="s">
        <v>82</v>
      </c>
      <c r="F2385" s="9">
        <v>75</v>
      </c>
      <c r="G2385" s="9" t="s">
        <v>305</v>
      </c>
      <c r="H2385" s="5" t="s">
        <v>21</v>
      </c>
      <c r="I2385" s="5" t="s">
        <v>5564</v>
      </c>
      <c r="J2385" s="12" t="str">
        <f>HYPERLINK("https://www.boe.es/gazeta/dias/1801/08/04/pdfs/GMD-C-1801-75.pdf#page=4","Abrir facsímil")</f>
        <v>Abrir facsímil</v>
      </c>
      <c r="K2385" s="15" t="s">
        <v>23</v>
      </c>
    </row>
    <row r="2386" spans="1:11" ht="42" customHeight="1">
      <c r="A2386" s="4" t="s">
        <v>5565</v>
      </c>
      <c r="B2386" s="5" t="s">
        <v>5566</v>
      </c>
      <c r="C2386" s="5" t="s">
        <v>26</v>
      </c>
      <c r="D2386" s="5" t="s">
        <v>27</v>
      </c>
      <c r="E2386" s="5" t="s">
        <v>349</v>
      </c>
      <c r="F2386" s="9">
        <v>112</v>
      </c>
      <c r="G2386" s="9">
        <v>1227</v>
      </c>
      <c r="H2386" s="5" t="s">
        <v>21</v>
      </c>
      <c r="I2386" s="5" t="s">
        <v>5567</v>
      </c>
      <c r="J2386" s="12" t="str">
        <f>HYPERLINK("https://www.boe.es/gazeta/dias/1801/12/04/pdfs/GMD-1801-112.pdf#page=8","Abrir facsímil")</f>
        <v>Abrir facsímil</v>
      </c>
      <c r="K2386" s="15" t="s">
        <v>23</v>
      </c>
    </row>
    <row r="2387" spans="1:11" ht="42" customHeight="1">
      <c r="A2387" s="4" t="s">
        <v>5568</v>
      </c>
      <c r="B2387" s="5" t="s">
        <v>5569</v>
      </c>
      <c r="C2387" s="5" t="s">
        <v>32</v>
      </c>
      <c r="D2387" s="5" t="s">
        <v>33</v>
      </c>
      <c r="E2387" s="5" t="s">
        <v>352</v>
      </c>
      <c r="F2387" s="9">
        <v>43</v>
      </c>
      <c r="G2387" s="9">
        <v>538</v>
      </c>
      <c r="H2387" s="5" t="s">
        <v>21</v>
      </c>
      <c r="I2387" s="5" t="s">
        <v>5570</v>
      </c>
      <c r="J2387" s="12" t="str">
        <f>HYPERLINK("https://www.boe.es/gazeta/dias/1801/05/26/pdfs/GMD-1801-43.pdf#page=10","Abrir facsímil")</f>
        <v>Abrir facsímil</v>
      </c>
      <c r="K2387" s="15" t="s">
        <v>23</v>
      </c>
    </row>
    <row r="2388" spans="1:11" ht="42" customHeight="1">
      <c r="A2388" s="4" t="s">
        <v>5571</v>
      </c>
      <c r="B2388" s="5" t="s">
        <v>5572</v>
      </c>
      <c r="C2388" s="5" t="s">
        <v>26</v>
      </c>
      <c r="D2388" s="5" t="s">
        <v>27</v>
      </c>
      <c r="E2388" s="5" t="s">
        <v>615</v>
      </c>
      <c r="F2388" s="9">
        <v>72</v>
      </c>
      <c r="G2388" s="9">
        <v>807</v>
      </c>
      <c r="H2388" s="5" t="s">
        <v>21</v>
      </c>
      <c r="I2388" s="5" t="s">
        <v>5573</v>
      </c>
      <c r="J2388" s="12" t="str">
        <f>HYPERLINK("https://www.boe.es/gazeta/dias/1801/07/24/pdfs/GMD-1801-72.pdf#page=12","Abrir facsímil")</f>
        <v>Abrir facsímil</v>
      </c>
      <c r="K2388" s="15" t="s">
        <v>23</v>
      </c>
    </row>
    <row r="2389" spans="1:11" ht="42" customHeight="1">
      <c r="A2389" s="4" t="s">
        <v>5574</v>
      </c>
      <c r="B2389" s="5" t="s">
        <v>5575</v>
      </c>
      <c r="C2389" s="5" t="s">
        <v>38</v>
      </c>
      <c r="D2389" s="5" t="s">
        <v>39</v>
      </c>
      <c r="E2389" s="5" t="s">
        <v>158</v>
      </c>
      <c r="F2389" s="9">
        <v>55</v>
      </c>
      <c r="G2389" s="9">
        <v>631</v>
      </c>
      <c r="H2389" s="5" t="s">
        <v>21</v>
      </c>
      <c r="I2389" s="5" t="s">
        <v>5576</v>
      </c>
      <c r="J2389" s="12" t="str">
        <f>HYPERLINK("https://www.boe.es/gazeta/dias/1801/06/16/pdfs/GMD-1801-55.pdf#page=7","Abrir facsímil")</f>
        <v>Abrir facsímil</v>
      </c>
      <c r="K2389" s="15" t="s">
        <v>23</v>
      </c>
    </row>
    <row r="2390" spans="1:11" ht="42" customHeight="1">
      <c r="A2390" s="4" t="s">
        <v>5577</v>
      </c>
      <c r="B2390" s="5" t="s">
        <v>5578</v>
      </c>
      <c r="C2390" s="5" t="s">
        <v>38</v>
      </c>
      <c r="D2390" s="5" t="s">
        <v>39</v>
      </c>
      <c r="E2390" s="5" t="s">
        <v>99</v>
      </c>
      <c r="F2390" s="9">
        <v>32</v>
      </c>
      <c r="G2390" s="9">
        <v>414</v>
      </c>
      <c r="H2390" s="5" t="s">
        <v>21</v>
      </c>
      <c r="I2390" s="5" t="s">
        <v>5579</v>
      </c>
      <c r="J2390" s="12" t="str">
        <f>HYPERLINK("https://www.boe.es/gazeta/dias/1801/04/21/pdfs/GMD-1801-32.pdf#page=10","Abrir facsímil")</f>
        <v>Abrir facsímil</v>
      </c>
      <c r="K2390" s="15" t="s">
        <v>23</v>
      </c>
    </row>
    <row r="2391" spans="1:11" ht="42" customHeight="1">
      <c r="A2391" s="4" t="s">
        <v>5577</v>
      </c>
      <c r="B2391" s="5" t="s">
        <v>5578</v>
      </c>
      <c r="C2391" s="5" t="s">
        <v>38</v>
      </c>
      <c r="D2391" s="5" t="s">
        <v>39</v>
      </c>
      <c r="E2391" s="5" t="s">
        <v>151</v>
      </c>
      <c r="F2391" s="9">
        <v>45</v>
      </c>
      <c r="G2391" s="9">
        <v>561</v>
      </c>
      <c r="H2391" s="5" t="s">
        <v>21</v>
      </c>
      <c r="I2391" s="5" t="s">
        <v>5580</v>
      </c>
      <c r="J2391" s="12" t="str">
        <f>HYPERLINK("https://www.boe.es/gazeta/dias/1801/06/02/pdfs/GMD-1801-45.pdf#page=9","Abrir facsímil")</f>
        <v>Abrir facsímil</v>
      </c>
      <c r="K2391" s="15" t="s">
        <v>23</v>
      </c>
    </row>
    <row r="2392" spans="1:11" ht="42" customHeight="1">
      <c r="A2392" s="4" t="s">
        <v>5581</v>
      </c>
      <c r="B2392" s="5" t="s">
        <v>5582</v>
      </c>
      <c r="C2392" s="5" t="s">
        <v>80</v>
      </c>
      <c r="D2392" s="5" t="s">
        <v>81</v>
      </c>
      <c r="E2392" s="5" t="s">
        <v>289</v>
      </c>
      <c r="F2392" s="9">
        <v>40</v>
      </c>
      <c r="G2392" s="9" t="s">
        <v>517</v>
      </c>
      <c r="H2392" s="5" t="s">
        <v>21</v>
      </c>
      <c r="I2392" s="5" t="s">
        <v>5583</v>
      </c>
      <c r="J2392" s="12" t="str">
        <f>HYPERLINK("https://www.boe.es/gazeta/dias/1801/05/19/pdfs/GMD-C-1801-40.pdf#page=7","Abrir facsímil")</f>
        <v>Abrir facsímil</v>
      </c>
      <c r="K2392" s="15" t="s">
        <v>23</v>
      </c>
    </row>
    <row r="2393" spans="1:11" ht="42" customHeight="1">
      <c r="A2393" s="4" t="s">
        <v>5584</v>
      </c>
      <c r="B2393" s="5" t="s">
        <v>5585</v>
      </c>
      <c r="C2393" s="5" t="s">
        <v>75</v>
      </c>
      <c r="D2393" s="5" t="s">
        <v>76</v>
      </c>
      <c r="E2393" s="5" t="s">
        <v>505</v>
      </c>
      <c r="F2393" s="9">
        <v>94</v>
      </c>
      <c r="G2393" s="9">
        <v>1026</v>
      </c>
      <c r="H2393" s="5" t="s">
        <v>21</v>
      </c>
      <c r="I2393" s="5" t="s">
        <v>5586</v>
      </c>
      <c r="J2393" s="12" t="str">
        <f>HYPERLINK("https://www.boe.es/gazeta/dias/1801/10/02/pdfs/GMD-1801-94.pdf#page=2","Abrir facsímil")</f>
        <v>Abrir facsímil</v>
      </c>
      <c r="K2393" s="15" t="s">
        <v>23</v>
      </c>
    </row>
    <row r="2394" spans="1:11" ht="42" customHeight="1">
      <c r="A2394" s="4" t="s">
        <v>5587</v>
      </c>
      <c r="B2394" s="5" t="s">
        <v>5588</v>
      </c>
      <c r="C2394" s="5" t="s">
        <v>32</v>
      </c>
      <c r="D2394" s="5" t="s">
        <v>33</v>
      </c>
      <c r="E2394" s="5" t="s">
        <v>349</v>
      </c>
      <c r="F2394" s="9">
        <v>112</v>
      </c>
      <c r="G2394" s="9">
        <v>1225</v>
      </c>
      <c r="H2394" s="5" t="s">
        <v>21</v>
      </c>
      <c r="I2394" s="5" t="s">
        <v>5589</v>
      </c>
      <c r="J2394" s="12" t="str">
        <f>HYPERLINK("https://www.boe.es/gazeta/dias/1801/12/04/pdfs/GMD-1801-112.pdf#page=6","Abrir facsímil")</f>
        <v>Abrir facsímil</v>
      </c>
      <c r="K2394" s="15" t="s">
        <v>23</v>
      </c>
    </row>
    <row r="2395" spans="1:11" ht="42" customHeight="1">
      <c r="A2395" s="4" t="s">
        <v>5590</v>
      </c>
      <c r="B2395" s="5" t="s">
        <v>5591</v>
      </c>
      <c r="C2395" s="5" t="s">
        <v>18</v>
      </c>
      <c r="D2395" s="5" t="s">
        <v>19</v>
      </c>
      <c r="E2395" s="5" t="s">
        <v>215</v>
      </c>
      <c r="F2395" s="9">
        <v>71</v>
      </c>
      <c r="G2395" s="9">
        <v>790</v>
      </c>
      <c r="H2395" s="5" t="s">
        <v>21</v>
      </c>
      <c r="I2395" s="5" t="s">
        <v>5592</v>
      </c>
      <c r="J2395" s="12" t="str">
        <f>HYPERLINK("https://www.boe.es/gazeta/dias/1801/07/21/pdfs/GMD-1801-71.pdf#page=11","Abrir facsímil")</f>
        <v>Abrir facsímil</v>
      </c>
      <c r="K2395" s="15" t="s">
        <v>23</v>
      </c>
    </row>
    <row r="2396" spans="1:11" ht="42" customHeight="1">
      <c r="A2396" s="4" t="s">
        <v>5593</v>
      </c>
      <c r="B2396" s="5" t="s">
        <v>5594</v>
      </c>
      <c r="C2396" s="5" t="s">
        <v>32</v>
      </c>
      <c r="D2396" s="5" t="s">
        <v>33</v>
      </c>
      <c r="E2396" s="5" t="s">
        <v>90</v>
      </c>
      <c r="F2396" s="9">
        <v>1</v>
      </c>
      <c r="G2396" s="9">
        <v>8</v>
      </c>
      <c r="H2396" s="5" t="s">
        <v>21</v>
      </c>
      <c r="I2396" s="5" t="s">
        <v>5595</v>
      </c>
      <c r="J2396" s="12" t="str">
        <f>HYPERLINK("https://www.boe.es/gazeta/dias/1801/01/02/pdfs/GMD-1801-1.pdf#page=8","Abrir facsímil")</f>
        <v>Abrir facsímil</v>
      </c>
      <c r="K2396" s="15" t="s">
        <v>23</v>
      </c>
    </row>
    <row r="2397" spans="1:11" ht="42" customHeight="1">
      <c r="A2397" s="4" t="s">
        <v>5596</v>
      </c>
      <c r="B2397" s="5" t="s">
        <v>5597</v>
      </c>
      <c r="C2397" s="5" t="s">
        <v>18</v>
      </c>
      <c r="D2397" s="5" t="s">
        <v>19</v>
      </c>
      <c r="E2397" s="5" t="s">
        <v>328</v>
      </c>
      <c r="F2397" s="9">
        <v>89</v>
      </c>
      <c r="G2397" s="9">
        <v>983</v>
      </c>
      <c r="H2397" s="5" t="s">
        <v>21</v>
      </c>
      <c r="I2397" s="5" t="s">
        <v>5598</v>
      </c>
      <c r="J2397" s="12" t="str">
        <f>HYPERLINK("https://www.boe.es/gazeta/dias/1801/09/15/pdfs/GMD-1801-89.pdf#page=10","Abrir facsímil")</f>
        <v>Abrir facsímil</v>
      </c>
      <c r="K2397" s="15" t="s">
        <v>23</v>
      </c>
    </row>
    <row r="2398" spans="1:11" ht="42" customHeight="1">
      <c r="A2398" s="4" t="s">
        <v>5599</v>
      </c>
      <c r="B2398" s="5" t="s">
        <v>5600</v>
      </c>
      <c r="C2398" s="5" t="s">
        <v>515</v>
      </c>
      <c r="D2398" s="5" t="s">
        <v>516</v>
      </c>
      <c r="E2398" s="5" t="s">
        <v>501</v>
      </c>
      <c r="F2398" s="9">
        <v>115</v>
      </c>
      <c r="G2398" s="9" t="s">
        <v>502</v>
      </c>
      <c r="H2398" s="5" t="s">
        <v>21</v>
      </c>
      <c r="I2398" s="5" t="s">
        <v>5601</v>
      </c>
      <c r="J2398" s="12" t="str">
        <f>HYPERLINK("https://www.boe.es/gazeta/dias/1801/12/15/pdfs/GMD-C-1801-115.pdf#page=8","Abrir facsímil")</f>
        <v>Abrir facsímil</v>
      </c>
      <c r="K2398" s="15" t="s">
        <v>23</v>
      </c>
    </row>
    <row r="2399" spans="1:11" ht="42" customHeight="1">
      <c r="A2399" s="4" t="s">
        <v>5602</v>
      </c>
      <c r="B2399" s="5" t="s">
        <v>5603</v>
      </c>
      <c r="C2399" s="5" t="s">
        <v>18</v>
      </c>
      <c r="D2399" s="5" t="s">
        <v>19</v>
      </c>
      <c r="E2399" s="5" t="s">
        <v>186</v>
      </c>
      <c r="F2399" s="9">
        <v>21</v>
      </c>
      <c r="G2399" s="9">
        <v>281</v>
      </c>
      <c r="H2399" s="5" t="s">
        <v>21</v>
      </c>
      <c r="I2399" s="5" t="s">
        <v>5604</v>
      </c>
      <c r="J2399" s="12" t="str">
        <f>HYPERLINK("https://www.boe.es/gazeta/dias/1801/03/13/pdfs/GMD-1801-21.pdf#page=10","Abrir facsímil")</f>
        <v>Abrir facsímil</v>
      </c>
      <c r="K2399" s="15" t="s">
        <v>23</v>
      </c>
    </row>
    <row r="2400" spans="1:11" ht="42" customHeight="1">
      <c r="A2400" s="4" t="s">
        <v>5605</v>
      </c>
      <c r="B2400" s="5" t="s">
        <v>5606</v>
      </c>
      <c r="C2400" s="5" t="s">
        <v>18</v>
      </c>
      <c r="D2400" s="5" t="s">
        <v>19</v>
      </c>
      <c r="E2400" s="5" t="s">
        <v>186</v>
      </c>
      <c r="F2400" s="9">
        <v>21</v>
      </c>
      <c r="G2400" s="9">
        <v>281</v>
      </c>
      <c r="H2400" s="5" t="s">
        <v>21</v>
      </c>
      <c r="I2400" s="5" t="s">
        <v>5607</v>
      </c>
      <c r="J2400" s="12" t="str">
        <f>HYPERLINK("https://www.boe.es/gazeta/dias/1801/03/13/pdfs/GMD-1801-21.pdf#page=10","Abrir facsímil")</f>
        <v>Abrir facsímil</v>
      </c>
      <c r="K2400" s="15" t="s">
        <v>23</v>
      </c>
    </row>
    <row r="2401" spans="1:11" ht="42" customHeight="1">
      <c r="A2401" s="4" t="s">
        <v>5608</v>
      </c>
      <c r="B2401" s="5" t="s">
        <v>5609</v>
      </c>
      <c r="C2401" s="5" t="s">
        <v>69</v>
      </c>
      <c r="D2401" s="5" t="s">
        <v>19</v>
      </c>
      <c r="E2401" s="5" t="s">
        <v>313</v>
      </c>
      <c r="F2401" s="9">
        <v>39</v>
      </c>
      <c r="G2401" s="9">
        <v>506</v>
      </c>
      <c r="H2401" s="5" t="s">
        <v>21</v>
      </c>
      <c r="I2401" s="5" t="s">
        <v>5610</v>
      </c>
      <c r="J2401" s="12" t="str">
        <f>HYPERLINK("https://www.boe.es/gazeta/dias/1801/05/15/pdfs/GMD-1801-39.pdf#page=10","Abrir facsímil")</f>
        <v>Abrir facsímil</v>
      </c>
      <c r="K2401" s="15" t="s">
        <v>23</v>
      </c>
    </row>
    <row r="2402" spans="1:11" ht="42" customHeight="1">
      <c r="A2402" s="4" t="s">
        <v>5611</v>
      </c>
      <c r="B2402" s="5" t="s">
        <v>5612</v>
      </c>
      <c r="C2402" s="5" t="s">
        <v>26</v>
      </c>
      <c r="D2402" s="5" t="s">
        <v>27</v>
      </c>
      <c r="E2402" s="5" t="s">
        <v>94</v>
      </c>
      <c r="F2402" s="9">
        <v>19</v>
      </c>
      <c r="G2402" s="9">
        <v>247</v>
      </c>
      <c r="H2402" s="5" t="s">
        <v>21</v>
      </c>
      <c r="I2402" s="5" t="s">
        <v>5613</v>
      </c>
      <c r="J2402" s="12" t="str">
        <f>HYPERLINK("https://www.boe.es/gazeta/dias/1801/03/06/pdfs/GMD-1801-19.pdf#page=12","Abrir facsímil")</f>
        <v>Abrir facsímil</v>
      </c>
      <c r="K2402" s="15" t="s">
        <v>23</v>
      </c>
    </row>
    <row r="2403" spans="1:11" ht="42" customHeight="1">
      <c r="A2403" s="4" t="s">
        <v>5614</v>
      </c>
      <c r="B2403" s="5" t="s">
        <v>5615</v>
      </c>
      <c r="C2403" s="5" t="s">
        <v>26</v>
      </c>
      <c r="D2403" s="5" t="s">
        <v>27</v>
      </c>
      <c r="E2403" s="5" t="s">
        <v>501</v>
      </c>
      <c r="F2403" s="9">
        <v>115</v>
      </c>
      <c r="G2403" s="9" t="s">
        <v>502</v>
      </c>
      <c r="H2403" s="5" t="s">
        <v>21</v>
      </c>
      <c r="I2403" s="5" t="s">
        <v>5616</v>
      </c>
      <c r="J2403" s="12" t="str">
        <f>HYPERLINK("https://www.boe.es/gazeta/dias/1801/12/15/pdfs/GMD-C-1801-115.pdf#page=8","Abrir facsímil")</f>
        <v>Abrir facsímil</v>
      </c>
      <c r="K2403" s="15" t="s">
        <v>23</v>
      </c>
    </row>
    <row r="2404" spans="1:11" ht="42" customHeight="1">
      <c r="A2404" s="4" t="s">
        <v>5617</v>
      </c>
      <c r="B2404" s="5" t="s">
        <v>5618</v>
      </c>
      <c r="C2404" s="5" t="s">
        <v>32</v>
      </c>
      <c r="D2404" s="5" t="s">
        <v>33</v>
      </c>
      <c r="E2404" s="5" t="s">
        <v>179</v>
      </c>
      <c r="F2404" s="9">
        <v>11</v>
      </c>
      <c r="G2404" s="9">
        <v>137</v>
      </c>
      <c r="H2404" s="5" t="s">
        <v>21</v>
      </c>
      <c r="I2404" s="5" t="s">
        <v>5619</v>
      </c>
      <c r="J2404" s="12" t="str">
        <f>HYPERLINK("https://www.boe.es/gazeta/dias/1801/02/06/pdfs/GMD-1801-11.pdf#page=10","Abrir facsímil")</f>
        <v>Abrir facsímil</v>
      </c>
      <c r="K2404" s="15" t="s">
        <v>23</v>
      </c>
    </row>
    <row r="2405" spans="1:11" ht="42" customHeight="1">
      <c r="A2405" s="4" t="s">
        <v>5620</v>
      </c>
      <c r="B2405" s="5" t="s">
        <v>5621</v>
      </c>
      <c r="C2405" s="5" t="s">
        <v>80</v>
      </c>
      <c r="D2405" s="5" t="s">
        <v>81</v>
      </c>
      <c r="E2405" s="5" t="s">
        <v>82</v>
      </c>
      <c r="F2405" s="9">
        <v>75</v>
      </c>
      <c r="G2405" s="9" t="s">
        <v>299</v>
      </c>
      <c r="H2405" s="5" t="s">
        <v>21</v>
      </c>
      <c r="I2405" s="5" t="s">
        <v>5622</v>
      </c>
      <c r="J2405" s="12" t="str">
        <f>HYPERLINK("https://www.boe.es/gazeta/dias/1801/08/04/pdfs/GMD-C-1801-75.pdf#page=5","Abrir facsímil")</f>
        <v>Abrir facsímil</v>
      </c>
      <c r="K2405" s="15" t="s">
        <v>23</v>
      </c>
    </row>
    <row r="2406" spans="1:11" ht="42" customHeight="1">
      <c r="A2406" s="4" t="s">
        <v>5623</v>
      </c>
      <c r="B2406" s="5" t="s">
        <v>5624</v>
      </c>
      <c r="C2406" s="5" t="s">
        <v>38</v>
      </c>
      <c r="D2406" s="5" t="s">
        <v>39</v>
      </c>
      <c r="E2406" s="5" t="s">
        <v>105</v>
      </c>
      <c r="F2406" s="9">
        <v>44</v>
      </c>
      <c r="G2406" s="9">
        <v>550</v>
      </c>
      <c r="H2406" s="5" t="s">
        <v>21</v>
      </c>
      <c r="I2406" s="5" t="s">
        <v>5625</v>
      </c>
      <c r="J2406" s="12" t="str">
        <f>HYPERLINK("https://www.boe.es/gazeta/dias/1801/05/29/pdfs/GMD-1801-44.pdf#page=10","Abrir facsímil")</f>
        <v>Abrir facsímil</v>
      </c>
      <c r="K2406" s="15" t="s">
        <v>23</v>
      </c>
    </row>
    <row r="2407" spans="1:11" ht="42" customHeight="1">
      <c r="A2407" s="4" t="s">
        <v>5626</v>
      </c>
      <c r="B2407" s="5" t="s">
        <v>5627</v>
      </c>
      <c r="C2407" s="5" t="s">
        <v>32</v>
      </c>
      <c r="D2407" s="5" t="s">
        <v>33</v>
      </c>
      <c r="E2407" s="5" t="s">
        <v>90</v>
      </c>
      <c r="F2407" s="9">
        <v>1</v>
      </c>
      <c r="G2407" s="9">
        <v>8</v>
      </c>
      <c r="H2407" s="5" t="s">
        <v>21</v>
      </c>
      <c r="I2407" s="5" t="s">
        <v>5628</v>
      </c>
      <c r="J2407" s="12" t="str">
        <f>HYPERLINK("https://www.boe.es/gazeta/dias/1801/01/02/pdfs/GMD-1801-1.pdf#page=8","Abrir facsímil")</f>
        <v>Abrir facsímil</v>
      </c>
      <c r="K2407" s="15" t="s">
        <v>23</v>
      </c>
    </row>
    <row r="2408" spans="1:11" ht="42" customHeight="1">
      <c r="A2408" s="4" t="s">
        <v>5629</v>
      </c>
      <c r="B2408" s="5" t="s">
        <v>5630</v>
      </c>
      <c r="C2408" s="5" t="s">
        <v>32</v>
      </c>
      <c r="D2408" s="5" t="s">
        <v>33</v>
      </c>
      <c r="E2408" s="5" t="s">
        <v>712</v>
      </c>
      <c r="F2408" s="9">
        <v>105</v>
      </c>
      <c r="G2408" s="9">
        <v>1155</v>
      </c>
      <c r="H2408" s="5" t="s">
        <v>21</v>
      </c>
      <c r="I2408" s="5" t="s">
        <v>5631</v>
      </c>
      <c r="J2408" s="12" t="str">
        <f>HYPERLINK("https://www.boe.es/gazeta/dias/1801/11/10/pdfs/GMD-1801-105.pdf#page=8","Abrir facsímil")</f>
        <v>Abrir facsímil</v>
      </c>
      <c r="K2408" s="15" t="s">
        <v>23</v>
      </c>
    </row>
    <row r="2409" spans="1:11" ht="42" customHeight="1">
      <c r="A2409" s="4" t="s">
        <v>5632</v>
      </c>
      <c r="B2409" s="5" t="s">
        <v>5633</v>
      </c>
      <c r="C2409" s="5" t="s">
        <v>69</v>
      </c>
      <c r="D2409" s="5" t="s">
        <v>19</v>
      </c>
      <c r="E2409" s="5" t="s">
        <v>186</v>
      </c>
      <c r="F2409" s="9">
        <v>21</v>
      </c>
      <c r="G2409" s="9">
        <v>279</v>
      </c>
      <c r="H2409" s="5" t="s">
        <v>21</v>
      </c>
      <c r="I2409" s="5" t="s">
        <v>5634</v>
      </c>
      <c r="J2409" s="12" t="str">
        <f>HYPERLINK("https://www.boe.es/gazeta/dias/1801/03/13/pdfs/GMD-1801-21.pdf#page=8","Abrir facsímil")</f>
        <v>Abrir facsímil</v>
      </c>
      <c r="K2409" s="15" t="s">
        <v>23</v>
      </c>
    </row>
    <row r="2410" spans="1:11" ht="42" customHeight="1">
      <c r="A2410" s="4" t="s">
        <v>5635</v>
      </c>
      <c r="B2410" s="5" t="s">
        <v>5636</v>
      </c>
      <c r="C2410" s="5" t="s">
        <v>32</v>
      </c>
      <c r="D2410" s="5" t="s">
        <v>33</v>
      </c>
      <c r="E2410" s="5" t="s">
        <v>169</v>
      </c>
      <c r="F2410" s="9">
        <v>70</v>
      </c>
      <c r="G2410" s="9">
        <v>775</v>
      </c>
      <c r="H2410" s="5" t="s">
        <v>21</v>
      </c>
      <c r="I2410" s="5" t="s">
        <v>5637</v>
      </c>
      <c r="J2410" s="12" t="str">
        <f>HYPERLINK("https://www.boe.es/gazeta/dias/1801/07/17/pdfs/GMD-1801-70.pdf#page=8","Abrir facsímil")</f>
        <v>Abrir facsímil</v>
      </c>
      <c r="K2410" s="15" t="s">
        <v>23</v>
      </c>
    </row>
    <row r="2411" spans="1:11" ht="42" customHeight="1">
      <c r="A2411" s="4" t="s">
        <v>5638</v>
      </c>
      <c r="B2411" s="5" t="s">
        <v>5639</v>
      </c>
      <c r="C2411" s="5" t="s">
        <v>75</v>
      </c>
      <c r="D2411" s="5" t="s">
        <v>76</v>
      </c>
      <c r="E2411" s="5" t="s">
        <v>338</v>
      </c>
      <c r="F2411" s="9">
        <v>83</v>
      </c>
      <c r="G2411" s="9">
        <v>933</v>
      </c>
      <c r="H2411" s="5" t="s">
        <v>21</v>
      </c>
      <c r="I2411" s="5" t="s">
        <v>5640</v>
      </c>
      <c r="J2411" s="12" t="str">
        <f>HYPERLINK("https://www.boe.es/gazeta/dias/1801/09/01/pdfs/GMD-1801-83.pdf#page=8","Abrir facsímil")</f>
        <v>Abrir facsímil</v>
      </c>
      <c r="K2411" s="15" t="s">
        <v>23</v>
      </c>
    </row>
    <row r="2412" spans="1:11" ht="42" customHeight="1">
      <c r="A2412" s="4" t="s">
        <v>5641</v>
      </c>
      <c r="B2412" s="5" t="s">
        <v>5642</v>
      </c>
      <c r="C2412" s="5" t="s">
        <v>32</v>
      </c>
      <c r="D2412" s="5" t="s">
        <v>33</v>
      </c>
      <c r="E2412" s="5" t="s">
        <v>141</v>
      </c>
      <c r="F2412" s="9">
        <v>33</v>
      </c>
      <c r="G2412" s="9">
        <v>425</v>
      </c>
      <c r="H2412" s="5" t="s">
        <v>21</v>
      </c>
      <c r="I2412" s="5" t="s">
        <v>5643</v>
      </c>
      <c r="J2412" s="12" t="str">
        <f>HYPERLINK("https://www.boe.es/gazeta/dias/1801/04/24/pdfs/GMD-1801-33.pdf#page=9","Abrir facsímil")</f>
        <v>Abrir facsímil</v>
      </c>
      <c r="K2412" s="15" t="s">
        <v>23</v>
      </c>
    </row>
    <row r="2413" spans="1:11" ht="42" customHeight="1">
      <c r="A2413" s="4" t="s">
        <v>5644</v>
      </c>
      <c r="B2413" s="5" t="s">
        <v>5645</v>
      </c>
      <c r="C2413" s="5" t="s">
        <v>32</v>
      </c>
      <c r="D2413" s="5" t="s">
        <v>33</v>
      </c>
      <c r="E2413" s="5" t="s">
        <v>505</v>
      </c>
      <c r="F2413" s="9">
        <v>94</v>
      </c>
      <c r="G2413" s="9">
        <v>1033</v>
      </c>
      <c r="H2413" s="5" t="s">
        <v>21</v>
      </c>
      <c r="I2413" s="5" t="s">
        <v>5646</v>
      </c>
      <c r="J2413" s="12" t="str">
        <f>HYPERLINK("https://www.boe.es/gazeta/dias/1801/10/02/pdfs/GMD-1801-94.pdf#page=9","Abrir facsímil")</f>
        <v>Abrir facsímil</v>
      </c>
      <c r="K2413" s="15" t="s">
        <v>23</v>
      </c>
    </row>
    <row r="2414" spans="1:11" ht="42" customHeight="1">
      <c r="A2414" s="4" t="s">
        <v>5647</v>
      </c>
      <c r="B2414" s="5" t="s">
        <v>5648</v>
      </c>
      <c r="C2414" s="5" t="s">
        <v>32</v>
      </c>
      <c r="D2414" s="5" t="s">
        <v>33</v>
      </c>
      <c r="E2414" s="5" t="s">
        <v>505</v>
      </c>
      <c r="F2414" s="9">
        <v>94</v>
      </c>
      <c r="G2414" s="9">
        <v>1033</v>
      </c>
      <c r="H2414" s="5" t="s">
        <v>21</v>
      </c>
      <c r="I2414" s="5" t="s">
        <v>5649</v>
      </c>
      <c r="J2414" s="12" t="str">
        <f>HYPERLINK("https://www.boe.es/gazeta/dias/1801/10/02/pdfs/GMD-1801-94.pdf#page=9","Abrir facsímil")</f>
        <v>Abrir facsímil</v>
      </c>
      <c r="K2414" s="15" t="s">
        <v>23</v>
      </c>
    </row>
    <row r="2415" spans="1:11" ht="42" customHeight="1">
      <c r="A2415" s="4" t="s">
        <v>5650</v>
      </c>
      <c r="B2415" s="5" t="s">
        <v>5651</v>
      </c>
      <c r="C2415" s="5" t="s">
        <v>38</v>
      </c>
      <c r="D2415" s="5" t="s">
        <v>39</v>
      </c>
      <c r="E2415" s="5" t="s">
        <v>254</v>
      </c>
      <c r="F2415" s="9">
        <v>73</v>
      </c>
      <c r="G2415" s="9">
        <v>814</v>
      </c>
      <c r="H2415" s="5" t="s">
        <v>21</v>
      </c>
      <c r="I2415" s="5" t="s">
        <v>5652</v>
      </c>
      <c r="J2415" s="12" t="str">
        <f>HYPERLINK("https://www.boe.es/gazeta/dias/1801/07/28/pdfs/GMD-1801-73.pdf#page=7","Abrir facsímil")</f>
        <v>Abrir facsímil</v>
      </c>
      <c r="K2415" s="15" t="s">
        <v>23</v>
      </c>
    </row>
    <row r="2416" spans="1:11" ht="42" customHeight="1">
      <c r="A2416" s="4" t="s">
        <v>5653</v>
      </c>
      <c r="B2416" s="5" t="s">
        <v>5654</v>
      </c>
      <c r="C2416" s="5" t="s">
        <v>32</v>
      </c>
      <c r="D2416" s="5" t="s">
        <v>33</v>
      </c>
      <c r="E2416" s="5" t="s">
        <v>48</v>
      </c>
      <c r="F2416" s="9">
        <v>20</v>
      </c>
      <c r="G2416" s="9">
        <v>265</v>
      </c>
      <c r="H2416" s="5" t="s">
        <v>21</v>
      </c>
      <c r="I2416" s="5" t="s">
        <v>5655</v>
      </c>
      <c r="J2416" s="12" t="str">
        <f>HYPERLINK("https://www.boe.es/gazeta/dias/1801/03/10/pdfs/GMD-1801-20.pdf#page=10","Abrir facsímil")</f>
        <v>Abrir facsímil</v>
      </c>
      <c r="K2416" s="15" t="s">
        <v>23</v>
      </c>
    </row>
    <row r="2417" spans="1:11" ht="42" customHeight="1">
      <c r="A2417" s="4" t="s">
        <v>5656</v>
      </c>
      <c r="B2417" s="5" t="s">
        <v>5657</v>
      </c>
      <c r="C2417" s="5" t="s">
        <v>38</v>
      </c>
      <c r="D2417" s="5" t="s">
        <v>39</v>
      </c>
      <c r="E2417" s="5" t="s">
        <v>702</v>
      </c>
      <c r="F2417" s="9">
        <v>69</v>
      </c>
      <c r="G2417" s="9">
        <v>767</v>
      </c>
      <c r="H2417" s="5" t="s">
        <v>21</v>
      </c>
      <c r="I2417" s="5" t="s">
        <v>5658</v>
      </c>
      <c r="J2417" s="12" t="str">
        <f>HYPERLINK("https://www.boe.es/gazeta/dias/1801/07/14/pdfs/GMD-1801-69.pdf#page=12","Abrir facsímil")</f>
        <v>Abrir facsímil</v>
      </c>
      <c r="K2417" s="15" t="s">
        <v>23</v>
      </c>
    </row>
    <row r="2418" spans="1:11" ht="42" customHeight="1">
      <c r="A2418" s="4" t="s">
        <v>5659</v>
      </c>
      <c r="B2418" s="5" t="s">
        <v>5660</v>
      </c>
      <c r="C2418" s="5" t="s">
        <v>515</v>
      </c>
      <c r="D2418" s="5" t="s">
        <v>516</v>
      </c>
      <c r="E2418" s="5" t="s">
        <v>501</v>
      </c>
      <c r="F2418" s="9">
        <v>115</v>
      </c>
      <c r="G2418" s="9" t="s">
        <v>502</v>
      </c>
      <c r="H2418" s="5" t="s">
        <v>21</v>
      </c>
      <c r="I2418" s="5" t="s">
        <v>5661</v>
      </c>
      <c r="J2418" s="12" t="str">
        <f>HYPERLINK("https://www.boe.es/gazeta/dias/1801/12/15/pdfs/GMD-C-1801-115.pdf#page=8","Abrir facsímil")</f>
        <v>Abrir facsímil</v>
      </c>
      <c r="K2418" s="15" t="s">
        <v>23</v>
      </c>
    </row>
    <row r="2419" spans="1:11" ht="42" customHeight="1">
      <c r="A2419" s="4" t="s">
        <v>5662</v>
      </c>
      <c r="B2419" s="5" t="s">
        <v>5663</v>
      </c>
      <c r="C2419" s="5" t="s">
        <v>26</v>
      </c>
      <c r="D2419" s="5" t="s">
        <v>27</v>
      </c>
      <c r="E2419" s="5" t="s">
        <v>122</v>
      </c>
      <c r="F2419" s="9">
        <v>8</v>
      </c>
      <c r="G2419" s="9">
        <v>100</v>
      </c>
      <c r="H2419" s="5" t="s">
        <v>21</v>
      </c>
      <c r="I2419" s="5" t="s">
        <v>5664</v>
      </c>
      <c r="J2419" s="12" t="str">
        <f>HYPERLINK("https://www.boe.es/gazeta/dias/1801/01/27/pdfs/GMD-1801-8.pdf#page=12","Abrir facsímil")</f>
        <v>Abrir facsímil</v>
      </c>
      <c r="K2419" s="15" t="s">
        <v>23</v>
      </c>
    </row>
    <row r="2420" spans="1:11" ht="42" customHeight="1">
      <c r="A2420" s="4" t="s">
        <v>5665</v>
      </c>
      <c r="B2420" s="5" t="s">
        <v>5666</v>
      </c>
      <c r="C2420" s="5" t="s">
        <v>38</v>
      </c>
      <c r="D2420" s="5" t="s">
        <v>39</v>
      </c>
      <c r="E2420" s="5" t="s">
        <v>480</v>
      </c>
      <c r="F2420" s="9">
        <v>10</v>
      </c>
      <c r="G2420" s="9">
        <v>123</v>
      </c>
      <c r="H2420" s="5" t="s">
        <v>21</v>
      </c>
      <c r="I2420" s="5" t="s">
        <v>5667</v>
      </c>
      <c r="J2420" s="12" t="str">
        <f>HYPERLINK("https://www.boe.es/gazeta/dias/1801/02/03/pdfs/GMD-1801-10.pdf#page=8","Abrir facsímil")</f>
        <v>Abrir facsímil</v>
      </c>
      <c r="K2420" s="15" t="s">
        <v>23</v>
      </c>
    </row>
    <row r="2421" spans="1:11" ht="42" customHeight="1">
      <c r="A2421" s="4" t="s">
        <v>5668</v>
      </c>
      <c r="B2421" s="5" t="s">
        <v>5669</v>
      </c>
      <c r="C2421" s="5" t="s">
        <v>69</v>
      </c>
      <c r="D2421" s="5" t="s">
        <v>19</v>
      </c>
      <c r="E2421" s="5" t="s">
        <v>352</v>
      </c>
      <c r="F2421" s="9">
        <v>43</v>
      </c>
      <c r="G2421" s="9">
        <v>538</v>
      </c>
      <c r="H2421" s="5" t="s">
        <v>21</v>
      </c>
      <c r="I2421" s="5" t="s">
        <v>5670</v>
      </c>
      <c r="J2421" s="12" t="str">
        <f>HYPERLINK("https://www.boe.es/gazeta/dias/1801/05/26/pdfs/GMD-1801-43.pdf#page=10","Abrir facsímil")</f>
        <v>Abrir facsímil</v>
      </c>
      <c r="K2421" s="15" t="s">
        <v>23</v>
      </c>
    </row>
    <row r="2422" spans="1:11" ht="42" customHeight="1">
      <c r="A2422" s="4" t="s">
        <v>5671</v>
      </c>
      <c r="B2422" s="5" t="s">
        <v>5672</v>
      </c>
      <c r="C2422" s="5" t="s">
        <v>32</v>
      </c>
      <c r="D2422" s="5" t="s">
        <v>33</v>
      </c>
      <c r="E2422" s="5" t="s">
        <v>179</v>
      </c>
      <c r="F2422" s="9">
        <v>11</v>
      </c>
      <c r="G2422" s="9">
        <v>137</v>
      </c>
      <c r="H2422" s="5" t="s">
        <v>21</v>
      </c>
      <c r="I2422" s="5" t="s">
        <v>5673</v>
      </c>
      <c r="J2422" s="12" t="str">
        <f>HYPERLINK("https://www.boe.es/gazeta/dias/1801/02/06/pdfs/GMD-1801-11.pdf#page=10","Abrir facsímil")</f>
        <v>Abrir facsímil</v>
      </c>
      <c r="K2422" s="15" t="s">
        <v>23</v>
      </c>
    </row>
    <row r="2423" spans="1:11" ht="42" customHeight="1">
      <c r="A2423" s="4" t="s">
        <v>5674</v>
      </c>
      <c r="B2423" s="5" t="s">
        <v>5675</v>
      </c>
      <c r="C2423" s="5" t="s">
        <v>32</v>
      </c>
      <c r="D2423" s="5" t="s">
        <v>33</v>
      </c>
      <c r="E2423" s="5" t="s">
        <v>1058</v>
      </c>
      <c r="F2423" s="9">
        <v>108</v>
      </c>
      <c r="G2423" s="9">
        <v>1191</v>
      </c>
      <c r="H2423" s="5" t="s">
        <v>21</v>
      </c>
      <c r="I2423" s="5" t="s">
        <v>5676</v>
      </c>
      <c r="J2423" s="12" t="str">
        <f>HYPERLINK("https://www.boe.es/gazeta/dias/1801/11/20/pdfs/GMD-1801-108.pdf#page=8","Abrir facsímil")</f>
        <v>Abrir facsímil</v>
      </c>
      <c r="K2423" s="15" t="s">
        <v>23</v>
      </c>
    </row>
    <row r="2424" spans="1:11" ht="42" customHeight="1">
      <c r="A2424" s="4" t="s">
        <v>5677</v>
      </c>
      <c r="B2424" s="5" t="s">
        <v>5678</v>
      </c>
      <c r="C2424" s="5" t="s">
        <v>32</v>
      </c>
      <c r="D2424" s="5" t="s">
        <v>33</v>
      </c>
      <c r="E2424" s="5" t="s">
        <v>359</v>
      </c>
      <c r="F2424" s="9">
        <v>101</v>
      </c>
      <c r="G2424" s="9">
        <v>1114</v>
      </c>
      <c r="H2424" s="5" t="s">
        <v>21</v>
      </c>
      <c r="I2424" s="5" t="s">
        <v>5679</v>
      </c>
      <c r="J2424" s="12" t="str">
        <f>HYPERLINK("https://www.boe.es/gazeta/dias/1801/10/27/pdfs/GMD-1801-101.pdf#page=7","Abrir facsímil")</f>
        <v>Abrir facsímil</v>
      </c>
      <c r="K2424" s="15" t="s">
        <v>23</v>
      </c>
    </row>
    <row r="2425" spans="1:11" ht="42" customHeight="1">
      <c r="A2425" s="4" t="s">
        <v>5680</v>
      </c>
      <c r="B2425" s="5" t="s">
        <v>5681</v>
      </c>
      <c r="C2425" s="5" t="s">
        <v>32</v>
      </c>
      <c r="D2425" s="5" t="s">
        <v>33</v>
      </c>
      <c r="E2425" s="5" t="s">
        <v>313</v>
      </c>
      <c r="F2425" s="9">
        <v>39</v>
      </c>
      <c r="G2425" s="9">
        <v>506</v>
      </c>
      <c r="H2425" s="5" t="s">
        <v>21</v>
      </c>
      <c r="I2425" s="5" t="s">
        <v>5682</v>
      </c>
      <c r="J2425" s="12" t="str">
        <f>HYPERLINK("https://www.boe.es/gazeta/dias/1801/05/15/pdfs/GMD-1801-39.pdf#page=10","Abrir facsímil")</f>
        <v>Abrir facsímil</v>
      </c>
      <c r="K2425" s="15" t="s">
        <v>23</v>
      </c>
    </row>
    <row r="2426" spans="1:11" ht="42" customHeight="1">
      <c r="A2426" s="4" t="s">
        <v>5683</v>
      </c>
      <c r="B2426" s="5" t="s">
        <v>5684</v>
      </c>
      <c r="C2426" s="5" t="s">
        <v>26</v>
      </c>
      <c r="D2426" s="5" t="s">
        <v>27</v>
      </c>
      <c r="E2426" s="5" t="s">
        <v>135</v>
      </c>
      <c r="F2426" s="9">
        <v>24</v>
      </c>
      <c r="G2426" s="9">
        <v>321</v>
      </c>
      <c r="H2426" s="5" t="s">
        <v>21</v>
      </c>
      <c r="I2426" s="5" t="s">
        <v>5685</v>
      </c>
      <c r="J2426" s="12" t="str">
        <f>HYPERLINK("https://www.boe.es/gazeta/dias/1801/03/24/pdfs/GMD-1801-24.pdf#page=12","Abrir facsímil")</f>
        <v>Abrir facsímil</v>
      </c>
      <c r="K2426" s="15" t="s">
        <v>23</v>
      </c>
    </row>
    <row r="2427" spans="1:11" ht="42" customHeight="1">
      <c r="A2427" s="4" t="s">
        <v>5686</v>
      </c>
      <c r="B2427" s="5" t="s">
        <v>5687</v>
      </c>
      <c r="C2427" s="5" t="s">
        <v>32</v>
      </c>
      <c r="D2427" s="5" t="s">
        <v>33</v>
      </c>
      <c r="E2427" s="5" t="s">
        <v>131</v>
      </c>
      <c r="F2427" s="9">
        <v>22</v>
      </c>
      <c r="G2427" s="9">
        <v>293</v>
      </c>
      <c r="H2427" s="5" t="s">
        <v>21</v>
      </c>
      <c r="I2427" s="5" t="s">
        <v>5688</v>
      </c>
      <c r="J2427" s="12" t="str">
        <f>HYPERLINK("https://www.boe.es/gazeta/dias/1801/03/17/pdfs/GMD-1801-22.pdf#page=10","Abrir facsímil")</f>
        <v>Abrir facsímil</v>
      </c>
      <c r="K2427" s="15" t="s">
        <v>23</v>
      </c>
    </row>
    <row r="2428" spans="1:11" ht="42" customHeight="1">
      <c r="A2428" s="4" t="s">
        <v>5689</v>
      </c>
      <c r="B2428" s="5" t="s">
        <v>5690</v>
      </c>
      <c r="C2428" s="5" t="s">
        <v>38</v>
      </c>
      <c r="D2428" s="5" t="s">
        <v>39</v>
      </c>
      <c r="E2428" s="5" t="s">
        <v>155</v>
      </c>
      <c r="F2428" s="9">
        <v>50</v>
      </c>
      <c r="G2428" s="9">
        <v>598</v>
      </c>
      <c r="H2428" s="5" t="s">
        <v>21</v>
      </c>
      <c r="I2428" s="5" t="s">
        <v>5691</v>
      </c>
      <c r="J2428" s="12" t="str">
        <f>HYPERLINK("https://www.boe.es/gazeta/dias/1801/06/09/pdfs/GMD-1801-50.pdf#page=10","Abrir facsímil")</f>
        <v>Abrir facsímil</v>
      </c>
      <c r="K2428" s="15" t="s">
        <v>23</v>
      </c>
    </row>
    <row r="2429" spans="1:11" ht="42" customHeight="1">
      <c r="A2429" s="4" t="s">
        <v>5692</v>
      </c>
      <c r="B2429" s="5" t="s">
        <v>5693</v>
      </c>
      <c r="C2429" s="5" t="s">
        <v>69</v>
      </c>
      <c r="D2429" s="5" t="s">
        <v>19</v>
      </c>
      <c r="E2429" s="5" t="s">
        <v>48</v>
      </c>
      <c r="F2429" s="9">
        <v>20</v>
      </c>
      <c r="G2429" s="9">
        <v>266</v>
      </c>
      <c r="H2429" s="5" t="s">
        <v>21</v>
      </c>
      <c r="I2429" s="5" t="s">
        <v>5694</v>
      </c>
      <c r="J2429" s="12" t="str">
        <f>HYPERLINK("https://www.boe.es/gazeta/dias/1801/03/10/pdfs/GMD-1801-20.pdf#page=11","Abrir facsímil")</f>
        <v>Abrir facsímil</v>
      </c>
      <c r="K2429" s="15" t="s">
        <v>23</v>
      </c>
    </row>
    <row r="2430" spans="1:11" ht="42" customHeight="1">
      <c r="A2430" s="4" t="s">
        <v>5695</v>
      </c>
      <c r="B2430" s="5" t="s">
        <v>5696</v>
      </c>
      <c r="C2430" s="5" t="s">
        <v>32</v>
      </c>
      <c r="D2430" s="5" t="s">
        <v>33</v>
      </c>
      <c r="E2430" s="5" t="s">
        <v>186</v>
      </c>
      <c r="F2430" s="9">
        <v>21</v>
      </c>
      <c r="G2430" s="9">
        <v>280</v>
      </c>
      <c r="H2430" s="5" t="s">
        <v>21</v>
      </c>
      <c r="I2430" s="5" t="s">
        <v>5697</v>
      </c>
      <c r="J2430" s="12" t="str">
        <f>HYPERLINK("https://www.boe.es/gazeta/dias/1801/03/13/pdfs/GMD-1801-21.pdf#page=9","Abrir facsímil")</f>
        <v>Abrir facsímil</v>
      </c>
      <c r="K2430" s="15" t="s">
        <v>23</v>
      </c>
    </row>
    <row r="2431" spans="1:11" ht="42" customHeight="1">
      <c r="A2431" s="4" t="s">
        <v>5698</v>
      </c>
      <c r="B2431" s="5" t="s">
        <v>5699</v>
      </c>
      <c r="C2431" s="5" t="s">
        <v>32</v>
      </c>
      <c r="D2431" s="5" t="s">
        <v>33</v>
      </c>
      <c r="E2431" s="5" t="s">
        <v>62</v>
      </c>
      <c r="F2431" s="9">
        <v>6</v>
      </c>
      <c r="G2431" s="9">
        <v>74</v>
      </c>
      <c r="H2431" s="5" t="s">
        <v>21</v>
      </c>
      <c r="I2431" s="5" t="s">
        <v>5700</v>
      </c>
      <c r="J2431" s="12" t="str">
        <f>HYPERLINK("https://www.boe.es/gazeta/dias/1801/01/20/pdfs/GMD-1801-6.pdf#page=10","Abrir facsímil")</f>
        <v>Abrir facsímil</v>
      </c>
      <c r="K2431" s="15" t="s">
        <v>23</v>
      </c>
    </row>
    <row r="2432" spans="1:11" ht="42" customHeight="1">
      <c r="A2432" s="4" t="s">
        <v>5701</v>
      </c>
      <c r="B2432" s="5" t="s">
        <v>5702</v>
      </c>
      <c r="C2432" s="5" t="s">
        <v>32</v>
      </c>
      <c r="D2432" s="5" t="s">
        <v>33</v>
      </c>
      <c r="E2432" s="5" t="s">
        <v>328</v>
      </c>
      <c r="F2432" s="9">
        <v>89</v>
      </c>
      <c r="G2432" s="9">
        <v>982</v>
      </c>
      <c r="H2432" s="5" t="s">
        <v>21</v>
      </c>
      <c r="I2432" s="5" t="s">
        <v>5703</v>
      </c>
      <c r="J2432" s="12" t="str">
        <f>HYPERLINK("https://www.boe.es/gazeta/dias/1801/09/15/pdfs/GMD-1801-89.pdf#page=9","Abrir facsímil")</f>
        <v>Abrir facsímil</v>
      </c>
      <c r="K2432" s="15" t="s">
        <v>23</v>
      </c>
    </row>
    <row r="2433" spans="1:11" ht="42" customHeight="1">
      <c r="A2433" s="4" t="s">
        <v>5704</v>
      </c>
      <c r="B2433" s="5" t="s">
        <v>5705</v>
      </c>
      <c r="C2433" s="5" t="s">
        <v>18</v>
      </c>
      <c r="D2433" s="5" t="s">
        <v>19</v>
      </c>
      <c r="E2433" s="5" t="s">
        <v>122</v>
      </c>
      <c r="F2433" s="9">
        <v>8</v>
      </c>
      <c r="G2433" s="9">
        <v>99</v>
      </c>
      <c r="H2433" s="5" t="s">
        <v>21</v>
      </c>
      <c r="I2433" s="5" t="s">
        <v>5706</v>
      </c>
      <c r="J2433" s="12" t="str">
        <f>HYPERLINK("https://www.boe.es/gazeta/dias/1801/01/27/pdfs/GMD-1801-8.pdf#page=11","Abrir facsímil")</f>
        <v>Abrir facsímil</v>
      </c>
      <c r="K2433" s="15" t="s">
        <v>23</v>
      </c>
    </row>
    <row r="2434" spans="1:11" ht="42" customHeight="1">
      <c r="A2434" s="4" t="s">
        <v>5704</v>
      </c>
      <c r="B2434" s="5" t="s">
        <v>5705</v>
      </c>
      <c r="C2434" s="5" t="s">
        <v>18</v>
      </c>
      <c r="D2434" s="5" t="s">
        <v>19</v>
      </c>
      <c r="E2434" s="5" t="s">
        <v>124</v>
      </c>
      <c r="F2434" s="9">
        <v>12</v>
      </c>
      <c r="G2434" s="9">
        <v>150</v>
      </c>
      <c r="H2434" s="5" t="s">
        <v>21</v>
      </c>
      <c r="I2434" s="5" t="s">
        <v>5707</v>
      </c>
      <c r="J2434" s="12" t="str">
        <f>HYPERLINK("https://www.boe.es/gazeta/dias/1801/02/10/pdfs/GMD-1801-12.pdf#page=11","Abrir facsímil")</f>
        <v>Abrir facsímil</v>
      </c>
      <c r="K2434" s="15" t="s">
        <v>23</v>
      </c>
    </row>
    <row r="2435" spans="1:11" ht="42" customHeight="1">
      <c r="A2435" s="4" t="s">
        <v>5704</v>
      </c>
      <c r="B2435" s="5" t="s">
        <v>5705</v>
      </c>
      <c r="C2435" s="5" t="s">
        <v>32</v>
      </c>
      <c r="D2435" s="5" t="s">
        <v>33</v>
      </c>
      <c r="E2435" s="5" t="s">
        <v>781</v>
      </c>
      <c r="F2435" s="9">
        <v>14</v>
      </c>
      <c r="G2435" s="9">
        <v>175</v>
      </c>
      <c r="H2435" s="5" t="s">
        <v>21</v>
      </c>
      <c r="I2435" s="5" t="s">
        <v>5708</v>
      </c>
      <c r="J2435" s="12" t="str">
        <f>HYPERLINK("https://www.boe.es/gazeta/dias/1801/02/17/pdfs/GMD-1801-14.pdf#page=10","Abrir facsímil")</f>
        <v>Abrir facsímil</v>
      </c>
      <c r="K2435" s="15" t="s">
        <v>23</v>
      </c>
    </row>
    <row r="2436" spans="1:11" ht="42" customHeight="1">
      <c r="A2436" s="4" t="s">
        <v>5704</v>
      </c>
      <c r="B2436" s="5" t="s">
        <v>5705</v>
      </c>
      <c r="C2436" s="5" t="s">
        <v>18</v>
      </c>
      <c r="D2436" s="5" t="s">
        <v>19</v>
      </c>
      <c r="E2436" s="5" t="s">
        <v>161</v>
      </c>
      <c r="F2436" s="9">
        <v>58</v>
      </c>
      <c r="G2436" s="9">
        <v>665</v>
      </c>
      <c r="H2436" s="5" t="s">
        <v>21</v>
      </c>
      <c r="I2436" s="5" t="s">
        <v>5709</v>
      </c>
      <c r="J2436" s="12" t="str">
        <f>HYPERLINK("https://www.boe.es/gazeta/dias/1801/06/19/pdfs/GMD-1801-58.pdf#page=10","Abrir facsímil")</f>
        <v>Abrir facsímil</v>
      </c>
      <c r="K2436" s="15" t="s">
        <v>23</v>
      </c>
    </row>
    <row r="2437" spans="1:11" ht="42" customHeight="1">
      <c r="A2437" s="4" t="s">
        <v>5710</v>
      </c>
      <c r="B2437" s="5" t="s">
        <v>5711</v>
      </c>
      <c r="C2437" s="5" t="s">
        <v>18</v>
      </c>
      <c r="D2437" s="5" t="s">
        <v>19</v>
      </c>
      <c r="E2437" s="5" t="s">
        <v>321</v>
      </c>
      <c r="F2437" s="9">
        <v>3</v>
      </c>
      <c r="G2437" s="9">
        <v>35</v>
      </c>
      <c r="H2437" s="5" t="s">
        <v>21</v>
      </c>
      <c r="I2437" s="5" t="s">
        <v>5712</v>
      </c>
      <c r="J2437" s="12" t="str">
        <f>HYPERLINK("https://www.boe.es/gazeta/dias/1801/01/09/pdfs/GMD-1801-3.pdf#page=11","Abrir facsímil")</f>
        <v>Abrir facsímil</v>
      </c>
      <c r="K2437" s="15" t="s">
        <v>23</v>
      </c>
    </row>
    <row r="2438" spans="1:11" ht="42" customHeight="1">
      <c r="A2438" s="4" t="s">
        <v>5710</v>
      </c>
      <c r="B2438" s="5" t="s">
        <v>5711</v>
      </c>
      <c r="C2438" s="5" t="s">
        <v>32</v>
      </c>
      <c r="D2438" s="5" t="s">
        <v>33</v>
      </c>
      <c r="E2438" s="5" t="s">
        <v>97</v>
      </c>
      <c r="F2438" s="9">
        <v>31</v>
      </c>
      <c r="G2438" s="9">
        <v>403</v>
      </c>
      <c r="H2438" s="5" t="s">
        <v>21</v>
      </c>
      <c r="I2438" s="5" t="s">
        <v>5713</v>
      </c>
      <c r="J2438" s="12" t="str">
        <f>HYPERLINK("https://www.boe.es/gazeta/dias/1801/04/17/pdfs/GMD-1801-31.pdf#page=7","Abrir facsímil")</f>
        <v>Abrir facsímil</v>
      </c>
      <c r="K2438" s="15" t="s">
        <v>23</v>
      </c>
    </row>
    <row r="2439" spans="1:11" ht="42" customHeight="1">
      <c r="A2439" s="4" t="s">
        <v>5710</v>
      </c>
      <c r="B2439" s="5" t="s">
        <v>5711</v>
      </c>
      <c r="C2439" s="5" t="s">
        <v>18</v>
      </c>
      <c r="D2439" s="5" t="s">
        <v>19</v>
      </c>
      <c r="E2439" s="5" t="s">
        <v>72</v>
      </c>
      <c r="F2439" s="9">
        <v>60</v>
      </c>
      <c r="G2439" s="9">
        <v>690</v>
      </c>
      <c r="H2439" s="5" t="s">
        <v>21</v>
      </c>
      <c r="I2439" s="5" t="s">
        <v>5714</v>
      </c>
      <c r="J2439" s="12" t="str">
        <f>HYPERLINK("https://www.boe.es/gazeta/dias/1801/06/26/pdfs/GMD-1801-60.pdf#page=11","Abrir facsímil")</f>
        <v>Abrir facsímil</v>
      </c>
      <c r="K2439" s="15" t="s">
        <v>23</v>
      </c>
    </row>
    <row r="2440" spans="1:11" ht="42" customHeight="1">
      <c r="A2440" s="4" t="s">
        <v>5710</v>
      </c>
      <c r="B2440" s="5" t="s">
        <v>5711</v>
      </c>
      <c r="C2440" s="5" t="s">
        <v>32</v>
      </c>
      <c r="D2440" s="5" t="s">
        <v>33</v>
      </c>
      <c r="E2440" s="5" t="s">
        <v>28</v>
      </c>
      <c r="F2440" s="9">
        <v>77</v>
      </c>
      <c r="G2440" s="9">
        <v>866</v>
      </c>
      <c r="H2440" s="5" t="s">
        <v>21</v>
      </c>
      <c r="I2440" s="5" t="s">
        <v>5715</v>
      </c>
      <c r="J2440" s="12" t="str">
        <f>HYPERLINK("https://www.boe.es/gazeta/dias/1801/08/11/pdfs/GMD-1801-77.pdf#page=11","Abrir facsímil")</f>
        <v>Abrir facsímil</v>
      </c>
      <c r="K2440" s="15" t="s">
        <v>23</v>
      </c>
    </row>
    <row r="2441" spans="1:11" ht="42" customHeight="1">
      <c r="A2441" s="4" t="s">
        <v>5716</v>
      </c>
      <c r="B2441" s="5" t="s">
        <v>5717</v>
      </c>
      <c r="C2441" s="5" t="s">
        <v>26</v>
      </c>
      <c r="D2441" s="5" t="s">
        <v>27</v>
      </c>
      <c r="E2441" s="5" t="s">
        <v>126</v>
      </c>
      <c r="F2441" s="9">
        <v>13</v>
      </c>
      <c r="G2441" s="9">
        <v>165</v>
      </c>
      <c r="H2441" s="5" t="s">
        <v>21</v>
      </c>
      <c r="I2441" s="5" t="s">
        <v>5718</v>
      </c>
      <c r="J2441" s="12" t="str">
        <f>HYPERLINK("https://www.boe.es/gazeta/dias/1801/02/13/pdfs/GMD-1801-13.pdf#page=12","Abrir facsímil")</f>
        <v>Abrir facsímil</v>
      </c>
      <c r="K2441" s="15" t="s">
        <v>23</v>
      </c>
    </row>
    <row r="2442" spans="1:11" ht="42" customHeight="1">
      <c r="A2442" s="4" t="s">
        <v>5719</v>
      </c>
      <c r="B2442" s="5" t="s">
        <v>5720</v>
      </c>
      <c r="C2442" s="5" t="s">
        <v>32</v>
      </c>
      <c r="D2442" s="5" t="s">
        <v>33</v>
      </c>
      <c r="E2442" s="5" t="s">
        <v>120</v>
      </c>
      <c r="F2442" s="9">
        <v>7</v>
      </c>
      <c r="G2442" s="9">
        <v>84</v>
      </c>
      <c r="H2442" s="5" t="s">
        <v>21</v>
      </c>
      <c r="I2442" s="5" t="s">
        <v>5721</v>
      </c>
      <c r="J2442" s="12" t="str">
        <f>HYPERLINK("https://www.boe.es/gazeta/dias/1801/01/23/pdfs/GMD-1801-7.pdf#page=8","Abrir facsímil")</f>
        <v>Abrir facsímil</v>
      </c>
      <c r="K2442" s="15" t="s">
        <v>23</v>
      </c>
    </row>
    <row r="2443" spans="1:11" ht="42" customHeight="1">
      <c r="A2443" s="4" t="s">
        <v>5722</v>
      </c>
      <c r="B2443" s="5" t="s">
        <v>5723</v>
      </c>
      <c r="C2443" s="5" t="s">
        <v>26</v>
      </c>
      <c r="D2443" s="5" t="s">
        <v>27</v>
      </c>
      <c r="E2443" s="5" t="s">
        <v>292</v>
      </c>
      <c r="F2443" s="9">
        <v>25</v>
      </c>
      <c r="G2443" s="9">
        <v>333</v>
      </c>
      <c r="H2443" s="5" t="s">
        <v>21</v>
      </c>
      <c r="I2443" s="5" t="s">
        <v>5724</v>
      </c>
      <c r="J2443" s="12" t="str">
        <f>HYPERLINK("https://www.boe.es/gazeta/dias/1801/03/27/pdfs/GMD-1801-25.pdf#page=12","Abrir facsímil")</f>
        <v>Abrir facsímil</v>
      </c>
      <c r="K2443" s="15" t="s">
        <v>23</v>
      </c>
    </row>
    <row r="2444" spans="1:11" ht="42" customHeight="1">
      <c r="A2444" s="4" t="s">
        <v>5725</v>
      </c>
      <c r="B2444" s="5" t="s">
        <v>5726</v>
      </c>
      <c r="C2444" s="5" t="s">
        <v>69</v>
      </c>
      <c r="D2444" s="5" t="s">
        <v>19</v>
      </c>
      <c r="E2444" s="5" t="s">
        <v>77</v>
      </c>
      <c r="F2444" s="9">
        <v>93</v>
      </c>
      <c r="G2444" s="9">
        <v>1019</v>
      </c>
      <c r="H2444" s="5" t="s">
        <v>21</v>
      </c>
      <c r="I2444" s="5" t="s">
        <v>5727</v>
      </c>
      <c r="J2444" s="12" t="str">
        <f>HYPERLINK("https://www.boe.es/gazeta/dias/1801/09/29/pdfs/GMD-1801-93.pdf#page=6","Abrir facsímil")</f>
        <v>Abrir facsímil</v>
      </c>
      <c r="K2444" s="15" t="s">
        <v>23</v>
      </c>
    </row>
    <row r="2445" spans="1:11" ht="42" customHeight="1">
      <c r="A2445" s="4" t="s">
        <v>5728</v>
      </c>
      <c r="B2445" s="5" t="s">
        <v>5729</v>
      </c>
      <c r="C2445" s="5" t="s">
        <v>32</v>
      </c>
      <c r="D2445" s="5" t="s">
        <v>33</v>
      </c>
      <c r="E2445" s="5" t="s">
        <v>105</v>
      </c>
      <c r="F2445" s="9">
        <v>44</v>
      </c>
      <c r="G2445" s="9">
        <v>542</v>
      </c>
      <c r="H2445" s="5" t="s">
        <v>21</v>
      </c>
      <c r="I2445" s="5" t="s">
        <v>5730</v>
      </c>
      <c r="J2445" s="12" t="str">
        <f>HYPERLINK("https://www.boe.es/gazeta/dias/1801/05/29/pdfs/GMD-1801-44.pdf#page=2","Abrir facsímil")</f>
        <v>Abrir facsímil</v>
      </c>
      <c r="K2445" s="15" t="s">
        <v>23</v>
      </c>
    </row>
    <row r="2446" spans="1:11" ht="42" customHeight="1">
      <c r="A2446" s="4" t="s">
        <v>5731</v>
      </c>
      <c r="B2446" s="5" t="s">
        <v>5732</v>
      </c>
      <c r="C2446" s="5" t="s">
        <v>32</v>
      </c>
      <c r="D2446" s="5" t="s">
        <v>33</v>
      </c>
      <c r="E2446" s="5" t="s">
        <v>313</v>
      </c>
      <c r="F2446" s="9">
        <v>39</v>
      </c>
      <c r="G2446" s="9">
        <v>499</v>
      </c>
      <c r="H2446" s="5" t="s">
        <v>21</v>
      </c>
      <c r="I2446" s="5" t="s">
        <v>5733</v>
      </c>
      <c r="J2446" s="12" t="str">
        <f>HYPERLINK("https://www.boe.es/gazeta/dias/1801/05/15/pdfs/GMD-1801-39.pdf#page=3","Abrir facsímil")</f>
        <v>Abrir facsímil</v>
      </c>
      <c r="K2446" s="15" t="s">
        <v>23</v>
      </c>
    </row>
    <row r="2447" spans="1:11" ht="42" customHeight="1">
      <c r="A2447" s="4" t="s">
        <v>5731</v>
      </c>
      <c r="B2447" s="5" t="s">
        <v>5732</v>
      </c>
      <c r="C2447" s="5" t="s">
        <v>75</v>
      </c>
      <c r="D2447" s="5" t="s">
        <v>76</v>
      </c>
      <c r="E2447" s="5" t="s">
        <v>615</v>
      </c>
      <c r="F2447" s="9">
        <v>72</v>
      </c>
      <c r="G2447" s="9">
        <v>798</v>
      </c>
      <c r="H2447" s="5" t="s">
        <v>21</v>
      </c>
      <c r="I2447" s="5" t="s">
        <v>5734</v>
      </c>
      <c r="J2447" s="12" t="str">
        <f>HYPERLINK("https://www.boe.es/gazeta/dias/1801/07/24/pdfs/GMD-1801-72.pdf#page=3","Abrir facsímil")</f>
        <v>Abrir facsímil</v>
      </c>
      <c r="K2447" s="15" t="s">
        <v>23</v>
      </c>
    </row>
    <row r="2448" spans="1:11" ht="42" customHeight="1">
      <c r="A2448" s="4" t="s">
        <v>5735</v>
      </c>
      <c r="B2448" s="5" t="s">
        <v>5736</v>
      </c>
      <c r="C2448" s="5" t="s">
        <v>75</v>
      </c>
      <c r="D2448" s="5" t="s">
        <v>76</v>
      </c>
      <c r="E2448" s="5" t="s">
        <v>50</v>
      </c>
      <c r="F2448" s="9">
        <v>29</v>
      </c>
      <c r="G2448" s="9">
        <v>375</v>
      </c>
      <c r="H2448" s="5" t="s">
        <v>21</v>
      </c>
      <c r="I2448" s="5" t="s">
        <v>5737</v>
      </c>
      <c r="J2448" s="12" t="str">
        <f>HYPERLINK("https://www.boe.es/gazeta/dias/1801/04/10/pdfs/GMD-1801-29.pdf#page=3","Abrir facsímil")</f>
        <v>Abrir facsímil</v>
      </c>
      <c r="K2448" s="15" t="s">
        <v>23</v>
      </c>
    </row>
    <row r="2449" spans="1:11" ht="42" customHeight="1">
      <c r="A2449" s="4" t="s">
        <v>5738</v>
      </c>
      <c r="B2449" s="5" t="s">
        <v>5739</v>
      </c>
      <c r="C2449" s="5" t="s">
        <v>32</v>
      </c>
      <c r="D2449" s="5" t="s">
        <v>33</v>
      </c>
      <c r="E2449" s="5" t="s">
        <v>105</v>
      </c>
      <c r="F2449" s="9">
        <v>44</v>
      </c>
      <c r="G2449" s="9">
        <v>542</v>
      </c>
      <c r="H2449" s="5" t="s">
        <v>21</v>
      </c>
      <c r="I2449" s="5" t="s">
        <v>5740</v>
      </c>
      <c r="J2449" s="12" t="str">
        <f>HYPERLINK("https://www.boe.es/gazeta/dias/1801/05/29/pdfs/GMD-1801-44.pdf#page=2","Abrir facsímil")</f>
        <v>Abrir facsímil</v>
      </c>
      <c r="K2449" s="15" t="s">
        <v>23</v>
      </c>
    </row>
    <row r="2450" spans="1:11" ht="42" customHeight="1">
      <c r="A2450" s="4" t="s">
        <v>5741</v>
      </c>
      <c r="B2450" s="5" t="s">
        <v>5742</v>
      </c>
      <c r="C2450" s="5" t="s">
        <v>69</v>
      </c>
      <c r="D2450" s="5" t="s">
        <v>19</v>
      </c>
      <c r="E2450" s="5" t="s">
        <v>465</v>
      </c>
      <c r="F2450" s="9">
        <v>4</v>
      </c>
      <c r="G2450" s="9">
        <v>46</v>
      </c>
      <c r="H2450" s="5" t="s">
        <v>21</v>
      </c>
      <c r="I2450" s="5" t="s">
        <v>5743</v>
      </c>
      <c r="J2450" s="12" t="str">
        <f>HYPERLINK("https://www.boe.es/gazeta/dias/1801/01/13/pdfs/GMD-1801-4.pdf#page=10","Abrir facsímil")</f>
        <v>Abrir facsímil</v>
      </c>
      <c r="K2450" s="15" t="s">
        <v>23</v>
      </c>
    </row>
    <row r="2451" spans="1:11" ht="42" customHeight="1">
      <c r="A2451" s="4" t="s">
        <v>5744</v>
      </c>
      <c r="B2451" s="5" t="s">
        <v>5745</v>
      </c>
      <c r="C2451" s="5" t="s">
        <v>38</v>
      </c>
      <c r="D2451" s="5" t="s">
        <v>39</v>
      </c>
      <c r="E2451" s="5" t="s">
        <v>615</v>
      </c>
      <c r="F2451" s="9">
        <v>72</v>
      </c>
      <c r="G2451" s="9">
        <v>803</v>
      </c>
      <c r="H2451" s="5" t="s">
        <v>21</v>
      </c>
      <c r="I2451" s="5" t="s">
        <v>5746</v>
      </c>
      <c r="J2451" s="12" t="str">
        <f>HYPERLINK("https://www.boe.es/gazeta/dias/1801/07/24/pdfs/GMD-1801-72.pdf#page=8","Abrir facsímil")</f>
        <v>Abrir facsímil</v>
      </c>
      <c r="K2451" s="15" t="s">
        <v>23</v>
      </c>
    </row>
    <row r="2452" spans="1:11" ht="42" customHeight="1">
      <c r="A2452" s="4" t="s">
        <v>5747</v>
      </c>
      <c r="B2452" s="5" t="s">
        <v>5748</v>
      </c>
      <c r="C2452" s="5" t="s">
        <v>32</v>
      </c>
      <c r="D2452" s="5" t="s">
        <v>33</v>
      </c>
      <c r="E2452" s="5" t="s">
        <v>153</v>
      </c>
      <c r="F2452" s="9">
        <v>48</v>
      </c>
      <c r="G2452" s="9">
        <v>584</v>
      </c>
      <c r="H2452" s="5" t="s">
        <v>21</v>
      </c>
      <c r="I2452" s="5" t="s">
        <v>5749</v>
      </c>
      <c r="J2452" s="12" t="str">
        <f>HYPERLINK("https://www.boe.es/gazeta/dias/1801/06/05/pdfs/GMD-1801-48.pdf#page=6","Abrir facsímil")</f>
        <v>Abrir facsímil</v>
      </c>
      <c r="K2452" s="15" t="s">
        <v>23</v>
      </c>
    </row>
    <row r="2453" spans="1:11" ht="42" customHeight="1">
      <c r="A2453" s="4" t="s">
        <v>5747</v>
      </c>
      <c r="B2453" s="5" t="s">
        <v>5748</v>
      </c>
      <c r="C2453" s="5" t="s">
        <v>32</v>
      </c>
      <c r="D2453" s="5" t="s">
        <v>33</v>
      </c>
      <c r="E2453" s="5" t="s">
        <v>256</v>
      </c>
      <c r="F2453" s="9">
        <v>78</v>
      </c>
      <c r="G2453" s="9">
        <v>881</v>
      </c>
      <c r="H2453" s="5" t="s">
        <v>21</v>
      </c>
      <c r="I2453" s="5" t="s">
        <v>5750</v>
      </c>
      <c r="J2453" s="12" t="str">
        <f>HYPERLINK("https://www.boe.es/gazeta/dias/1801/08/14/pdfs/GMD-1801-78.pdf#page=10","Abrir facsímil")</f>
        <v>Abrir facsímil</v>
      </c>
      <c r="K2453" s="15" t="s">
        <v>23</v>
      </c>
    </row>
    <row r="2454" spans="1:11" ht="42" customHeight="1">
      <c r="A2454" s="4" t="s">
        <v>5751</v>
      </c>
      <c r="B2454" s="5" t="s">
        <v>5752</v>
      </c>
      <c r="C2454" s="5" t="s">
        <v>26</v>
      </c>
      <c r="D2454" s="5" t="s">
        <v>27</v>
      </c>
      <c r="E2454" s="5" t="s">
        <v>501</v>
      </c>
      <c r="F2454" s="9">
        <v>115</v>
      </c>
      <c r="G2454" s="9" t="s">
        <v>299</v>
      </c>
      <c r="H2454" s="5" t="s">
        <v>21</v>
      </c>
      <c r="I2454" s="5" t="s">
        <v>5753</v>
      </c>
      <c r="J2454" s="12" t="str">
        <f>HYPERLINK("https://www.boe.es/gazeta/dias/1801/12/15/pdfs/GMD-C-1801-115.pdf#page=5","Abrir facsímil")</f>
        <v>Abrir facsímil</v>
      </c>
      <c r="K2454" s="15" t="s">
        <v>23</v>
      </c>
    </row>
    <row r="2455" spans="1:11" ht="42" customHeight="1">
      <c r="A2455" s="4" t="s">
        <v>5754</v>
      </c>
      <c r="B2455" s="5" t="s">
        <v>5755</v>
      </c>
      <c r="C2455" s="5" t="s">
        <v>26</v>
      </c>
      <c r="D2455" s="5" t="s">
        <v>27</v>
      </c>
      <c r="E2455" s="5" t="s">
        <v>28</v>
      </c>
      <c r="F2455" s="9">
        <v>77</v>
      </c>
      <c r="G2455" s="9">
        <v>867</v>
      </c>
      <c r="H2455" s="5" t="s">
        <v>21</v>
      </c>
      <c r="I2455" s="5" t="s">
        <v>5756</v>
      </c>
      <c r="J2455" s="12" t="str">
        <f>HYPERLINK("https://www.boe.es/gazeta/dias/1801/08/11/pdfs/GMD-1801-77.pdf#page=12","Abrir facsímil")</f>
        <v>Abrir facsímil</v>
      </c>
      <c r="K2455" s="15" t="s">
        <v>23</v>
      </c>
    </row>
    <row r="2456" spans="1:11" ht="42" customHeight="1">
      <c r="A2456" s="4" t="s">
        <v>5757</v>
      </c>
      <c r="B2456" s="5" t="s">
        <v>5758</v>
      </c>
      <c r="C2456" s="5" t="s">
        <v>32</v>
      </c>
      <c r="D2456" s="5" t="s">
        <v>33</v>
      </c>
      <c r="E2456" s="5" t="s">
        <v>124</v>
      </c>
      <c r="F2456" s="9">
        <v>12</v>
      </c>
      <c r="G2456" s="9">
        <v>149</v>
      </c>
      <c r="H2456" s="5" t="s">
        <v>21</v>
      </c>
      <c r="I2456" s="5" t="s">
        <v>5759</v>
      </c>
      <c r="J2456" s="12" t="str">
        <f>HYPERLINK("https://www.boe.es/gazeta/dias/1801/02/10/pdfs/GMD-1801-12.pdf#page=10","Abrir facsímil")</f>
        <v>Abrir facsímil</v>
      </c>
      <c r="K2456" s="15" t="s">
        <v>23</v>
      </c>
    </row>
    <row r="2457" spans="1:11" ht="42" customHeight="1">
      <c r="A2457" s="4" t="s">
        <v>5760</v>
      </c>
      <c r="B2457" s="5" t="s">
        <v>5761</v>
      </c>
      <c r="C2457" s="5" t="s">
        <v>38</v>
      </c>
      <c r="D2457" s="5" t="s">
        <v>39</v>
      </c>
      <c r="E2457" s="5" t="s">
        <v>349</v>
      </c>
      <c r="F2457" s="9">
        <v>112</v>
      </c>
      <c r="G2457" s="9">
        <v>1226</v>
      </c>
      <c r="H2457" s="5" t="s">
        <v>21</v>
      </c>
      <c r="I2457" s="5" t="s">
        <v>5762</v>
      </c>
      <c r="J2457" s="12" t="str">
        <f>HYPERLINK("https://www.boe.es/gazeta/dias/1801/12/04/pdfs/GMD-1801-112.pdf#page=7","Abrir facsímil")</f>
        <v>Abrir facsímil</v>
      </c>
      <c r="K2457" s="15" t="s">
        <v>23</v>
      </c>
    </row>
    <row r="2458" spans="1:11" ht="42" customHeight="1">
      <c r="A2458" s="4" t="s">
        <v>5763</v>
      </c>
      <c r="B2458" s="5" t="s">
        <v>5764</v>
      </c>
      <c r="C2458" s="5" t="s">
        <v>32</v>
      </c>
      <c r="D2458" s="5" t="s">
        <v>33</v>
      </c>
      <c r="E2458" s="5" t="s">
        <v>462</v>
      </c>
      <c r="F2458" s="9">
        <v>5</v>
      </c>
      <c r="G2458" s="9">
        <v>57</v>
      </c>
      <c r="H2458" s="5" t="s">
        <v>21</v>
      </c>
      <c r="I2458" s="5" t="s">
        <v>5765</v>
      </c>
      <c r="J2458" s="12" t="str">
        <f>HYPERLINK("https://www.boe.es/gazeta/dias/1801/01/16/pdfs/GMD-1801-5.pdf#page=9","Abrir facsímil")</f>
        <v>Abrir facsímil</v>
      </c>
      <c r="K2458" s="15" t="s">
        <v>23</v>
      </c>
    </row>
    <row r="2459" spans="1:11" ht="42" customHeight="1">
      <c r="A2459" s="4" t="s">
        <v>5766</v>
      </c>
      <c r="B2459" s="5" t="s">
        <v>5767</v>
      </c>
      <c r="C2459" s="5" t="s">
        <v>32</v>
      </c>
      <c r="D2459" s="5" t="s">
        <v>33</v>
      </c>
      <c r="E2459" s="5" t="s">
        <v>262</v>
      </c>
      <c r="F2459" s="9">
        <v>109</v>
      </c>
      <c r="G2459" s="9">
        <v>1204</v>
      </c>
      <c r="H2459" s="5" t="s">
        <v>21</v>
      </c>
      <c r="I2459" s="5" t="s">
        <v>5768</v>
      </c>
      <c r="J2459" s="12" t="str">
        <f>HYPERLINK("https://www.boe.es/gazeta/dias/1801/11/24/pdfs/GMD-1801-109.pdf#page=9","Abrir facsímil")</f>
        <v>Abrir facsímil</v>
      </c>
      <c r="K2459" s="15" t="s">
        <v>23</v>
      </c>
    </row>
    <row r="2460" spans="1:11" ht="42" customHeight="1">
      <c r="A2460" s="4" t="s">
        <v>5769</v>
      </c>
      <c r="B2460" s="5" t="s">
        <v>5770</v>
      </c>
      <c r="C2460" s="5" t="s">
        <v>32</v>
      </c>
      <c r="D2460" s="5" t="s">
        <v>33</v>
      </c>
      <c r="E2460" s="5" t="s">
        <v>171</v>
      </c>
      <c r="F2460" s="9">
        <v>76</v>
      </c>
      <c r="G2460" s="9">
        <v>853</v>
      </c>
      <c r="H2460" s="5" t="s">
        <v>21</v>
      </c>
      <c r="I2460" s="5" t="s">
        <v>5771</v>
      </c>
      <c r="J2460" s="12" t="str">
        <f>HYPERLINK("https://www.boe.es/gazeta/dias/1801/08/07/pdfs/GMD-1801-76.pdf#page=10","Abrir facsímil")</f>
        <v>Abrir facsímil</v>
      </c>
      <c r="K2460" s="15" t="s">
        <v>23</v>
      </c>
    </row>
    <row r="2461" spans="1:11" ht="42" customHeight="1">
      <c r="A2461" s="4" t="s">
        <v>5772</v>
      </c>
      <c r="B2461" s="5" t="s">
        <v>5773</v>
      </c>
      <c r="C2461" s="5" t="s">
        <v>38</v>
      </c>
      <c r="D2461" s="5" t="s">
        <v>39</v>
      </c>
      <c r="E2461" s="5" t="s">
        <v>321</v>
      </c>
      <c r="F2461" s="9">
        <v>3</v>
      </c>
      <c r="G2461" s="9">
        <v>35</v>
      </c>
      <c r="H2461" s="5" t="s">
        <v>21</v>
      </c>
      <c r="I2461" s="5" t="s">
        <v>5774</v>
      </c>
      <c r="J2461" s="12" t="str">
        <f>HYPERLINK("https://www.boe.es/gazeta/dias/1801/01/09/pdfs/GMD-1801-3.pdf#page=11","Abrir facsímil")</f>
        <v>Abrir facsímil</v>
      </c>
      <c r="K2461" s="15" t="s">
        <v>23</v>
      </c>
    </row>
    <row r="2462" spans="1:11" ht="42" customHeight="1">
      <c r="A2462" s="4" t="s">
        <v>5775</v>
      </c>
      <c r="B2462" s="5" t="s">
        <v>5776</v>
      </c>
      <c r="C2462" s="5" t="s">
        <v>69</v>
      </c>
      <c r="D2462" s="5" t="s">
        <v>19</v>
      </c>
      <c r="E2462" s="5" t="s">
        <v>349</v>
      </c>
      <c r="F2462" s="9">
        <v>112</v>
      </c>
      <c r="G2462" s="9">
        <v>1226</v>
      </c>
      <c r="H2462" s="5" t="s">
        <v>21</v>
      </c>
      <c r="I2462" s="5" t="s">
        <v>5777</v>
      </c>
      <c r="J2462" s="12" t="str">
        <f>HYPERLINK("https://www.boe.es/gazeta/dias/1801/12/04/pdfs/GMD-1801-112.pdf#page=7","Abrir facsímil")</f>
        <v>Abrir facsímil</v>
      </c>
      <c r="K2462" s="15" t="s">
        <v>23</v>
      </c>
    </row>
    <row r="2463" spans="1:11" ht="42" customHeight="1">
      <c r="A2463" s="4" t="s">
        <v>5778</v>
      </c>
      <c r="B2463" s="5" t="s">
        <v>5779</v>
      </c>
      <c r="C2463" s="5" t="s">
        <v>32</v>
      </c>
      <c r="D2463" s="5" t="s">
        <v>33</v>
      </c>
      <c r="E2463" s="5" t="s">
        <v>349</v>
      </c>
      <c r="F2463" s="9">
        <v>112</v>
      </c>
      <c r="G2463" s="9">
        <v>1225</v>
      </c>
      <c r="H2463" s="5" t="s">
        <v>21</v>
      </c>
      <c r="I2463" s="5" t="s">
        <v>5780</v>
      </c>
      <c r="J2463" s="12" t="str">
        <f>HYPERLINK("https://www.boe.es/gazeta/dias/1801/12/04/pdfs/GMD-1801-112.pdf#page=6","Abrir facsímil")</f>
        <v>Abrir facsímil</v>
      </c>
      <c r="K2463" s="15" t="s">
        <v>23</v>
      </c>
    </row>
    <row r="2464" spans="1:11" ht="42" customHeight="1">
      <c r="A2464" s="4" t="s">
        <v>5781</v>
      </c>
      <c r="B2464" s="5" t="s">
        <v>5782</v>
      </c>
      <c r="C2464" s="5" t="s">
        <v>32</v>
      </c>
      <c r="D2464" s="5" t="s">
        <v>33</v>
      </c>
      <c r="E2464" s="5" t="s">
        <v>70</v>
      </c>
      <c r="F2464" s="9">
        <v>2</v>
      </c>
      <c r="G2464" s="9">
        <v>21</v>
      </c>
      <c r="H2464" s="5" t="s">
        <v>21</v>
      </c>
      <c r="I2464" s="5" t="s">
        <v>5783</v>
      </c>
      <c r="J2464" s="12" t="str">
        <f>HYPERLINK("https://www.boe.es/gazeta/dias/1801/01/06/pdfs/GMD-1801-2.pdf#page=9","Abrir facsímil")</f>
        <v>Abrir facsímil</v>
      </c>
      <c r="K2464" s="15" t="s">
        <v>23</v>
      </c>
    </row>
    <row r="2465" spans="1:11" ht="42" customHeight="1">
      <c r="A2465" s="4" t="s">
        <v>5784</v>
      </c>
      <c r="B2465" s="5" t="s">
        <v>5785</v>
      </c>
      <c r="C2465" s="5" t="s">
        <v>32</v>
      </c>
      <c r="D2465" s="5" t="s">
        <v>33</v>
      </c>
      <c r="E2465" s="5" t="s">
        <v>313</v>
      </c>
      <c r="F2465" s="9">
        <v>39</v>
      </c>
      <c r="G2465" s="9">
        <v>505</v>
      </c>
      <c r="H2465" s="5" t="s">
        <v>21</v>
      </c>
      <c r="I2465" s="5" t="s">
        <v>5786</v>
      </c>
      <c r="J2465" s="12" t="str">
        <f>HYPERLINK("https://www.boe.es/gazeta/dias/1801/05/15/pdfs/GMD-1801-39.pdf#page=9","Abrir facsímil")</f>
        <v>Abrir facsímil</v>
      </c>
      <c r="K2465" s="15" t="s">
        <v>23</v>
      </c>
    </row>
    <row r="2466" spans="1:11" ht="42" customHeight="1">
      <c r="A2466" s="4" t="s">
        <v>5784</v>
      </c>
      <c r="B2466" s="5" t="s">
        <v>5785</v>
      </c>
      <c r="C2466" s="5" t="s">
        <v>32</v>
      </c>
      <c r="D2466" s="5" t="s">
        <v>33</v>
      </c>
      <c r="E2466" s="5" t="s">
        <v>453</v>
      </c>
      <c r="F2466" s="9">
        <v>100</v>
      </c>
      <c r="G2466" s="9">
        <v>1101</v>
      </c>
      <c r="H2466" s="5" t="s">
        <v>21</v>
      </c>
      <c r="I2466" s="5" t="s">
        <v>5787</v>
      </c>
      <c r="J2466" s="12" t="str">
        <f>HYPERLINK("https://www.boe.es/gazeta/dias/1801/10/23/pdfs/GMD-1801-100.pdf#page=10","Abrir facsímil")</f>
        <v>Abrir facsímil</v>
      </c>
      <c r="K2466" s="15" t="s">
        <v>23</v>
      </c>
    </row>
    <row r="2467" spans="1:11" ht="42" customHeight="1">
      <c r="A2467" s="4" t="s">
        <v>5788</v>
      </c>
      <c r="B2467" s="5" t="s">
        <v>5789</v>
      </c>
      <c r="C2467" s="5" t="s">
        <v>32</v>
      </c>
      <c r="D2467" s="5" t="s">
        <v>33</v>
      </c>
      <c r="E2467" s="5" t="s">
        <v>131</v>
      </c>
      <c r="F2467" s="9">
        <v>22</v>
      </c>
      <c r="G2467" s="9">
        <v>289</v>
      </c>
      <c r="H2467" s="5" t="s">
        <v>21</v>
      </c>
      <c r="I2467" s="5" t="s">
        <v>5790</v>
      </c>
      <c r="J2467" s="12" t="str">
        <f>HYPERLINK("https://www.boe.es/gazeta/dias/1801/03/17/pdfs/GMD-1801-22.pdf#page=6","Abrir facsímil")</f>
        <v>Abrir facsímil</v>
      </c>
      <c r="K2467" s="15" t="s">
        <v>23</v>
      </c>
    </row>
    <row r="2468" spans="1:11" ht="42" customHeight="1">
      <c r="A2468" s="4" t="s">
        <v>5791</v>
      </c>
      <c r="B2468" s="5" t="s">
        <v>5792</v>
      </c>
      <c r="C2468" s="5" t="s">
        <v>75</v>
      </c>
      <c r="D2468" s="5" t="s">
        <v>76</v>
      </c>
      <c r="E2468" s="5" t="s">
        <v>266</v>
      </c>
      <c r="F2468" s="9">
        <v>119</v>
      </c>
      <c r="G2468" s="9">
        <v>1298</v>
      </c>
      <c r="H2468" s="5" t="s">
        <v>21</v>
      </c>
      <c r="I2468" s="5" t="s">
        <v>5793</v>
      </c>
      <c r="J2468" s="12" t="str">
        <f>HYPERLINK("https://www.boe.es/gazeta/dias/1801/12/29/pdfs/GMD-1801-119.pdf#page=2","Abrir facsímil")</f>
        <v>Abrir facsímil</v>
      </c>
      <c r="K2468" s="15" t="s">
        <v>23</v>
      </c>
    </row>
    <row r="2469" spans="1:11" ht="42" customHeight="1">
      <c r="A2469" s="4" t="s">
        <v>5794</v>
      </c>
      <c r="B2469" s="5" t="s">
        <v>5795</v>
      </c>
      <c r="C2469" s="5" t="s">
        <v>38</v>
      </c>
      <c r="D2469" s="5" t="s">
        <v>39</v>
      </c>
      <c r="E2469" s="5" t="s">
        <v>155</v>
      </c>
      <c r="F2469" s="9">
        <v>50</v>
      </c>
      <c r="G2469" s="9">
        <v>598</v>
      </c>
      <c r="H2469" s="5" t="s">
        <v>21</v>
      </c>
      <c r="I2469" s="5" t="s">
        <v>5796</v>
      </c>
      <c r="J2469" s="12" t="str">
        <f>HYPERLINK("https://www.boe.es/gazeta/dias/1801/06/09/pdfs/GMD-1801-50.pdf#page=10","Abrir facsímil")</f>
        <v>Abrir facsímil</v>
      </c>
      <c r="K2469" s="15" t="s">
        <v>23</v>
      </c>
    </row>
    <row r="2470" spans="1:11" ht="42" customHeight="1">
      <c r="A2470" s="4" t="s">
        <v>5797</v>
      </c>
      <c r="B2470" s="5" t="s">
        <v>5798</v>
      </c>
      <c r="C2470" s="5" t="s">
        <v>69</v>
      </c>
      <c r="D2470" s="5" t="s">
        <v>19</v>
      </c>
      <c r="E2470" s="5" t="s">
        <v>781</v>
      </c>
      <c r="F2470" s="9">
        <v>14</v>
      </c>
      <c r="G2470" s="9">
        <v>173</v>
      </c>
      <c r="H2470" s="5" t="s">
        <v>21</v>
      </c>
      <c r="I2470" s="5" t="s">
        <v>5799</v>
      </c>
      <c r="J2470" s="12" t="str">
        <f>HYPERLINK("https://www.boe.es/gazeta/dias/1801/02/17/pdfs/GMD-1801-14.pdf#page=8","Abrir facsímil")</f>
        <v>Abrir facsímil</v>
      </c>
      <c r="K2470" s="15" t="s">
        <v>23</v>
      </c>
    </row>
    <row r="2471" spans="1:11" ht="42" customHeight="1">
      <c r="A2471" s="4" t="s">
        <v>5800</v>
      </c>
      <c r="B2471" s="5" t="s">
        <v>5801</v>
      </c>
      <c r="C2471" s="5" t="s">
        <v>26</v>
      </c>
      <c r="D2471" s="5" t="s">
        <v>27</v>
      </c>
      <c r="E2471" s="5" t="s">
        <v>112</v>
      </c>
      <c r="F2471" s="9">
        <v>114</v>
      </c>
      <c r="G2471" s="9">
        <v>1250</v>
      </c>
      <c r="H2471" s="5" t="s">
        <v>21</v>
      </c>
      <c r="I2471" s="5" t="s">
        <v>5802</v>
      </c>
      <c r="J2471" s="12" t="str">
        <f>HYPERLINK("https://www.boe.es/gazeta/dias/1801/12/11/pdfs/GMD-1801-114.pdf#page=12","Abrir facsímil")</f>
        <v>Abrir facsímil</v>
      </c>
      <c r="K2471" s="15" t="s">
        <v>23</v>
      </c>
    </row>
    <row r="2472" spans="1:11" ht="42" customHeight="1">
      <c r="A2472" s="4" t="s">
        <v>5803</v>
      </c>
      <c r="B2472" s="5" t="s">
        <v>5804</v>
      </c>
      <c r="C2472" s="5" t="s">
        <v>38</v>
      </c>
      <c r="D2472" s="5" t="s">
        <v>39</v>
      </c>
      <c r="E2472" s="5" t="s">
        <v>161</v>
      </c>
      <c r="F2472" s="9">
        <v>58</v>
      </c>
      <c r="G2472" s="9">
        <v>663</v>
      </c>
      <c r="H2472" s="5" t="s">
        <v>21</v>
      </c>
      <c r="I2472" s="5" t="s">
        <v>5805</v>
      </c>
      <c r="J2472" s="12" t="str">
        <f>HYPERLINK("https://www.boe.es/gazeta/dias/1801/06/19/pdfs/GMD-1801-58.pdf#page=8","Abrir facsímil")</f>
        <v>Abrir facsímil</v>
      </c>
      <c r="K2472" s="15" t="s">
        <v>23</v>
      </c>
    </row>
    <row r="2473" spans="1:11" ht="42" customHeight="1">
      <c r="A2473" s="4" t="s">
        <v>5806</v>
      </c>
      <c r="B2473" s="5" t="s">
        <v>5807</v>
      </c>
      <c r="C2473" s="5" t="s">
        <v>32</v>
      </c>
      <c r="D2473" s="5" t="s">
        <v>33</v>
      </c>
      <c r="E2473" s="5" t="s">
        <v>256</v>
      </c>
      <c r="F2473" s="9">
        <v>78</v>
      </c>
      <c r="G2473" s="9">
        <v>882</v>
      </c>
      <c r="H2473" s="5" t="s">
        <v>21</v>
      </c>
      <c r="I2473" s="5" t="s">
        <v>5808</v>
      </c>
      <c r="J2473" s="12" t="str">
        <f>HYPERLINK("https://www.boe.es/gazeta/dias/1801/08/14/pdfs/GMD-1801-78.pdf#page=11","Abrir facsímil")</f>
        <v>Abrir facsímil</v>
      </c>
      <c r="K2473" s="15" t="s">
        <v>23</v>
      </c>
    </row>
    <row r="2474" spans="1:11" ht="42" customHeight="1">
      <c r="A2474" s="4" t="s">
        <v>5809</v>
      </c>
      <c r="B2474" s="5" t="s">
        <v>5810</v>
      </c>
      <c r="C2474" s="5" t="s">
        <v>69</v>
      </c>
      <c r="D2474" s="5" t="s">
        <v>19</v>
      </c>
      <c r="E2474" s="5" t="s">
        <v>34</v>
      </c>
      <c r="F2474" s="9">
        <v>38</v>
      </c>
      <c r="G2474" s="9">
        <v>493</v>
      </c>
      <c r="H2474" s="5" t="s">
        <v>21</v>
      </c>
      <c r="I2474" s="5" t="s">
        <v>5811</v>
      </c>
      <c r="J2474" s="12" t="str">
        <f>HYPERLINK("https://www.boe.es/gazeta/dias/1801/05/12/pdfs/GMD-1801-38.pdf#page=9","Abrir facsímil")</f>
        <v>Abrir facsímil</v>
      </c>
      <c r="K2474" s="15" t="s">
        <v>23</v>
      </c>
    </row>
    <row r="2475" spans="1:11" ht="42" customHeight="1">
      <c r="A2475" s="4" t="s">
        <v>5812</v>
      </c>
      <c r="B2475" s="5" t="s">
        <v>5813</v>
      </c>
      <c r="C2475" s="5" t="s">
        <v>32</v>
      </c>
      <c r="D2475" s="5" t="s">
        <v>33</v>
      </c>
      <c r="E2475" s="5" t="s">
        <v>448</v>
      </c>
      <c r="F2475" s="9">
        <v>35</v>
      </c>
      <c r="G2475" s="9">
        <v>454</v>
      </c>
      <c r="H2475" s="5" t="s">
        <v>21</v>
      </c>
      <c r="I2475" s="5" t="s">
        <v>5814</v>
      </c>
      <c r="J2475" s="12" t="str">
        <f>HYPERLINK("https://www.boe.es/gazeta/dias/1801/05/01/pdfs/GMD-1801-35.pdf#page=10","Abrir facsímil")</f>
        <v>Abrir facsímil</v>
      </c>
      <c r="K2475" s="15" t="s">
        <v>23</v>
      </c>
    </row>
    <row r="2476" spans="1:11" ht="42" customHeight="1">
      <c r="A2476" s="4" t="s">
        <v>5815</v>
      </c>
      <c r="B2476" s="5" t="s">
        <v>5816</v>
      </c>
      <c r="C2476" s="5" t="s">
        <v>32</v>
      </c>
      <c r="D2476" s="5" t="s">
        <v>33</v>
      </c>
      <c r="E2476" s="5" t="s">
        <v>505</v>
      </c>
      <c r="F2476" s="9">
        <v>94</v>
      </c>
      <c r="G2476" s="9">
        <v>1033</v>
      </c>
      <c r="H2476" s="5" t="s">
        <v>21</v>
      </c>
      <c r="I2476" s="5" t="s">
        <v>5817</v>
      </c>
      <c r="J2476" s="12" t="str">
        <f>HYPERLINK("https://www.boe.es/gazeta/dias/1801/10/02/pdfs/GMD-1801-94.pdf#page=9","Abrir facsímil")</f>
        <v>Abrir facsímil</v>
      </c>
      <c r="K2476" s="15" t="s">
        <v>23</v>
      </c>
    </row>
    <row r="2477" spans="1:11" ht="42" customHeight="1">
      <c r="A2477" s="4" t="s">
        <v>5818</v>
      </c>
      <c r="B2477" s="5" t="s">
        <v>5819</v>
      </c>
      <c r="C2477" s="5" t="s">
        <v>32</v>
      </c>
      <c r="D2477" s="5" t="s">
        <v>33</v>
      </c>
      <c r="E2477" s="5" t="s">
        <v>615</v>
      </c>
      <c r="F2477" s="9">
        <v>72</v>
      </c>
      <c r="G2477" s="9">
        <v>805</v>
      </c>
      <c r="H2477" s="5" t="s">
        <v>21</v>
      </c>
      <c r="I2477" s="5" t="s">
        <v>5820</v>
      </c>
      <c r="J2477" s="12" t="str">
        <f>HYPERLINK("https://www.boe.es/gazeta/dias/1801/07/24/pdfs/GMD-1801-72.pdf#page=10","Abrir facsímil")</f>
        <v>Abrir facsímil</v>
      </c>
      <c r="K2477" s="15" t="s">
        <v>23</v>
      </c>
    </row>
    <row r="2478" spans="1:11" ht="42" customHeight="1">
      <c r="A2478" s="4" t="s">
        <v>5821</v>
      </c>
      <c r="B2478" s="5" t="s">
        <v>5822</v>
      </c>
      <c r="C2478" s="5" t="s">
        <v>32</v>
      </c>
      <c r="D2478" s="5" t="s">
        <v>33</v>
      </c>
      <c r="E2478" s="5" t="s">
        <v>640</v>
      </c>
      <c r="F2478" s="9">
        <v>81</v>
      </c>
      <c r="G2478" s="9">
        <v>910</v>
      </c>
      <c r="H2478" s="5" t="s">
        <v>21</v>
      </c>
      <c r="I2478" s="5" t="s">
        <v>5823</v>
      </c>
      <c r="J2478" s="12" t="str">
        <f>HYPERLINK("https://www.boe.es/gazeta/dias/1801/08/25/pdfs/GMD-1801-81.pdf#page=7","Abrir facsímil")</f>
        <v>Abrir facsímil</v>
      </c>
      <c r="K2478" s="15" t="s">
        <v>23</v>
      </c>
    </row>
    <row r="2479" spans="1:11" ht="42" customHeight="1">
      <c r="A2479" s="4" t="s">
        <v>5821</v>
      </c>
      <c r="B2479" s="5" t="s">
        <v>5822</v>
      </c>
      <c r="C2479" s="5" t="s">
        <v>38</v>
      </c>
      <c r="D2479" s="5" t="s">
        <v>39</v>
      </c>
      <c r="E2479" s="5" t="s">
        <v>328</v>
      </c>
      <c r="F2479" s="9">
        <v>89</v>
      </c>
      <c r="G2479" s="9">
        <v>981</v>
      </c>
      <c r="H2479" s="5" t="s">
        <v>21</v>
      </c>
      <c r="I2479" s="5" t="s">
        <v>5824</v>
      </c>
      <c r="J2479" s="12" t="str">
        <f>HYPERLINK("https://www.boe.es/gazeta/dias/1801/09/15/pdfs/GMD-1801-89.pdf#page=8","Abrir facsímil")</f>
        <v>Abrir facsímil</v>
      </c>
      <c r="K2479" s="15" t="s">
        <v>23</v>
      </c>
    </row>
    <row r="2480" spans="1:11" ht="42" customHeight="1">
      <c r="A2480" s="4" t="s">
        <v>5825</v>
      </c>
      <c r="B2480" s="5" t="s">
        <v>5826</v>
      </c>
      <c r="C2480" s="5" t="s">
        <v>32</v>
      </c>
      <c r="D2480" s="5" t="s">
        <v>33</v>
      </c>
      <c r="E2480" s="5" t="s">
        <v>366</v>
      </c>
      <c r="F2480" s="9">
        <v>86</v>
      </c>
      <c r="G2480" s="9">
        <v>955</v>
      </c>
      <c r="H2480" s="5" t="s">
        <v>21</v>
      </c>
      <c r="I2480" s="5" t="s">
        <v>5827</v>
      </c>
      <c r="J2480" s="12" t="str">
        <f>HYPERLINK("https://www.boe.es/gazeta/dias/1801/09/08/pdfs/GMD-1801-86.pdf#page=6","Abrir facsímil")</f>
        <v>Abrir facsímil</v>
      </c>
      <c r="K2480" s="15" t="s">
        <v>23</v>
      </c>
    </row>
    <row r="2481" spans="1:11" ht="42" customHeight="1">
      <c r="A2481" s="4" t="s">
        <v>5828</v>
      </c>
      <c r="B2481" s="5" t="s">
        <v>5829</v>
      </c>
      <c r="C2481" s="5" t="s">
        <v>38</v>
      </c>
      <c r="D2481" s="5" t="s">
        <v>39</v>
      </c>
      <c r="E2481" s="5" t="s">
        <v>338</v>
      </c>
      <c r="F2481" s="9">
        <v>83</v>
      </c>
      <c r="G2481" s="9">
        <v>937</v>
      </c>
      <c r="H2481" s="5" t="s">
        <v>21</v>
      </c>
      <c r="I2481" s="5" t="s">
        <v>5830</v>
      </c>
      <c r="J2481" s="12" t="str">
        <f>HYPERLINK("https://www.boe.es/gazeta/dias/1801/09/01/pdfs/GMD-1801-83.pdf#page=12","Abrir facsímil")</f>
        <v>Abrir facsímil</v>
      </c>
      <c r="K2481" s="15" t="s">
        <v>23</v>
      </c>
    </row>
    <row r="2482" spans="1:11" ht="42" customHeight="1">
      <c r="A2482" s="4" t="s">
        <v>5831</v>
      </c>
      <c r="B2482" s="5" t="s">
        <v>5832</v>
      </c>
      <c r="C2482" s="5" t="s">
        <v>32</v>
      </c>
      <c r="D2482" s="5" t="s">
        <v>33</v>
      </c>
      <c r="E2482" s="5" t="s">
        <v>145</v>
      </c>
      <c r="F2482" s="9">
        <v>36</v>
      </c>
      <c r="G2482" s="9">
        <v>468</v>
      </c>
      <c r="H2482" s="5" t="s">
        <v>21</v>
      </c>
      <c r="I2482" s="5" t="s">
        <v>5833</v>
      </c>
      <c r="J2482" s="12" t="str">
        <f>HYPERLINK("https://www.boe.es/gazeta/dias/1801/05/05/pdfs/GMD-1801-36.pdf#page=12","Abrir facsímil")</f>
        <v>Abrir facsímil</v>
      </c>
      <c r="K2482" s="15" t="s">
        <v>23</v>
      </c>
    </row>
    <row r="2483" spans="1:11" ht="42" customHeight="1">
      <c r="A2483" s="4" t="s">
        <v>5831</v>
      </c>
      <c r="B2483" s="5" t="s">
        <v>5832</v>
      </c>
      <c r="C2483" s="5" t="s">
        <v>32</v>
      </c>
      <c r="D2483" s="5" t="s">
        <v>33</v>
      </c>
      <c r="E2483" s="5" t="s">
        <v>55</v>
      </c>
      <c r="F2483" s="9">
        <v>104</v>
      </c>
      <c r="G2483" s="9">
        <v>1144</v>
      </c>
      <c r="H2483" s="5" t="s">
        <v>21</v>
      </c>
      <c r="I2483" s="5" t="s">
        <v>5834</v>
      </c>
      <c r="J2483" s="12" t="str">
        <f>HYPERLINK("https://www.boe.es/gazeta/dias/1801/11/06/pdfs/GMD-1801-104.pdf#page=5","Abrir facsímil")</f>
        <v>Abrir facsímil</v>
      </c>
      <c r="K2483" s="15" t="s">
        <v>23</v>
      </c>
    </row>
    <row r="2484" spans="1:11" ht="42" customHeight="1">
      <c r="A2484" s="4" t="s">
        <v>5835</v>
      </c>
      <c r="B2484" s="5" t="s">
        <v>5836</v>
      </c>
      <c r="C2484" s="5" t="s">
        <v>69</v>
      </c>
      <c r="D2484" s="5" t="s">
        <v>19</v>
      </c>
      <c r="E2484" s="5" t="s">
        <v>108</v>
      </c>
      <c r="F2484" s="9">
        <v>61</v>
      </c>
      <c r="G2484" s="9">
        <v>698</v>
      </c>
      <c r="H2484" s="5" t="s">
        <v>21</v>
      </c>
      <c r="I2484" s="5" t="s">
        <v>5837</v>
      </c>
      <c r="J2484" s="12" t="str">
        <f>HYPERLINK("https://www.boe.es/gazeta/dias/1801/06/30/pdfs/GMD-1801-61.pdf#page=7","Abrir facsímil")</f>
        <v>Abrir facsímil</v>
      </c>
      <c r="K2484" s="15" t="s">
        <v>23</v>
      </c>
    </row>
    <row r="2485" spans="1:11" ht="42" customHeight="1">
      <c r="A2485" s="4" t="s">
        <v>5838</v>
      </c>
      <c r="B2485" s="5" t="s">
        <v>5839</v>
      </c>
      <c r="C2485" s="5" t="s">
        <v>18</v>
      </c>
      <c r="D2485" s="5" t="s">
        <v>19</v>
      </c>
      <c r="E2485" s="5" t="s">
        <v>62</v>
      </c>
      <c r="F2485" s="9">
        <v>6</v>
      </c>
      <c r="G2485" s="9">
        <v>75</v>
      </c>
      <c r="H2485" s="5" t="s">
        <v>21</v>
      </c>
      <c r="I2485" s="5" t="s">
        <v>5840</v>
      </c>
      <c r="J2485" s="12" t="str">
        <f>HYPERLINK("https://www.boe.es/gazeta/dias/1801/01/20/pdfs/GMD-1801-6.pdf#page=11","Abrir facsímil")</f>
        <v>Abrir facsímil</v>
      </c>
      <c r="K2485" s="15" t="s">
        <v>23</v>
      </c>
    </row>
    <row r="2486" spans="1:11" ht="42" customHeight="1">
      <c r="A2486" s="4" t="s">
        <v>5838</v>
      </c>
      <c r="B2486" s="5" t="s">
        <v>5839</v>
      </c>
      <c r="C2486" s="5" t="s">
        <v>38</v>
      </c>
      <c r="D2486" s="5" t="s">
        <v>39</v>
      </c>
      <c r="E2486" s="5" t="s">
        <v>105</v>
      </c>
      <c r="F2486" s="9">
        <v>44</v>
      </c>
      <c r="G2486" s="9">
        <v>550</v>
      </c>
      <c r="H2486" s="5" t="s">
        <v>21</v>
      </c>
      <c r="I2486" s="5" t="s">
        <v>5841</v>
      </c>
      <c r="J2486" s="12" t="str">
        <f>HYPERLINK("https://www.boe.es/gazeta/dias/1801/05/29/pdfs/GMD-1801-44.pdf#page=10","Abrir facsímil")</f>
        <v>Abrir facsímil</v>
      </c>
      <c r="K2486" s="15" t="s">
        <v>23</v>
      </c>
    </row>
    <row r="2487" spans="1:11" ht="42" customHeight="1">
      <c r="A2487" s="4" t="s">
        <v>5838</v>
      </c>
      <c r="B2487" s="5" t="s">
        <v>5839</v>
      </c>
      <c r="C2487" s="5" t="s">
        <v>69</v>
      </c>
      <c r="D2487" s="5" t="s">
        <v>19</v>
      </c>
      <c r="E2487" s="5" t="s">
        <v>165</v>
      </c>
      <c r="F2487" s="9">
        <v>59</v>
      </c>
      <c r="G2487" s="9">
        <v>675</v>
      </c>
      <c r="H2487" s="5" t="s">
        <v>21</v>
      </c>
      <c r="I2487" s="5" t="s">
        <v>5842</v>
      </c>
      <c r="J2487" s="12" t="str">
        <f>HYPERLINK("https://www.boe.es/gazeta/dias/1801/06/23/pdfs/GMD-1801-59.pdf#page=8","Abrir facsímil")</f>
        <v>Abrir facsímil</v>
      </c>
      <c r="K2487" s="15" t="s">
        <v>23</v>
      </c>
    </row>
    <row r="2488" spans="1:11" ht="42" customHeight="1">
      <c r="A2488" s="4" t="s">
        <v>5838</v>
      </c>
      <c r="B2488" s="5" t="s">
        <v>5839</v>
      </c>
      <c r="C2488" s="5" t="s">
        <v>18</v>
      </c>
      <c r="D2488" s="5" t="s">
        <v>19</v>
      </c>
      <c r="E2488" s="5" t="s">
        <v>251</v>
      </c>
      <c r="F2488" s="9">
        <v>66</v>
      </c>
      <c r="G2488" s="9">
        <v>743</v>
      </c>
      <c r="H2488" s="5" t="s">
        <v>21</v>
      </c>
      <c r="I2488" s="5" t="s">
        <v>5843</v>
      </c>
      <c r="J2488" s="12" t="str">
        <f>HYPERLINK("https://www.boe.es/gazeta/dias/1801/07/10/pdfs/GMD-1801-66.pdf#page=8","Abrir facsímil")</f>
        <v>Abrir facsímil</v>
      </c>
      <c r="K2488" s="15" t="s">
        <v>23</v>
      </c>
    </row>
    <row r="2489" spans="1:11" ht="42" customHeight="1">
      <c r="A2489" s="4" t="s">
        <v>5838</v>
      </c>
      <c r="B2489" s="5" t="s">
        <v>5839</v>
      </c>
      <c r="C2489" s="5" t="s">
        <v>38</v>
      </c>
      <c r="D2489" s="5" t="s">
        <v>39</v>
      </c>
      <c r="E2489" s="5" t="s">
        <v>77</v>
      </c>
      <c r="F2489" s="9">
        <v>93</v>
      </c>
      <c r="G2489" s="9">
        <v>1020</v>
      </c>
      <c r="H2489" s="5" t="s">
        <v>21</v>
      </c>
      <c r="I2489" s="5" t="s">
        <v>5844</v>
      </c>
      <c r="J2489" s="12" t="str">
        <f>HYPERLINK("https://www.boe.es/gazeta/dias/1801/09/29/pdfs/GMD-1801-93.pdf#page=7","Abrir facsímil")</f>
        <v>Abrir facsímil</v>
      </c>
      <c r="K2489" s="15" t="s">
        <v>23</v>
      </c>
    </row>
    <row r="2490" spans="1:11" ht="42" customHeight="1">
      <c r="A2490" s="4" t="s">
        <v>5845</v>
      </c>
      <c r="B2490" s="5" t="s">
        <v>5846</v>
      </c>
      <c r="C2490" s="5" t="s">
        <v>75</v>
      </c>
      <c r="D2490" s="5" t="s">
        <v>76</v>
      </c>
      <c r="E2490" s="5" t="s">
        <v>712</v>
      </c>
      <c r="F2490" s="9">
        <v>105</v>
      </c>
      <c r="G2490" s="9">
        <v>1156</v>
      </c>
      <c r="H2490" s="5" t="s">
        <v>21</v>
      </c>
      <c r="I2490" s="5" t="s">
        <v>5847</v>
      </c>
      <c r="J2490" s="12" t="str">
        <f>HYPERLINK("https://www.boe.es/gazeta/dias/1801/11/10/pdfs/GMD-1801-105.pdf#page=9","Abrir facsímil")</f>
        <v>Abrir facsímil</v>
      </c>
      <c r="K2490" s="15" t="s">
        <v>23</v>
      </c>
    </row>
    <row r="2491" spans="1:11" ht="42" customHeight="1">
      <c r="A2491" s="4" t="s">
        <v>5848</v>
      </c>
      <c r="B2491" s="5" t="s">
        <v>5849</v>
      </c>
      <c r="C2491" s="5" t="s">
        <v>69</v>
      </c>
      <c r="D2491" s="5" t="s">
        <v>19</v>
      </c>
      <c r="E2491" s="5" t="s">
        <v>1939</v>
      </c>
      <c r="F2491" s="9">
        <v>107</v>
      </c>
      <c r="G2491" s="9">
        <v>1181</v>
      </c>
      <c r="H2491" s="5" t="s">
        <v>21</v>
      </c>
      <c r="I2491" s="5" t="s">
        <v>5850</v>
      </c>
      <c r="J2491" s="12" t="str">
        <f>HYPERLINK("https://www.boe.es/gazeta/dias/1801/11/17/pdfs/GMD-1801-107.pdf#page=10","Abrir facsímil")</f>
        <v>Abrir facsímil</v>
      </c>
      <c r="K2491" s="15" t="s">
        <v>23</v>
      </c>
    </row>
    <row r="2492" spans="1:11" ht="42" customHeight="1">
      <c r="A2492" s="4" t="s">
        <v>5851</v>
      </c>
      <c r="B2492" s="5" t="s">
        <v>5852</v>
      </c>
      <c r="C2492" s="5" t="s">
        <v>18</v>
      </c>
      <c r="D2492" s="5" t="s">
        <v>19</v>
      </c>
      <c r="E2492" s="5" t="s">
        <v>258</v>
      </c>
      <c r="F2492" s="9">
        <v>96</v>
      </c>
      <c r="G2492" s="9">
        <v>1055</v>
      </c>
      <c r="H2492" s="5" t="s">
        <v>21</v>
      </c>
      <c r="I2492" s="5" t="s">
        <v>5853</v>
      </c>
      <c r="J2492" s="12" t="str">
        <f>HYPERLINK("https://www.boe.es/gazeta/dias/1801/10/09/pdfs/GMD-1801-96.pdf#page=11","Abrir facsímil")</f>
        <v>Abrir facsímil</v>
      </c>
      <c r="K2492" s="15" t="s">
        <v>23</v>
      </c>
    </row>
    <row r="2493" spans="1:11" ht="42" customHeight="1">
      <c r="A2493" s="4" t="s">
        <v>5854</v>
      </c>
      <c r="B2493" s="5" t="s">
        <v>5855</v>
      </c>
      <c r="C2493" s="5" t="s">
        <v>32</v>
      </c>
      <c r="D2493" s="5" t="s">
        <v>33</v>
      </c>
      <c r="E2493" s="5" t="s">
        <v>105</v>
      </c>
      <c r="F2493" s="9">
        <v>44</v>
      </c>
      <c r="G2493" s="9">
        <v>548</v>
      </c>
      <c r="H2493" s="5" t="s">
        <v>21</v>
      </c>
      <c r="I2493" s="5" t="s">
        <v>5856</v>
      </c>
      <c r="J2493" s="12" t="str">
        <f>HYPERLINK("https://www.boe.es/gazeta/dias/1801/05/29/pdfs/GMD-1801-44.pdf#page=8","Abrir facsímil")</f>
        <v>Abrir facsímil</v>
      </c>
      <c r="K2493" s="15" t="s">
        <v>23</v>
      </c>
    </row>
    <row r="2494" spans="1:11" ht="42" customHeight="1">
      <c r="A2494" s="4" t="s">
        <v>5857</v>
      </c>
      <c r="B2494" s="5" t="s">
        <v>5858</v>
      </c>
      <c r="C2494" s="5" t="s">
        <v>38</v>
      </c>
      <c r="D2494" s="5" t="s">
        <v>39</v>
      </c>
      <c r="E2494" s="5" t="s">
        <v>702</v>
      </c>
      <c r="F2494" s="9">
        <v>69</v>
      </c>
      <c r="G2494" s="9">
        <v>764</v>
      </c>
      <c r="H2494" s="5" t="s">
        <v>21</v>
      </c>
      <c r="I2494" s="5" t="s">
        <v>5859</v>
      </c>
      <c r="J2494" s="12" t="str">
        <f>HYPERLINK("https://www.boe.es/gazeta/dias/1801/07/14/pdfs/GMD-1801-69.pdf#page=9","Abrir facsímil")</f>
        <v>Abrir facsímil</v>
      </c>
      <c r="K2494" s="15" t="s">
        <v>23</v>
      </c>
    </row>
    <row r="2495" spans="1:11" ht="42" customHeight="1">
      <c r="A2495" s="4" t="s">
        <v>5857</v>
      </c>
      <c r="B2495" s="5" t="s">
        <v>5858</v>
      </c>
      <c r="C2495" s="5" t="s">
        <v>75</v>
      </c>
      <c r="D2495" s="5" t="s">
        <v>76</v>
      </c>
      <c r="E2495" s="5" t="s">
        <v>169</v>
      </c>
      <c r="F2495" s="9">
        <v>70</v>
      </c>
      <c r="G2495" s="9">
        <v>776</v>
      </c>
      <c r="H2495" s="5" t="s">
        <v>21</v>
      </c>
      <c r="I2495" s="5" t="s">
        <v>5860</v>
      </c>
      <c r="J2495" s="12" t="str">
        <f>HYPERLINK("https://www.boe.es/gazeta/dias/1801/07/17/pdfs/GMD-1801-70.pdf#page=9","Abrir facsímil")</f>
        <v>Abrir facsímil</v>
      </c>
      <c r="K2495" s="15" t="s">
        <v>23</v>
      </c>
    </row>
    <row r="2496" spans="1:11" ht="42" customHeight="1">
      <c r="A2496" s="4" t="s">
        <v>5857</v>
      </c>
      <c r="B2496" s="5" t="s">
        <v>5858</v>
      </c>
      <c r="C2496" s="5" t="s">
        <v>515</v>
      </c>
      <c r="D2496" s="5" t="s">
        <v>516</v>
      </c>
      <c r="E2496" s="5" t="s">
        <v>751</v>
      </c>
      <c r="F2496" s="9">
        <v>106</v>
      </c>
      <c r="G2496" s="9">
        <v>1169</v>
      </c>
      <c r="H2496" s="5" t="s">
        <v>21</v>
      </c>
      <c r="I2496" s="5" t="s">
        <v>5861</v>
      </c>
      <c r="J2496" s="12" t="str">
        <f>HYPERLINK("https://www.boe.es/gazeta/dias/1801/11/13/pdfs/GMD-C-1801-106.pdf#page=2","Abrir facsímil")</f>
        <v>Abrir facsímil</v>
      </c>
      <c r="K2496" s="15" t="s">
        <v>23</v>
      </c>
    </row>
    <row r="2497" spans="1:11" ht="42" customHeight="1">
      <c r="A2497" s="4" t="s">
        <v>5862</v>
      </c>
      <c r="B2497" s="5" t="s">
        <v>5863</v>
      </c>
      <c r="C2497" s="5" t="s">
        <v>75</v>
      </c>
      <c r="D2497" s="5" t="s">
        <v>76</v>
      </c>
      <c r="E2497" s="5" t="s">
        <v>1939</v>
      </c>
      <c r="F2497" s="9">
        <v>107</v>
      </c>
      <c r="G2497" s="9">
        <v>1180</v>
      </c>
      <c r="H2497" s="5" t="s">
        <v>21</v>
      </c>
      <c r="I2497" s="5" t="s">
        <v>5864</v>
      </c>
      <c r="J2497" s="12" t="str">
        <f>HYPERLINK("https://www.boe.es/gazeta/dias/1801/11/17/pdfs/GMD-1801-107.pdf#page=9","Abrir facsímil")</f>
        <v>Abrir facsímil</v>
      </c>
      <c r="K2497" s="15" t="s">
        <v>23</v>
      </c>
    </row>
    <row r="2498" spans="1:11" ht="42" customHeight="1">
      <c r="A2498" s="4" t="s">
        <v>5857</v>
      </c>
      <c r="B2498" s="5" t="s">
        <v>5858</v>
      </c>
      <c r="C2498" s="5" t="s">
        <v>38</v>
      </c>
      <c r="D2498" s="5" t="s">
        <v>39</v>
      </c>
      <c r="E2498" s="5" t="s">
        <v>1058</v>
      </c>
      <c r="F2498" s="9">
        <v>108</v>
      </c>
      <c r="G2498" s="9">
        <v>1193</v>
      </c>
      <c r="H2498" s="5" t="s">
        <v>21</v>
      </c>
      <c r="I2498" s="5" t="s">
        <v>5865</v>
      </c>
      <c r="J2498" s="12" t="str">
        <f>HYPERLINK("https://www.boe.es/gazeta/dias/1801/11/20/pdfs/GMD-1801-108.pdf#page=10","Abrir facsímil")</f>
        <v>Abrir facsímil</v>
      </c>
      <c r="K2498" s="15" t="s">
        <v>23</v>
      </c>
    </row>
    <row r="2499" spans="1:11" ht="42" customHeight="1">
      <c r="A2499" s="4" t="s">
        <v>5866</v>
      </c>
      <c r="B2499" s="5" t="s">
        <v>5867</v>
      </c>
      <c r="C2499" s="5" t="s">
        <v>18</v>
      </c>
      <c r="D2499" s="5" t="s">
        <v>19</v>
      </c>
      <c r="E2499" s="5" t="s">
        <v>1939</v>
      </c>
      <c r="F2499" s="9">
        <v>107</v>
      </c>
      <c r="G2499" s="9">
        <v>1178</v>
      </c>
      <c r="H2499" s="5" t="s">
        <v>21</v>
      </c>
      <c r="I2499" s="5" t="s">
        <v>5868</v>
      </c>
      <c r="J2499" s="12" t="str">
        <f>HYPERLINK("https://www.boe.es/gazeta/dias/1801/11/17/pdfs/GMD-1801-107.pdf#page=7","Abrir facsímil")</f>
        <v>Abrir facsímil</v>
      </c>
      <c r="K2499" s="15" t="s">
        <v>23</v>
      </c>
    </row>
    <row r="2500" spans="1:11" ht="42" customHeight="1">
      <c r="A2500" s="4" t="s">
        <v>5869</v>
      </c>
      <c r="B2500" s="5" t="s">
        <v>5870</v>
      </c>
      <c r="C2500" s="5" t="s">
        <v>32</v>
      </c>
      <c r="D2500" s="5" t="s">
        <v>33</v>
      </c>
      <c r="E2500" s="5" t="s">
        <v>82</v>
      </c>
      <c r="F2500" s="9">
        <v>75</v>
      </c>
      <c r="G2500" s="9">
        <v>840</v>
      </c>
      <c r="H2500" s="5" t="s">
        <v>21</v>
      </c>
      <c r="I2500" s="5" t="s">
        <v>5871</v>
      </c>
      <c r="J2500" s="12" t="str">
        <f>HYPERLINK("https://www.boe.es/gazeta/dias/1801/08/04/pdfs/GMD-1801-75.pdf#page=9","Abrir facsímil")</f>
        <v>Abrir facsímil</v>
      </c>
      <c r="K2500" s="15" t="s">
        <v>23</v>
      </c>
    </row>
    <row r="2501" spans="1:11" ht="42" customHeight="1">
      <c r="A2501" s="4" t="s">
        <v>5872</v>
      </c>
      <c r="B2501" s="5" t="s">
        <v>5873</v>
      </c>
      <c r="C2501" s="5" t="s">
        <v>18</v>
      </c>
      <c r="D2501" s="5" t="s">
        <v>19</v>
      </c>
      <c r="E2501" s="5" t="s">
        <v>131</v>
      </c>
      <c r="F2501" s="9">
        <v>22</v>
      </c>
      <c r="G2501" s="9">
        <v>294</v>
      </c>
      <c r="H2501" s="5" t="s">
        <v>21</v>
      </c>
      <c r="I2501" s="5" t="s">
        <v>5874</v>
      </c>
      <c r="J2501" s="12" t="str">
        <f>HYPERLINK("https://www.boe.es/gazeta/dias/1801/03/17/pdfs/GMD-1801-22.pdf#page=11","Abrir facsímil")</f>
        <v>Abrir facsímil</v>
      </c>
      <c r="K2501" s="15" t="s">
        <v>23</v>
      </c>
    </row>
    <row r="2502" spans="1:11" ht="42" customHeight="1">
      <c r="A2502" s="4" t="s">
        <v>5875</v>
      </c>
      <c r="B2502" s="5" t="s">
        <v>5876</v>
      </c>
      <c r="C2502" s="5" t="s">
        <v>32</v>
      </c>
      <c r="D2502" s="5" t="s">
        <v>33</v>
      </c>
      <c r="E2502" s="5" t="s">
        <v>155</v>
      </c>
      <c r="F2502" s="9">
        <v>50</v>
      </c>
      <c r="G2502" s="9">
        <v>597</v>
      </c>
      <c r="H2502" s="5" t="s">
        <v>21</v>
      </c>
      <c r="I2502" s="5" t="s">
        <v>5877</v>
      </c>
      <c r="J2502" s="12" t="str">
        <f>HYPERLINK("https://www.boe.es/gazeta/dias/1801/06/09/pdfs/GMD-1801-50.pdf#page=9","Abrir facsímil")</f>
        <v>Abrir facsímil</v>
      </c>
      <c r="K2502" s="15" t="s">
        <v>23</v>
      </c>
    </row>
    <row r="2503" spans="1:11" ht="42" customHeight="1">
      <c r="A2503" s="4" t="s">
        <v>5878</v>
      </c>
      <c r="B2503" s="5" t="s">
        <v>5879</v>
      </c>
      <c r="C2503" s="5" t="s">
        <v>32</v>
      </c>
      <c r="D2503" s="5" t="s">
        <v>33</v>
      </c>
      <c r="E2503" s="5" t="s">
        <v>165</v>
      </c>
      <c r="F2503" s="9">
        <v>59</v>
      </c>
      <c r="G2503" s="9">
        <v>676</v>
      </c>
      <c r="H2503" s="5" t="s">
        <v>21</v>
      </c>
      <c r="I2503" s="5" t="s">
        <v>5880</v>
      </c>
      <c r="J2503" s="12" t="str">
        <f>HYPERLINK("https://www.boe.es/gazeta/dias/1801/06/23/pdfs/GMD-1801-59.pdf#page=9","Abrir facsímil")</f>
        <v>Abrir facsímil</v>
      </c>
      <c r="K2503" s="15" t="s">
        <v>23</v>
      </c>
    </row>
    <row r="2504" spans="1:11" ht="42" customHeight="1">
      <c r="A2504" s="4" t="s">
        <v>5881</v>
      </c>
      <c r="B2504" s="5" t="s">
        <v>5882</v>
      </c>
      <c r="C2504" s="5" t="s">
        <v>32</v>
      </c>
      <c r="D2504" s="5" t="s">
        <v>33</v>
      </c>
      <c r="E2504" s="5" t="s">
        <v>292</v>
      </c>
      <c r="F2504" s="9">
        <v>25</v>
      </c>
      <c r="G2504" s="9">
        <v>332</v>
      </c>
      <c r="H2504" s="5" t="s">
        <v>21</v>
      </c>
      <c r="I2504" s="5" t="s">
        <v>5883</v>
      </c>
      <c r="J2504" s="12" t="str">
        <f>HYPERLINK("https://www.boe.es/gazeta/dias/1801/03/27/pdfs/GMD-1801-25.pdf#page=11","Abrir facsímil")</f>
        <v>Abrir facsímil</v>
      </c>
      <c r="K2504" s="15" t="s">
        <v>23</v>
      </c>
    </row>
    <row r="2505" spans="1:11" ht="42" customHeight="1">
      <c r="A2505" s="4" t="s">
        <v>5884</v>
      </c>
      <c r="B2505" s="5" t="s">
        <v>5885</v>
      </c>
      <c r="C2505" s="5" t="s">
        <v>32</v>
      </c>
      <c r="D2505" s="5" t="s">
        <v>33</v>
      </c>
      <c r="E2505" s="5" t="s">
        <v>417</v>
      </c>
      <c r="F2505" s="9">
        <v>64</v>
      </c>
      <c r="G2505" s="9">
        <v>729</v>
      </c>
      <c r="H2505" s="5" t="s">
        <v>21</v>
      </c>
      <c r="I2505" s="5" t="s">
        <v>5886</v>
      </c>
      <c r="J2505" s="12" t="str">
        <f>HYPERLINK("https://www.boe.es/gazeta/dias/1801/07/07/pdfs/GMD-1801-64.pdf#page=10","Abrir facsímil")</f>
        <v>Abrir facsímil</v>
      </c>
      <c r="K2505" s="15" t="s">
        <v>23</v>
      </c>
    </row>
    <row r="2506" spans="1:11" ht="42" customHeight="1">
      <c r="A2506" s="4" t="s">
        <v>5887</v>
      </c>
      <c r="B2506" s="5" t="s">
        <v>5888</v>
      </c>
      <c r="C2506" s="5" t="s">
        <v>26</v>
      </c>
      <c r="D2506" s="5" t="s">
        <v>27</v>
      </c>
      <c r="E2506" s="5" t="s">
        <v>194</v>
      </c>
      <c r="F2506" s="9">
        <v>92</v>
      </c>
      <c r="G2506" s="9">
        <v>1013</v>
      </c>
      <c r="H2506" s="5" t="s">
        <v>21</v>
      </c>
      <c r="I2506" s="5" t="s">
        <v>5889</v>
      </c>
      <c r="J2506" s="12" t="str">
        <f>HYPERLINK("https://www.boe.es/gazeta/dias/1801/09/25/pdfs/GMD-1801-92.pdf#page=8","Abrir facsímil")</f>
        <v>Abrir facsímil</v>
      </c>
      <c r="K2506" s="15" t="s">
        <v>23</v>
      </c>
    </row>
    <row r="2507" spans="1:11" ht="42" customHeight="1">
      <c r="A2507" s="4" t="s">
        <v>5890</v>
      </c>
      <c r="B2507" s="5" t="s">
        <v>5891</v>
      </c>
      <c r="C2507" s="5" t="s">
        <v>32</v>
      </c>
      <c r="D2507" s="5" t="s">
        <v>33</v>
      </c>
      <c r="E2507" s="5" t="s">
        <v>128</v>
      </c>
      <c r="F2507" s="9">
        <v>17</v>
      </c>
      <c r="G2507" s="9">
        <v>214</v>
      </c>
      <c r="H2507" s="5" t="s">
        <v>21</v>
      </c>
      <c r="I2507" s="5" t="s">
        <v>5892</v>
      </c>
      <c r="J2507" s="12" t="str">
        <f>HYPERLINK("https://www.boe.es/gazeta/dias/1801/02/27/pdfs/GMD-1801-17.pdf#page=9","Abrir facsímil")</f>
        <v>Abrir facsímil</v>
      </c>
      <c r="K2507" s="15" t="s">
        <v>23</v>
      </c>
    </row>
    <row r="2508" spans="1:11" ht="42" customHeight="1">
      <c r="A2508" s="4" t="s">
        <v>5893</v>
      </c>
      <c r="B2508" s="5" t="s">
        <v>5894</v>
      </c>
      <c r="C2508" s="5" t="s">
        <v>32</v>
      </c>
      <c r="D2508" s="5" t="s">
        <v>33</v>
      </c>
      <c r="E2508" s="5" t="s">
        <v>317</v>
      </c>
      <c r="F2508" s="9">
        <v>102</v>
      </c>
      <c r="G2508" s="9">
        <v>1121</v>
      </c>
      <c r="H2508" s="5" t="s">
        <v>21</v>
      </c>
      <c r="I2508" s="5" t="s">
        <v>5895</v>
      </c>
      <c r="J2508" s="12" t="str">
        <f>HYPERLINK("https://www.boe.es/gazeta/dias/1801/10/30/pdfs/GMD-1801-102.pdf#page=6","Abrir facsímil")</f>
        <v>Abrir facsímil</v>
      </c>
      <c r="K2508" s="15" t="s">
        <v>23</v>
      </c>
    </row>
    <row r="2509" spans="1:11" ht="42" customHeight="1">
      <c r="A2509" s="4" t="s">
        <v>5896</v>
      </c>
      <c r="B2509" s="5" t="s">
        <v>5897</v>
      </c>
      <c r="C2509" s="5" t="s">
        <v>32</v>
      </c>
      <c r="D2509" s="5" t="s">
        <v>33</v>
      </c>
      <c r="E2509" s="5" t="s">
        <v>48</v>
      </c>
      <c r="F2509" s="9">
        <v>20</v>
      </c>
      <c r="G2509" s="9">
        <v>265</v>
      </c>
      <c r="H2509" s="5" t="s">
        <v>21</v>
      </c>
      <c r="I2509" s="5" t="s">
        <v>5898</v>
      </c>
      <c r="J2509" s="12" t="str">
        <f>HYPERLINK("https://www.boe.es/gazeta/dias/1801/03/10/pdfs/GMD-1801-20.pdf#page=10","Abrir facsímil")</f>
        <v>Abrir facsímil</v>
      </c>
      <c r="K2509" s="15" t="s">
        <v>23</v>
      </c>
    </row>
    <row r="2510" spans="1:11" ht="42" customHeight="1">
      <c r="A2510" s="4" t="s">
        <v>5899</v>
      </c>
      <c r="B2510" s="5" t="s">
        <v>5900</v>
      </c>
      <c r="C2510" s="5" t="s">
        <v>18</v>
      </c>
      <c r="D2510" s="5" t="s">
        <v>19</v>
      </c>
      <c r="E2510" s="5" t="s">
        <v>256</v>
      </c>
      <c r="F2510" s="9">
        <v>78</v>
      </c>
      <c r="G2510" s="9">
        <v>882</v>
      </c>
      <c r="H2510" s="5" t="s">
        <v>21</v>
      </c>
      <c r="I2510" s="5" t="s">
        <v>5901</v>
      </c>
      <c r="J2510" s="12" t="str">
        <f>HYPERLINK("https://www.boe.es/gazeta/dias/1801/08/14/pdfs/GMD-1801-78.pdf#page=11","Abrir facsímil")</f>
        <v>Abrir facsímil</v>
      </c>
      <c r="K2510" s="15" t="s">
        <v>23</v>
      </c>
    </row>
    <row r="2511" spans="1:11" ht="42" customHeight="1">
      <c r="A2511" s="4" t="s">
        <v>5902</v>
      </c>
      <c r="B2511" s="5" t="s">
        <v>5903</v>
      </c>
      <c r="C2511" s="5" t="s">
        <v>32</v>
      </c>
      <c r="D2511" s="5" t="s">
        <v>33</v>
      </c>
      <c r="E2511" s="5" t="s">
        <v>223</v>
      </c>
      <c r="F2511" s="9">
        <v>74</v>
      </c>
      <c r="G2511" s="9">
        <v>827</v>
      </c>
      <c r="H2511" s="5" t="s">
        <v>21</v>
      </c>
      <c r="I2511" s="5" t="s">
        <v>5904</v>
      </c>
      <c r="J2511" s="12" t="str">
        <f>HYPERLINK("https://www.boe.es/gazeta/dias/1801/07/31/pdfs/GMD-1801-74.pdf#page=8","Abrir facsímil")</f>
        <v>Abrir facsímil</v>
      </c>
      <c r="K2511" s="15" t="s">
        <v>23</v>
      </c>
    </row>
    <row r="2512" spans="1:11" ht="42" customHeight="1">
      <c r="A2512" s="4" t="s">
        <v>5905</v>
      </c>
      <c r="B2512" s="5" t="s">
        <v>5906</v>
      </c>
      <c r="C2512" s="5" t="s">
        <v>32</v>
      </c>
      <c r="D2512" s="5" t="s">
        <v>33</v>
      </c>
      <c r="E2512" s="5" t="s">
        <v>120</v>
      </c>
      <c r="F2512" s="9">
        <v>7</v>
      </c>
      <c r="G2512" s="9">
        <v>87</v>
      </c>
      <c r="H2512" s="5" t="s">
        <v>21</v>
      </c>
      <c r="I2512" s="5" t="s">
        <v>5907</v>
      </c>
      <c r="J2512" s="12" t="str">
        <f>HYPERLINK("https://www.boe.es/gazeta/dias/1801/01/23/pdfs/GMD-1801-7.pdf#page=11","Abrir facsímil")</f>
        <v>Abrir facsímil</v>
      </c>
      <c r="K2512" s="15" t="s">
        <v>23</v>
      </c>
    </row>
    <row r="2513" spans="1:11" ht="42" customHeight="1">
      <c r="A2513" s="4" t="s">
        <v>5905</v>
      </c>
      <c r="B2513" s="5" t="s">
        <v>5906</v>
      </c>
      <c r="C2513" s="5" t="s">
        <v>32</v>
      </c>
      <c r="D2513" s="5" t="s">
        <v>33</v>
      </c>
      <c r="E2513" s="5" t="s">
        <v>153</v>
      </c>
      <c r="F2513" s="9">
        <v>48</v>
      </c>
      <c r="G2513" s="9">
        <v>586</v>
      </c>
      <c r="H2513" s="5" t="s">
        <v>21</v>
      </c>
      <c r="I2513" s="5" t="s">
        <v>5908</v>
      </c>
      <c r="J2513" s="12" t="str">
        <f>HYPERLINK("https://www.boe.es/gazeta/dias/1801/06/05/pdfs/GMD-1801-48.pdf#page=8","Abrir facsímil")</f>
        <v>Abrir facsímil</v>
      </c>
      <c r="K2513" s="15" t="s">
        <v>23</v>
      </c>
    </row>
    <row r="2514" spans="1:11" ht="42" customHeight="1">
      <c r="A2514" s="4" t="s">
        <v>5909</v>
      </c>
      <c r="B2514" s="5" t="s">
        <v>5910</v>
      </c>
      <c r="C2514" s="5" t="s">
        <v>32</v>
      </c>
      <c r="D2514" s="5" t="s">
        <v>33</v>
      </c>
      <c r="E2514" s="5" t="s">
        <v>349</v>
      </c>
      <c r="F2514" s="9">
        <v>112</v>
      </c>
      <c r="G2514" s="9">
        <v>1225</v>
      </c>
      <c r="H2514" s="5" t="s">
        <v>21</v>
      </c>
      <c r="I2514" s="5" t="s">
        <v>5911</v>
      </c>
      <c r="J2514" s="12" t="str">
        <f>HYPERLINK("https://www.boe.es/gazeta/dias/1801/12/04/pdfs/GMD-1801-112.pdf#page=6","Abrir facsímil")</f>
        <v>Abrir facsímil</v>
      </c>
      <c r="K2514" s="15" t="s">
        <v>23</v>
      </c>
    </row>
    <row r="2515" spans="1:11" ht="42" customHeight="1">
      <c r="A2515" s="4" t="s">
        <v>5912</v>
      </c>
      <c r="B2515" s="5" t="s">
        <v>5913</v>
      </c>
      <c r="C2515" s="5" t="s">
        <v>32</v>
      </c>
      <c r="D2515" s="5" t="s">
        <v>33</v>
      </c>
      <c r="E2515" s="5" t="s">
        <v>135</v>
      </c>
      <c r="F2515" s="9">
        <v>24</v>
      </c>
      <c r="G2515" s="9">
        <v>319</v>
      </c>
      <c r="H2515" s="5" t="s">
        <v>21</v>
      </c>
      <c r="I2515" s="5" t="s">
        <v>5914</v>
      </c>
      <c r="J2515" s="12" t="str">
        <f>HYPERLINK("https://www.boe.es/gazeta/dias/1801/03/24/pdfs/GMD-1801-24.pdf#page=10","Abrir facsímil")</f>
        <v>Abrir facsímil</v>
      </c>
      <c r="K2515" s="15" t="s">
        <v>23</v>
      </c>
    </row>
    <row r="2516" spans="1:11" ht="42" customHeight="1">
      <c r="A2516" s="4" t="s">
        <v>5915</v>
      </c>
      <c r="B2516" s="5" t="s">
        <v>5916</v>
      </c>
      <c r="C2516" s="5" t="s">
        <v>75</v>
      </c>
      <c r="D2516" s="5" t="s">
        <v>76</v>
      </c>
      <c r="E2516" s="5" t="s">
        <v>2237</v>
      </c>
      <c r="F2516" s="9">
        <v>82</v>
      </c>
      <c r="G2516" s="9">
        <v>913</v>
      </c>
      <c r="H2516" s="5" t="s">
        <v>21</v>
      </c>
      <c r="I2516" s="5" t="s">
        <v>5917</v>
      </c>
      <c r="J2516" s="12" t="str">
        <f>HYPERLINK("https://www.boe.es/gazeta/dias/1801/08/28/pdfs/GMD-1801-82.pdf#page=2","Abrir facsímil")</f>
        <v>Abrir facsímil</v>
      </c>
      <c r="K2516" s="15" t="s">
        <v>23</v>
      </c>
    </row>
    <row r="2517" spans="1:11" ht="42" customHeight="1">
      <c r="A2517" s="4" t="s">
        <v>5918</v>
      </c>
      <c r="B2517" s="5" t="s">
        <v>5919</v>
      </c>
      <c r="C2517" s="5" t="s">
        <v>32</v>
      </c>
      <c r="D2517" s="5" t="s">
        <v>33</v>
      </c>
      <c r="E2517" s="5" t="s">
        <v>55</v>
      </c>
      <c r="F2517" s="9">
        <v>104</v>
      </c>
      <c r="G2517" s="9">
        <v>1146</v>
      </c>
      <c r="H2517" s="5" t="s">
        <v>21</v>
      </c>
      <c r="I2517" s="5" t="s">
        <v>5920</v>
      </c>
      <c r="J2517" s="12" t="str">
        <f>HYPERLINK("https://www.boe.es/gazeta/dias/1801/11/06/pdfs/GMD-1801-104.pdf#page=7","Abrir facsímil")</f>
        <v>Abrir facsímil</v>
      </c>
      <c r="K2517" s="15" t="s">
        <v>23</v>
      </c>
    </row>
    <row r="2518" spans="1:11" ht="42" customHeight="1">
      <c r="A2518" s="4" t="s">
        <v>5921</v>
      </c>
      <c r="B2518" s="5" t="s">
        <v>5922</v>
      </c>
      <c r="C2518" s="5" t="s">
        <v>32</v>
      </c>
      <c r="D2518" s="5" t="s">
        <v>33</v>
      </c>
      <c r="E2518" s="5" t="s">
        <v>34</v>
      </c>
      <c r="F2518" s="9">
        <v>38</v>
      </c>
      <c r="G2518" s="9">
        <v>493</v>
      </c>
      <c r="H2518" s="5" t="s">
        <v>21</v>
      </c>
      <c r="I2518" s="5" t="s">
        <v>5923</v>
      </c>
      <c r="J2518" s="12" t="str">
        <f>HYPERLINK("https://www.boe.es/gazeta/dias/1801/05/12/pdfs/GMD-1801-38.pdf#page=9","Abrir facsímil")</f>
        <v>Abrir facsímil</v>
      </c>
      <c r="K2518" s="15" t="s">
        <v>23</v>
      </c>
    </row>
    <row r="2519" spans="1:11" ht="42" customHeight="1">
      <c r="A2519" s="4" t="s">
        <v>5924</v>
      </c>
      <c r="B2519" s="5" t="s">
        <v>5925</v>
      </c>
      <c r="C2519" s="5" t="s">
        <v>38</v>
      </c>
      <c r="D2519" s="5" t="s">
        <v>39</v>
      </c>
      <c r="E2519" s="5" t="s">
        <v>1058</v>
      </c>
      <c r="F2519" s="9">
        <v>108</v>
      </c>
      <c r="G2519" s="9">
        <v>1194</v>
      </c>
      <c r="H2519" s="5" t="s">
        <v>21</v>
      </c>
      <c r="I2519" s="5" t="s">
        <v>5926</v>
      </c>
      <c r="J2519" s="12" t="str">
        <f>HYPERLINK("https://www.boe.es/gazeta/dias/1801/11/20/pdfs/GMD-1801-108.pdf#page=11","Abrir facsímil")</f>
        <v>Abrir facsímil</v>
      </c>
      <c r="K2519" s="15" t="s">
        <v>23</v>
      </c>
    </row>
    <row r="2520" spans="1:11" ht="42" customHeight="1">
      <c r="A2520" s="4" t="s">
        <v>5927</v>
      </c>
      <c r="B2520" s="5" t="s">
        <v>5928</v>
      </c>
      <c r="C2520" s="5" t="s">
        <v>32</v>
      </c>
      <c r="D2520" s="5" t="s">
        <v>33</v>
      </c>
      <c r="E2520" s="5" t="s">
        <v>90</v>
      </c>
      <c r="F2520" s="9">
        <v>1</v>
      </c>
      <c r="G2520" s="9">
        <v>8</v>
      </c>
      <c r="H2520" s="5" t="s">
        <v>21</v>
      </c>
      <c r="I2520" s="5" t="s">
        <v>5929</v>
      </c>
      <c r="J2520" s="12" t="str">
        <f>HYPERLINK("https://www.boe.es/gazeta/dias/1801/01/02/pdfs/GMD-1801-1.pdf#page=8","Abrir facsímil")</f>
        <v>Abrir facsímil</v>
      </c>
      <c r="K2520" s="15" t="s">
        <v>23</v>
      </c>
    </row>
    <row r="2521" spans="1:11" ht="42" customHeight="1">
      <c r="A2521" s="4" t="s">
        <v>5930</v>
      </c>
      <c r="B2521" s="5" t="s">
        <v>5931</v>
      </c>
      <c r="C2521" s="5" t="s">
        <v>69</v>
      </c>
      <c r="D2521" s="5" t="s">
        <v>19</v>
      </c>
      <c r="E2521" s="5" t="s">
        <v>264</v>
      </c>
      <c r="F2521" s="9">
        <v>111</v>
      </c>
      <c r="G2521" s="9">
        <v>1217</v>
      </c>
      <c r="H2521" s="5" t="s">
        <v>21</v>
      </c>
      <c r="I2521" s="5" t="s">
        <v>5932</v>
      </c>
      <c r="J2521" s="12" t="str">
        <f>HYPERLINK("https://www.boe.es/gazeta/dias/1801/12/01/pdfs/GMD-1801-111.pdf#page=6","Abrir facsímil")</f>
        <v>Abrir facsímil</v>
      </c>
      <c r="K2521" s="15" t="s">
        <v>23</v>
      </c>
    </row>
    <row r="2522" spans="1:11" ht="42" customHeight="1">
      <c r="A2522" s="4" t="s">
        <v>5933</v>
      </c>
      <c r="B2522" s="5" t="s">
        <v>5934</v>
      </c>
      <c r="C2522" s="5" t="s">
        <v>18</v>
      </c>
      <c r="D2522" s="5" t="s">
        <v>19</v>
      </c>
      <c r="E2522" s="5" t="s">
        <v>55</v>
      </c>
      <c r="F2522" s="9">
        <v>104</v>
      </c>
      <c r="G2522" s="9">
        <v>1146</v>
      </c>
      <c r="H2522" s="5" t="s">
        <v>21</v>
      </c>
      <c r="I2522" s="5" t="s">
        <v>5935</v>
      </c>
      <c r="J2522" s="12" t="str">
        <f>HYPERLINK("https://www.boe.es/gazeta/dias/1801/11/06/pdfs/GMD-1801-104.pdf#page=7","Abrir facsímil")</f>
        <v>Abrir facsímil</v>
      </c>
      <c r="K2522" s="15" t="s">
        <v>23</v>
      </c>
    </row>
    <row r="2523" spans="1:11" ht="42" customHeight="1">
      <c r="A2523" s="4" t="s">
        <v>5936</v>
      </c>
      <c r="B2523" s="5" t="s">
        <v>5937</v>
      </c>
      <c r="C2523" s="5" t="s">
        <v>18</v>
      </c>
      <c r="D2523" s="5" t="s">
        <v>19</v>
      </c>
      <c r="E2523" s="5" t="s">
        <v>55</v>
      </c>
      <c r="F2523" s="9">
        <v>104</v>
      </c>
      <c r="G2523" s="9">
        <v>1146</v>
      </c>
      <c r="H2523" s="5" t="s">
        <v>21</v>
      </c>
      <c r="I2523" s="5" t="s">
        <v>5938</v>
      </c>
      <c r="J2523" s="12" t="str">
        <f>HYPERLINK("https://www.boe.es/gazeta/dias/1801/11/06/pdfs/GMD-1801-104.pdf#page=7","Abrir facsímil")</f>
        <v>Abrir facsímil</v>
      </c>
      <c r="K2523" s="15" t="s">
        <v>23</v>
      </c>
    </row>
    <row r="2524" spans="1:11" ht="42" customHeight="1">
      <c r="A2524" s="4" t="s">
        <v>5939</v>
      </c>
      <c r="B2524" s="5" t="s">
        <v>5940</v>
      </c>
      <c r="C2524" s="5" t="s">
        <v>69</v>
      </c>
      <c r="D2524" s="5" t="s">
        <v>19</v>
      </c>
      <c r="E2524" s="5" t="s">
        <v>82</v>
      </c>
      <c r="F2524" s="9">
        <v>75</v>
      </c>
      <c r="G2524" s="9">
        <v>840</v>
      </c>
      <c r="H2524" s="5" t="s">
        <v>21</v>
      </c>
      <c r="I2524" s="5" t="s">
        <v>5941</v>
      </c>
      <c r="J2524" s="12" t="str">
        <f>HYPERLINK("https://www.boe.es/gazeta/dias/1801/08/04/pdfs/GMD-1801-75.pdf#page=9","Abrir facsímil")</f>
        <v>Abrir facsímil</v>
      </c>
      <c r="K2524" s="15" t="s">
        <v>23</v>
      </c>
    </row>
    <row r="2525" spans="1:11" ht="42" customHeight="1">
      <c r="A2525" s="4" t="s">
        <v>5942</v>
      </c>
      <c r="B2525" s="5" t="s">
        <v>5943</v>
      </c>
      <c r="C2525" s="5" t="s">
        <v>18</v>
      </c>
      <c r="D2525" s="5" t="s">
        <v>19</v>
      </c>
      <c r="E2525" s="5" t="s">
        <v>44</v>
      </c>
      <c r="F2525" s="9">
        <v>117</v>
      </c>
      <c r="G2525" s="9">
        <v>1280</v>
      </c>
      <c r="H2525" s="5" t="s">
        <v>21</v>
      </c>
      <c r="I2525" s="5" t="s">
        <v>5944</v>
      </c>
      <c r="J2525" s="12" t="str">
        <f>HYPERLINK("https://www.boe.es/gazeta/dias/1801/12/22/pdfs/GMD-1801-117.pdf#page=7","Abrir facsímil")</f>
        <v>Abrir facsímil</v>
      </c>
      <c r="K2525" s="15" t="s">
        <v>23</v>
      </c>
    </row>
    <row r="2526" spans="1:11" ht="42" customHeight="1">
      <c r="A2526" s="4" t="s">
        <v>5945</v>
      </c>
      <c r="B2526" s="5" t="s">
        <v>5946</v>
      </c>
      <c r="C2526" s="5" t="s">
        <v>32</v>
      </c>
      <c r="D2526" s="5" t="s">
        <v>33</v>
      </c>
      <c r="E2526" s="5" t="s">
        <v>82</v>
      </c>
      <c r="F2526" s="9">
        <v>75</v>
      </c>
      <c r="G2526" s="9">
        <v>840</v>
      </c>
      <c r="H2526" s="5" t="s">
        <v>21</v>
      </c>
      <c r="I2526" s="5" t="s">
        <v>5947</v>
      </c>
      <c r="J2526" s="12" t="str">
        <f>HYPERLINK("https://www.boe.es/gazeta/dias/1801/08/04/pdfs/GMD-1801-75.pdf#page=9","Abrir facsímil")</f>
        <v>Abrir facsímil</v>
      </c>
      <c r="K2526" s="15" t="s">
        <v>23</v>
      </c>
    </row>
    <row r="2527" spans="1:11" ht="42" customHeight="1">
      <c r="A2527" s="4" t="s">
        <v>5948</v>
      </c>
      <c r="B2527" s="5" t="s">
        <v>5949</v>
      </c>
      <c r="C2527" s="5" t="s">
        <v>18</v>
      </c>
      <c r="D2527" s="5" t="s">
        <v>19</v>
      </c>
      <c r="E2527" s="5" t="s">
        <v>219</v>
      </c>
      <c r="F2527" s="9">
        <v>26</v>
      </c>
      <c r="G2527" s="9">
        <v>347</v>
      </c>
      <c r="H2527" s="5" t="s">
        <v>21</v>
      </c>
      <c r="I2527" s="5" t="s">
        <v>5950</v>
      </c>
      <c r="J2527" s="12" t="str">
        <f>HYPERLINK("https://www.boe.es/gazeta/dias/1801/03/31/pdfs/GMD-1801-26.pdf#page=11","Abrir facsímil")</f>
        <v>Abrir facsímil</v>
      </c>
      <c r="K2527" s="15" t="s">
        <v>23</v>
      </c>
    </row>
    <row r="2528" spans="1:11" ht="42" customHeight="1">
      <c r="A2528" s="4" t="s">
        <v>5948</v>
      </c>
      <c r="B2528" s="5" t="s">
        <v>5949</v>
      </c>
      <c r="C2528" s="5" t="s">
        <v>18</v>
      </c>
      <c r="D2528" s="5" t="s">
        <v>19</v>
      </c>
      <c r="E2528" s="5" t="s">
        <v>99</v>
      </c>
      <c r="F2528" s="9">
        <v>32</v>
      </c>
      <c r="G2528" s="9">
        <v>415</v>
      </c>
      <c r="H2528" s="5" t="s">
        <v>21</v>
      </c>
      <c r="I2528" s="5" t="s">
        <v>5951</v>
      </c>
      <c r="J2528" s="12" t="str">
        <f>HYPERLINK("https://www.boe.es/gazeta/dias/1801/04/21/pdfs/GMD-1801-32.pdf#page=11","Abrir facsímil")</f>
        <v>Abrir facsímil</v>
      </c>
      <c r="K2528" s="15" t="s">
        <v>23</v>
      </c>
    </row>
    <row r="2529" spans="1:11" ht="42" customHeight="1">
      <c r="A2529" s="4" t="s">
        <v>5948</v>
      </c>
      <c r="B2529" s="5" t="s">
        <v>5949</v>
      </c>
      <c r="C2529" s="5" t="s">
        <v>18</v>
      </c>
      <c r="D2529" s="5" t="s">
        <v>19</v>
      </c>
      <c r="E2529" s="5" t="s">
        <v>501</v>
      </c>
      <c r="F2529" s="9">
        <v>115</v>
      </c>
      <c r="G2529" s="9">
        <v>1257</v>
      </c>
      <c r="H2529" s="5" t="s">
        <v>21</v>
      </c>
      <c r="I2529" s="5" t="s">
        <v>5952</v>
      </c>
      <c r="J2529" s="12" t="str">
        <f>HYPERLINK("https://www.boe.es/gazeta/dias/1801/12/15/pdfs/GMD-1801-115.pdf#page=7","Abrir facsímil")</f>
        <v>Abrir facsímil</v>
      </c>
      <c r="K2529" s="15" t="s">
        <v>23</v>
      </c>
    </row>
    <row r="2530" spans="1:11" ht="42" customHeight="1">
      <c r="A2530" s="4" t="s">
        <v>5953</v>
      </c>
      <c r="B2530" s="5" t="s">
        <v>5954</v>
      </c>
      <c r="C2530" s="5" t="s">
        <v>38</v>
      </c>
      <c r="D2530" s="5" t="s">
        <v>39</v>
      </c>
      <c r="E2530" s="5" t="s">
        <v>55</v>
      </c>
      <c r="F2530" s="9">
        <v>104</v>
      </c>
      <c r="G2530" s="9">
        <v>1146</v>
      </c>
      <c r="H2530" s="5" t="s">
        <v>21</v>
      </c>
      <c r="I2530" s="5" t="s">
        <v>5955</v>
      </c>
      <c r="J2530" s="12" t="str">
        <f>HYPERLINK("https://www.boe.es/gazeta/dias/1801/11/06/pdfs/GMD-1801-104.pdf#page=7","Abrir facsímil")</f>
        <v>Abrir facsímil</v>
      </c>
      <c r="K2530" s="15" t="s">
        <v>23</v>
      </c>
    </row>
    <row r="2531" spans="1:11" ht="42" customHeight="1">
      <c r="A2531" s="4" t="s">
        <v>5956</v>
      </c>
      <c r="B2531" s="5" t="s">
        <v>5957</v>
      </c>
      <c r="C2531" s="5" t="s">
        <v>32</v>
      </c>
      <c r="D2531" s="5" t="s">
        <v>33</v>
      </c>
      <c r="E2531" s="5" t="s">
        <v>1436</v>
      </c>
      <c r="F2531" s="9">
        <v>95</v>
      </c>
      <c r="G2531" s="9">
        <v>1043</v>
      </c>
      <c r="H2531" s="5" t="s">
        <v>21</v>
      </c>
      <c r="I2531" s="5" t="s">
        <v>5958</v>
      </c>
      <c r="J2531" s="12" t="str">
        <f>HYPERLINK("https://www.boe.es/gazeta/dias/1801/10/06/pdfs/GMD-1801-95.pdf#page=7","Abrir facsímil")</f>
        <v>Abrir facsímil</v>
      </c>
      <c r="K2531" s="15" t="s">
        <v>23</v>
      </c>
    </row>
    <row r="2532" spans="1:11" ht="42" customHeight="1">
      <c r="A2532" s="4" t="s">
        <v>5959</v>
      </c>
      <c r="B2532" s="5" t="s">
        <v>5960</v>
      </c>
      <c r="C2532" s="5" t="s">
        <v>18</v>
      </c>
      <c r="D2532" s="5" t="s">
        <v>19</v>
      </c>
      <c r="E2532" s="5" t="s">
        <v>190</v>
      </c>
      <c r="F2532" s="9">
        <v>16</v>
      </c>
      <c r="G2532" s="9">
        <v>203</v>
      </c>
      <c r="H2532" s="5" t="s">
        <v>21</v>
      </c>
      <c r="I2532" s="5" t="s">
        <v>5961</v>
      </c>
      <c r="J2532" s="12" t="str">
        <f>HYPERLINK("https://www.boe.es/gazeta/dias/1801/02/24/pdfs/GMD-1801-16.pdf#page=10","Abrir facsímil")</f>
        <v>Abrir facsímil</v>
      </c>
      <c r="K2532" s="15" t="s">
        <v>23</v>
      </c>
    </row>
    <row r="2533" spans="1:11" ht="42" customHeight="1">
      <c r="A2533" s="4" t="s">
        <v>5962</v>
      </c>
      <c r="B2533" s="5" t="s">
        <v>5963</v>
      </c>
      <c r="C2533" s="5" t="s">
        <v>26</v>
      </c>
      <c r="D2533" s="5" t="s">
        <v>27</v>
      </c>
      <c r="E2533" s="5" t="s">
        <v>453</v>
      </c>
      <c r="F2533" s="9">
        <v>100</v>
      </c>
      <c r="G2533" s="9">
        <v>1103</v>
      </c>
      <c r="H2533" s="5" t="s">
        <v>21</v>
      </c>
      <c r="I2533" s="5" t="s">
        <v>5964</v>
      </c>
      <c r="J2533" s="12" t="str">
        <f>HYPERLINK("https://www.boe.es/gazeta/dias/1801/10/23/pdfs/GMD-1801-100.pdf#page=12","Abrir facsímil")</f>
        <v>Abrir facsímil</v>
      </c>
      <c r="K2533" s="15" t="s">
        <v>23</v>
      </c>
    </row>
    <row r="2534" spans="1:11" ht="42" customHeight="1">
      <c r="A2534" s="4" t="s">
        <v>5965</v>
      </c>
      <c r="B2534" s="5" t="s">
        <v>5966</v>
      </c>
      <c r="C2534" s="5" t="s">
        <v>38</v>
      </c>
      <c r="D2534" s="5" t="s">
        <v>39</v>
      </c>
      <c r="E2534" s="5" t="s">
        <v>417</v>
      </c>
      <c r="F2534" s="9">
        <v>64</v>
      </c>
      <c r="G2534" s="9">
        <v>725</v>
      </c>
      <c r="H2534" s="5" t="s">
        <v>21</v>
      </c>
      <c r="I2534" s="5" t="s">
        <v>5967</v>
      </c>
      <c r="J2534" s="12" t="str">
        <f>HYPERLINK("https://www.boe.es/gazeta/dias/1801/07/07/pdfs/GMD-1801-64.pdf#page=6","Abrir facsímil")</f>
        <v>Abrir facsímil</v>
      </c>
      <c r="K2534" s="15" t="s">
        <v>23</v>
      </c>
    </row>
    <row r="2535" spans="1:11" ht="42" customHeight="1">
      <c r="A2535" s="4" t="s">
        <v>5968</v>
      </c>
      <c r="B2535" s="5" t="s">
        <v>5969</v>
      </c>
      <c r="C2535" s="5" t="s">
        <v>38</v>
      </c>
      <c r="D2535" s="5" t="s">
        <v>39</v>
      </c>
      <c r="E2535" s="5" t="s">
        <v>448</v>
      </c>
      <c r="F2535" s="9">
        <v>35</v>
      </c>
      <c r="G2535" s="9">
        <v>453</v>
      </c>
      <c r="H2535" s="5" t="s">
        <v>21</v>
      </c>
      <c r="I2535" s="5" t="s">
        <v>5970</v>
      </c>
      <c r="J2535" s="12" t="str">
        <f>HYPERLINK("https://www.boe.es/gazeta/dias/1801/05/01/pdfs/GMD-1801-35.pdf#page=9","Abrir facsímil")</f>
        <v>Abrir facsímil</v>
      </c>
      <c r="K2535" s="15" t="s">
        <v>23</v>
      </c>
    </row>
    <row r="2536" spans="1:11" ht="42" customHeight="1">
      <c r="A2536" s="4" t="s">
        <v>5971</v>
      </c>
      <c r="B2536" s="5" t="s">
        <v>5972</v>
      </c>
      <c r="C2536" s="5" t="s">
        <v>32</v>
      </c>
      <c r="D2536" s="5" t="s">
        <v>33</v>
      </c>
      <c r="E2536" s="5" t="s">
        <v>186</v>
      </c>
      <c r="F2536" s="9">
        <v>21</v>
      </c>
      <c r="G2536" s="9">
        <v>279</v>
      </c>
      <c r="H2536" s="5" t="s">
        <v>21</v>
      </c>
      <c r="I2536" s="5" t="s">
        <v>5973</v>
      </c>
      <c r="J2536" s="12" t="str">
        <f>HYPERLINK("https://www.boe.es/gazeta/dias/1801/03/13/pdfs/GMD-1801-21.pdf#page=8","Abrir facsímil")</f>
        <v>Abrir facsímil</v>
      </c>
      <c r="K2536" s="15" t="s">
        <v>23</v>
      </c>
    </row>
    <row r="2537" spans="1:11" ht="42" customHeight="1">
      <c r="A2537" s="4" t="s">
        <v>5974</v>
      </c>
      <c r="B2537" s="5" t="s">
        <v>5975</v>
      </c>
      <c r="C2537" s="5" t="s">
        <v>75</v>
      </c>
      <c r="D2537" s="5" t="s">
        <v>76</v>
      </c>
      <c r="E2537" s="5" t="s">
        <v>145</v>
      </c>
      <c r="F2537" s="9">
        <v>36</v>
      </c>
      <c r="G2537" s="9">
        <v>465</v>
      </c>
      <c r="H2537" s="5" t="s">
        <v>21</v>
      </c>
      <c r="I2537" s="5" t="s">
        <v>5976</v>
      </c>
      <c r="J2537" s="12" t="str">
        <f>HYPERLINK("https://www.boe.es/gazeta/dias/1801/05/05/pdfs/GMD-1801-36.pdf#page=9","Abrir facsímil")</f>
        <v>Abrir facsímil</v>
      </c>
      <c r="K2537" s="15" t="s">
        <v>23</v>
      </c>
    </row>
    <row r="2538" spans="1:11" ht="42" customHeight="1">
      <c r="A2538" s="4" t="s">
        <v>5977</v>
      </c>
      <c r="B2538" s="5" t="s">
        <v>5978</v>
      </c>
      <c r="C2538" s="5" t="s">
        <v>26</v>
      </c>
      <c r="D2538" s="5" t="s">
        <v>27</v>
      </c>
      <c r="E2538" s="5" t="s">
        <v>723</v>
      </c>
      <c r="F2538" s="9">
        <v>113</v>
      </c>
      <c r="G2538" s="9">
        <v>1235</v>
      </c>
      <c r="H2538" s="5" t="s">
        <v>21</v>
      </c>
      <c r="I2538" s="5" t="s">
        <v>5979</v>
      </c>
      <c r="J2538" s="12" t="str">
        <f>HYPERLINK("https://www.boe.es/gazeta/dias/1801/12/08/pdfs/GMD-1801-113.pdf#page=8","Abrir facsímil")</f>
        <v>Abrir facsímil</v>
      </c>
      <c r="K2538" s="15" t="s">
        <v>23</v>
      </c>
    </row>
    <row r="2539" spans="1:11" ht="42" customHeight="1">
      <c r="A2539" s="4" t="s">
        <v>5980</v>
      </c>
      <c r="B2539" s="5" t="s">
        <v>5981</v>
      </c>
      <c r="C2539" s="5" t="s">
        <v>18</v>
      </c>
      <c r="D2539" s="5" t="s">
        <v>19</v>
      </c>
      <c r="E2539" s="5" t="s">
        <v>321</v>
      </c>
      <c r="F2539" s="9">
        <v>3</v>
      </c>
      <c r="G2539" s="9">
        <v>32</v>
      </c>
      <c r="H2539" s="5" t="s">
        <v>21</v>
      </c>
      <c r="I2539" s="5" t="s">
        <v>5982</v>
      </c>
      <c r="J2539" s="12" t="str">
        <f>HYPERLINK("https://www.boe.es/gazeta/dias/1801/01/09/pdfs/GMD-1801-3.pdf#page=8","Abrir facsímil")</f>
        <v>Abrir facsímil</v>
      </c>
      <c r="K2539" s="15" t="s">
        <v>23</v>
      </c>
    </row>
    <row r="2540" spans="1:11" ht="42" customHeight="1">
      <c r="A2540" s="4" t="s">
        <v>5980</v>
      </c>
      <c r="B2540" s="5" t="s">
        <v>5981</v>
      </c>
      <c r="C2540" s="5" t="s">
        <v>18</v>
      </c>
      <c r="D2540" s="5" t="s">
        <v>19</v>
      </c>
      <c r="E2540" s="5" t="s">
        <v>131</v>
      </c>
      <c r="F2540" s="9">
        <v>22</v>
      </c>
      <c r="G2540" s="9">
        <v>294</v>
      </c>
      <c r="H2540" s="5" t="s">
        <v>21</v>
      </c>
      <c r="I2540" s="5" t="s">
        <v>5983</v>
      </c>
      <c r="J2540" s="12" t="str">
        <f>HYPERLINK("https://www.boe.es/gazeta/dias/1801/03/17/pdfs/GMD-1801-22.pdf#page=11","Abrir facsímil")</f>
        <v>Abrir facsímil</v>
      </c>
      <c r="K2540" s="15" t="s">
        <v>23</v>
      </c>
    </row>
    <row r="2541" spans="1:11" ht="42" customHeight="1">
      <c r="A2541" s="4" t="s">
        <v>5980</v>
      </c>
      <c r="B2541" s="5" t="s">
        <v>5981</v>
      </c>
      <c r="C2541" s="5" t="s">
        <v>32</v>
      </c>
      <c r="D2541" s="5" t="s">
        <v>33</v>
      </c>
      <c r="E2541" s="5" t="s">
        <v>145</v>
      </c>
      <c r="F2541" s="9">
        <v>36</v>
      </c>
      <c r="G2541" s="9">
        <v>465</v>
      </c>
      <c r="H2541" s="5" t="s">
        <v>21</v>
      </c>
      <c r="I2541" s="5" t="s">
        <v>5984</v>
      </c>
      <c r="J2541" s="12" t="str">
        <f>HYPERLINK("https://www.boe.es/gazeta/dias/1801/05/05/pdfs/GMD-1801-36.pdf#page=9","Abrir facsímil")</f>
        <v>Abrir facsímil</v>
      </c>
      <c r="K2541" s="15" t="s">
        <v>23</v>
      </c>
    </row>
    <row r="2542" spans="1:11" ht="42" customHeight="1">
      <c r="A2542" s="4" t="s">
        <v>5985</v>
      </c>
      <c r="B2542" s="5" t="s">
        <v>5986</v>
      </c>
      <c r="C2542" s="5" t="s">
        <v>32</v>
      </c>
      <c r="D2542" s="5" t="s">
        <v>33</v>
      </c>
      <c r="E2542" s="5" t="s">
        <v>120</v>
      </c>
      <c r="F2542" s="9">
        <v>7</v>
      </c>
      <c r="G2542" s="9">
        <v>84</v>
      </c>
      <c r="H2542" s="5" t="s">
        <v>21</v>
      </c>
      <c r="I2542" s="5" t="s">
        <v>5987</v>
      </c>
      <c r="J2542" s="12" t="str">
        <f>HYPERLINK("https://www.boe.es/gazeta/dias/1801/01/23/pdfs/GMD-1801-7.pdf#page=8","Abrir facsímil")</f>
        <v>Abrir facsímil</v>
      </c>
      <c r="K2542" s="15" t="s">
        <v>23</v>
      </c>
    </row>
    <row r="2543" spans="1:11" ht="42" customHeight="1">
      <c r="A2543" s="4" t="s">
        <v>5988</v>
      </c>
      <c r="B2543" s="5" t="s">
        <v>5989</v>
      </c>
      <c r="C2543" s="5" t="s">
        <v>32</v>
      </c>
      <c r="D2543" s="5" t="s">
        <v>33</v>
      </c>
      <c r="E2543" s="5" t="s">
        <v>201</v>
      </c>
      <c r="F2543" s="9">
        <v>79</v>
      </c>
      <c r="G2543" s="9">
        <v>890</v>
      </c>
      <c r="H2543" s="5" t="s">
        <v>21</v>
      </c>
      <c r="I2543" s="5" t="s">
        <v>5990</v>
      </c>
      <c r="J2543" s="12" t="str">
        <f>HYPERLINK("https://www.boe.es/gazeta/dias/1801/08/18/pdfs/GMD-1801-79.pdf#page=7","Abrir facsímil")</f>
        <v>Abrir facsímil</v>
      </c>
      <c r="K2543" s="15" t="s">
        <v>23</v>
      </c>
    </row>
    <row r="2544" spans="1:11" ht="42" customHeight="1">
      <c r="A2544" s="4" t="s">
        <v>5991</v>
      </c>
      <c r="B2544" s="5" t="s">
        <v>5992</v>
      </c>
      <c r="C2544" s="5" t="s">
        <v>38</v>
      </c>
      <c r="D2544" s="5" t="s">
        <v>39</v>
      </c>
      <c r="E2544" s="5" t="s">
        <v>155</v>
      </c>
      <c r="F2544" s="9">
        <v>50</v>
      </c>
      <c r="G2544" s="9">
        <v>598</v>
      </c>
      <c r="H2544" s="5" t="s">
        <v>21</v>
      </c>
      <c r="I2544" s="5" t="s">
        <v>5993</v>
      </c>
      <c r="J2544" s="12" t="str">
        <f>HYPERLINK("https://www.boe.es/gazeta/dias/1801/06/09/pdfs/GMD-1801-50.pdf#page=10","Abrir facsímil")</f>
        <v>Abrir facsímil</v>
      </c>
      <c r="K2544" s="15" t="s">
        <v>23</v>
      </c>
    </row>
    <row r="2545" spans="1:11" ht="42" customHeight="1">
      <c r="A2545" s="4" t="s">
        <v>5994</v>
      </c>
      <c r="B2545" s="5" t="s">
        <v>5995</v>
      </c>
      <c r="C2545" s="5" t="s">
        <v>26</v>
      </c>
      <c r="D2545" s="5" t="s">
        <v>27</v>
      </c>
      <c r="E2545" s="5" t="s">
        <v>44</v>
      </c>
      <c r="F2545" s="9">
        <v>117</v>
      </c>
      <c r="G2545" s="9">
        <v>1285</v>
      </c>
      <c r="H2545" s="5" t="s">
        <v>21</v>
      </c>
      <c r="I2545" s="5" t="s">
        <v>5996</v>
      </c>
      <c r="J2545" s="12" t="str">
        <f>HYPERLINK("https://www.boe.es/gazeta/dias/1801/12/22/pdfs/GMD-1801-117.pdf#page=12","Abrir facsímil")</f>
        <v>Abrir facsímil</v>
      </c>
      <c r="K2545" s="15" t="s">
        <v>23</v>
      </c>
    </row>
    <row r="2546" spans="1:11" ht="42" customHeight="1">
      <c r="A2546" s="4" t="s">
        <v>5997</v>
      </c>
      <c r="B2546" s="5" t="s">
        <v>5998</v>
      </c>
      <c r="C2546" s="5" t="s">
        <v>38</v>
      </c>
      <c r="D2546" s="5" t="s">
        <v>39</v>
      </c>
      <c r="E2546" s="5" t="s">
        <v>44</v>
      </c>
      <c r="F2546" s="9">
        <v>117</v>
      </c>
      <c r="G2546" s="9">
        <v>1280</v>
      </c>
      <c r="H2546" s="5" t="s">
        <v>21</v>
      </c>
      <c r="I2546" s="5" t="s">
        <v>5999</v>
      </c>
      <c r="J2546" s="12" t="str">
        <f>HYPERLINK("https://www.boe.es/gazeta/dias/1801/12/22/pdfs/GMD-1801-117.pdf#page=7","Abrir facsímil")</f>
        <v>Abrir facsímil</v>
      </c>
      <c r="K2546" s="15" t="s">
        <v>23</v>
      </c>
    </row>
    <row r="2547" spans="1:11" ht="42" customHeight="1">
      <c r="A2547" s="4" t="s">
        <v>6000</v>
      </c>
      <c r="B2547" s="5" t="s">
        <v>6001</v>
      </c>
      <c r="C2547" s="5" t="s">
        <v>32</v>
      </c>
      <c r="D2547" s="5" t="s">
        <v>33</v>
      </c>
      <c r="E2547" s="5" t="s">
        <v>1939</v>
      </c>
      <c r="F2547" s="9">
        <v>107</v>
      </c>
      <c r="G2547" s="9">
        <v>1178</v>
      </c>
      <c r="H2547" s="5" t="s">
        <v>21</v>
      </c>
      <c r="I2547" s="5" t="s">
        <v>6002</v>
      </c>
      <c r="J2547" s="12" t="str">
        <f>HYPERLINK("https://www.boe.es/gazeta/dias/1801/11/17/pdfs/GMD-1801-107.pdf#page=7","Abrir facsímil")</f>
        <v>Abrir facsímil</v>
      </c>
      <c r="K2547" s="15" t="s">
        <v>23</v>
      </c>
    </row>
    <row r="2548" spans="1:11" ht="42" customHeight="1">
      <c r="A2548" s="4" t="s">
        <v>6003</v>
      </c>
      <c r="B2548" s="5" t="s">
        <v>6004</v>
      </c>
      <c r="C2548" s="5" t="s">
        <v>38</v>
      </c>
      <c r="D2548" s="5" t="s">
        <v>39</v>
      </c>
      <c r="E2548" s="5" t="s">
        <v>171</v>
      </c>
      <c r="F2548" s="9">
        <v>76</v>
      </c>
      <c r="G2548" s="9">
        <v>849</v>
      </c>
      <c r="H2548" s="5" t="s">
        <v>21</v>
      </c>
      <c r="I2548" s="5" t="s">
        <v>6005</v>
      </c>
      <c r="J2548" s="12" t="str">
        <f>HYPERLINK("https://www.boe.es/gazeta/dias/1801/08/07/pdfs/GMD-1801-76.pdf#page=6","Abrir facsímil")</f>
        <v>Abrir facsímil</v>
      </c>
      <c r="K2548" s="15" t="s">
        <v>23</v>
      </c>
    </row>
    <row r="2549" spans="1:11" ht="42" customHeight="1">
      <c r="A2549" s="4" t="s">
        <v>6006</v>
      </c>
      <c r="B2549" s="5" t="s">
        <v>6007</v>
      </c>
      <c r="C2549" s="5" t="s">
        <v>18</v>
      </c>
      <c r="D2549" s="5" t="s">
        <v>19</v>
      </c>
      <c r="E2549" s="5" t="s">
        <v>145</v>
      </c>
      <c r="F2549" s="9">
        <v>36</v>
      </c>
      <c r="G2549" s="9">
        <v>469</v>
      </c>
      <c r="H2549" s="5" t="s">
        <v>21</v>
      </c>
      <c r="I2549" s="5" t="s">
        <v>6008</v>
      </c>
      <c r="J2549" s="12" t="str">
        <f>HYPERLINK("https://www.boe.es/gazeta/dias/1801/05/05/pdfs/GMD-1801-36.pdf#page=13","Abrir facsímil")</f>
        <v>Abrir facsímil</v>
      </c>
      <c r="K2549" s="15" t="s">
        <v>23</v>
      </c>
    </row>
    <row r="2550" spans="1:11" ht="42" customHeight="1">
      <c r="A2550" s="4" t="s">
        <v>6009</v>
      </c>
      <c r="B2550" s="5" t="s">
        <v>6010</v>
      </c>
      <c r="C2550" s="5" t="s">
        <v>38</v>
      </c>
      <c r="D2550" s="5" t="s">
        <v>39</v>
      </c>
      <c r="E2550" s="5" t="s">
        <v>215</v>
      </c>
      <c r="F2550" s="9">
        <v>71</v>
      </c>
      <c r="G2550" s="9">
        <v>788</v>
      </c>
      <c r="H2550" s="5" t="s">
        <v>21</v>
      </c>
      <c r="I2550" s="5" t="s">
        <v>6011</v>
      </c>
      <c r="J2550" s="12" t="str">
        <f>HYPERLINK("https://www.boe.es/gazeta/dias/1801/07/21/pdfs/GMD-1801-71.pdf#page=9","Abrir facsímil")</f>
        <v>Abrir facsímil</v>
      </c>
      <c r="K2550" s="15" t="s">
        <v>23</v>
      </c>
    </row>
    <row r="2551" spans="1:11" ht="42" customHeight="1">
      <c r="A2551" s="4" t="s">
        <v>6012</v>
      </c>
      <c r="B2551" s="5" t="s">
        <v>6013</v>
      </c>
      <c r="C2551" s="5" t="s">
        <v>18</v>
      </c>
      <c r="D2551" s="5" t="s">
        <v>19</v>
      </c>
      <c r="E2551" s="5" t="s">
        <v>919</v>
      </c>
      <c r="F2551" s="9">
        <v>91</v>
      </c>
      <c r="G2551" s="9">
        <v>1004</v>
      </c>
      <c r="H2551" s="5" t="s">
        <v>21</v>
      </c>
      <c r="I2551" s="5" t="s">
        <v>6014</v>
      </c>
      <c r="J2551" s="12" t="str">
        <f>HYPERLINK("https://www.boe.es/gazeta/dias/1801/09/22/pdfs/GMD-1801-91.pdf#page=7","Abrir facsímil")</f>
        <v>Abrir facsímil</v>
      </c>
      <c r="K2551" s="15" t="s">
        <v>23</v>
      </c>
    </row>
    <row r="2552" spans="1:11" ht="42" customHeight="1">
      <c r="A2552" s="4" t="s">
        <v>6015</v>
      </c>
      <c r="B2552" s="5" t="s">
        <v>6016</v>
      </c>
      <c r="C2552" s="5" t="s">
        <v>26</v>
      </c>
      <c r="D2552" s="5" t="s">
        <v>27</v>
      </c>
      <c r="E2552" s="5" t="s">
        <v>128</v>
      </c>
      <c r="F2552" s="9">
        <v>17</v>
      </c>
      <c r="G2552" s="9">
        <v>217</v>
      </c>
      <c r="H2552" s="5" t="s">
        <v>21</v>
      </c>
      <c r="I2552" s="5" t="s">
        <v>6017</v>
      </c>
      <c r="J2552" s="12" t="str">
        <f>HYPERLINK("https://www.boe.es/gazeta/dias/1801/02/27/pdfs/GMD-1801-17.pdf#page=12","Abrir facsímil")</f>
        <v>Abrir facsímil</v>
      </c>
      <c r="K2552" s="15" t="s">
        <v>23</v>
      </c>
    </row>
    <row r="2553" spans="1:11" ht="42" customHeight="1">
      <c r="A2553" s="4" t="s">
        <v>6018</v>
      </c>
      <c r="B2553" s="5" t="s">
        <v>6019</v>
      </c>
      <c r="C2553" s="5" t="s">
        <v>32</v>
      </c>
      <c r="D2553" s="5" t="s">
        <v>33</v>
      </c>
      <c r="E2553" s="5" t="s">
        <v>48</v>
      </c>
      <c r="F2553" s="9">
        <v>20</v>
      </c>
      <c r="G2553" s="9">
        <v>265</v>
      </c>
      <c r="H2553" s="5" t="s">
        <v>21</v>
      </c>
      <c r="I2553" s="5" t="s">
        <v>6020</v>
      </c>
      <c r="J2553" s="12" t="str">
        <f>HYPERLINK("https://www.boe.es/gazeta/dias/1801/03/10/pdfs/GMD-1801-20.pdf#page=10","Abrir facsímil")</f>
        <v>Abrir facsímil</v>
      </c>
      <c r="K2553" s="15" t="s">
        <v>23</v>
      </c>
    </row>
    <row r="2554" spans="1:11" ht="42" customHeight="1">
      <c r="A2554" s="4" t="s">
        <v>6021</v>
      </c>
      <c r="B2554" s="5" t="s">
        <v>6022</v>
      </c>
      <c r="C2554" s="5" t="s">
        <v>26</v>
      </c>
      <c r="D2554" s="5" t="s">
        <v>27</v>
      </c>
      <c r="E2554" s="5" t="s">
        <v>20</v>
      </c>
      <c r="F2554" s="9">
        <v>37</v>
      </c>
      <c r="G2554" s="9">
        <v>483</v>
      </c>
      <c r="H2554" s="5" t="s">
        <v>21</v>
      </c>
      <c r="I2554" s="5" t="s">
        <v>6023</v>
      </c>
      <c r="J2554" s="12" t="str">
        <f>HYPERLINK("https://www.boe.es/gazeta/dias/1801/05/08/pdfs/GMD-1801-37.pdf#page=11","Abrir facsímil")</f>
        <v>Abrir facsímil</v>
      </c>
      <c r="K2554" s="15" t="s">
        <v>23</v>
      </c>
    </row>
    <row r="2555" spans="1:11" ht="42" customHeight="1">
      <c r="A2555" s="4" t="s">
        <v>6024</v>
      </c>
      <c r="B2555" s="5" t="s">
        <v>6025</v>
      </c>
      <c r="C2555" s="5" t="s">
        <v>38</v>
      </c>
      <c r="D2555" s="5" t="s">
        <v>39</v>
      </c>
      <c r="E2555" s="5" t="s">
        <v>258</v>
      </c>
      <c r="F2555" s="9">
        <v>96</v>
      </c>
      <c r="G2555" s="9">
        <v>1051</v>
      </c>
      <c r="H2555" s="5" t="s">
        <v>21</v>
      </c>
      <c r="I2555" s="5" t="s">
        <v>6026</v>
      </c>
      <c r="J2555" s="12" t="str">
        <f>HYPERLINK("https://www.boe.es/gazeta/dias/1801/10/09/pdfs/GMD-1801-96.pdf#page=7","Abrir facsímil")</f>
        <v>Abrir facsímil</v>
      </c>
      <c r="K2555" s="15" t="s">
        <v>23</v>
      </c>
    </row>
    <row r="2556" spans="1:11" ht="42" customHeight="1">
      <c r="A2556" s="4" t="s">
        <v>6027</v>
      </c>
      <c r="B2556" s="5" t="s">
        <v>6028</v>
      </c>
      <c r="C2556" s="5" t="s">
        <v>75</v>
      </c>
      <c r="D2556" s="5" t="s">
        <v>76</v>
      </c>
      <c r="E2556" s="5" t="s">
        <v>165</v>
      </c>
      <c r="F2556" s="9">
        <v>59</v>
      </c>
      <c r="G2556" s="9">
        <v>668</v>
      </c>
      <c r="H2556" s="5" t="s">
        <v>21</v>
      </c>
      <c r="I2556" s="5" t="s">
        <v>6029</v>
      </c>
      <c r="J2556" s="12" t="str">
        <f>HYPERLINK("https://www.boe.es/gazeta/dias/1801/06/23/pdfs/GMD-1801-59.pdf#page=1","Abrir facsímil")</f>
        <v>Abrir facsímil</v>
      </c>
      <c r="K2556" s="15" t="s">
        <v>23</v>
      </c>
    </row>
    <row r="2557" spans="1:11" ht="42" customHeight="1">
      <c r="A2557" s="4" t="s">
        <v>6030</v>
      </c>
      <c r="B2557" s="5" t="s">
        <v>6031</v>
      </c>
      <c r="C2557" s="5" t="s">
        <v>38</v>
      </c>
      <c r="D2557" s="5" t="s">
        <v>39</v>
      </c>
      <c r="E2557" s="5" t="s">
        <v>215</v>
      </c>
      <c r="F2557" s="9">
        <v>71</v>
      </c>
      <c r="G2557" s="9">
        <v>788</v>
      </c>
      <c r="H2557" s="5" t="s">
        <v>21</v>
      </c>
      <c r="I2557" s="5" t="s">
        <v>6032</v>
      </c>
      <c r="J2557" s="12" t="str">
        <f>HYPERLINK("https://www.boe.es/gazeta/dias/1801/07/21/pdfs/GMD-1801-71.pdf#page=9","Abrir facsímil")</f>
        <v>Abrir facsímil</v>
      </c>
      <c r="K2557" s="15" t="s">
        <v>23</v>
      </c>
    </row>
    <row r="2558" spans="1:11" ht="42" customHeight="1">
      <c r="A2558" s="4" t="s">
        <v>6033</v>
      </c>
      <c r="B2558" s="5" t="s">
        <v>6034</v>
      </c>
      <c r="C2558" s="5" t="s">
        <v>38</v>
      </c>
      <c r="D2558" s="5" t="s">
        <v>39</v>
      </c>
      <c r="E2558" s="5" t="s">
        <v>62</v>
      </c>
      <c r="F2558" s="9">
        <v>6</v>
      </c>
      <c r="G2558" s="9">
        <v>73</v>
      </c>
      <c r="H2558" s="5" t="s">
        <v>21</v>
      </c>
      <c r="I2558" s="5" t="s">
        <v>6035</v>
      </c>
      <c r="J2558" s="12" t="str">
        <f>HYPERLINK("https://www.boe.es/gazeta/dias/1801/01/20/pdfs/GMD-1801-6.pdf#page=9","Abrir facsímil")</f>
        <v>Abrir facsímil</v>
      </c>
      <c r="K2558" s="15" t="s">
        <v>23</v>
      </c>
    </row>
    <row r="2559" spans="1:11" ht="42" customHeight="1">
      <c r="A2559" s="4" t="s">
        <v>6036</v>
      </c>
      <c r="B2559" s="5" t="s">
        <v>6037</v>
      </c>
      <c r="C2559" s="5" t="s">
        <v>32</v>
      </c>
      <c r="D2559" s="5" t="s">
        <v>33</v>
      </c>
      <c r="E2559" s="5" t="s">
        <v>50</v>
      </c>
      <c r="F2559" s="9">
        <v>29</v>
      </c>
      <c r="G2559" s="9">
        <v>382</v>
      </c>
      <c r="H2559" s="5" t="s">
        <v>21</v>
      </c>
      <c r="I2559" s="5" t="s">
        <v>6038</v>
      </c>
      <c r="J2559" s="12" t="str">
        <f>HYPERLINK("https://www.boe.es/gazeta/dias/1801/04/10/pdfs/GMD-1801-29.pdf#page=10","Abrir facsímil")</f>
        <v>Abrir facsímil</v>
      </c>
      <c r="K2559" s="15" t="s">
        <v>23</v>
      </c>
    </row>
    <row r="2560" spans="1:11" ht="42" customHeight="1">
      <c r="A2560" s="4" t="s">
        <v>6039</v>
      </c>
      <c r="B2560" s="5" t="s">
        <v>6040</v>
      </c>
      <c r="C2560" s="5" t="s">
        <v>32</v>
      </c>
      <c r="D2560" s="5" t="s">
        <v>33</v>
      </c>
      <c r="E2560" s="5" t="s">
        <v>141</v>
      </c>
      <c r="F2560" s="9">
        <v>33</v>
      </c>
      <c r="G2560" s="9">
        <v>425</v>
      </c>
      <c r="H2560" s="5" t="s">
        <v>21</v>
      </c>
      <c r="I2560" s="5" t="s">
        <v>6041</v>
      </c>
      <c r="J2560" s="12" t="str">
        <f>HYPERLINK("https://www.boe.es/gazeta/dias/1801/04/24/pdfs/GMD-1801-33.pdf#page=9","Abrir facsímil")</f>
        <v>Abrir facsímil</v>
      </c>
      <c r="K2560" s="15" t="s">
        <v>23</v>
      </c>
    </row>
    <row r="2561" spans="1:11" ht="42" customHeight="1">
      <c r="A2561" s="4" t="s">
        <v>6042</v>
      </c>
      <c r="B2561" s="5" t="s">
        <v>6043</v>
      </c>
      <c r="C2561" s="5" t="s">
        <v>32</v>
      </c>
      <c r="D2561" s="5" t="s">
        <v>33</v>
      </c>
      <c r="E2561" s="5" t="s">
        <v>313</v>
      </c>
      <c r="F2561" s="9">
        <v>39</v>
      </c>
      <c r="G2561" s="9">
        <v>505</v>
      </c>
      <c r="H2561" s="5" t="s">
        <v>21</v>
      </c>
      <c r="I2561" s="5" t="s">
        <v>6044</v>
      </c>
      <c r="J2561" s="12" t="str">
        <f>HYPERLINK("https://www.boe.es/gazeta/dias/1801/05/15/pdfs/GMD-1801-39.pdf#page=9","Abrir facsímil")</f>
        <v>Abrir facsímil</v>
      </c>
      <c r="K2561" s="15" t="s">
        <v>23</v>
      </c>
    </row>
    <row r="2562" spans="1:11" ht="42" customHeight="1">
      <c r="A2562" s="4" t="s">
        <v>6045</v>
      </c>
      <c r="B2562" s="5" t="s">
        <v>6046</v>
      </c>
      <c r="C2562" s="5" t="s">
        <v>69</v>
      </c>
      <c r="D2562" s="5" t="s">
        <v>19</v>
      </c>
      <c r="E2562" s="5" t="s">
        <v>165</v>
      </c>
      <c r="F2562" s="9">
        <v>59</v>
      </c>
      <c r="G2562" s="9">
        <v>678</v>
      </c>
      <c r="H2562" s="5" t="s">
        <v>21</v>
      </c>
      <c r="I2562" s="5" t="s">
        <v>6047</v>
      </c>
      <c r="J2562" s="12" t="str">
        <f>HYPERLINK("https://www.boe.es/gazeta/dias/1801/06/23/pdfs/GMD-1801-59.pdf#page=11","Abrir facsímil")</f>
        <v>Abrir facsímil</v>
      </c>
      <c r="K2562" s="15" t="s">
        <v>23</v>
      </c>
    </row>
    <row r="2563" spans="1:11" ht="42" customHeight="1">
      <c r="A2563" s="4" t="s">
        <v>6048</v>
      </c>
      <c r="B2563" s="5" t="s">
        <v>6049</v>
      </c>
      <c r="C2563" s="5" t="s">
        <v>69</v>
      </c>
      <c r="D2563" s="5" t="s">
        <v>19</v>
      </c>
      <c r="E2563" s="5" t="s">
        <v>453</v>
      </c>
      <c r="F2563" s="9">
        <v>100</v>
      </c>
      <c r="G2563" s="9">
        <v>1100</v>
      </c>
      <c r="H2563" s="5" t="s">
        <v>21</v>
      </c>
      <c r="I2563" s="5" t="s">
        <v>6050</v>
      </c>
      <c r="J2563" s="12" t="str">
        <f>HYPERLINK("https://www.boe.es/gazeta/dias/1801/10/23/pdfs/GMD-1801-100.pdf#page=9","Abrir facsímil")</f>
        <v>Abrir facsímil</v>
      </c>
      <c r="K2563" s="15" t="s">
        <v>23</v>
      </c>
    </row>
    <row r="2564" spans="1:11" ht="42" customHeight="1">
      <c r="A2564" s="4" t="s">
        <v>6051</v>
      </c>
      <c r="B2564" s="5" t="s">
        <v>6052</v>
      </c>
      <c r="C2564" s="5" t="s">
        <v>515</v>
      </c>
      <c r="D2564" s="5" t="s">
        <v>516</v>
      </c>
      <c r="E2564" s="5" t="s">
        <v>501</v>
      </c>
      <c r="F2564" s="9">
        <v>115</v>
      </c>
      <c r="G2564" s="9" t="s">
        <v>502</v>
      </c>
      <c r="H2564" s="5" t="s">
        <v>21</v>
      </c>
      <c r="I2564" s="5" t="s">
        <v>6053</v>
      </c>
      <c r="J2564" s="12" t="str">
        <f>HYPERLINK("https://www.boe.es/gazeta/dias/1801/12/15/pdfs/GMD-C-1801-115.pdf#page=8","Abrir facsímil")</f>
        <v>Abrir facsímil</v>
      </c>
      <c r="K2564" s="15" t="s">
        <v>23</v>
      </c>
    </row>
    <row r="2565" spans="1:11" ht="42" customHeight="1">
      <c r="A2565" s="4" t="s">
        <v>6054</v>
      </c>
      <c r="B2565" s="5" t="s">
        <v>6055</v>
      </c>
      <c r="C2565" s="5" t="s">
        <v>26</v>
      </c>
      <c r="D2565" s="5" t="s">
        <v>27</v>
      </c>
      <c r="E2565" s="5" t="s">
        <v>173</v>
      </c>
      <c r="F2565" s="9">
        <v>98</v>
      </c>
      <c r="G2565" s="9">
        <v>1080</v>
      </c>
      <c r="H2565" s="5" t="s">
        <v>21</v>
      </c>
      <c r="I2565" s="5" t="s">
        <v>6056</v>
      </c>
      <c r="J2565" s="12" t="str">
        <f>HYPERLINK("https://www.boe.es/gazeta/dias/1801/10/16/pdfs/GMD-1801-98.pdf#page=12","Abrir facsímil")</f>
        <v>Abrir facsímil</v>
      </c>
      <c r="K2565" s="15" t="s">
        <v>23</v>
      </c>
    </row>
    <row r="2566" spans="1:11" ht="42" customHeight="1">
      <c r="A2566" s="4" t="s">
        <v>6057</v>
      </c>
      <c r="B2566" s="5" t="s">
        <v>6058</v>
      </c>
      <c r="C2566" s="5" t="s">
        <v>75</v>
      </c>
      <c r="D2566" s="5" t="s">
        <v>76</v>
      </c>
      <c r="E2566" s="5" t="s">
        <v>190</v>
      </c>
      <c r="F2566" s="9">
        <v>16</v>
      </c>
      <c r="G2566" s="9">
        <v>198</v>
      </c>
      <c r="H2566" s="5" t="s">
        <v>21</v>
      </c>
      <c r="I2566" s="5" t="s">
        <v>6059</v>
      </c>
      <c r="J2566" s="12" t="str">
        <f>HYPERLINK("https://www.boe.es/gazeta/dias/1801/02/24/pdfs/GMD-1801-16.pdf#page=5","Abrir facsímil")</f>
        <v>Abrir facsímil</v>
      </c>
      <c r="K2566" s="15" t="s">
        <v>23</v>
      </c>
    </row>
    <row r="2567" spans="1:11" ht="42" customHeight="1">
      <c r="A2567" s="4" t="s">
        <v>6060</v>
      </c>
      <c r="B2567" s="5" t="s">
        <v>6061</v>
      </c>
      <c r="C2567" s="5" t="s">
        <v>38</v>
      </c>
      <c r="D2567" s="5" t="s">
        <v>39</v>
      </c>
      <c r="E2567" s="5" t="s">
        <v>143</v>
      </c>
      <c r="F2567" s="9">
        <v>34</v>
      </c>
      <c r="G2567" s="9">
        <v>434</v>
      </c>
      <c r="H2567" s="5" t="s">
        <v>21</v>
      </c>
      <c r="I2567" s="5" t="s">
        <v>6062</v>
      </c>
      <c r="J2567" s="12" t="str">
        <f>HYPERLINK("https://www.boe.es/gazeta/dias/1801/04/28/pdfs/GMD-1801-34.pdf#page=6","Abrir facsímil")</f>
        <v>Abrir facsímil</v>
      </c>
      <c r="K2567" s="15" t="s">
        <v>23</v>
      </c>
    </row>
    <row r="2568" spans="1:11" ht="42" customHeight="1">
      <c r="A2568" s="4" t="s">
        <v>6063</v>
      </c>
      <c r="B2568" s="5" t="s">
        <v>6064</v>
      </c>
      <c r="C2568" s="5" t="s">
        <v>75</v>
      </c>
      <c r="D2568" s="5" t="s">
        <v>76</v>
      </c>
      <c r="E2568" s="5" t="s">
        <v>28</v>
      </c>
      <c r="F2568" s="9">
        <v>77</v>
      </c>
      <c r="G2568" s="9">
        <v>862</v>
      </c>
      <c r="H2568" s="5" t="s">
        <v>21</v>
      </c>
      <c r="I2568" s="5" t="s">
        <v>6065</v>
      </c>
      <c r="J2568" s="12" t="str">
        <f>HYPERLINK("https://www.boe.es/gazeta/dias/1801/08/11/pdfs/GMD-1801-77.pdf#page=7","Abrir facsímil")</f>
        <v>Abrir facsímil</v>
      </c>
      <c r="K2568" s="15" t="s">
        <v>23</v>
      </c>
    </row>
    <row r="2569" spans="1:11" ht="42" customHeight="1">
      <c r="A2569" s="4" t="s">
        <v>6066</v>
      </c>
      <c r="B2569" s="5" t="s">
        <v>6067</v>
      </c>
      <c r="C2569" s="5" t="s">
        <v>32</v>
      </c>
      <c r="D2569" s="5" t="s">
        <v>33</v>
      </c>
      <c r="E2569" s="5" t="s">
        <v>155</v>
      </c>
      <c r="F2569" s="9">
        <v>50</v>
      </c>
      <c r="G2569" s="9">
        <v>594</v>
      </c>
      <c r="H2569" s="5" t="s">
        <v>21</v>
      </c>
      <c r="I2569" s="5" t="s">
        <v>6068</v>
      </c>
      <c r="J2569" s="12" t="str">
        <f>HYPERLINK("https://www.boe.es/gazeta/dias/1801/06/09/pdfs/GMD-1801-50.pdf#page=6","Abrir facsímil")</f>
        <v>Abrir facsímil</v>
      </c>
      <c r="K2569" s="15" t="s">
        <v>23</v>
      </c>
    </row>
    <row r="2570" spans="1:11" ht="42" customHeight="1">
      <c r="A2570" s="4" t="s">
        <v>6069</v>
      </c>
      <c r="B2570" s="5" t="s">
        <v>6070</v>
      </c>
      <c r="C2570" s="5" t="s">
        <v>75</v>
      </c>
      <c r="D2570" s="5" t="s">
        <v>76</v>
      </c>
      <c r="E2570" s="5" t="s">
        <v>462</v>
      </c>
      <c r="F2570" s="9">
        <v>5</v>
      </c>
      <c r="G2570" s="9">
        <v>54</v>
      </c>
      <c r="H2570" s="5" t="s">
        <v>21</v>
      </c>
      <c r="I2570" s="5" t="s">
        <v>6071</v>
      </c>
      <c r="J2570" s="12" t="str">
        <f>HYPERLINK("https://www.boe.es/gazeta/dias/1801/01/16/pdfs/GMD-1801-5.pdf#page=6","Abrir facsímil")</f>
        <v>Abrir facsímil</v>
      </c>
      <c r="K2570" s="15" t="s">
        <v>23</v>
      </c>
    </row>
    <row r="2571" spans="1:11" ht="42" customHeight="1">
      <c r="A2571" s="4" t="s">
        <v>6069</v>
      </c>
      <c r="B2571" s="5" t="s">
        <v>6070</v>
      </c>
      <c r="C2571" s="5" t="s">
        <v>32</v>
      </c>
      <c r="D2571" s="5" t="s">
        <v>33</v>
      </c>
      <c r="E2571" s="5" t="s">
        <v>120</v>
      </c>
      <c r="F2571" s="9">
        <v>7</v>
      </c>
      <c r="G2571" s="9">
        <v>83</v>
      </c>
      <c r="H2571" s="5" t="s">
        <v>21</v>
      </c>
      <c r="I2571" s="5" t="s">
        <v>6072</v>
      </c>
      <c r="J2571" s="12" t="str">
        <f>HYPERLINK("https://www.boe.es/gazeta/dias/1801/01/23/pdfs/GMD-1801-7.pdf#page=7","Abrir facsímil")</f>
        <v>Abrir facsímil</v>
      </c>
      <c r="K2571" s="15" t="s">
        <v>23</v>
      </c>
    </row>
    <row r="2572" spans="1:11" ht="42" customHeight="1">
      <c r="A2572" s="4" t="s">
        <v>6069</v>
      </c>
      <c r="B2572" s="5" t="s">
        <v>6070</v>
      </c>
      <c r="C2572" s="5" t="s">
        <v>75</v>
      </c>
      <c r="D2572" s="5" t="s">
        <v>76</v>
      </c>
      <c r="E2572" s="5" t="s">
        <v>448</v>
      </c>
      <c r="F2572" s="9">
        <v>35</v>
      </c>
      <c r="G2572" s="9">
        <v>447</v>
      </c>
      <c r="H2572" s="5" t="s">
        <v>21</v>
      </c>
      <c r="I2572" s="5" t="s">
        <v>6073</v>
      </c>
      <c r="J2572" s="12" t="str">
        <f>HYPERLINK("https://www.boe.es/gazeta/dias/1801/05/01/pdfs/GMD-1801-35.pdf#page=3","Abrir facsímil")</f>
        <v>Abrir facsímil</v>
      </c>
      <c r="K2572" s="15" t="s">
        <v>23</v>
      </c>
    </row>
    <row r="2573" spans="1:11" ht="42" customHeight="1">
      <c r="A2573" s="4" t="s">
        <v>6069</v>
      </c>
      <c r="B2573" s="5" t="s">
        <v>6070</v>
      </c>
      <c r="C2573" s="5" t="s">
        <v>75</v>
      </c>
      <c r="D2573" s="5" t="s">
        <v>76</v>
      </c>
      <c r="E2573" s="5" t="s">
        <v>352</v>
      </c>
      <c r="F2573" s="9">
        <v>43</v>
      </c>
      <c r="G2573" s="9">
        <v>532</v>
      </c>
      <c r="H2573" s="5" t="s">
        <v>21</v>
      </c>
      <c r="I2573" s="5" t="s">
        <v>6074</v>
      </c>
      <c r="J2573" s="12" t="str">
        <f>HYPERLINK("https://www.boe.es/gazeta/dias/1801/05/26/pdfs/GMD-1801-43.pdf#page=4","Abrir facsímil")</f>
        <v>Abrir facsímil</v>
      </c>
      <c r="K2573" s="15" t="s">
        <v>23</v>
      </c>
    </row>
    <row r="2574" spans="1:11" ht="42" customHeight="1">
      <c r="A2574" s="4" t="s">
        <v>6075</v>
      </c>
      <c r="B2574" s="5" t="s">
        <v>6076</v>
      </c>
      <c r="C2574" s="5" t="s">
        <v>75</v>
      </c>
      <c r="D2574" s="5" t="s">
        <v>76</v>
      </c>
      <c r="E2574" s="5" t="s">
        <v>90</v>
      </c>
      <c r="F2574" s="9">
        <v>1</v>
      </c>
      <c r="G2574" s="9">
        <v>6</v>
      </c>
      <c r="H2574" s="5" t="s">
        <v>21</v>
      </c>
      <c r="I2574" s="5" t="s">
        <v>6077</v>
      </c>
      <c r="J2574" s="12" t="str">
        <f>HYPERLINK("https://www.boe.es/gazeta/dias/1801/01/02/pdfs/GMD-1801-1.pdf#page=6","Abrir facsímil")</f>
        <v>Abrir facsímil</v>
      </c>
      <c r="K2574" s="15" t="s">
        <v>23</v>
      </c>
    </row>
    <row r="2575" spans="1:11" ht="42" customHeight="1">
      <c r="A2575" s="4" t="s">
        <v>6078</v>
      </c>
      <c r="B2575" s="5" t="s">
        <v>6079</v>
      </c>
      <c r="C2575" s="5" t="s">
        <v>32</v>
      </c>
      <c r="D2575" s="5" t="s">
        <v>33</v>
      </c>
      <c r="E2575" s="5" t="s">
        <v>1085</v>
      </c>
      <c r="F2575" s="9">
        <v>99</v>
      </c>
      <c r="G2575" s="9">
        <v>1087</v>
      </c>
      <c r="H2575" s="5" t="s">
        <v>21</v>
      </c>
      <c r="I2575" s="5" t="s">
        <v>6080</v>
      </c>
      <c r="J2575" s="12" t="str">
        <f>HYPERLINK("https://www.boe.es/gazeta/dias/1801/10/20/pdfs/GMD-1801-99.pdf#page=4","Abrir facsímil")</f>
        <v>Abrir facsímil</v>
      </c>
      <c r="K2575" s="15" t="s">
        <v>23</v>
      </c>
    </row>
    <row r="2576" spans="1:11" ht="42" customHeight="1">
      <c r="A2576" s="4" t="s">
        <v>6081</v>
      </c>
      <c r="B2576" s="5" t="s">
        <v>6082</v>
      </c>
      <c r="C2576" s="5" t="s">
        <v>18</v>
      </c>
      <c r="D2576" s="5" t="s">
        <v>19</v>
      </c>
      <c r="E2576" s="5" t="s">
        <v>190</v>
      </c>
      <c r="F2576" s="9">
        <v>16</v>
      </c>
      <c r="G2576" s="9">
        <v>198</v>
      </c>
      <c r="H2576" s="5" t="s">
        <v>21</v>
      </c>
      <c r="I2576" s="5" t="s">
        <v>6083</v>
      </c>
      <c r="J2576" s="12" t="str">
        <f>HYPERLINK("https://www.boe.es/gazeta/dias/1801/02/24/pdfs/GMD-1801-16.pdf#page=5","Abrir facsímil")</f>
        <v>Abrir facsímil</v>
      </c>
      <c r="K2576" s="15" t="s">
        <v>23</v>
      </c>
    </row>
    <row r="2577" spans="1:11" ht="42" customHeight="1">
      <c r="A2577" s="4" t="s">
        <v>6084</v>
      </c>
      <c r="B2577" s="5" t="s">
        <v>6085</v>
      </c>
      <c r="C2577" s="5" t="s">
        <v>38</v>
      </c>
      <c r="D2577" s="5" t="s">
        <v>39</v>
      </c>
      <c r="E2577" s="5" t="s">
        <v>266</v>
      </c>
      <c r="F2577" s="9">
        <v>119</v>
      </c>
      <c r="G2577" s="9">
        <v>1301</v>
      </c>
      <c r="H2577" s="5" t="s">
        <v>21</v>
      </c>
      <c r="I2577" s="5" t="s">
        <v>6086</v>
      </c>
      <c r="J2577" s="12" t="str">
        <f>HYPERLINK("https://www.boe.es/gazeta/dias/1801/12/29/pdfs/GMD-1801-119.pdf#page=5","Abrir facsímil")</f>
        <v>Abrir facsímil</v>
      </c>
      <c r="K2577" s="15" t="s">
        <v>23</v>
      </c>
    </row>
    <row r="2578" spans="1:11" ht="42" customHeight="1">
      <c r="A2578" s="4" t="s">
        <v>6087</v>
      </c>
      <c r="B2578" s="5" t="s">
        <v>6088</v>
      </c>
      <c r="C2578" s="5" t="s">
        <v>32</v>
      </c>
      <c r="D2578" s="5" t="s">
        <v>33</v>
      </c>
      <c r="E2578" s="5" t="s">
        <v>321</v>
      </c>
      <c r="F2578" s="9">
        <v>3</v>
      </c>
      <c r="G2578" s="9">
        <v>33</v>
      </c>
      <c r="H2578" s="5" t="s">
        <v>21</v>
      </c>
      <c r="I2578" s="5" t="s">
        <v>6089</v>
      </c>
      <c r="J2578" s="12" t="str">
        <f>HYPERLINK("https://www.boe.es/gazeta/dias/1801/01/09/pdfs/GMD-1801-3.pdf#page=9","Abrir facsímil")</f>
        <v>Abrir facsímil</v>
      </c>
      <c r="K2578" s="15" t="s">
        <v>23</v>
      </c>
    </row>
    <row r="2579" spans="1:11" ht="42" customHeight="1">
      <c r="A2579" s="4" t="s">
        <v>6090</v>
      </c>
      <c r="B2579" s="5" t="s">
        <v>6091</v>
      </c>
      <c r="C2579" s="5" t="s">
        <v>32</v>
      </c>
      <c r="D2579" s="5" t="s">
        <v>33</v>
      </c>
      <c r="E2579" s="5" t="s">
        <v>48</v>
      </c>
      <c r="F2579" s="9">
        <v>20</v>
      </c>
      <c r="G2579" s="9">
        <v>265</v>
      </c>
      <c r="H2579" s="5" t="s">
        <v>21</v>
      </c>
      <c r="I2579" s="5" t="s">
        <v>6092</v>
      </c>
      <c r="J2579" s="12" t="str">
        <f>HYPERLINK("https://www.boe.es/gazeta/dias/1801/03/10/pdfs/GMD-1801-20.pdf#page=10","Abrir facsímil")</f>
        <v>Abrir facsímil</v>
      </c>
      <c r="K2579" s="15" t="s">
        <v>23</v>
      </c>
    </row>
    <row r="2580" spans="1:11" ht="42" customHeight="1">
      <c r="A2580" s="4" t="s">
        <v>6093</v>
      </c>
      <c r="B2580" s="5" t="s">
        <v>6094</v>
      </c>
      <c r="C2580" s="5" t="s">
        <v>32</v>
      </c>
      <c r="D2580" s="5" t="s">
        <v>33</v>
      </c>
      <c r="E2580" s="5" t="s">
        <v>201</v>
      </c>
      <c r="F2580" s="9">
        <v>79</v>
      </c>
      <c r="G2580" s="9">
        <v>889</v>
      </c>
      <c r="H2580" s="5" t="s">
        <v>21</v>
      </c>
      <c r="I2580" s="5" t="s">
        <v>6095</v>
      </c>
      <c r="J2580" s="12" t="str">
        <f>HYPERLINK("https://www.boe.es/gazeta/dias/1801/08/18/pdfs/GMD-1801-79.pdf#page=6","Abrir facsímil")</f>
        <v>Abrir facsímil</v>
      </c>
      <c r="K2580" s="15" t="s">
        <v>23</v>
      </c>
    </row>
    <row r="2581" spans="1:11" ht="42" customHeight="1">
      <c r="A2581" s="4" t="s">
        <v>6096</v>
      </c>
      <c r="B2581" s="5" t="s">
        <v>6097</v>
      </c>
      <c r="C2581" s="5" t="s">
        <v>69</v>
      </c>
      <c r="D2581" s="5" t="s">
        <v>19</v>
      </c>
      <c r="E2581" s="5" t="s">
        <v>182</v>
      </c>
      <c r="F2581" s="9">
        <v>18</v>
      </c>
      <c r="G2581" s="9">
        <v>229</v>
      </c>
      <c r="H2581" s="5" t="s">
        <v>21</v>
      </c>
      <c r="I2581" s="5" t="s">
        <v>6098</v>
      </c>
      <c r="J2581" s="12" t="str">
        <f>HYPERLINK("https://www.boe.es/gazeta/dias/1801/03/03/pdfs/GMD-1801-18.pdf#page=10","Abrir facsímil")</f>
        <v>Abrir facsímil</v>
      </c>
      <c r="K2581" s="15" t="s">
        <v>23</v>
      </c>
    </row>
    <row r="2582" spans="1:11" ht="42" customHeight="1">
      <c r="A2582" s="4" t="s">
        <v>6099</v>
      </c>
      <c r="B2582" s="5" t="s">
        <v>6100</v>
      </c>
      <c r="C2582" s="5" t="s">
        <v>32</v>
      </c>
      <c r="D2582" s="5" t="s">
        <v>33</v>
      </c>
      <c r="E2582" s="5" t="s">
        <v>151</v>
      </c>
      <c r="F2582" s="9">
        <v>45</v>
      </c>
      <c r="G2582" s="9">
        <v>561</v>
      </c>
      <c r="H2582" s="5" t="s">
        <v>21</v>
      </c>
      <c r="I2582" s="5" t="s">
        <v>6101</v>
      </c>
      <c r="J2582" s="12" t="str">
        <f>HYPERLINK("https://www.boe.es/gazeta/dias/1801/06/02/pdfs/GMD-1801-45.pdf#page=9","Abrir facsímil")</f>
        <v>Abrir facsímil</v>
      </c>
      <c r="K2582" s="15" t="s">
        <v>23</v>
      </c>
    </row>
    <row r="2583" spans="1:11" ht="42" customHeight="1">
      <c r="A2583" s="4" t="s">
        <v>6102</v>
      </c>
      <c r="B2583" s="5" t="s">
        <v>6103</v>
      </c>
      <c r="C2583" s="5" t="s">
        <v>32</v>
      </c>
      <c r="D2583" s="5" t="s">
        <v>33</v>
      </c>
      <c r="E2583" s="5" t="s">
        <v>201</v>
      </c>
      <c r="F2583" s="9">
        <v>79</v>
      </c>
      <c r="G2583" s="9">
        <v>888</v>
      </c>
      <c r="H2583" s="5" t="s">
        <v>21</v>
      </c>
      <c r="I2583" s="5" t="s">
        <v>6104</v>
      </c>
      <c r="J2583" s="12" t="str">
        <f>HYPERLINK("https://www.boe.es/gazeta/dias/1801/08/18/pdfs/GMD-1801-79.pdf#page=5","Abrir facsímil")</f>
        <v>Abrir facsímil</v>
      </c>
      <c r="K2583" s="15" t="s">
        <v>23</v>
      </c>
    </row>
    <row r="2584" spans="1:11" ht="42" customHeight="1">
      <c r="A2584" s="4" t="s">
        <v>6105</v>
      </c>
      <c r="B2584" s="5" t="s">
        <v>6106</v>
      </c>
      <c r="C2584" s="5" t="s">
        <v>32</v>
      </c>
      <c r="D2584" s="5" t="s">
        <v>33</v>
      </c>
      <c r="E2584" s="5" t="s">
        <v>62</v>
      </c>
      <c r="F2584" s="9">
        <v>6</v>
      </c>
      <c r="G2584" s="9">
        <v>73</v>
      </c>
      <c r="H2584" s="5" t="s">
        <v>21</v>
      </c>
      <c r="I2584" s="5" t="s">
        <v>6107</v>
      </c>
      <c r="J2584" s="12" t="str">
        <f>HYPERLINK("https://www.boe.es/gazeta/dias/1801/01/20/pdfs/GMD-1801-6.pdf#page=9","Abrir facsímil")</f>
        <v>Abrir facsímil</v>
      </c>
      <c r="K2584" s="15" t="s">
        <v>23</v>
      </c>
    </row>
    <row r="2585" spans="1:11" ht="42" customHeight="1">
      <c r="A2585" s="4" t="s">
        <v>6105</v>
      </c>
      <c r="B2585" s="5" t="s">
        <v>6106</v>
      </c>
      <c r="C2585" s="5" t="s">
        <v>32</v>
      </c>
      <c r="D2585" s="5" t="s">
        <v>33</v>
      </c>
      <c r="E2585" s="5" t="s">
        <v>453</v>
      </c>
      <c r="F2585" s="9">
        <v>100</v>
      </c>
      <c r="G2585" s="9">
        <v>1100</v>
      </c>
      <c r="H2585" s="5" t="s">
        <v>21</v>
      </c>
      <c r="I2585" s="5" t="s">
        <v>6108</v>
      </c>
      <c r="J2585" s="12" t="str">
        <f>HYPERLINK("https://www.boe.es/gazeta/dias/1801/10/23/pdfs/GMD-1801-100.pdf#page=9","Abrir facsímil")</f>
        <v>Abrir facsímil</v>
      </c>
      <c r="K2585" s="15" t="s">
        <v>23</v>
      </c>
    </row>
    <row r="2586" spans="1:11" ht="42" customHeight="1">
      <c r="A2586" s="4" t="s">
        <v>6109</v>
      </c>
      <c r="B2586" s="5" t="s">
        <v>6110</v>
      </c>
      <c r="C2586" s="5" t="s">
        <v>69</v>
      </c>
      <c r="D2586" s="5" t="s">
        <v>19</v>
      </c>
      <c r="E2586" s="5" t="s">
        <v>256</v>
      </c>
      <c r="F2586" s="9">
        <v>78</v>
      </c>
      <c r="G2586" s="9">
        <v>880</v>
      </c>
      <c r="H2586" s="5" t="s">
        <v>21</v>
      </c>
      <c r="I2586" s="5" t="s">
        <v>6111</v>
      </c>
      <c r="J2586" s="12" t="str">
        <f>HYPERLINK("https://www.boe.es/gazeta/dias/1801/08/14/pdfs/GMD-1801-78.pdf#page=9","Abrir facsímil")</f>
        <v>Abrir facsímil</v>
      </c>
      <c r="K2586" s="15" t="s">
        <v>23</v>
      </c>
    </row>
    <row r="2587" spans="1:11" ht="42" customHeight="1">
      <c r="A2587" s="4" t="s">
        <v>6112</v>
      </c>
      <c r="B2587" s="5" t="s">
        <v>6113</v>
      </c>
      <c r="C2587" s="5" t="s">
        <v>32</v>
      </c>
      <c r="D2587" s="5" t="s">
        <v>33</v>
      </c>
      <c r="E2587" s="5" t="s">
        <v>1939</v>
      </c>
      <c r="F2587" s="9">
        <v>107</v>
      </c>
      <c r="G2587" s="9">
        <v>1178</v>
      </c>
      <c r="H2587" s="5" t="s">
        <v>21</v>
      </c>
      <c r="I2587" s="5" t="s">
        <v>6114</v>
      </c>
      <c r="J2587" s="12" t="str">
        <f>HYPERLINK("https://www.boe.es/gazeta/dias/1801/11/17/pdfs/GMD-1801-107.pdf#page=7","Abrir facsímil")</f>
        <v>Abrir facsímil</v>
      </c>
      <c r="K2587" s="15" t="s">
        <v>23</v>
      </c>
    </row>
    <row r="2588" spans="1:11" ht="42" customHeight="1">
      <c r="A2588" s="4" t="s">
        <v>6115</v>
      </c>
      <c r="B2588" s="5" t="s">
        <v>6116</v>
      </c>
      <c r="C2588" s="5" t="s">
        <v>32</v>
      </c>
      <c r="D2588" s="5" t="s">
        <v>33</v>
      </c>
      <c r="E2588" s="5" t="s">
        <v>131</v>
      </c>
      <c r="F2588" s="9">
        <v>22</v>
      </c>
      <c r="G2588" s="9">
        <v>289</v>
      </c>
      <c r="H2588" s="5" t="s">
        <v>21</v>
      </c>
      <c r="I2588" s="5" t="s">
        <v>6117</v>
      </c>
      <c r="J2588" s="12" t="str">
        <f>HYPERLINK("https://www.boe.es/gazeta/dias/1801/03/17/pdfs/GMD-1801-22.pdf#page=6","Abrir facsímil")</f>
        <v>Abrir facsímil</v>
      </c>
      <c r="K2588" s="15" t="s">
        <v>23</v>
      </c>
    </row>
    <row r="2589" spans="1:11" ht="42" customHeight="1">
      <c r="A2589" s="4" t="s">
        <v>6118</v>
      </c>
      <c r="B2589" s="5" t="s">
        <v>6119</v>
      </c>
      <c r="C2589" s="5" t="s">
        <v>32</v>
      </c>
      <c r="D2589" s="5" t="s">
        <v>33</v>
      </c>
      <c r="E2589" s="5" t="s">
        <v>462</v>
      </c>
      <c r="F2589" s="9">
        <v>5</v>
      </c>
      <c r="G2589" s="9">
        <v>56</v>
      </c>
      <c r="H2589" s="5" t="s">
        <v>21</v>
      </c>
      <c r="I2589" s="5" t="s">
        <v>6120</v>
      </c>
      <c r="J2589" s="12" t="str">
        <f>HYPERLINK("https://www.boe.es/gazeta/dias/1801/01/16/pdfs/GMD-1801-5.pdf#page=8","Abrir facsímil")</f>
        <v>Abrir facsímil</v>
      </c>
      <c r="K2589" s="15" t="s">
        <v>23</v>
      </c>
    </row>
    <row r="2590" spans="1:11" ht="42" customHeight="1">
      <c r="A2590" s="4" t="s">
        <v>6121</v>
      </c>
      <c r="B2590" s="5" t="s">
        <v>6122</v>
      </c>
      <c r="C2590" s="5" t="s">
        <v>69</v>
      </c>
      <c r="D2590" s="5" t="s">
        <v>19</v>
      </c>
      <c r="E2590" s="5" t="s">
        <v>349</v>
      </c>
      <c r="F2590" s="9">
        <v>112</v>
      </c>
      <c r="G2590" s="9">
        <v>1226</v>
      </c>
      <c r="H2590" s="5" t="s">
        <v>21</v>
      </c>
      <c r="I2590" s="5" t="s">
        <v>6123</v>
      </c>
      <c r="J2590" s="12" t="str">
        <f>HYPERLINK("https://www.boe.es/gazeta/dias/1801/12/04/pdfs/GMD-1801-112.pdf#page=7","Abrir facsímil")</f>
        <v>Abrir facsímil</v>
      </c>
      <c r="K2590" s="15" t="s">
        <v>23</v>
      </c>
    </row>
    <row r="2591" spans="1:11" ht="42" customHeight="1">
      <c r="A2591" s="4" t="s">
        <v>6124</v>
      </c>
      <c r="B2591" s="5" t="s">
        <v>6125</v>
      </c>
      <c r="C2591" s="5" t="s">
        <v>26</v>
      </c>
      <c r="D2591" s="5" t="s">
        <v>27</v>
      </c>
      <c r="E2591" s="5" t="s">
        <v>40</v>
      </c>
      <c r="F2591" s="9">
        <v>63</v>
      </c>
      <c r="G2591" s="9">
        <v>714</v>
      </c>
      <c r="H2591" s="5" t="s">
        <v>21</v>
      </c>
      <c r="I2591" s="5" t="s">
        <v>6126</v>
      </c>
      <c r="J2591" s="12" t="str">
        <f>HYPERLINK("https://www.boe.es/gazeta/dias/1801/07/03/pdfs/GMD-1801-63.pdf#page=11","Abrir facsímil")</f>
        <v>Abrir facsímil</v>
      </c>
      <c r="K2591" s="15" t="s">
        <v>23</v>
      </c>
    </row>
    <row r="2592" spans="1:11" ht="42" customHeight="1">
      <c r="A2592" s="4" t="s">
        <v>6127</v>
      </c>
      <c r="B2592" s="5" t="s">
        <v>6128</v>
      </c>
      <c r="C2592" s="5" t="s">
        <v>32</v>
      </c>
      <c r="D2592" s="5" t="s">
        <v>33</v>
      </c>
      <c r="E2592" s="5" t="s">
        <v>165</v>
      </c>
      <c r="F2592" s="9">
        <v>59</v>
      </c>
      <c r="G2592" s="9">
        <v>676</v>
      </c>
      <c r="H2592" s="5" t="s">
        <v>21</v>
      </c>
      <c r="I2592" s="5" t="s">
        <v>6129</v>
      </c>
      <c r="J2592" s="12" t="str">
        <f>HYPERLINK("https://www.boe.es/gazeta/dias/1801/06/23/pdfs/GMD-1801-59.pdf#page=9","Abrir facsímil")</f>
        <v>Abrir facsímil</v>
      </c>
      <c r="K2592" s="15" t="s">
        <v>23</v>
      </c>
    </row>
    <row r="2593" spans="1:11" ht="42" customHeight="1">
      <c r="A2593" s="4" t="s">
        <v>6130</v>
      </c>
      <c r="B2593" s="5" t="s">
        <v>6131</v>
      </c>
      <c r="C2593" s="5" t="s">
        <v>69</v>
      </c>
      <c r="D2593" s="5" t="s">
        <v>19</v>
      </c>
      <c r="E2593" s="5" t="s">
        <v>128</v>
      </c>
      <c r="F2593" s="9">
        <v>17</v>
      </c>
      <c r="G2593" s="9">
        <v>216</v>
      </c>
      <c r="H2593" s="5" t="s">
        <v>21</v>
      </c>
      <c r="I2593" s="5" t="s">
        <v>6132</v>
      </c>
      <c r="J2593" s="12" t="str">
        <f>HYPERLINK("https://www.boe.es/gazeta/dias/1801/02/27/pdfs/GMD-1801-17.pdf#page=11","Abrir facsímil")</f>
        <v>Abrir facsímil</v>
      </c>
      <c r="K2593" s="15" t="s">
        <v>23</v>
      </c>
    </row>
    <row r="2594" spans="1:11" ht="42" customHeight="1">
      <c r="A2594" s="4" t="s">
        <v>6133</v>
      </c>
      <c r="B2594" s="5" t="s">
        <v>6134</v>
      </c>
      <c r="C2594" s="5" t="s">
        <v>69</v>
      </c>
      <c r="D2594" s="5" t="s">
        <v>19</v>
      </c>
      <c r="E2594" s="5" t="s">
        <v>128</v>
      </c>
      <c r="F2594" s="9">
        <v>17</v>
      </c>
      <c r="G2594" s="9">
        <v>216</v>
      </c>
      <c r="H2594" s="5" t="s">
        <v>21</v>
      </c>
      <c r="I2594" s="5" t="s">
        <v>6135</v>
      </c>
      <c r="J2594" s="12" t="str">
        <f>HYPERLINK("https://www.boe.es/gazeta/dias/1801/02/27/pdfs/GMD-1801-17.pdf#page=11","Abrir facsímil")</f>
        <v>Abrir facsímil</v>
      </c>
      <c r="K2594" s="15" t="s">
        <v>23</v>
      </c>
    </row>
    <row r="2595" spans="1:11" ht="42" customHeight="1">
      <c r="A2595" s="4" t="s">
        <v>6136</v>
      </c>
      <c r="B2595" s="5" t="s">
        <v>6137</v>
      </c>
      <c r="C2595" s="5" t="s">
        <v>69</v>
      </c>
      <c r="D2595" s="5" t="s">
        <v>19</v>
      </c>
      <c r="E2595" s="5" t="s">
        <v>313</v>
      </c>
      <c r="F2595" s="9">
        <v>39</v>
      </c>
      <c r="G2595" s="9">
        <v>507</v>
      </c>
      <c r="H2595" s="5" t="s">
        <v>21</v>
      </c>
      <c r="I2595" s="5" t="s">
        <v>6138</v>
      </c>
      <c r="J2595" s="12" t="str">
        <f>HYPERLINK("https://www.boe.es/gazeta/dias/1801/05/15/pdfs/GMD-1801-39.pdf#page=11","Abrir facsímil")</f>
        <v>Abrir facsímil</v>
      </c>
      <c r="K2595" s="15" t="s">
        <v>23</v>
      </c>
    </row>
    <row r="2596" spans="1:11" ht="42" customHeight="1">
      <c r="A2596" s="4" t="s">
        <v>6139</v>
      </c>
      <c r="B2596" s="5" t="s">
        <v>6140</v>
      </c>
      <c r="C2596" s="5" t="s">
        <v>69</v>
      </c>
      <c r="D2596" s="5" t="s">
        <v>19</v>
      </c>
      <c r="E2596" s="5" t="s">
        <v>501</v>
      </c>
      <c r="F2596" s="9">
        <v>115</v>
      </c>
      <c r="G2596" s="9">
        <v>1256</v>
      </c>
      <c r="H2596" s="5" t="s">
        <v>21</v>
      </c>
      <c r="I2596" s="5" t="s">
        <v>6141</v>
      </c>
      <c r="J2596" s="12" t="str">
        <f>HYPERLINK("https://www.boe.es/gazeta/dias/1801/12/15/pdfs/GMD-1801-115.pdf#page=6","Abrir facsímil")</f>
        <v>Abrir facsímil</v>
      </c>
      <c r="K2596" s="15" t="s">
        <v>23</v>
      </c>
    </row>
    <row r="2597" spans="1:11" ht="42" customHeight="1">
      <c r="A2597" s="4" t="s">
        <v>6142</v>
      </c>
      <c r="B2597" s="5" t="s">
        <v>6143</v>
      </c>
      <c r="C2597" s="5" t="s">
        <v>26</v>
      </c>
      <c r="D2597" s="5" t="s">
        <v>27</v>
      </c>
      <c r="E2597" s="5" t="s">
        <v>105</v>
      </c>
      <c r="F2597" s="9">
        <v>44</v>
      </c>
      <c r="G2597" s="9">
        <v>552</v>
      </c>
      <c r="H2597" s="5" t="s">
        <v>21</v>
      </c>
      <c r="I2597" s="5" t="s">
        <v>6144</v>
      </c>
      <c r="J2597" s="12" t="str">
        <f>HYPERLINK("https://www.boe.es/gazeta/dias/1801/05/29/pdfs/GMD-1801-44.pdf#page=12","Abrir facsímil")</f>
        <v>Abrir facsímil</v>
      </c>
      <c r="K2597" s="15" t="s">
        <v>23</v>
      </c>
    </row>
    <row r="2598" spans="1:11" ht="42" customHeight="1">
      <c r="A2598" s="4" t="s">
        <v>6145</v>
      </c>
      <c r="B2598" s="5" t="s">
        <v>6146</v>
      </c>
      <c r="C2598" s="5" t="s">
        <v>69</v>
      </c>
      <c r="D2598" s="5" t="s">
        <v>19</v>
      </c>
      <c r="E2598" s="5" t="s">
        <v>292</v>
      </c>
      <c r="F2598" s="9">
        <v>25</v>
      </c>
      <c r="G2598" s="9">
        <v>331</v>
      </c>
      <c r="H2598" s="5" t="s">
        <v>21</v>
      </c>
      <c r="I2598" s="5" t="s">
        <v>6147</v>
      </c>
      <c r="J2598" s="12" t="str">
        <f>HYPERLINK("https://www.boe.es/gazeta/dias/1801/03/27/pdfs/GMD-1801-25.pdf#page=10","Abrir facsímil")</f>
        <v>Abrir facsímil</v>
      </c>
      <c r="K2598" s="15" t="s">
        <v>23</v>
      </c>
    </row>
    <row r="2599" spans="1:11" ht="42" customHeight="1">
      <c r="A2599" s="4" t="s">
        <v>6148</v>
      </c>
      <c r="B2599" s="5" t="s">
        <v>6149</v>
      </c>
      <c r="C2599" s="5" t="s">
        <v>26</v>
      </c>
      <c r="D2599" s="5" t="s">
        <v>27</v>
      </c>
      <c r="E2599" s="5" t="s">
        <v>122</v>
      </c>
      <c r="F2599" s="9">
        <v>8</v>
      </c>
      <c r="G2599" s="9">
        <v>100</v>
      </c>
      <c r="H2599" s="5" t="s">
        <v>21</v>
      </c>
      <c r="I2599" s="5" t="s">
        <v>6150</v>
      </c>
      <c r="J2599" s="12" t="str">
        <f>HYPERLINK("https://www.boe.es/gazeta/dias/1801/01/27/pdfs/GMD-1801-8.pdf#page=12","Abrir facsímil")</f>
        <v>Abrir facsímil</v>
      </c>
      <c r="K2599" s="15" t="s">
        <v>23</v>
      </c>
    </row>
    <row r="2600" spans="1:11" ht="42" customHeight="1">
      <c r="A2600" s="4" t="s">
        <v>6151</v>
      </c>
      <c r="B2600" s="5" t="s">
        <v>6152</v>
      </c>
      <c r="C2600" s="5" t="s">
        <v>38</v>
      </c>
      <c r="D2600" s="5" t="s">
        <v>39</v>
      </c>
      <c r="E2600" s="5" t="s">
        <v>615</v>
      </c>
      <c r="F2600" s="9">
        <v>72</v>
      </c>
      <c r="G2600" s="9">
        <v>806</v>
      </c>
      <c r="H2600" s="5" t="s">
        <v>21</v>
      </c>
      <c r="I2600" s="5" t="s">
        <v>6153</v>
      </c>
      <c r="J2600" s="12" t="str">
        <f>HYPERLINK("https://www.boe.es/gazeta/dias/1801/07/24/pdfs/GMD-1801-72.pdf#page=11","Abrir facsímil")</f>
        <v>Abrir facsímil</v>
      </c>
      <c r="K2600" s="15" t="s">
        <v>23</v>
      </c>
    </row>
    <row r="2601" spans="1:11" ht="42" customHeight="1">
      <c r="A2601" s="4" t="s">
        <v>6154</v>
      </c>
      <c r="B2601" s="5" t="s">
        <v>6155</v>
      </c>
      <c r="C2601" s="5" t="s">
        <v>38</v>
      </c>
      <c r="D2601" s="5" t="s">
        <v>39</v>
      </c>
      <c r="E2601" s="5" t="s">
        <v>182</v>
      </c>
      <c r="F2601" s="9">
        <v>18</v>
      </c>
      <c r="G2601" s="9">
        <v>229</v>
      </c>
      <c r="H2601" s="5" t="s">
        <v>21</v>
      </c>
      <c r="I2601" s="5" t="s">
        <v>6156</v>
      </c>
      <c r="J2601" s="12" t="str">
        <f>HYPERLINK("https://www.boe.es/gazeta/dias/1801/03/03/pdfs/GMD-1801-18.pdf#page=10","Abrir facsímil")</f>
        <v>Abrir facsímil</v>
      </c>
      <c r="K2601" s="15" t="s">
        <v>23</v>
      </c>
    </row>
    <row r="2602" spans="1:11" ht="42" customHeight="1">
      <c r="A2602" s="4" t="s">
        <v>6157</v>
      </c>
      <c r="B2602" s="5" t="s">
        <v>6158</v>
      </c>
      <c r="C2602" s="5" t="s">
        <v>18</v>
      </c>
      <c r="D2602" s="5" t="s">
        <v>19</v>
      </c>
      <c r="E2602" s="5" t="s">
        <v>735</v>
      </c>
      <c r="F2602" s="9">
        <v>97</v>
      </c>
      <c r="G2602" s="9">
        <v>1065</v>
      </c>
      <c r="H2602" s="5" t="s">
        <v>21</v>
      </c>
      <c r="I2602" s="5" t="s">
        <v>6159</v>
      </c>
      <c r="J2602" s="12" t="str">
        <f>HYPERLINK("https://www.boe.es/gazeta/dias/1801/10/13/pdfs/GMD-1801-97.pdf#page=9","Abrir facsímil")</f>
        <v>Abrir facsímil</v>
      </c>
      <c r="K2602" s="15" t="s">
        <v>23</v>
      </c>
    </row>
    <row r="2603" spans="1:11" ht="42" customHeight="1">
      <c r="A2603" s="4" t="s">
        <v>6160</v>
      </c>
      <c r="B2603" s="5" t="s">
        <v>6161</v>
      </c>
      <c r="C2603" s="5" t="s">
        <v>26</v>
      </c>
      <c r="D2603" s="5" t="s">
        <v>27</v>
      </c>
      <c r="E2603" s="5" t="s">
        <v>328</v>
      </c>
      <c r="F2603" s="9">
        <v>89</v>
      </c>
      <c r="G2603" s="9">
        <v>985</v>
      </c>
      <c r="H2603" s="5" t="s">
        <v>21</v>
      </c>
      <c r="I2603" s="5" t="s">
        <v>6162</v>
      </c>
      <c r="J2603" s="12" t="str">
        <f>HYPERLINK("https://www.boe.es/gazeta/dias/1801/09/15/pdfs/GMD-1801-89.pdf#page=12","Abrir facsímil")</f>
        <v>Abrir facsímil</v>
      </c>
      <c r="K2603" s="15" t="s">
        <v>23</v>
      </c>
    </row>
    <row r="2604" spans="1:11" ht="42" customHeight="1">
      <c r="A2604" s="4" t="s">
        <v>6163</v>
      </c>
      <c r="B2604" s="5" t="s">
        <v>6164</v>
      </c>
      <c r="C2604" s="5" t="s">
        <v>32</v>
      </c>
      <c r="D2604" s="5" t="s">
        <v>33</v>
      </c>
      <c r="E2604" s="5" t="s">
        <v>62</v>
      </c>
      <c r="F2604" s="9">
        <v>6</v>
      </c>
      <c r="G2604" s="9">
        <v>73</v>
      </c>
      <c r="H2604" s="5" t="s">
        <v>21</v>
      </c>
      <c r="I2604" s="5" t="s">
        <v>6165</v>
      </c>
      <c r="J2604" s="12" t="str">
        <f>HYPERLINK("https://www.boe.es/gazeta/dias/1801/01/20/pdfs/GMD-1801-6.pdf#page=9","Abrir facsímil")</f>
        <v>Abrir facsímil</v>
      </c>
      <c r="K2604" s="15" t="s">
        <v>23</v>
      </c>
    </row>
    <row r="2605" spans="1:11" ht="42" customHeight="1">
      <c r="A2605" s="4" t="s">
        <v>6166</v>
      </c>
      <c r="B2605" s="5" t="s">
        <v>6167</v>
      </c>
      <c r="C2605" s="5" t="s">
        <v>32</v>
      </c>
      <c r="D2605" s="5" t="s">
        <v>33</v>
      </c>
      <c r="E2605" s="5" t="s">
        <v>128</v>
      </c>
      <c r="F2605" s="9">
        <v>17</v>
      </c>
      <c r="G2605" s="9">
        <v>214</v>
      </c>
      <c r="H2605" s="5" t="s">
        <v>21</v>
      </c>
      <c r="I2605" s="5" t="s">
        <v>6168</v>
      </c>
      <c r="J2605" s="12" t="str">
        <f>HYPERLINK("https://www.boe.es/gazeta/dias/1801/02/27/pdfs/GMD-1801-17.pdf#page=9","Abrir facsímil")</f>
        <v>Abrir facsímil</v>
      </c>
      <c r="K2605" s="15" t="s">
        <v>23</v>
      </c>
    </row>
    <row r="2606" spans="1:11" ht="42" customHeight="1">
      <c r="A2606" s="4" t="s">
        <v>6169</v>
      </c>
      <c r="B2606" s="5" t="s">
        <v>6170</v>
      </c>
      <c r="C2606" s="5" t="s">
        <v>80</v>
      </c>
      <c r="D2606" s="5" t="s">
        <v>81</v>
      </c>
      <c r="E2606" s="5" t="s">
        <v>289</v>
      </c>
      <c r="F2606" s="9">
        <v>40</v>
      </c>
      <c r="G2606" s="9" t="s">
        <v>299</v>
      </c>
      <c r="H2606" s="5" t="s">
        <v>21</v>
      </c>
      <c r="I2606" s="5" t="s">
        <v>6171</v>
      </c>
      <c r="J2606" s="12" t="str">
        <f>HYPERLINK("https://www.boe.es/gazeta/dias/1801/05/19/pdfs/GMD-C-1801-40.pdf#page=5","Abrir facsímil")</f>
        <v>Abrir facsímil</v>
      </c>
      <c r="K2606" s="15" t="s">
        <v>23</v>
      </c>
    </row>
    <row r="2607" spans="1:11" ht="42" customHeight="1">
      <c r="A2607" s="4" t="s">
        <v>6172</v>
      </c>
      <c r="B2607" s="5" t="s">
        <v>6173</v>
      </c>
      <c r="C2607" s="5" t="s">
        <v>32</v>
      </c>
      <c r="D2607" s="5" t="s">
        <v>33</v>
      </c>
      <c r="E2607" s="5" t="s">
        <v>501</v>
      </c>
      <c r="F2607" s="9">
        <v>115</v>
      </c>
      <c r="G2607" s="9" t="s">
        <v>299</v>
      </c>
      <c r="H2607" s="5" t="s">
        <v>21</v>
      </c>
      <c r="I2607" s="5" t="s">
        <v>6174</v>
      </c>
      <c r="J2607" s="12" t="str">
        <f>HYPERLINK("https://www.boe.es/gazeta/dias/1801/12/15/pdfs/GMD-C-1801-115.pdf#page=5","Abrir facsímil")</f>
        <v>Abrir facsímil</v>
      </c>
      <c r="K2607" s="15" t="s">
        <v>23</v>
      </c>
    </row>
    <row r="2608" spans="1:11" ht="42" customHeight="1">
      <c r="A2608" s="4" t="s">
        <v>6175</v>
      </c>
      <c r="B2608" s="5" t="s">
        <v>6176</v>
      </c>
      <c r="C2608" s="5" t="s">
        <v>32</v>
      </c>
      <c r="D2608" s="5" t="s">
        <v>33</v>
      </c>
      <c r="E2608" s="5" t="s">
        <v>165</v>
      </c>
      <c r="F2608" s="9">
        <v>59</v>
      </c>
      <c r="G2608" s="9">
        <v>676</v>
      </c>
      <c r="H2608" s="5" t="s">
        <v>21</v>
      </c>
      <c r="I2608" s="5" t="s">
        <v>6177</v>
      </c>
      <c r="J2608" s="12" t="str">
        <f>HYPERLINK("https://www.boe.es/gazeta/dias/1801/06/23/pdfs/GMD-1801-59.pdf#page=9","Abrir facsímil")</f>
        <v>Abrir facsímil</v>
      </c>
      <c r="K2608" s="15" t="s">
        <v>23</v>
      </c>
    </row>
    <row r="2609" spans="1:11" ht="42" customHeight="1">
      <c r="A2609" s="4" t="s">
        <v>6178</v>
      </c>
      <c r="B2609" s="5" t="s">
        <v>6179</v>
      </c>
      <c r="C2609" s="5" t="s">
        <v>32</v>
      </c>
      <c r="D2609" s="5" t="s">
        <v>33</v>
      </c>
      <c r="E2609" s="5" t="s">
        <v>120</v>
      </c>
      <c r="F2609" s="9">
        <v>7</v>
      </c>
      <c r="G2609" s="9">
        <v>82</v>
      </c>
      <c r="H2609" s="5" t="s">
        <v>21</v>
      </c>
      <c r="I2609" s="5" t="s">
        <v>6180</v>
      </c>
      <c r="J2609" s="12" t="str">
        <f>HYPERLINK("https://www.boe.es/gazeta/dias/1801/01/23/pdfs/GMD-1801-7.pdf#page=6","Abrir facsímil")</f>
        <v>Abrir facsímil</v>
      </c>
      <c r="K2609" s="15" t="s">
        <v>23</v>
      </c>
    </row>
    <row r="2610" spans="1:11" ht="42" customHeight="1">
      <c r="A2610" s="4" t="s">
        <v>6181</v>
      </c>
      <c r="B2610" s="5" t="s">
        <v>6182</v>
      </c>
      <c r="C2610" s="5" t="s">
        <v>32</v>
      </c>
      <c r="D2610" s="5" t="s">
        <v>33</v>
      </c>
      <c r="E2610" s="5" t="s">
        <v>145</v>
      </c>
      <c r="F2610" s="9">
        <v>36</v>
      </c>
      <c r="G2610" s="9">
        <v>468</v>
      </c>
      <c r="H2610" s="5" t="s">
        <v>21</v>
      </c>
      <c r="I2610" s="5" t="s">
        <v>6183</v>
      </c>
      <c r="J2610" s="12" t="str">
        <f>HYPERLINK("https://www.boe.es/gazeta/dias/1801/05/05/pdfs/GMD-1801-36.pdf#page=12","Abrir facsímil")</f>
        <v>Abrir facsímil</v>
      </c>
      <c r="K2610" s="15" t="s">
        <v>23</v>
      </c>
    </row>
    <row r="2611" spans="1:11" ht="42" customHeight="1">
      <c r="A2611" s="4" t="s">
        <v>6184</v>
      </c>
      <c r="B2611" s="5" t="s">
        <v>6185</v>
      </c>
      <c r="C2611" s="5" t="s">
        <v>69</v>
      </c>
      <c r="D2611" s="5" t="s">
        <v>19</v>
      </c>
      <c r="E2611" s="5" t="s">
        <v>328</v>
      </c>
      <c r="F2611" s="9">
        <v>89</v>
      </c>
      <c r="G2611" s="9">
        <v>981</v>
      </c>
      <c r="H2611" s="5" t="s">
        <v>21</v>
      </c>
      <c r="I2611" s="5" t="s">
        <v>6186</v>
      </c>
      <c r="J2611" s="12" t="str">
        <f>HYPERLINK("https://www.boe.es/gazeta/dias/1801/09/15/pdfs/GMD-1801-89.pdf#page=8","Abrir facsímil")</f>
        <v>Abrir facsímil</v>
      </c>
      <c r="K2611" s="15" t="s">
        <v>23</v>
      </c>
    </row>
    <row r="2612" spans="1:11" ht="42" customHeight="1">
      <c r="A2612" s="4" t="s">
        <v>6187</v>
      </c>
      <c r="B2612" s="5" t="s">
        <v>6188</v>
      </c>
      <c r="C2612" s="5" t="s">
        <v>38</v>
      </c>
      <c r="D2612" s="5" t="s">
        <v>39</v>
      </c>
      <c r="E2612" s="5" t="s">
        <v>124</v>
      </c>
      <c r="F2612" s="9">
        <v>12</v>
      </c>
      <c r="G2612" s="9">
        <v>149</v>
      </c>
      <c r="H2612" s="5" t="s">
        <v>21</v>
      </c>
      <c r="I2612" s="5" t="s">
        <v>6189</v>
      </c>
      <c r="J2612" s="12" t="str">
        <f>HYPERLINK("https://www.boe.es/gazeta/dias/1801/02/10/pdfs/GMD-1801-12.pdf#page=10","Abrir facsímil")</f>
        <v>Abrir facsímil</v>
      </c>
      <c r="K2612" s="15" t="s">
        <v>23</v>
      </c>
    </row>
    <row r="2613" spans="1:11" ht="42" customHeight="1">
      <c r="A2613" s="4" t="s">
        <v>6190</v>
      </c>
      <c r="B2613" s="5" t="s">
        <v>6191</v>
      </c>
      <c r="C2613" s="5" t="s">
        <v>32</v>
      </c>
      <c r="D2613" s="5" t="s">
        <v>33</v>
      </c>
      <c r="E2613" s="5" t="s">
        <v>90</v>
      </c>
      <c r="F2613" s="9">
        <v>1</v>
      </c>
      <c r="G2613" s="9">
        <v>9</v>
      </c>
      <c r="H2613" s="5" t="s">
        <v>21</v>
      </c>
      <c r="I2613" s="5" t="s">
        <v>6192</v>
      </c>
      <c r="J2613" s="12" t="str">
        <f>HYPERLINK("https://www.boe.es/gazeta/dias/1801/01/02/pdfs/GMD-1801-1.pdf#page=9","Abrir facsímil")</f>
        <v>Abrir facsímil</v>
      </c>
      <c r="K2613" s="15" t="s">
        <v>23</v>
      </c>
    </row>
    <row r="2614" spans="1:11" ht="42" customHeight="1">
      <c r="A2614" s="4" t="s">
        <v>6193</v>
      </c>
      <c r="B2614" s="5" t="s">
        <v>6194</v>
      </c>
      <c r="C2614" s="5" t="s">
        <v>80</v>
      </c>
      <c r="D2614" s="5" t="s">
        <v>81</v>
      </c>
      <c r="E2614" s="5" t="s">
        <v>289</v>
      </c>
      <c r="F2614" s="9">
        <v>40</v>
      </c>
      <c r="G2614" s="9" t="s">
        <v>299</v>
      </c>
      <c r="H2614" s="5" t="s">
        <v>21</v>
      </c>
      <c r="I2614" s="5" t="s">
        <v>6195</v>
      </c>
      <c r="J2614" s="12" t="str">
        <f>HYPERLINK("https://www.boe.es/gazeta/dias/1801/05/19/pdfs/GMD-C-1801-40.pdf#page=5","Abrir facsímil")</f>
        <v>Abrir facsímil</v>
      </c>
      <c r="K2614" s="15" t="s">
        <v>23</v>
      </c>
    </row>
    <row r="2615" spans="1:11" ht="42" customHeight="1">
      <c r="A2615" s="4" t="s">
        <v>6196</v>
      </c>
      <c r="B2615" s="5" t="s">
        <v>6197</v>
      </c>
      <c r="C2615" s="5" t="s">
        <v>1481</v>
      </c>
      <c r="D2615" s="5" t="s">
        <v>1482</v>
      </c>
      <c r="E2615" s="5" t="s">
        <v>2339</v>
      </c>
      <c r="F2615" s="9" t="s">
        <v>2340</v>
      </c>
      <c r="G2615" s="9">
        <v>617</v>
      </c>
      <c r="H2615" s="5" t="s">
        <v>21</v>
      </c>
      <c r="I2615" s="5" t="s">
        <v>6198</v>
      </c>
      <c r="J2615" s="12" t="str">
        <f>HYPERLINK("https://www.boe.es/gazeta/dias/1801/06/15/pdfs/GMD-1801-54E.pdf#page=1","Abrir facsímil")</f>
        <v>Abrir facsímil</v>
      </c>
      <c r="K2615" s="15" t="s">
        <v>23</v>
      </c>
    </row>
    <row r="2616" spans="1:11" ht="42" customHeight="1">
      <c r="A2616" s="4" t="s">
        <v>6199</v>
      </c>
      <c r="B2616" s="5" t="s">
        <v>6200</v>
      </c>
      <c r="C2616" s="5" t="s">
        <v>32</v>
      </c>
      <c r="D2616" s="5" t="s">
        <v>33</v>
      </c>
      <c r="E2616" s="5" t="s">
        <v>211</v>
      </c>
      <c r="F2616" s="9">
        <v>87</v>
      </c>
      <c r="G2616" s="9">
        <v>966</v>
      </c>
      <c r="H2616" s="5" t="s">
        <v>21</v>
      </c>
      <c r="I2616" s="5" t="s">
        <v>6201</v>
      </c>
      <c r="J2616" s="12" t="str">
        <f>HYPERLINK("https://www.boe.es/gazeta/dias/1801/09/11/pdfs/GMD-1801-87.pdf#page=9","Abrir facsímil")</f>
        <v>Abrir facsímil</v>
      </c>
      <c r="K2616" s="15" t="s">
        <v>23</v>
      </c>
    </row>
    <row r="2617" spans="1:11" ht="42" customHeight="1">
      <c r="A2617" s="4" t="s">
        <v>6199</v>
      </c>
      <c r="B2617" s="5" t="s">
        <v>6200</v>
      </c>
      <c r="C2617" s="5" t="s">
        <v>32</v>
      </c>
      <c r="D2617" s="5" t="s">
        <v>33</v>
      </c>
      <c r="E2617" s="5" t="s">
        <v>505</v>
      </c>
      <c r="F2617" s="9">
        <v>94</v>
      </c>
      <c r="G2617" s="9">
        <v>1033</v>
      </c>
      <c r="H2617" s="5" t="s">
        <v>21</v>
      </c>
      <c r="I2617" s="5" t="s">
        <v>6202</v>
      </c>
      <c r="J2617" s="12" t="str">
        <f>HYPERLINK("https://www.boe.es/gazeta/dias/1801/10/02/pdfs/GMD-1801-94.pdf#page=9","Abrir facsímil")</f>
        <v>Abrir facsímil</v>
      </c>
      <c r="K2617" s="15" t="s">
        <v>23</v>
      </c>
    </row>
    <row r="2618" spans="1:11" ht="42" customHeight="1">
      <c r="A2618" s="4" t="s">
        <v>6203</v>
      </c>
      <c r="B2618" s="5" t="s">
        <v>6204</v>
      </c>
      <c r="C2618" s="5" t="s">
        <v>75</v>
      </c>
      <c r="D2618" s="5" t="s">
        <v>76</v>
      </c>
      <c r="E2618" s="5" t="s">
        <v>120</v>
      </c>
      <c r="F2618" s="9">
        <v>7</v>
      </c>
      <c r="G2618" s="9">
        <v>82</v>
      </c>
      <c r="H2618" s="5" t="s">
        <v>21</v>
      </c>
      <c r="I2618" s="5" t="s">
        <v>6205</v>
      </c>
      <c r="J2618" s="12" t="str">
        <f>HYPERLINK("https://www.boe.es/gazeta/dias/1801/01/23/pdfs/GMD-1801-7.pdf#page=6","Abrir facsímil")</f>
        <v>Abrir facsímil</v>
      </c>
      <c r="K2618" s="15" t="s">
        <v>23</v>
      </c>
    </row>
    <row r="2619" spans="1:11" ht="42" customHeight="1">
      <c r="A2619" s="4" t="s">
        <v>6203</v>
      </c>
      <c r="B2619" s="5" t="s">
        <v>6204</v>
      </c>
      <c r="C2619" s="5" t="s">
        <v>18</v>
      </c>
      <c r="D2619" s="5" t="s">
        <v>19</v>
      </c>
      <c r="E2619" s="5" t="s">
        <v>480</v>
      </c>
      <c r="F2619" s="9">
        <v>10</v>
      </c>
      <c r="G2619" s="9">
        <v>119</v>
      </c>
      <c r="H2619" s="5" t="s">
        <v>21</v>
      </c>
      <c r="I2619" s="5" t="s">
        <v>6206</v>
      </c>
      <c r="J2619" s="12" t="str">
        <f>HYPERLINK("https://www.boe.es/gazeta/dias/1801/02/03/pdfs/GMD-1801-10.pdf#page=4","Abrir facsímil")</f>
        <v>Abrir facsímil</v>
      </c>
      <c r="K2619" s="15" t="s">
        <v>23</v>
      </c>
    </row>
    <row r="2620" spans="1:11" ht="42" customHeight="1">
      <c r="A2620" s="4" t="s">
        <v>6203</v>
      </c>
      <c r="B2620" s="5" t="s">
        <v>6204</v>
      </c>
      <c r="C2620" s="5" t="s">
        <v>32</v>
      </c>
      <c r="D2620" s="5" t="s">
        <v>33</v>
      </c>
      <c r="E2620" s="5" t="s">
        <v>480</v>
      </c>
      <c r="F2620" s="9">
        <v>10</v>
      </c>
      <c r="G2620" s="9">
        <v>120</v>
      </c>
      <c r="H2620" s="5" t="s">
        <v>21</v>
      </c>
      <c r="I2620" s="5" t="s">
        <v>6207</v>
      </c>
      <c r="J2620" s="12" t="str">
        <f>HYPERLINK("https://www.boe.es/gazeta/dias/1801/02/03/pdfs/GMD-1801-10.pdf#page=5","Abrir facsímil")</f>
        <v>Abrir facsímil</v>
      </c>
      <c r="K2620" s="15" t="s">
        <v>23</v>
      </c>
    </row>
    <row r="2621" spans="1:11" ht="42" customHeight="1">
      <c r="A2621" s="4" t="s">
        <v>6203</v>
      </c>
      <c r="B2621" s="5" t="s">
        <v>6204</v>
      </c>
      <c r="C2621" s="5" t="s">
        <v>75</v>
      </c>
      <c r="D2621" s="5" t="s">
        <v>76</v>
      </c>
      <c r="E2621" s="5" t="s">
        <v>190</v>
      </c>
      <c r="F2621" s="9">
        <v>16</v>
      </c>
      <c r="G2621" s="9">
        <v>197</v>
      </c>
      <c r="H2621" s="5" t="s">
        <v>21</v>
      </c>
      <c r="I2621" s="5" t="s">
        <v>6208</v>
      </c>
      <c r="J2621" s="12" t="str">
        <f>HYPERLINK("https://www.boe.es/gazeta/dias/1801/02/24/pdfs/GMD-1801-16.pdf#page=4","Abrir facsímil")</f>
        <v>Abrir facsímil</v>
      </c>
      <c r="K2621" s="15" t="s">
        <v>23</v>
      </c>
    </row>
    <row r="2622" spans="1:11" ht="42" customHeight="1">
      <c r="A2622" s="4" t="s">
        <v>6203</v>
      </c>
      <c r="B2622" s="5" t="s">
        <v>6204</v>
      </c>
      <c r="C2622" s="5" t="s">
        <v>75</v>
      </c>
      <c r="D2622" s="5" t="s">
        <v>76</v>
      </c>
      <c r="E2622" s="5" t="s">
        <v>190</v>
      </c>
      <c r="F2622" s="9">
        <v>16</v>
      </c>
      <c r="G2622" s="9">
        <v>198</v>
      </c>
      <c r="H2622" s="5" t="s">
        <v>21</v>
      </c>
      <c r="I2622" s="5" t="s">
        <v>6209</v>
      </c>
      <c r="J2622" s="12" t="str">
        <f>HYPERLINK("https://www.boe.es/gazeta/dias/1801/02/24/pdfs/GMD-1801-16.pdf#page=5","Abrir facsímil")</f>
        <v>Abrir facsímil</v>
      </c>
      <c r="K2622" s="15" t="s">
        <v>23</v>
      </c>
    </row>
    <row r="2623" spans="1:11" ht="42" customHeight="1">
      <c r="A2623" s="4" t="s">
        <v>6210</v>
      </c>
      <c r="B2623" s="5" t="s">
        <v>6211</v>
      </c>
      <c r="C2623" s="5" t="s">
        <v>26</v>
      </c>
      <c r="D2623" s="5" t="s">
        <v>27</v>
      </c>
      <c r="E2623" s="5" t="s">
        <v>190</v>
      </c>
      <c r="F2623" s="9">
        <v>16</v>
      </c>
      <c r="G2623" s="9">
        <v>197</v>
      </c>
      <c r="H2623" s="5" t="s">
        <v>21</v>
      </c>
      <c r="I2623" s="5" t="s">
        <v>6212</v>
      </c>
      <c r="J2623" s="12" t="str">
        <f>HYPERLINK("https://www.boe.es/gazeta/dias/1801/02/24/pdfs/GMD-1801-16.pdf#page=4","Abrir facsímil")</f>
        <v>Abrir facsímil</v>
      </c>
      <c r="K2623" s="15" t="s">
        <v>23</v>
      </c>
    </row>
    <row r="2624" spans="1:11" ht="42" customHeight="1">
      <c r="A2624" s="4" t="s">
        <v>6213</v>
      </c>
      <c r="B2624" s="5" t="s">
        <v>6214</v>
      </c>
      <c r="C2624" s="5" t="s">
        <v>75</v>
      </c>
      <c r="D2624" s="5" t="s">
        <v>76</v>
      </c>
      <c r="E2624" s="5" t="s">
        <v>141</v>
      </c>
      <c r="F2624" s="9">
        <v>33</v>
      </c>
      <c r="G2624" s="9">
        <v>423</v>
      </c>
      <c r="H2624" s="5" t="s">
        <v>21</v>
      </c>
      <c r="I2624" s="5" t="s">
        <v>6215</v>
      </c>
      <c r="J2624" s="12" t="str">
        <f>HYPERLINK("https://www.boe.es/gazeta/dias/1801/04/24/pdfs/GMD-1801-33.pdf#page=7","Abrir facsímil")</f>
        <v>Abrir facsímil</v>
      </c>
      <c r="K2624" s="15" t="s">
        <v>23</v>
      </c>
    </row>
    <row r="2625" spans="1:11" ht="42" customHeight="1">
      <c r="A2625" s="4" t="s">
        <v>6216</v>
      </c>
      <c r="B2625" s="5" t="s">
        <v>6216</v>
      </c>
      <c r="C2625" s="5" t="s">
        <v>32</v>
      </c>
      <c r="D2625" s="5" t="s">
        <v>33</v>
      </c>
      <c r="E2625" s="5" t="s">
        <v>124</v>
      </c>
      <c r="F2625" s="9">
        <v>12</v>
      </c>
      <c r="G2625" s="9">
        <v>148</v>
      </c>
      <c r="H2625" s="5" t="s">
        <v>21</v>
      </c>
      <c r="I2625" s="5" t="s">
        <v>6217</v>
      </c>
      <c r="J2625" s="12" t="str">
        <f>HYPERLINK("https://www.boe.es/gazeta/dias/1801/02/10/pdfs/GMD-1801-12.pdf#page=9","Abrir facsímil")</f>
        <v>Abrir facsímil</v>
      </c>
      <c r="K2625" s="15" t="s">
        <v>23</v>
      </c>
    </row>
    <row r="2626" spans="1:11" ht="42" customHeight="1">
      <c r="A2626" s="4" t="s">
        <v>6218</v>
      </c>
      <c r="B2626" s="5" t="s">
        <v>6219</v>
      </c>
      <c r="C2626" s="5" t="s">
        <v>80</v>
      </c>
      <c r="D2626" s="5" t="s">
        <v>81</v>
      </c>
      <c r="E2626" s="5" t="s">
        <v>82</v>
      </c>
      <c r="F2626" s="9">
        <v>75</v>
      </c>
      <c r="G2626" s="9" t="s">
        <v>299</v>
      </c>
      <c r="H2626" s="5" t="s">
        <v>21</v>
      </c>
      <c r="I2626" s="5" t="s">
        <v>6220</v>
      </c>
      <c r="J2626" s="12" t="str">
        <f>HYPERLINK("https://www.boe.es/gazeta/dias/1801/08/04/pdfs/GMD-C-1801-75.pdf#page=5","Abrir facsímil")</f>
        <v>Abrir facsímil</v>
      </c>
      <c r="K2626" s="15" t="s">
        <v>23</v>
      </c>
    </row>
    <row r="2627" spans="1:11" ht="42" customHeight="1">
      <c r="A2627" s="4" t="s">
        <v>6221</v>
      </c>
      <c r="B2627" s="5" t="s">
        <v>6222</v>
      </c>
      <c r="C2627" s="5" t="s">
        <v>18</v>
      </c>
      <c r="D2627" s="5" t="s">
        <v>19</v>
      </c>
      <c r="E2627" s="5" t="s">
        <v>480</v>
      </c>
      <c r="F2627" s="9">
        <v>10</v>
      </c>
      <c r="G2627" s="9">
        <v>117</v>
      </c>
      <c r="H2627" s="5" t="s">
        <v>21</v>
      </c>
      <c r="I2627" s="5" t="s">
        <v>6223</v>
      </c>
      <c r="J2627" s="12" t="str">
        <f>HYPERLINK("https://www.boe.es/gazeta/dias/1801/02/03/pdfs/GMD-1801-10.pdf#page=2","Abrir facsímil")</f>
        <v>Abrir facsímil</v>
      </c>
      <c r="K2627" s="15" t="s">
        <v>23</v>
      </c>
    </row>
    <row r="2628" spans="1:11" ht="42" customHeight="1">
      <c r="A2628" s="4" t="s">
        <v>6224</v>
      </c>
      <c r="B2628" s="5" t="s">
        <v>6224</v>
      </c>
      <c r="C2628" s="5" t="s">
        <v>75</v>
      </c>
      <c r="D2628" s="5" t="s">
        <v>76</v>
      </c>
      <c r="E2628" s="5" t="s">
        <v>292</v>
      </c>
      <c r="F2628" s="9">
        <v>25</v>
      </c>
      <c r="G2628" s="9">
        <v>327</v>
      </c>
      <c r="H2628" s="5" t="s">
        <v>21</v>
      </c>
      <c r="I2628" s="5" t="s">
        <v>6225</v>
      </c>
      <c r="J2628" s="12" t="str">
        <f>HYPERLINK("https://www.boe.es/gazeta/dias/1801/03/27/pdfs/GMD-1801-25.pdf#page=6","Abrir facsímil")</f>
        <v>Abrir facsímil</v>
      </c>
      <c r="K2628" s="15" t="s">
        <v>23</v>
      </c>
    </row>
    <row r="2629" spans="1:11" ht="42" customHeight="1">
      <c r="A2629" s="4" t="s">
        <v>6226</v>
      </c>
      <c r="B2629" s="5" t="s">
        <v>6226</v>
      </c>
      <c r="C2629" s="5" t="s">
        <v>32</v>
      </c>
      <c r="D2629" s="5" t="s">
        <v>33</v>
      </c>
      <c r="E2629" s="5" t="s">
        <v>48</v>
      </c>
      <c r="F2629" s="9">
        <v>20</v>
      </c>
      <c r="G2629" s="9">
        <v>266</v>
      </c>
      <c r="H2629" s="5" t="s">
        <v>21</v>
      </c>
      <c r="I2629" s="5" t="s">
        <v>6227</v>
      </c>
      <c r="J2629" s="12" t="str">
        <f>HYPERLINK("https://www.boe.es/gazeta/dias/1801/03/10/pdfs/GMD-1801-20.pdf#page=11","Abrir facsímil")</f>
        <v>Abrir facsímil</v>
      </c>
      <c r="K2629" s="15" t="s">
        <v>23</v>
      </c>
    </row>
    <row r="2630" spans="1:11" ht="42" customHeight="1">
      <c r="A2630" s="4" t="s">
        <v>6228</v>
      </c>
      <c r="B2630" s="5" t="s">
        <v>6229</v>
      </c>
      <c r="C2630" s="5" t="s">
        <v>38</v>
      </c>
      <c r="D2630" s="5" t="s">
        <v>39</v>
      </c>
      <c r="E2630" s="5" t="s">
        <v>126</v>
      </c>
      <c r="F2630" s="9">
        <v>13</v>
      </c>
      <c r="G2630" s="9">
        <v>162</v>
      </c>
      <c r="H2630" s="5" t="s">
        <v>21</v>
      </c>
      <c r="I2630" s="5" t="s">
        <v>6230</v>
      </c>
      <c r="J2630" s="12" t="str">
        <f>HYPERLINK("https://www.boe.es/gazeta/dias/1801/02/13/pdfs/GMD-1801-13.pdf#page=9","Abrir facsímil")</f>
        <v>Abrir facsímil</v>
      </c>
      <c r="K2630" s="15" t="s">
        <v>23</v>
      </c>
    </row>
    <row r="2631" spans="1:11" ht="42" customHeight="1">
      <c r="A2631" s="4" t="s">
        <v>6228</v>
      </c>
      <c r="B2631" s="5" t="s">
        <v>6229</v>
      </c>
      <c r="C2631" s="5" t="s">
        <v>75</v>
      </c>
      <c r="D2631" s="5" t="s">
        <v>76</v>
      </c>
      <c r="E2631" s="5" t="s">
        <v>1015</v>
      </c>
      <c r="F2631" s="9">
        <v>15</v>
      </c>
      <c r="G2631" s="9">
        <v>186</v>
      </c>
      <c r="H2631" s="5" t="s">
        <v>21</v>
      </c>
      <c r="I2631" s="5" t="s">
        <v>6231</v>
      </c>
      <c r="J2631" s="12" t="str">
        <f>HYPERLINK("https://www.boe.es/gazeta/dias/1801/02/20/pdfs/GMD-1801-15.pdf#page=5","Abrir facsímil")</f>
        <v>Abrir facsímil</v>
      </c>
      <c r="K2631" s="15" t="s">
        <v>23</v>
      </c>
    </row>
    <row r="2632" spans="1:11" ht="42" customHeight="1">
      <c r="A2632" s="4" t="s">
        <v>6228</v>
      </c>
      <c r="B2632" s="5" t="s">
        <v>6229</v>
      </c>
      <c r="C2632" s="5" t="s">
        <v>38</v>
      </c>
      <c r="D2632" s="5" t="s">
        <v>39</v>
      </c>
      <c r="E2632" s="5" t="s">
        <v>309</v>
      </c>
      <c r="F2632" s="9">
        <v>118</v>
      </c>
      <c r="G2632" s="9">
        <v>1289</v>
      </c>
      <c r="H2632" s="5" t="s">
        <v>21</v>
      </c>
      <c r="I2632" s="5" t="s">
        <v>6232</v>
      </c>
      <c r="J2632" s="12" t="str">
        <f>HYPERLINK("https://www.boe.es/gazeta/dias/1801/12/25/pdfs/GMD-1801-118.pdf#page=4","Abrir facsímil")</f>
        <v>Abrir facsímil</v>
      </c>
      <c r="K2632" s="15" t="s">
        <v>23</v>
      </c>
    </row>
    <row r="2633" spans="1:11" ht="42" customHeight="1">
      <c r="A2633" s="4" t="s">
        <v>6233</v>
      </c>
      <c r="B2633" s="5" t="s">
        <v>6234</v>
      </c>
      <c r="C2633" s="5" t="s">
        <v>75</v>
      </c>
      <c r="D2633" s="5" t="s">
        <v>76</v>
      </c>
      <c r="E2633" s="5" t="s">
        <v>465</v>
      </c>
      <c r="F2633" s="9">
        <v>4</v>
      </c>
      <c r="G2633" s="9">
        <v>44</v>
      </c>
      <c r="H2633" s="5" t="s">
        <v>21</v>
      </c>
      <c r="I2633" s="5" t="s">
        <v>6235</v>
      </c>
      <c r="J2633" s="12" t="str">
        <f>HYPERLINK("https://www.boe.es/gazeta/dias/1801/01/13/pdfs/GMD-1801-4.pdf#page=8","Abrir facsímil")</f>
        <v>Abrir facsímil</v>
      </c>
      <c r="K2633" s="15" t="s">
        <v>23</v>
      </c>
    </row>
    <row r="2634" spans="1:11" ht="42" customHeight="1">
      <c r="A2634" s="4" t="s">
        <v>6236</v>
      </c>
      <c r="B2634" s="5" t="s">
        <v>6237</v>
      </c>
      <c r="C2634" s="5" t="s">
        <v>75</v>
      </c>
      <c r="D2634" s="5" t="s">
        <v>76</v>
      </c>
      <c r="E2634" s="5" t="s">
        <v>465</v>
      </c>
      <c r="F2634" s="9">
        <v>4</v>
      </c>
      <c r="G2634" s="9">
        <v>43</v>
      </c>
      <c r="H2634" s="5" t="s">
        <v>21</v>
      </c>
      <c r="I2634" s="5" t="s">
        <v>6238</v>
      </c>
      <c r="J2634" s="12" t="str">
        <f>HYPERLINK("https://www.boe.es/gazeta/dias/1801/01/13/pdfs/GMD-1801-4.pdf#page=7","Abrir facsímil")</f>
        <v>Abrir facsímil</v>
      </c>
      <c r="K2634" s="15" t="s">
        <v>23</v>
      </c>
    </row>
    <row r="2635" spans="1:11" ht="42" customHeight="1">
      <c r="A2635" s="4" t="s">
        <v>6236</v>
      </c>
      <c r="B2635" s="5" t="s">
        <v>6237</v>
      </c>
      <c r="C2635" s="5" t="s">
        <v>75</v>
      </c>
      <c r="D2635" s="5" t="s">
        <v>76</v>
      </c>
      <c r="E2635" s="5" t="s">
        <v>462</v>
      </c>
      <c r="F2635" s="9">
        <v>5</v>
      </c>
      <c r="G2635" s="9">
        <v>53</v>
      </c>
      <c r="H2635" s="5" t="s">
        <v>21</v>
      </c>
      <c r="I2635" s="5" t="s">
        <v>6239</v>
      </c>
      <c r="J2635" s="12" t="str">
        <f>HYPERLINK("https://www.boe.es/gazeta/dias/1801/01/16/pdfs/GMD-1801-5.pdf#page=5","Abrir facsímil")</f>
        <v>Abrir facsímil</v>
      </c>
      <c r="K2635" s="15" t="s">
        <v>23</v>
      </c>
    </row>
    <row r="2636" spans="1:11" ht="42" customHeight="1">
      <c r="A2636" s="4" t="s">
        <v>6240</v>
      </c>
      <c r="B2636" s="5" t="s">
        <v>6241</v>
      </c>
      <c r="C2636" s="5" t="s">
        <v>32</v>
      </c>
      <c r="D2636" s="5" t="s">
        <v>33</v>
      </c>
      <c r="E2636" s="5" t="s">
        <v>120</v>
      </c>
      <c r="F2636" s="9">
        <v>7</v>
      </c>
      <c r="G2636" s="9">
        <v>82</v>
      </c>
      <c r="H2636" s="5" t="s">
        <v>21</v>
      </c>
      <c r="I2636" s="5" t="s">
        <v>6242</v>
      </c>
      <c r="J2636" s="12" t="str">
        <f>HYPERLINK("https://www.boe.es/gazeta/dias/1801/01/23/pdfs/GMD-1801-7.pdf#page=6","Abrir facsímil")</f>
        <v>Abrir facsímil</v>
      </c>
      <c r="K2636" s="15" t="s">
        <v>23</v>
      </c>
    </row>
    <row r="2637" spans="1:11" ht="42" customHeight="1">
      <c r="A2637" s="4" t="s">
        <v>6243</v>
      </c>
      <c r="B2637" s="5" t="s">
        <v>6244</v>
      </c>
      <c r="C2637" s="5" t="s">
        <v>38</v>
      </c>
      <c r="D2637" s="5" t="s">
        <v>39</v>
      </c>
      <c r="E2637" s="5" t="s">
        <v>219</v>
      </c>
      <c r="F2637" s="9">
        <v>26</v>
      </c>
      <c r="G2637" s="9">
        <v>345</v>
      </c>
      <c r="H2637" s="5" t="s">
        <v>21</v>
      </c>
      <c r="I2637" s="5" t="s">
        <v>6245</v>
      </c>
      <c r="J2637" s="12" t="str">
        <f>HYPERLINK("https://www.boe.es/gazeta/dias/1801/03/31/pdfs/GMD-1801-26.pdf#page=9","Abrir facsímil")</f>
        <v>Abrir facsímil</v>
      </c>
      <c r="K2637" s="15" t="s">
        <v>23</v>
      </c>
    </row>
    <row r="2638" spans="1:11" ht="42" customHeight="1">
      <c r="A2638" s="4" t="s">
        <v>6246</v>
      </c>
      <c r="B2638" s="5" t="s">
        <v>6247</v>
      </c>
      <c r="C2638" s="5" t="s">
        <v>75</v>
      </c>
      <c r="D2638" s="5" t="s">
        <v>76</v>
      </c>
      <c r="E2638" s="5" t="s">
        <v>66</v>
      </c>
      <c r="F2638" s="9">
        <v>52</v>
      </c>
      <c r="G2638" s="9">
        <v>605</v>
      </c>
      <c r="H2638" s="5" t="s">
        <v>21</v>
      </c>
      <c r="I2638" s="5" t="s">
        <v>6248</v>
      </c>
      <c r="J2638" s="12" t="str">
        <f>HYPERLINK("https://www.boe.es/gazeta/dias/1801/06/12/pdfs/GMD-1801-52.pdf#page=4","Abrir facsímil")</f>
        <v>Abrir facsímil</v>
      </c>
      <c r="K2638" s="15" t="s">
        <v>23</v>
      </c>
    </row>
    <row r="2639" spans="1:11" ht="42" customHeight="1">
      <c r="A2639" s="4" t="s">
        <v>6249</v>
      </c>
      <c r="B2639" s="5" t="s">
        <v>6249</v>
      </c>
      <c r="C2639" s="5" t="s">
        <v>26</v>
      </c>
      <c r="D2639" s="5" t="s">
        <v>27</v>
      </c>
      <c r="E2639" s="5" t="s">
        <v>122</v>
      </c>
      <c r="F2639" s="9">
        <v>8</v>
      </c>
      <c r="G2639" s="9">
        <v>100</v>
      </c>
      <c r="H2639" s="5" t="s">
        <v>21</v>
      </c>
      <c r="I2639" s="5" t="s">
        <v>6250</v>
      </c>
      <c r="J2639" s="12" t="str">
        <f>HYPERLINK("https://www.boe.es/gazeta/dias/1801/01/27/pdfs/GMD-1801-8.pdf#page=12","Abrir facsímil")</f>
        <v>Abrir facsímil</v>
      </c>
      <c r="K2639" s="15" t="s">
        <v>23</v>
      </c>
    </row>
    <row r="2640" spans="1:11" ht="42" customHeight="1">
      <c r="A2640" s="4" t="s">
        <v>6251</v>
      </c>
      <c r="B2640" s="5" t="s">
        <v>6252</v>
      </c>
      <c r="C2640" s="5" t="s">
        <v>26</v>
      </c>
      <c r="D2640" s="5" t="s">
        <v>27</v>
      </c>
      <c r="E2640" s="5" t="s">
        <v>264</v>
      </c>
      <c r="F2640" s="9">
        <v>111</v>
      </c>
      <c r="G2640" s="9">
        <v>1218</v>
      </c>
      <c r="H2640" s="5" t="s">
        <v>21</v>
      </c>
      <c r="I2640" s="5" t="s">
        <v>6253</v>
      </c>
      <c r="J2640" s="12" t="str">
        <f>HYPERLINK("https://www.boe.es/gazeta/dias/1801/12/01/pdfs/GMD-1801-111.pdf#page=7","Abrir facsímil")</f>
        <v>Abrir facsímil</v>
      </c>
      <c r="K2640" s="15" t="s">
        <v>23</v>
      </c>
    </row>
    <row r="2641" spans="1:11" ht="42" customHeight="1">
      <c r="A2641" s="4" t="s">
        <v>6251</v>
      </c>
      <c r="B2641" s="5" t="s">
        <v>6252</v>
      </c>
      <c r="C2641" s="5" t="s">
        <v>26</v>
      </c>
      <c r="D2641" s="5" t="s">
        <v>27</v>
      </c>
      <c r="E2641" s="5" t="s">
        <v>44</v>
      </c>
      <c r="F2641" s="9">
        <v>117</v>
      </c>
      <c r="G2641" s="9">
        <v>1284</v>
      </c>
      <c r="H2641" s="5" t="s">
        <v>21</v>
      </c>
      <c r="I2641" s="5" t="s">
        <v>6254</v>
      </c>
      <c r="J2641" s="12" t="str">
        <f>HYPERLINK("https://www.boe.es/gazeta/dias/1801/12/22/pdfs/GMD-1801-117.pdf#page=11","Abrir facsímil")</f>
        <v>Abrir facsímil</v>
      </c>
      <c r="K2641" s="15" t="s">
        <v>23</v>
      </c>
    </row>
    <row r="2642" spans="1:11" ht="42" customHeight="1">
      <c r="A2642" s="4" t="s">
        <v>6255</v>
      </c>
      <c r="B2642" s="5" t="s">
        <v>6256</v>
      </c>
      <c r="C2642" s="5" t="s">
        <v>38</v>
      </c>
      <c r="D2642" s="5" t="s">
        <v>39</v>
      </c>
      <c r="E2642" s="5" t="s">
        <v>309</v>
      </c>
      <c r="F2642" s="9">
        <v>118</v>
      </c>
      <c r="G2642" s="9">
        <v>1288</v>
      </c>
      <c r="H2642" s="5" t="s">
        <v>21</v>
      </c>
      <c r="I2642" s="5" t="s">
        <v>6257</v>
      </c>
      <c r="J2642" s="12" t="str">
        <f>HYPERLINK("https://www.boe.es/gazeta/dias/1801/12/25/pdfs/GMD-1801-118.pdf#page=3","Abrir facsímil")</f>
        <v>Abrir facsímil</v>
      </c>
      <c r="K2642" s="15" t="s">
        <v>23</v>
      </c>
    </row>
    <row r="2643" spans="1:11" ht="42" customHeight="1">
      <c r="A2643" s="4" t="s">
        <v>6258</v>
      </c>
      <c r="B2643" s="5" t="s">
        <v>6259</v>
      </c>
      <c r="C2643" s="5" t="s">
        <v>75</v>
      </c>
      <c r="D2643" s="5" t="s">
        <v>76</v>
      </c>
      <c r="E2643" s="5" t="s">
        <v>128</v>
      </c>
      <c r="F2643" s="9">
        <v>17</v>
      </c>
      <c r="G2643" s="9">
        <v>209</v>
      </c>
      <c r="H2643" s="5" t="s">
        <v>21</v>
      </c>
      <c r="I2643" s="5" t="s">
        <v>6260</v>
      </c>
      <c r="J2643" s="12" t="str">
        <f>HYPERLINK("https://www.boe.es/gazeta/dias/1801/02/27/pdfs/GMD-1801-17.pdf#page=4","Abrir facsímil")</f>
        <v>Abrir facsímil</v>
      </c>
      <c r="K2643" s="15" t="s">
        <v>23</v>
      </c>
    </row>
    <row r="2644" spans="1:11" ht="42" customHeight="1">
      <c r="A2644" s="4" t="s">
        <v>6258</v>
      </c>
      <c r="B2644" s="5" t="s">
        <v>6259</v>
      </c>
      <c r="C2644" s="5" t="s">
        <v>75</v>
      </c>
      <c r="D2644" s="5" t="s">
        <v>76</v>
      </c>
      <c r="E2644" s="5" t="s">
        <v>48</v>
      </c>
      <c r="F2644" s="9">
        <v>20</v>
      </c>
      <c r="G2644" s="9">
        <v>260</v>
      </c>
      <c r="H2644" s="5" t="s">
        <v>21</v>
      </c>
      <c r="I2644" s="5" t="s">
        <v>6261</v>
      </c>
      <c r="J2644" s="12" t="str">
        <f>HYPERLINK("https://www.boe.es/gazeta/dias/1801/03/10/pdfs/GMD-1801-20.pdf#page=5","Abrir facsímil")</f>
        <v>Abrir facsímil</v>
      </c>
      <c r="K2644" s="15" t="s">
        <v>23</v>
      </c>
    </row>
    <row r="2645" spans="1:11" ht="42" customHeight="1">
      <c r="A2645" s="4" t="s">
        <v>6258</v>
      </c>
      <c r="B2645" s="5" t="s">
        <v>6259</v>
      </c>
      <c r="C2645" s="5" t="s">
        <v>38</v>
      </c>
      <c r="D2645" s="5" t="s">
        <v>39</v>
      </c>
      <c r="E2645" s="5" t="s">
        <v>2430</v>
      </c>
      <c r="F2645" s="9">
        <v>27</v>
      </c>
      <c r="G2645" s="9">
        <v>352</v>
      </c>
      <c r="H2645" s="5" t="s">
        <v>21</v>
      </c>
      <c r="I2645" s="5" t="s">
        <v>6262</v>
      </c>
      <c r="J2645" s="12" t="str">
        <f>HYPERLINK("https://www.boe.es/gazeta/dias/1801/04/03/pdfs/GMD-1801-27.pdf#page=4","Abrir facsímil")</f>
        <v>Abrir facsímil</v>
      </c>
      <c r="K2645" s="15" t="s">
        <v>23</v>
      </c>
    </row>
    <row r="2646" spans="1:11" ht="42" customHeight="1">
      <c r="A2646" s="4" t="s">
        <v>6258</v>
      </c>
      <c r="B2646" s="5" t="s">
        <v>6259</v>
      </c>
      <c r="C2646" s="5" t="s">
        <v>18</v>
      </c>
      <c r="D2646" s="5" t="s">
        <v>19</v>
      </c>
      <c r="E2646" s="5" t="s">
        <v>352</v>
      </c>
      <c r="F2646" s="9">
        <v>43</v>
      </c>
      <c r="G2646" s="9">
        <v>533</v>
      </c>
      <c r="H2646" s="5" t="s">
        <v>21</v>
      </c>
      <c r="I2646" s="5" t="s">
        <v>6263</v>
      </c>
      <c r="J2646" s="12" t="str">
        <f>HYPERLINK("https://www.boe.es/gazeta/dias/1801/05/26/pdfs/GMD-1801-43.pdf#page=5","Abrir facsímil")</f>
        <v>Abrir facsímil</v>
      </c>
      <c r="K2646" s="15" t="s">
        <v>23</v>
      </c>
    </row>
    <row r="2647" spans="1:11" ht="42" customHeight="1">
      <c r="A2647" s="4" t="s">
        <v>6258</v>
      </c>
      <c r="B2647" s="5" t="s">
        <v>6259</v>
      </c>
      <c r="C2647" s="5" t="s">
        <v>75</v>
      </c>
      <c r="D2647" s="5" t="s">
        <v>76</v>
      </c>
      <c r="E2647" s="5" t="s">
        <v>105</v>
      </c>
      <c r="F2647" s="9">
        <v>44</v>
      </c>
      <c r="G2647" s="9">
        <v>546</v>
      </c>
      <c r="H2647" s="5" t="s">
        <v>21</v>
      </c>
      <c r="I2647" s="5" t="s">
        <v>6264</v>
      </c>
      <c r="J2647" s="12" t="str">
        <f>HYPERLINK("https://www.boe.es/gazeta/dias/1801/05/29/pdfs/GMD-1801-44.pdf#page=6","Abrir facsímil")</f>
        <v>Abrir facsímil</v>
      </c>
      <c r="K2647" s="15" t="s">
        <v>23</v>
      </c>
    </row>
    <row r="2648" spans="1:11" ht="42" customHeight="1">
      <c r="A2648" s="4" t="s">
        <v>6258</v>
      </c>
      <c r="B2648" s="5" t="s">
        <v>6259</v>
      </c>
      <c r="C2648" s="5" t="s">
        <v>38</v>
      </c>
      <c r="D2648" s="5" t="s">
        <v>39</v>
      </c>
      <c r="E2648" s="5" t="s">
        <v>158</v>
      </c>
      <c r="F2648" s="9">
        <v>55</v>
      </c>
      <c r="G2648" s="9">
        <v>628</v>
      </c>
      <c r="H2648" s="5" t="s">
        <v>21</v>
      </c>
      <c r="I2648" s="5" t="s">
        <v>6265</v>
      </c>
      <c r="J2648" s="12" t="str">
        <f>HYPERLINK("https://www.boe.es/gazeta/dias/1801/06/16/pdfs/GMD-1801-55.pdf#page=4","Abrir facsímil")</f>
        <v>Abrir facsímil</v>
      </c>
      <c r="K2648" s="15" t="s">
        <v>23</v>
      </c>
    </row>
    <row r="2649" spans="1:11" ht="42" customHeight="1">
      <c r="A2649" s="4" t="s">
        <v>6258</v>
      </c>
      <c r="B2649" s="5" t="s">
        <v>6259</v>
      </c>
      <c r="C2649" s="5" t="s">
        <v>75</v>
      </c>
      <c r="D2649" s="5" t="s">
        <v>76</v>
      </c>
      <c r="E2649" s="5" t="s">
        <v>223</v>
      </c>
      <c r="F2649" s="9">
        <v>74</v>
      </c>
      <c r="G2649" s="9">
        <v>824</v>
      </c>
      <c r="H2649" s="5" t="s">
        <v>21</v>
      </c>
      <c r="I2649" s="5" t="s">
        <v>6266</v>
      </c>
      <c r="J2649" s="12" t="str">
        <f>HYPERLINK("https://www.boe.es/gazeta/dias/1801/07/31/pdfs/GMD-1801-74.pdf#page=5","Abrir facsímil")</f>
        <v>Abrir facsímil</v>
      </c>
      <c r="K2649" s="15" t="s">
        <v>23</v>
      </c>
    </row>
    <row r="2650" spans="1:11" ht="42" customHeight="1">
      <c r="A2650" s="4" t="s">
        <v>6258</v>
      </c>
      <c r="B2650" s="5" t="s">
        <v>6259</v>
      </c>
      <c r="C2650" s="5" t="s">
        <v>26</v>
      </c>
      <c r="D2650" s="5" t="s">
        <v>27</v>
      </c>
      <c r="E2650" s="5" t="s">
        <v>82</v>
      </c>
      <c r="F2650" s="9">
        <v>75</v>
      </c>
      <c r="G2650" s="9">
        <v>835</v>
      </c>
      <c r="H2650" s="5" t="s">
        <v>21</v>
      </c>
      <c r="I2650" s="5" t="s">
        <v>6267</v>
      </c>
      <c r="J2650" s="12" t="str">
        <f>HYPERLINK("https://www.boe.es/gazeta/dias/1801/08/04/pdfs/GMD-1801-75.pdf#page=4","Abrir facsímil")</f>
        <v>Abrir facsímil</v>
      </c>
      <c r="K2650" s="15" t="s">
        <v>23</v>
      </c>
    </row>
    <row r="2651" spans="1:11" ht="42" customHeight="1">
      <c r="A2651" s="4" t="s">
        <v>6258</v>
      </c>
      <c r="B2651" s="5" t="s">
        <v>6259</v>
      </c>
      <c r="C2651" s="5" t="s">
        <v>75</v>
      </c>
      <c r="D2651" s="5" t="s">
        <v>76</v>
      </c>
      <c r="E2651" s="5" t="s">
        <v>256</v>
      </c>
      <c r="F2651" s="9">
        <v>78</v>
      </c>
      <c r="G2651" s="9">
        <v>876</v>
      </c>
      <c r="H2651" s="5" t="s">
        <v>21</v>
      </c>
      <c r="I2651" s="5" t="s">
        <v>6268</v>
      </c>
      <c r="J2651" s="12" t="str">
        <f>HYPERLINK("https://www.boe.es/gazeta/dias/1801/08/14/pdfs/GMD-1801-78.pdf#page=5","Abrir facsímil")</f>
        <v>Abrir facsímil</v>
      </c>
      <c r="K2651" s="15" t="s">
        <v>23</v>
      </c>
    </row>
    <row r="2652" spans="1:11" ht="42" customHeight="1">
      <c r="A2652" s="4" t="s">
        <v>6269</v>
      </c>
      <c r="B2652" s="5" t="s">
        <v>6270</v>
      </c>
      <c r="C2652" s="5" t="s">
        <v>75</v>
      </c>
      <c r="D2652" s="5" t="s">
        <v>76</v>
      </c>
      <c r="E2652" s="5" t="s">
        <v>211</v>
      </c>
      <c r="F2652" s="9">
        <v>87</v>
      </c>
      <c r="G2652" s="9">
        <v>962</v>
      </c>
      <c r="H2652" s="5" t="s">
        <v>21</v>
      </c>
      <c r="I2652" s="5" t="s">
        <v>6271</v>
      </c>
      <c r="J2652" s="12" t="str">
        <f>HYPERLINK("https://www.boe.es/gazeta/dias/1801/09/11/pdfs/GMD-1801-87.pdf#page=5","Abrir facsímil")</f>
        <v>Abrir facsímil</v>
      </c>
      <c r="K2652" s="15" t="s">
        <v>23</v>
      </c>
    </row>
    <row r="2653" spans="1:11" ht="42" customHeight="1">
      <c r="A2653" s="4" t="s">
        <v>6258</v>
      </c>
      <c r="B2653" s="5" t="s">
        <v>6259</v>
      </c>
      <c r="C2653" s="5" t="s">
        <v>75</v>
      </c>
      <c r="D2653" s="5" t="s">
        <v>76</v>
      </c>
      <c r="E2653" s="5" t="s">
        <v>328</v>
      </c>
      <c r="F2653" s="9">
        <v>89</v>
      </c>
      <c r="G2653" s="9">
        <v>976</v>
      </c>
      <c r="H2653" s="5" t="s">
        <v>21</v>
      </c>
      <c r="I2653" s="5" t="s">
        <v>6272</v>
      </c>
      <c r="J2653" s="12" t="str">
        <f>HYPERLINK("https://www.boe.es/gazeta/dias/1801/09/15/pdfs/GMD-1801-89.pdf#page=3","Abrir facsímil")</f>
        <v>Abrir facsímil</v>
      </c>
      <c r="K2653" s="15" t="s">
        <v>23</v>
      </c>
    </row>
    <row r="2654" spans="1:11" ht="42" customHeight="1">
      <c r="A2654" s="4" t="s">
        <v>6258</v>
      </c>
      <c r="B2654" s="5" t="s">
        <v>6259</v>
      </c>
      <c r="C2654" s="5" t="s">
        <v>75</v>
      </c>
      <c r="D2654" s="5" t="s">
        <v>76</v>
      </c>
      <c r="E2654" s="5" t="s">
        <v>712</v>
      </c>
      <c r="F2654" s="9">
        <v>105</v>
      </c>
      <c r="G2654" s="9">
        <v>1152</v>
      </c>
      <c r="H2654" s="5" t="s">
        <v>21</v>
      </c>
      <c r="I2654" s="5" t="s">
        <v>6273</v>
      </c>
      <c r="J2654" s="12" t="str">
        <f>HYPERLINK("https://www.boe.es/gazeta/dias/1801/11/10/pdfs/GMD-1801-105.pdf#page=5","Abrir facsímil")</f>
        <v>Abrir facsímil</v>
      </c>
      <c r="K2654" s="15" t="s">
        <v>23</v>
      </c>
    </row>
    <row r="2655" spans="1:11" ht="42" customHeight="1">
      <c r="A2655" s="4" t="s">
        <v>6258</v>
      </c>
      <c r="B2655" s="5" t="s">
        <v>6259</v>
      </c>
      <c r="C2655" s="5" t="s">
        <v>38</v>
      </c>
      <c r="D2655" s="5" t="s">
        <v>39</v>
      </c>
      <c r="E2655" s="5" t="s">
        <v>751</v>
      </c>
      <c r="F2655" s="9">
        <v>106</v>
      </c>
      <c r="G2655" s="9">
        <v>1163</v>
      </c>
      <c r="H2655" s="5" t="s">
        <v>21</v>
      </c>
      <c r="I2655" s="5" t="s">
        <v>6274</v>
      </c>
      <c r="J2655" s="12" t="str">
        <f>HYPERLINK("https://www.boe.es/gazeta/dias/1801/11/13/pdfs/GMD-1801-106.pdf#page=4","Abrir facsímil")</f>
        <v>Abrir facsímil</v>
      </c>
      <c r="K2655" s="15" t="s">
        <v>23</v>
      </c>
    </row>
    <row r="2656" spans="1:11" ht="42" customHeight="1">
      <c r="A2656" s="4" t="s">
        <v>6258</v>
      </c>
      <c r="B2656" s="5" t="s">
        <v>6259</v>
      </c>
      <c r="C2656" s="5" t="s">
        <v>38</v>
      </c>
      <c r="D2656" s="5" t="s">
        <v>39</v>
      </c>
      <c r="E2656" s="5" t="s">
        <v>1058</v>
      </c>
      <c r="F2656" s="9">
        <v>108</v>
      </c>
      <c r="G2656" s="9">
        <v>1187</v>
      </c>
      <c r="H2656" s="5" t="s">
        <v>21</v>
      </c>
      <c r="I2656" s="5" t="s">
        <v>6275</v>
      </c>
      <c r="J2656" s="12" t="str">
        <f>HYPERLINK("https://www.boe.es/gazeta/dias/1801/11/20/pdfs/GMD-1801-108.pdf#page=4","Abrir facsímil")</f>
        <v>Abrir facsímil</v>
      </c>
      <c r="K2656" s="15" t="s">
        <v>23</v>
      </c>
    </row>
    <row r="2657" spans="1:11" ht="42" customHeight="1">
      <c r="A2657" s="4" t="s">
        <v>6258</v>
      </c>
      <c r="B2657" s="5" t="s">
        <v>6259</v>
      </c>
      <c r="C2657" s="5" t="s">
        <v>38</v>
      </c>
      <c r="D2657" s="5" t="s">
        <v>39</v>
      </c>
      <c r="E2657" s="5" t="s">
        <v>112</v>
      </c>
      <c r="F2657" s="9">
        <v>114</v>
      </c>
      <c r="G2657" s="9">
        <v>1243</v>
      </c>
      <c r="H2657" s="5" t="s">
        <v>21</v>
      </c>
      <c r="I2657" s="5" t="s">
        <v>6276</v>
      </c>
      <c r="J2657" s="12" t="str">
        <f>HYPERLINK("https://www.boe.es/gazeta/dias/1801/12/11/pdfs/GMD-1801-114.pdf#page=5","Abrir facsímil")</f>
        <v>Abrir facsímil</v>
      </c>
      <c r="K2657" s="15" t="s">
        <v>23</v>
      </c>
    </row>
    <row r="2658" spans="1:11" ht="42" customHeight="1">
      <c r="A2658" s="4" t="s">
        <v>6258</v>
      </c>
      <c r="B2658" s="5" t="s">
        <v>6259</v>
      </c>
      <c r="C2658" s="5" t="s">
        <v>75</v>
      </c>
      <c r="D2658" s="5" t="s">
        <v>76</v>
      </c>
      <c r="E2658" s="5" t="s">
        <v>44</v>
      </c>
      <c r="F2658" s="9">
        <v>117</v>
      </c>
      <c r="G2658" s="9">
        <v>1277</v>
      </c>
      <c r="H2658" s="5" t="s">
        <v>21</v>
      </c>
      <c r="I2658" s="5" t="s">
        <v>6277</v>
      </c>
      <c r="J2658" s="12" t="str">
        <f>HYPERLINK("https://www.boe.es/gazeta/dias/1801/12/22/pdfs/GMD-1801-117.pdf#page=4","Abrir facsímil")</f>
        <v>Abrir facsímil</v>
      </c>
      <c r="K2658" s="15" t="s">
        <v>23</v>
      </c>
    </row>
    <row r="2659" spans="1:11" ht="42" customHeight="1">
      <c r="A2659" s="4" t="s">
        <v>6258</v>
      </c>
      <c r="B2659" s="5" t="s">
        <v>6259</v>
      </c>
      <c r="C2659" s="5" t="s">
        <v>38</v>
      </c>
      <c r="D2659" s="5" t="s">
        <v>39</v>
      </c>
      <c r="E2659" s="5" t="s">
        <v>266</v>
      </c>
      <c r="F2659" s="9">
        <v>119</v>
      </c>
      <c r="G2659" s="9">
        <v>1300</v>
      </c>
      <c r="H2659" s="5" t="s">
        <v>21</v>
      </c>
      <c r="I2659" s="5" t="s">
        <v>6278</v>
      </c>
      <c r="J2659" s="12" t="str">
        <f>HYPERLINK("https://www.boe.es/gazeta/dias/1801/12/29/pdfs/GMD-1801-119.pdf#page=4","Abrir facsímil")</f>
        <v>Abrir facsímil</v>
      </c>
      <c r="K2659" s="15" t="s">
        <v>23</v>
      </c>
    </row>
    <row r="2660" spans="1:11" ht="42" customHeight="1">
      <c r="A2660" s="4" t="s">
        <v>6279</v>
      </c>
      <c r="B2660" s="5" t="s">
        <v>6280</v>
      </c>
      <c r="C2660" s="5" t="s">
        <v>38</v>
      </c>
      <c r="D2660" s="5" t="s">
        <v>39</v>
      </c>
      <c r="E2660" s="5" t="s">
        <v>72</v>
      </c>
      <c r="F2660" s="9">
        <v>60</v>
      </c>
      <c r="G2660" s="9">
        <v>686</v>
      </c>
      <c r="H2660" s="5" t="s">
        <v>21</v>
      </c>
      <c r="I2660" s="5" t="s">
        <v>6281</v>
      </c>
      <c r="J2660" s="12" t="str">
        <f>HYPERLINK("https://www.boe.es/gazeta/dias/1801/06/26/pdfs/GMD-1801-60.pdf#page=7","Abrir facsímil")</f>
        <v>Abrir facsímil</v>
      </c>
      <c r="K2660" s="15" t="s">
        <v>23</v>
      </c>
    </row>
    <row r="2661" spans="1:11" ht="42" customHeight="1">
      <c r="A2661" s="4" t="s">
        <v>6282</v>
      </c>
      <c r="B2661" s="5" t="s">
        <v>6282</v>
      </c>
      <c r="C2661" s="5" t="s">
        <v>69</v>
      </c>
      <c r="D2661" s="5" t="s">
        <v>19</v>
      </c>
      <c r="E2661" s="5" t="s">
        <v>359</v>
      </c>
      <c r="F2661" s="9">
        <v>101</v>
      </c>
      <c r="G2661" s="9">
        <v>1113</v>
      </c>
      <c r="H2661" s="5" t="s">
        <v>21</v>
      </c>
      <c r="I2661" s="5" t="s">
        <v>6283</v>
      </c>
      <c r="J2661" s="12" t="str">
        <f>HYPERLINK("https://www.boe.es/gazeta/dias/1801/10/27/pdfs/GMD-1801-101.pdf#page=6","Abrir facsímil")</f>
        <v>Abrir facsímil</v>
      </c>
      <c r="K2661" s="15" t="s">
        <v>23</v>
      </c>
    </row>
    <row r="2662" spans="1:11" ht="42" customHeight="1">
      <c r="A2662" s="4" t="s">
        <v>6284</v>
      </c>
      <c r="B2662" s="5" t="s">
        <v>6285</v>
      </c>
      <c r="C2662" s="5" t="s">
        <v>32</v>
      </c>
      <c r="D2662" s="5" t="s">
        <v>33</v>
      </c>
      <c r="E2662" s="5" t="s">
        <v>256</v>
      </c>
      <c r="F2662" s="9">
        <v>78</v>
      </c>
      <c r="G2662" s="9">
        <v>882</v>
      </c>
      <c r="H2662" s="5" t="s">
        <v>21</v>
      </c>
      <c r="I2662" s="5" t="s">
        <v>6286</v>
      </c>
      <c r="J2662" s="12" t="str">
        <f>HYPERLINK("https://www.boe.es/gazeta/dias/1801/08/14/pdfs/GMD-1801-78.pdf#page=11","Abrir facsímil")</f>
        <v>Abrir facsímil</v>
      </c>
      <c r="K2662" s="15" t="s">
        <v>23</v>
      </c>
    </row>
    <row r="2663" spans="1:11" ht="42" customHeight="1">
      <c r="A2663" s="4" t="s">
        <v>6287</v>
      </c>
      <c r="B2663" s="5" t="s">
        <v>6288</v>
      </c>
      <c r="C2663" s="5" t="s">
        <v>69</v>
      </c>
      <c r="D2663" s="5" t="s">
        <v>19</v>
      </c>
      <c r="E2663" s="5" t="s">
        <v>165</v>
      </c>
      <c r="F2663" s="9">
        <v>59</v>
      </c>
      <c r="G2663" s="9">
        <v>678</v>
      </c>
      <c r="H2663" s="5" t="s">
        <v>21</v>
      </c>
      <c r="I2663" s="5" t="s">
        <v>6289</v>
      </c>
      <c r="J2663" s="12" t="str">
        <f>HYPERLINK("https://www.boe.es/gazeta/dias/1801/06/23/pdfs/GMD-1801-59.pdf#page=11","Abrir facsímil")</f>
        <v>Abrir facsímil</v>
      </c>
      <c r="K2663" s="15" t="s">
        <v>23</v>
      </c>
    </row>
    <row r="2664" spans="1:11" ht="42" customHeight="1">
      <c r="A2664" s="4" t="s">
        <v>6290</v>
      </c>
      <c r="B2664" s="5" t="s">
        <v>6291</v>
      </c>
      <c r="C2664" s="5" t="s">
        <v>38</v>
      </c>
      <c r="D2664" s="5" t="s">
        <v>39</v>
      </c>
      <c r="E2664" s="5" t="s">
        <v>417</v>
      </c>
      <c r="F2664" s="9">
        <v>64</v>
      </c>
      <c r="G2664" s="9">
        <v>729</v>
      </c>
      <c r="H2664" s="5" t="s">
        <v>21</v>
      </c>
      <c r="I2664" s="5" t="s">
        <v>6292</v>
      </c>
      <c r="J2664" s="12" t="str">
        <f>HYPERLINK("https://www.boe.es/gazeta/dias/1801/07/07/pdfs/GMD-1801-64.pdf#page=10","Abrir facsímil")</f>
        <v>Abrir facsímil</v>
      </c>
      <c r="K2664" s="15" t="s">
        <v>23</v>
      </c>
    </row>
    <row r="2665" spans="1:11" ht="42" customHeight="1">
      <c r="A2665" s="4" t="s">
        <v>6293</v>
      </c>
      <c r="B2665" s="5" t="s">
        <v>6294</v>
      </c>
      <c r="C2665" s="5" t="s">
        <v>26</v>
      </c>
      <c r="D2665" s="5" t="s">
        <v>27</v>
      </c>
      <c r="E2665" s="5" t="s">
        <v>1436</v>
      </c>
      <c r="F2665" s="9">
        <v>95</v>
      </c>
      <c r="G2665" s="9">
        <v>1044</v>
      </c>
      <c r="H2665" s="5" t="s">
        <v>21</v>
      </c>
      <c r="I2665" s="5" t="s">
        <v>6295</v>
      </c>
      <c r="J2665" s="12" t="str">
        <f>HYPERLINK("https://www.boe.es/gazeta/dias/1801/10/06/pdfs/GMD-1801-95.pdf#page=8","Abrir facsímil")</f>
        <v>Abrir facsímil</v>
      </c>
      <c r="K2665" s="15" t="s">
        <v>23</v>
      </c>
    </row>
    <row r="2666" spans="1:11" ht="42" customHeight="1">
      <c r="A2666" s="4" t="s">
        <v>6296</v>
      </c>
      <c r="B2666" s="5" t="s">
        <v>6297</v>
      </c>
      <c r="C2666" s="5" t="s">
        <v>18</v>
      </c>
      <c r="D2666" s="5" t="s">
        <v>19</v>
      </c>
      <c r="E2666" s="5" t="s">
        <v>723</v>
      </c>
      <c r="F2666" s="9">
        <v>113</v>
      </c>
      <c r="G2666" s="9">
        <v>1234</v>
      </c>
      <c r="H2666" s="5" t="s">
        <v>21</v>
      </c>
      <c r="I2666" s="5" t="s">
        <v>6298</v>
      </c>
      <c r="J2666" s="12" t="str">
        <f>HYPERLINK("https://www.boe.es/gazeta/dias/1801/12/08/pdfs/GMD-1801-113.pdf#page=7","Abrir facsímil")</f>
        <v>Abrir facsímil</v>
      </c>
      <c r="K2666" s="15" t="s">
        <v>23</v>
      </c>
    </row>
    <row r="2667" spans="1:11" ht="42" customHeight="1">
      <c r="A2667" s="4" t="s">
        <v>6299</v>
      </c>
      <c r="B2667" s="5" t="s">
        <v>6300</v>
      </c>
      <c r="C2667" s="5" t="s">
        <v>18</v>
      </c>
      <c r="D2667" s="5" t="s">
        <v>19</v>
      </c>
      <c r="E2667" s="5" t="s">
        <v>201</v>
      </c>
      <c r="F2667" s="9">
        <v>79</v>
      </c>
      <c r="G2667" s="9">
        <v>890</v>
      </c>
      <c r="H2667" s="5" t="s">
        <v>21</v>
      </c>
      <c r="I2667" s="5" t="s">
        <v>6301</v>
      </c>
      <c r="J2667" s="12" t="str">
        <f>HYPERLINK("https://www.boe.es/gazeta/dias/1801/08/18/pdfs/GMD-1801-79.pdf#page=7","Abrir facsímil")</f>
        <v>Abrir facsímil</v>
      </c>
      <c r="K2667" s="15" t="s">
        <v>23</v>
      </c>
    </row>
    <row r="2668" spans="1:11" ht="42" customHeight="1">
      <c r="A2668" s="4" t="s">
        <v>6302</v>
      </c>
      <c r="B2668" s="5" t="s">
        <v>6303</v>
      </c>
      <c r="C2668" s="5" t="s">
        <v>18</v>
      </c>
      <c r="D2668" s="5" t="s">
        <v>19</v>
      </c>
      <c r="E2668" s="5" t="s">
        <v>28</v>
      </c>
      <c r="F2668" s="9">
        <v>77</v>
      </c>
      <c r="G2668" s="9">
        <v>866</v>
      </c>
      <c r="H2668" s="5" t="s">
        <v>21</v>
      </c>
      <c r="I2668" s="5" t="s">
        <v>6304</v>
      </c>
      <c r="J2668" s="12" t="str">
        <f>HYPERLINK("https://www.boe.es/gazeta/dias/1801/08/11/pdfs/GMD-1801-77.pdf#page=11","Abrir facsímil")</f>
        <v>Abrir facsímil</v>
      </c>
      <c r="K2668" s="15" t="s">
        <v>23</v>
      </c>
    </row>
    <row r="2669" spans="1:11" ht="42" customHeight="1">
      <c r="A2669" s="4" t="s">
        <v>6305</v>
      </c>
      <c r="B2669" s="5" t="s">
        <v>6306</v>
      </c>
      <c r="C2669" s="5" t="s">
        <v>32</v>
      </c>
      <c r="D2669" s="5" t="s">
        <v>33</v>
      </c>
      <c r="E2669" s="5" t="s">
        <v>453</v>
      </c>
      <c r="F2669" s="9">
        <v>100</v>
      </c>
      <c r="G2669" s="9">
        <v>1101</v>
      </c>
      <c r="H2669" s="5" t="s">
        <v>21</v>
      </c>
      <c r="I2669" s="5" t="s">
        <v>6307</v>
      </c>
      <c r="J2669" s="12" t="str">
        <f>HYPERLINK("https://www.boe.es/gazeta/dias/1801/10/23/pdfs/GMD-1801-100.pdf#page=10","Abrir facsímil")</f>
        <v>Abrir facsímil</v>
      </c>
      <c r="K2669" s="15" t="s">
        <v>23</v>
      </c>
    </row>
    <row r="2670" spans="1:11" ht="42" customHeight="1">
      <c r="A2670" s="4" t="s">
        <v>6308</v>
      </c>
      <c r="B2670" s="5" t="s">
        <v>6309</v>
      </c>
      <c r="C2670" s="5" t="s">
        <v>18</v>
      </c>
      <c r="D2670" s="5" t="s">
        <v>19</v>
      </c>
      <c r="E2670" s="5" t="s">
        <v>128</v>
      </c>
      <c r="F2670" s="9">
        <v>17</v>
      </c>
      <c r="G2670" s="9">
        <v>215</v>
      </c>
      <c r="H2670" s="5" t="s">
        <v>21</v>
      </c>
      <c r="I2670" s="5" t="s">
        <v>6310</v>
      </c>
      <c r="J2670" s="12" t="str">
        <f>HYPERLINK("https://www.boe.es/gazeta/dias/1801/02/27/pdfs/GMD-1801-17.pdf#page=10","Abrir facsímil")</f>
        <v>Abrir facsímil</v>
      </c>
      <c r="K2670" s="15" t="s">
        <v>23</v>
      </c>
    </row>
    <row r="2671" spans="1:11" ht="42" customHeight="1">
      <c r="A2671" s="4" t="s">
        <v>6308</v>
      </c>
      <c r="B2671" s="5" t="s">
        <v>6309</v>
      </c>
      <c r="C2671" s="5" t="s">
        <v>18</v>
      </c>
      <c r="D2671" s="5" t="s">
        <v>19</v>
      </c>
      <c r="E2671" s="5" t="s">
        <v>94</v>
      </c>
      <c r="F2671" s="9">
        <v>19</v>
      </c>
      <c r="G2671" s="9">
        <v>252</v>
      </c>
      <c r="H2671" s="5" t="s">
        <v>21</v>
      </c>
      <c r="I2671" s="5" t="s">
        <v>6311</v>
      </c>
      <c r="J2671" s="12" t="str">
        <f>HYPERLINK("https://www.boe.es/gazeta/dias/1801/03/06/pdfs/GMD-C-1801-19.pdf#page=5","Abrir facsímil")</f>
        <v>Abrir facsímil</v>
      </c>
      <c r="K2671" s="15" t="s">
        <v>23</v>
      </c>
    </row>
    <row r="2672" spans="1:11" ht="42" customHeight="1">
      <c r="A2672" s="4" t="s">
        <v>6308</v>
      </c>
      <c r="B2672" s="5" t="s">
        <v>6309</v>
      </c>
      <c r="C2672" s="5" t="s">
        <v>18</v>
      </c>
      <c r="D2672" s="5" t="s">
        <v>19</v>
      </c>
      <c r="E2672" s="5" t="s">
        <v>131</v>
      </c>
      <c r="F2672" s="9">
        <v>22</v>
      </c>
      <c r="G2672" s="9">
        <v>293</v>
      </c>
      <c r="H2672" s="5" t="s">
        <v>21</v>
      </c>
      <c r="I2672" s="5" t="s">
        <v>6312</v>
      </c>
      <c r="J2672" s="12" t="str">
        <f>HYPERLINK("https://www.boe.es/gazeta/dias/1801/03/17/pdfs/GMD-1801-22.pdf#page=10","Abrir facsímil")</f>
        <v>Abrir facsímil</v>
      </c>
      <c r="K2672" s="15" t="s">
        <v>23</v>
      </c>
    </row>
    <row r="2673" spans="1:11" ht="42" customHeight="1">
      <c r="A2673" s="4" t="s">
        <v>6308</v>
      </c>
      <c r="B2673" s="5" t="s">
        <v>6309</v>
      </c>
      <c r="C2673" s="5" t="s">
        <v>18</v>
      </c>
      <c r="D2673" s="5" t="s">
        <v>19</v>
      </c>
      <c r="E2673" s="5" t="s">
        <v>66</v>
      </c>
      <c r="F2673" s="9">
        <v>52</v>
      </c>
      <c r="G2673" s="9">
        <v>609</v>
      </c>
      <c r="H2673" s="5" t="s">
        <v>21</v>
      </c>
      <c r="I2673" s="5" t="s">
        <v>6313</v>
      </c>
      <c r="J2673" s="12" t="str">
        <f>HYPERLINK("https://www.boe.es/gazeta/dias/1801/06/12/pdfs/GMD-1801-52.pdf#page=8","Abrir facsímil")</f>
        <v>Abrir facsímil</v>
      </c>
      <c r="K2673" s="15" t="s">
        <v>23</v>
      </c>
    </row>
    <row r="2674" spans="1:11" ht="42" customHeight="1">
      <c r="A2674" s="4" t="s">
        <v>6308</v>
      </c>
      <c r="B2674" s="5" t="s">
        <v>6309</v>
      </c>
      <c r="C2674" s="5" t="s">
        <v>18</v>
      </c>
      <c r="D2674" s="5" t="s">
        <v>19</v>
      </c>
      <c r="E2674" s="5" t="s">
        <v>108</v>
      </c>
      <c r="F2674" s="9">
        <v>61</v>
      </c>
      <c r="G2674" s="9">
        <v>698</v>
      </c>
      <c r="H2674" s="5" t="s">
        <v>21</v>
      </c>
      <c r="I2674" s="5" t="s">
        <v>6314</v>
      </c>
      <c r="J2674" s="12" t="str">
        <f>HYPERLINK("https://www.boe.es/gazeta/dias/1801/06/30/pdfs/GMD-1801-61.pdf#page=7","Abrir facsímil")</f>
        <v>Abrir facsímil</v>
      </c>
      <c r="K2674" s="15" t="s">
        <v>23</v>
      </c>
    </row>
    <row r="2675" spans="1:11" ht="42" customHeight="1">
      <c r="A2675" s="4" t="s">
        <v>6308</v>
      </c>
      <c r="B2675" s="5" t="s">
        <v>6309</v>
      </c>
      <c r="C2675" s="5" t="s">
        <v>18</v>
      </c>
      <c r="D2675" s="5" t="s">
        <v>19</v>
      </c>
      <c r="E2675" s="5" t="s">
        <v>702</v>
      </c>
      <c r="F2675" s="9">
        <v>69</v>
      </c>
      <c r="G2675" s="9">
        <v>765</v>
      </c>
      <c r="H2675" s="5" t="s">
        <v>21</v>
      </c>
      <c r="I2675" s="5" t="s">
        <v>6315</v>
      </c>
      <c r="J2675" s="12" t="str">
        <f>HYPERLINK("https://www.boe.es/gazeta/dias/1801/07/14/pdfs/GMD-1801-69.pdf#page=10","Abrir facsímil")</f>
        <v>Abrir facsímil</v>
      </c>
      <c r="K2675" s="15" t="s">
        <v>23</v>
      </c>
    </row>
    <row r="2676" spans="1:11" ht="42" customHeight="1">
      <c r="A2676" s="4" t="s">
        <v>6308</v>
      </c>
      <c r="B2676" s="5" t="s">
        <v>6309</v>
      </c>
      <c r="C2676" s="5" t="s">
        <v>18</v>
      </c>
      <c r="D2676" s="5" t="s">
        <v>19</v>
      </c>
      <c r="E2676" s="5" t="s">
        <v>338</v>
      </c>
      <c r="F2676" s="9">
        <v>83</v>
      </c>
      <c r="G2676" s="9">
        <v>935</v>
      </c>
      <c r="H2676" s="5" t="s">
        <v>21</v>
      </c>
      <c r="I2676" s="5" t="s">
        <v>6316</v>
      </c>
      <c r="J2676" s="12" t="str">
        <f>HYPERLINK("https://www.boe.es/gazeta/dias/1801/09/01/pdfs/GMD-1801-83.pdf#page=10","Abrir facsímil")</f>
        <v>Abrir facsímil</v>
      </c>
      <c r="K2676" s="15" t="s">
        <v>23</v>
      </c>
    </row>
    <row r="2677" spans="1:11" ht="42" customHeight="1">
      <c r="A2677" s="4" t="s">
        <v>6317</v>
      </c>
      <c r="B2677" s="5" t="s">
        <v>6318</v>
      </c>
      <c r="C2677" s="5" t="s">
        <v>18</v>
      </c>
      <c r="D2677" s="5" t="s">
        <v>19</v>
      </c>
      <c r="E2677" s="5" t="s">
        <v>352</v>
      </c>
      <c r="F2677" s="9">
        <v>43</v>
      </c>
      <c r="G2677" s="9">
        <v>539</v>
      </c>
      <c r="H2677" s="5" t="s">
        <v>21</v>
      </c>
      <c r="I2677" s="5" t="s">
        <v>6319</v>
      </c>
      <c r="J2677" s="12" t="str">
        <f>HYPERLINK("https://www.boe.es/gazeta/dias/1801/05/26/pdfs/GMD-1801-43.pdf#page=11","Abrir facsímil")</f>
        <v>Abrir facsímil</v>
      </c>
      <c r="K2677" s="15" t="s">
        <v>23</v>
      </c>
    </row>
    <row r="2678" spans="1:11" ht="42" customHeight="1">
      <c r="A2678" s="4" t="s">
        <v>6320</v>
      </c>
      <c r="B2678" s="5" t="s">
        <v>6321</v>
      </c>
      <c r="C2678" s="5" t="s">
        <v>32</v>
      </c>
      <c r="D2678" s="5" t="s">
        <v>33</v>
      </c>
      <c r="E2678" s="5" t="s">
        <v>145</v>
      </c>
      <c r="F2678" s="9">
        <v>36</v>
      </c>
      <c r="G2678" s="9">
        <v>469</v>
      </c>
      <c r="H2678" s="5" t="s">
        <v>21</v>
      </c>
      <c r="I2678" s="5" t="s">
        <v>6322</v>
      </c>
      <c r="J2678" s="12" t="str">
        <f>HYPERLINK("https://www.boe.es/gazeta/dias/1801/05/05/pdfs/GMD-1801-36.pdf#page=13","Abrir facsímil")</f>
        <v>Abrir facsímil</v>
      </c>
      <c r="K2678" s="15" t="s">
        <v>23</v>
      </c>
    </row>
    <row r="2679" spans="1:11" ht="42" customHeight="1">
      <c r="A2679" s="4" t="s">
        <v>6323</v>
      </c>
      <c r="B2679" s="5" t="s">
        <v>6324</v>
      </c>
      <c r="C2679" s="5" t="s">
        <v>69</v>
      </c>
      <c r="D2679" s="5" t="s">
        <v>19</v>
      </c>
      <c r="E2679" s="5" t="s">
        <v>453</v>
      </c>
      <c r="F2679" s="9">
        <v>100</v>
      </c>
      <c r="G2679" s="9">
        <v>1099</v>
      </c>
      <c r="H2679" s="5" t="s">
        <v>21</v>
      </c>
      <c r="I2679" s="5" t="s">
        <v>6325</v>
      </c>
      <c r="J2679" s="12" t="str">
        <f>HYPERLINK("https://www.boe.es/gazeta/dias/1801/10/23/pdfs/GMD-1801-100.pdf#page=8","Abrir facsímil")</f>
        <v>Abrir facsímil</v>
      </c>
      <c r="K2679" s="15" t="s">
        <v>23</v>
      </c>
    </row>
    <row r="2680" spans="1:11" ht="42" customHeight="1">
      <c r="A2680" s="4" t="s">
        <v>6326</v>
      </c>
      <c r="B2680" s="5" t="s">
        <v>6327</v>
      </c>
      <c r="C2680" s="5" t="s">
        <v>32</v>
      </c>
      <c r="D2680" s="5" t="s">
        <v>33</v>
      </c>
      <c r="E2680" s="5" t="s">
        <v>90</v>
      </c>
      <c r="F2680" s="9">
        <v>1</v>
      </c>
      <c r="G2680" s="9">
        <v>9</v>
      </c>
      <c r="H2680" s="5" t="s">
        <v>21</v>
      </c>
      <c r="I2680" s="5" t="s">
        <v>6328</v>
      </c>
      <c r="J2680" s="12" t="str">
        <f>HYPERLINK("https://www.boe.es/gazeta/dias/1801/01/02/pdfs/GMD-1801-1.pdf#page=9","Abrir facsímil")</f>
        <v>Abrir facsímil</v>
      </c>
      <c r="K2680" s="15" t="s">
        <v>23</v>
      </c>
    </row>
    <row r="2681" spans="1:11" ht="42" customHeight="1">
      <c r="A2681" s="4" t="s">
        <v>6329</v>
      </c>
      <c r="B2681" s="5" t="s">
        <v>6330</v>
      </c>
      <c r="C2681" s="5" t="s">
        <v>32</v>
      </c>
      <c r="D2681" s="5" t="s">
        <v>33</v>
      </c>
      <c r="E2681" s="5" t="s">
        <v>321</v>
      </c>
      <c r="F2681" s="9">
        <v>3</v>
      </c>
      <c r="G2681" s="9">
        <v>33</v>
      </c>
      <c r="H2681" s="5" t="s">
        <v>21</v>
      </c>
      <c r="I2681" s="5" t="s">
        <v>6331</v>
      </c>
      <c r="J2681" s="12" t="str">
        <f>HYPERLINK("https://www.boe.es/gazeta/dias/1801/01/09/pdfs/GMD-1801-3.pdf#page=9","Abrir facsímil")</f>
        <v>Abrir facsímil</v>
      </c>
      <c r="K2681" s="15" t="s">
        <v>23</v>
      </c>
    </row>
    <row r="2682" spans="1:11" ht="42" customHeight="1">
      <c r="A2682" s="4" t="s">
        <v>6329</v>
      </c>
      <c r="B2682" s="5" t="s">
        <v>6330</v>
      </c>
      <c r="C2682" s="5" t="s">
        <v>80</v>
      </c>
      <c r="D2682" s="5" t="s">
        <v>81</v>
      </c>
      <c r="E2682" s="5" t="s">
        <v>289</v>
      </c>
      <c r="F2682" s="9">
        <v>40</v>
      </c>
      <c r="G2682" s="9" t="s">
        <v>83</v>
      </c>
      <c r="H2682" s="5" t="s">
        <v>21</v>
      </c>
      <c r="I2682" s="5" t="s">
        <v>6332</v>
      </c>
      <c r="J2682" s="12" t="str">
        <f>HYPERLINK("https://www.boe.es/gazeta/dias/1801/05/19/pdfs/GMD-C-1801-40.pdf#page=2","Abrir facsímil")</f>
        <v>Abrir facsímil</v>
      </c>
      <c r="K2682" s="15" t="s">
        <v>23</v>
      </c>
    </row>
    <row r="2683" spans="1:11" ht="42" customHeight="1">
      <c r="A2683" s="4" t="s">
        <v>6333</v>
      </c>
      <c r="B2683" s="5" t="s">
        <v>6334</v>
      </c>
      <c r="C2683" s="5" t="s">
        <v>69</v>
      </c>
      <c r="D2683" s="5" t="s">
        <v>19</v>
      </c>
      <c r="E2683" s="5" t="s">
        <v>20</v>
      </c>
      <c r="F2683" s="9">
        <v>37</v>
      </c>
      <c r="G2683" s="9">
        <v>482</v>
      </c>
      <c r="H2683" s="5" t="s">
        <v>21</v>
      </c>
      <c r="I2683" s="5" t="s">
        <v>6335</v>
      </c>
      <c r="J2683" s="12" t="str">
        <f>HYPERLINK("https://www.boe.es/gazeta/dias/1801/05/08/pdfs/GMD-1801-37.pdf#page=10","Abrir facsímil")</f>
        <v>Abrir facsímil</v>
      </c>
      <c r="K2683" s="15" t="s">
        <v>23</v>
      </c>
    </row>
    <row r="2684" spans="1:11" ht="42" customHeight="1">
      <c r="A2684" s="4" t="s">
        <v>6336</v>
      </c>
      <c r="B2684" s="5" t="s">
        <v>6337</v>
      </c>
      <c r="C2684" s="5" t="s">
        <v>515</v>
      </c>
      <c r="D2684" s="5" t="s">
        <v>516</v>
      </c>
      <c r="E2684" s="5" t="s">
        <v>501</v>
      </c>
      <c r="F2684" s="9">
        <v>115</v>
      </c>
      <c r="G2684" s="9" t="s">
        <v>517</v>
      </c>
      <c r="H2684" s="5" t="s">
        <v>21</v>
      </c>
      <c r="I2684" s="5" t="s">
        <v>6338</v>
      </c>
      <c r="J2684" s="12" t="str">
        <f>HYPERLINK("https://www.boe.es/gazeta/dias/1801/12/15/pdfs/GMD-C-1801-115.pdf#page=7","Abrir facsímil")</f>
        <v>Abrir facsímil</v>
      </c>
      <c r="K2684" s="15" t="s">
        <v>23</v>
      </c>
    </row>
    <row r="2685" spans="1:11" ht="42" customHeight="1">
      <c r="A2685" s="4" t="s">
        <v>6339</v>
      </c>
      <c r="B2685" s="5" t="s">
        <v>6339</v>
      </c>
      <c r="C2685" s="5" t="s">
        <v>75</v>
      </c>
      <c r="D2685" s="5" t="s">
        <v>76</v>
      </c>
      <c r="E2685" s="5" t="s">
        <v>256</v>
      </c>
      <c r="F2685" s="9">
        <v>78</v>
      </c>
      <c r="G2685" s="9">
        <v>876</v>
      </c>
      <c r="H2685" s="5" t="s">
        <v>21</v>
      </c>
      <c r="I2685" s="5" t="s">
        <v>6340</v>
      </c>
      <c r="J2685" s="12" t="str">
        <f>HYPERLINK("https://www.boe.es/gazeta/dias/1801/08/14/pdfs/GMD-1801-78.pdf#page=5","Abrir facsímil")</f>
        <v>Abrir facsímil</v>
      </c>
      <c r="K2685" s="15" t="s">
        <v>23</v>
      </c>
    </row>
    <row r="2686" spans="1:11" ht="42" customHeight="1">
      <c r="A2686" s="4" t="s">
        <v>6341</v>
      </c>
      <c r="B2686" s="5" t="s">
        <v>6342</v>
      </c>
      <c r="C2686" s="5" t="s">
        <v>75</v>
      </c>
      <c r="D2686" s="5" t="s">
        <v>76</v>
      </c>
      <c r="E2686" s="5" t="s">
        <v>313</v>
      </c>
      <c r="F2686" s="9">
        <v>39</v>
      </c>
      <c r="G2686" s="9">
        <v>501</v>
      </c>
      <c r="H2686" s="5" t="s">
        <v>21</v>
      </c>
      <c r="I2686" s="5" t="s">
        <v>6343</v>
      </c>
      <c r="J2686" s="12" t="str">
        <f>HYPERLINK("https://www.boe.es/gazeta/dias/1801/05/15/pdfs/GMD-1801-39.pdf#page=5","Abrir facsímil")</f>
        <v>Abrir facsímil</v>
      </c>
      <c r="K2686" s="15" t="s">
        <v>23</v>
      </c>
    </row>
    <row r="2687" spans="1:11" ht="42" customHeight="1">
      <c r="A2687" s="4" t="s">
        <v>6344</v>
      </c>
      <c r="B2687" s="5" t="s">
        <v>6345</v>
      </c>
      <c r="C2687" s="5" t="s">
        <v>38</v>
      </c>
      <c r="D2687" s="5" t="s">
        <v>39</v>
      </c>
      <c r="E2687" s="5" t="s">
        <v>126</v>
      </c>
      <c r="F2687" s="9">
        <v>13</v>
      </c>
      <c r="G2687" s="9">
        <v>156</v>
      </c>
      <c r="H2687" s="5" t="s">
        <v>21</v>
      </c>
      <c r="I2687" s="5" t="s">
        <v>6346</v>
      </c>
      <c r="J2687" s="12" t="str">
        <f>HYPERLINK("https://www.boe.es/gazeta/dias/1801/02/13/pdfs/GMD-1801-13.pdf#page=3","Abrir facsímil")</f>
        <v>Abrir facsímil</v>
      </c>
      <c r="K2687" s="15" t="s">
        <v>23</v>
      </c>
    </row>
    <row r="2688" spans="1:11" ht="42" customHeight="1">
      <c r="A2688" s="4" t="s">
        <v>6344</v>
      </c>
      <c r="B2688" s="5" t="s">
        <v>6345</v>
      </c>
      <c r="C2688" s="5" t="s">
        <v>75</v>
      </c>
      <c r="D2688" s="5" t="s">
        <v>76</v>
      </c>
      <c r="E2688" s="5" t="s">
        <v>20</v>
      </c>
      <c r="F2688" s="9">
        <v>37</v>
      </c>
      <c r="G2688" s="9">
        <v>478</v>
      </c>
      <c r="H2688" s="5" t="s">
        <v>21</v>
      </c>
      <c r="I2688" s="5" t="s">
        <v>6347</v>
      </c>
      <c r="J2688" s="12" t="str">
        <f>HYPERLINK("https://www.boe.es/gazeta/dias/1801/05/08/pdfs/GMD-1801-37.pdf#page=6","Abrir facsímil")</f>
        <v>Abrir facsímil</v>
      </c>
      <c r="K2688" s="15" t="s">
        <v>23</v>
      </c>
    </row>
    <row r="2689" spans="1:11" ht="42" customHeight="1">
      <c r="A2689" s="4" t="s">
        <v>6344</v>
      </c>
      <c r="B2689" s="5" t="s">
        <v>6345</v>
      </c>
      <c r="C2689" s="5" t="s">
        <v>18</v>
      </c>
      <c r="D2689" s="5" t="s">
        <v>19</v>
      </c>
      <c r="E2689" s="5" t="s">
        <v>151</v>
      </c>
      <c r="F2689" s="9">
        <v>45</v>
      </c>
      <c r="G2689" s="9">
        <v>554</v>
      </c>
      <c r="H2689" s="5" t="s">
        <v>21</v>
      </c>
      <c r="I2689" s="5" t="s">
        <v>6348</v>
      </c>
      <c r="J2689" s="12" t="str">
        <f>HYPERLINK("https://www.boe.es/gazeta/dias/1801/06/02/pdfs/GMD-1801-45.pdf#page=2","Abrir facsímil")</f>
        <v>Abrir facsímil</v>
      </c>
      <c r="K2689" s="15" t="s">
        <v>23</v>
      </c>
    </row>
    <row r="2690" spans="1:11" ht="42" customHeight="1">
      <c r="A2690" s="4" t="s">
        <v>6344</v>
      </c>
      <c r="B2690" s="5" t="s">
        <v>6345</v>
      </c>
      <c r="C2690" s="5" t="s">
        <v>75</v>
      </c>
      <c r="D2690" s="5" t="s">
        <v>76</v>
      </c>
      <c r="E2690" s="5" t="s">
        <v>165</v>
      </c>
      <c r="F2690" s="9">
        <v>59</v>
      </c>
      <c r="G2690" s="9">
        <v>672</v>
      </c>
      <c r="H2690" s="5" t="s">
        <v>21</v>
      </c>
      <c r="I2690" s="5" t="s">
        <v>6349</v>
      </c>
      <c r="J2690" s="12" t="str">
        <f>HYPERLINK("https://www.boe.es/gazeta/dias/1801/06/23/pdfs/GMD-1801-59.pdf#page=5","Abrir facsímil")</f>
        <v>Abrir facsímil</v>
      </c>
      <c r="K2690" s="15" t="s">
        <v>23</v>
      </c>
    </row>
    <row r="2691" spans="1:11" ht="42" customHeight="1">
      <c r="A2691" s="4" t="s">
        <v>6344</v>
      </c>
      <c r="B2691" s="5" t="s">
        <v>6345</v>
      </c>
      <c r="C2691" s="5" t="s">
        <v>38</v>
      </c>
      <c r="D2691" s="5" t="s">
        <v>39</v>
      </c>
      <c r="E2691" s="5" t="s">
        <v>72</v>
      </c>
      <c r="F2691" s="9">
        <v>60</v>
      </c>
      <c r="G2691" s="9">
        <v>686</v>
      </c>
      <c r="H2691" s="5" t="s">
        <v>21</v>
      </c>
      <c r="I2691" s="5" t="s">
        <v>6350</v>
      </c>
      <c r="J2691" s="12" t="str">
        <f>HYPERLINK("https://www.boe.es/gazeta/dias/1801/06/26/pdfs/GMD-1801-60.pdf#page=7","Abrir facsímil")</f>
        <v>Abrir facsímil</v>
      </c>
      <c r="K2691" s="15" t="s">
        <v>23</v>
      </c>
    </row>
    <row r="2692" spans="1:11" ht="42" customHeight="1">
      <c r="A2692" s="4" t="s">
        <v>6344</v>
      </c>
      <c r="B2692" s="5" t="s">
        <v>6345</v>
      </c>
      <c r="C2692" s="5" t="s">
        <v>38</v>
      </c>
      <c r="D2692" s="5" t="s">
        <v>39</v>
      </c>
      <c r="E2692" s="5" t="s">
        <v>417</v>
      </c>
      <c r="F2692" s="9">
        <v>64</v>
      </c>
      <c r="G2692" s="9">
        <v>723</v>
      </c>
      <c r="H2692" s="5" t="s">
        <v>21</v>
      </c>
      <c r="I2692" s="5" t="s">
        <v>6351</v>
      </c>
      <c r="J2692" s="12" t="str">
        <f>HYPERLINK("https://www.boe.es/gazeta/dias/1801/07/07/pdfs/GMD-1801-64.pdf#page=4","Abrir facsímil")</f>
        <v>Abrir facsímil</v>
      </c>
      <c r="K2692" s="15" t="s">
        <v>23</v>
      </c>
    </row>
    <row r="2693" spans="1:11" ht="42" customHeight="1">
      <c r="A2693" s="4" t="s">
        <v>6344</v>
      </c>
      <c r="B2693" s="5" t="s">
        <v>6345</v>
      </c>
      <c r="C2693" s="5" t="s">
        <v>75</v>
      </c>
      <c r="D2693" s="5" t="s">
        <v>76</v>
      </c>
      <c r="E2693" s="5" t="s">
        <v>215</v>
      </c>
      <c r="F2693" s="9">
        <v>71</v>
      </c>
      <c r="G2693" s="9">
        <v>784</v>
      </c>
      <c r="H2693" s="5" t="s">
        <v>21</v>
      </c>
      <c r="I2693" s="5" t="s">
        <v>6352</v>
      </c>
      <c r="J2693" s="12" t="str">
        <f>HYPERLINK("https://www.boe.es/gazeta/dias/1801/07/21/pdfs/GMD-1801-71.pdf#page=5","Abrir facsímil")</f>
        <v>Abrir facsímil</v>
      </c>
      <c r="K2693" s="15" t="s">
        <v>23</v>
      </c>
    </row>
    <row r="2694" spans="1:11" ht="42" customHeight="1">
      <c r="A2694" s="4" t="s">
        <v>6344</v>
      </c>
      <c r="B2694" s="5" t="s">
        <v>6345</v>
      </c>
      <c r="C2694" s="5" t="s">
        <v>18</v>
      </c>
      <c r="D2694" s="5" t="s">
        <v>19</v>
      </c>
      <c r="E2694" s="5" t="s">
        <v>254</v>
      </c>
      <c r="F2694" s="9">
        <v>73</v>
      </c>
      <c r="G2694" s="9">
        <v>810</v>
      </c>
      <c r="H2694" s="5" t="s">
        <v>21</v>
      </c>
      <c r="I2694" s="5" t="s">
        <v>6353</v>
      </c>
      <c r="J2694" s="12" t="str">
        <f>HYPERLINK("https://www.boe.es/gazeta/dias/1801/07/28/pdfs/GMD-1801-73.pdf#page=3","Abrir facsímil")</f>
        <v>Abrir facsímil</v>
      </c>
      <c r="K2694" s="15" t="s">
        <v>23</v>
      </c>
    </row>
    <row r="2695" spans="1:11" ht="42" customHeight="1">
      <c r="A2695" s="4" t="s">
        <v>6344</v>
      </c>
      <c r="B2695" s="5" t="s">
        <v>6345</v>
      </c>
      <c r="C2695" s="5" t="s">
        <v>75</v>
      </c>
      <c r="D2695" s="5" t="s">
        <v>76</v>
      </c>
      <c r="E2695" s="5" t="s">
        <v>256</v>
      </c>
      <c r="F2695" s="9">
        <v>78</v>
      </c>
      <c r="G2695" s="9">
        <v>876</v>
      </c>
      <c r="H2695" s="5" t="s">
        <v>21</v>
      </c>
      <c r="I2695" s="5" t="s">
        <v>6354</v>
      </c>
      <c r="J2695" s="12" t="str">
        <f>HYPERLINK("https://www.boe.es/gazeta/dias/1801/08/14/pdfs/GMD-1801-78.pdf#page=5","Abrir facsímil")</f>
        <v>Abrir facsímil</v>
      </c>
      <c r="K2695" s="15" t="s">
        <v>23</v>
      </c>
    </row>
    <row r="2696" spans="1:11" ht="42" customHeight="1">
      <c r="A2696" s="4" t="s">
        <v>6344</v>
      </c>
      <c r="B2696" s="5" t="s">
        <v>6345</v>
      </c>
      <c r="C2696" s="5" t="s">
        <v>75</v>
      </c>
      <c r="D2696" s="5" t="s">
        <v>76</v>
      </c>
      <c r="E2696" s="5" t="s">
        <v>201</v>
      </c>
      <c r="F2696" s="9">
        <v>79</v>
      </c>
      <c r="G2696" s="9">
        <v>886</v>
      </c>
      <c r="H2696" s="5" t="s">
        <v>21</v>
      </c>
      <c r="I2696" s="5" t="s">
        <v>6355</v>
      </c>
      <c r="J2696" s="12" t="str">
        <f>HYPERLINK("https://www.boe.es/gazeta/dias/1801/08/18/pdfs/GMD-1801-79.pdf#page=3","Abrir facsímil")</f>
        <v>Abrir facsímil</v>
      </c>
      <c r="K2696" s="15" t="s">
        <v>23</v>
      </c>
    </row>
    <row r="2697" spans="1:11" ht="42" customHeight="1">
      <c r="A2697" s="4" t="s">
        <v>6344</v>
      </c>
      <c r="B2697" s="5" t="s">
        <v>6345</v>
      </c>
      <c r="C2697" s="5" t="s">
        <v>75</v>
      </c>
      <c r="D2697" s="5" t="s">
        <v>76</v>
      </c>
      <c r="E2697" s="5" t="s">
        <v>2237</v>
      </c>
      <c r="F2697" s="9">
        <v>82</v>
      </c>
      <c r="G2697" s="9">
        <v>914</v>
      </c>
      <c r="H2697" s="5" t="s">
        <v>21</v>
      </c>
      <c r="I2697" s="5" t="s">
        <v>6356</v>
      </c>
      <c r="J2697" s="12" t="str">
        <f>HYPERLINK("https://www.boe.es/gazeta/dias/1801/08/28/pdfs/GMD-1801-82.pdf#page=3","Abrir facsímil")</f>
        <v>Abrir facsímil</v>
      </c>
      <c r="K2697" s="15" t="s">
        <v>23</v>
      </c>
    </row>
    <row r="2698" spans="1:11" ht="42" customHeight="1">
      <c r="A2698" s="4" t="s">
        <v>6357</v>
      </c>
      <c r="B2698" s="5" t="s">
        <v>6358</v>
      </c>
      <c r="C2698" s="5" t="s">
        <v>32</v>
      </c>
      <c r="D2698" s="5" t="s">
        <v>33</v>
      </c>
      <c r="E2698" s="5" t="s">
        <v>151</v>
      </c>
      <c r="F2698" s="9">
        <v>45</v>
      </c>
      <c r="G2698" s="9">
        <v>557</v>
      </c>
      <c r="H2698" s="5" t="s">
        <v>21</v>
      </c>
      <c r="I2698" s="5" t="s">
        <v>6359</v>
      </c>
      <c r="J2698" s="12" t="str">
        <f>HYPERLINK("https://www.boe.es/gazeta/dias/1801/06/02/pdfs/GMD-1801-45.pdf#page=5","Abrir facsímil")</f>
        <v>Abrir facsímil</v>
      </c>
      <c r="K2698" s="15" t="s">
        <v>23</v>
      </c>
    </row>
    <row r="2699" spans="1:11" ht="42" customHeight="1">
      <c r="A2699" s="4" t="s">
        <v>6360</v>
      </c>
      <c r="B2699" s="5" t="s">
        <v>6360</v>
      </c>
      <c r="C2699" s="5" t="s">
        <v>38</v>
      </c>
      <c r="D2699" s="5" t="s">
        <v>39</v>
      </c>
      <c r="E2699" s="5" t="s">
        <v>48</v>
      </c>
      <c r="F2699" s="9">
        <v>20</v>
      </c>
      <c r="G2699" s="9">
        <v>264</v>
      </c>
      <c r="H2699" s="5" t="s">
        <v>21</v>
      </c>
      <c r="I2699" s="5" t="s">
        <v>6361</v>
      </c>
      <c r="J2699" s="12" t="str">
        <f>HYPERLINK("https://www.boe.es/gazeta/dias/1801/03/10/pdfs/GMD-1801-20.pdf#page=9","Abrir facsímil")</f>
        <v>Abrir facsímil</v>
      </c>
      <c r="K2699" s="15" t="s">
        <v>23</v>
      </c>
    </row>
    <row r="2700" spans="1:11" ht="42" customHeight="1">
      <c r="A2700" s="4" t="s">
        <v>6362</v>
      </c>
      <c r="B2700" s="5" t="s">
        <v>6362</v>
      </c>
      <c r="C2700" s="5" t="s">
        <v>32</v>
      </c>
      <c r="D2700" s="5" t="s">
        <v>33</v>
      </c>
      <c r="E2700" s="5" t="s">
        <v>120</v>
      </c>
      <c r="F2700" s="9">
        <v>7</v>
      </c>
      <c r="G2700" s="9">
        <v>85</v>
      </c>
      <c r="H2700" s="5" t="s">
        <v>21</v>
      </c>
      <c r="I2700" s="5" t="s">
        <v>6363</v>
      </c>
      <c r="J2700" s="12" t="str">
        <f>HYPERLINK("https://www.boe.es/gazeta/dias/1801/01/23/pdfs/GMD-1801-7.pdf#page=9","Abrir facsímil")</f>
        <v>Abrir facsímil</v>
      </c>
      <c r="K2700" s="15" t="s">
        <v>23</v>
      </c>
    </row>
    <row r="2701" spans="1:11" ht="42" customHeight="1">
      <c r="A2701" s="4" t="s">
        <v>6364</v>
      </c>
      <c r="B2701" s="5" t="s">
        <v>6365</v>
      </c>
      <c r="C2701" s="5" t="s">
        <v>32</v>
      </c>
      <c r="D2701" s="5" t="s">
        <v>33</v>
      </c>
      <c r="E2701" s="5" t="s">
        <v>359</v>
      </c>
      <c r="F2701" s="9">
        <v>101</v>
      </c>
      <c r="G2701" s="9">
        <v>1114</v>
      </c>
      <c r="H2701" s="5" t="s">
        <v>21</v>
      </c>
      <c r="I2701" s="5" t="s">
        <v>6366</v>
      </c>
      <c r="J2701" s="12" t="str">
        <f>HYPERLINK("https://www.boe.es/gazeta/dias/1801/10/27/pdfs/GMD-1801-101.pdf#page=7","Abrir facsímil")</f>
        <v>Abrir facsímil</v>
      </c>
      <c r="K2701" s="15" t="s">
        <v>23</v>
      </c>
    </row>
    <row r="2702" spans="1:11" ht="42" customHeight="1">
      <c r="A2702" s="4" t="s">
        <v>6367</v>
      </c>
      <c r="B2702" s="5" t="s">
        <v>6368</v>
      </c>
      <c r="C2702" s="5" t="s">
        <v>32</v>
      </c>
      <c r="D2702" s="5" t="s">
        <v>33</v>
      </c>
      <c r="E2702" s="5" t="s">
        <v>90</v>
      </c>
      <c r="F2702" s="9">
        <v>1</v>
      </c>
      <c r="G2702" s="9">
        <v>9</v>
      </c>
      <c r="H2702" s="5" t="s">
        <v>21</v>
      </c>
      <c r="I2702" s="5" t="s">
        <v>6369</v>
      </c>
      <c r="J2702" s="12" t="str">
        <f>HYPERLINK("https://www.boe.es/gazeta/dias/1801/01/02/pdfs/GMD-1801-1.pdf#page=9","Abrir facsímil")</f>
        <v>Abrir facsímil</v>
      </c>
      <c r="K2702" s="15" t="s">
        <v>23</v>
      </c>
    </row>
    <row r="2703" spans="1:11" ht="42" customHeight="1">
      <c r="A2703" s="4" t="s">
        <v>6370</v>
      </c>
      <c r="B2703" s="5" t="s">
        <v>6371</v>
      </c>
      <c r="C2703" s="5" t="s">
        <v>32</v>
      </c>
      <c r="D2703" s="5" t="s">
        <v>33</v>
      </c>
      <c r="E2703" s="5" t="s">
        <v>615</v>
      </c>
      <c r="F2703" s="9">
        <v>72</v>
      </c>
      <c r="G2703" s="9">
        <v>805</v>
      </c>
      <c r="H2703" s="5" t="s">
        <v>21</v>
      </c>
      <c r="I2703" s="5" t="s">
        <v>6372</v>
      </c>
      <c r="J2703" s="12" t="str">
        <f>HYPERLINK("https://www.boe.es/gazeta/dias/1801/07/24/pdfs/GMD-1801-72.pdf#page=10","Abrir facsímil")</f>
        <v>Abrir facsímil</v>
      </c>
      <c r="K2703" s="15" t="s">
        <v>23</v>
      </c>
    </row>
    <row r="2704" spans="1:11" ht="42" customHeight="1">
      <c r="A2704" s="4" t="s">
        <v>6373</v>
      </c>
      <c r="B2704" s="5" t="s">
        <v>6374</v>
      </c>
      <c r="C2704" s="5" t="s">
        <v>69</v>
      </c>
      <c r="D2704" s="5" t="s">
        <v>19</v>
      </c>
      <c r="E2704" s="5" t="s">
        <v>62</v>
      </c>
      <c r="F2704" s="9">
        <v>6</v>
      </c>
      <c r="G2704" s="9">
        <v>72</v>
      </c>
      <c r="H2704" s="5" t="s">
        <v>21</v>
      </c>
      <c r="I2704" s="5" t="s">
        <v>6375</v>
      </c>
      <c r="J2704" s="12" t="str">
        <f>HYPERLINK("https://www.boe.es/gazeta/dias/1801/01/20/pdfs/GMD-1801-6.pdf#page=8","Abrir facsímil")</f>
        <v>Abrir facsímil</v>
      </c>
      <c r="K2704" s="15" t="s">
        <v>23</v>
      </c>
    </row>
    <row r="2705" spans="1:11" ht="42" customHeight="1">
      <c r="A2705" s="4" t="s">
        <v>6376</v>
      </c>
      <c r="B2705" s="5" t="s">
        <v>6377</v>
      </c>
      <c r="C2705" s="5" t="s">
        <v>18</v>
      </c>
      <c r="D2705" s="5" t="s">
        <v>19</v>
      </c>
      <c r="E2705" s="5" t="s">
        <v>221</v>
      </c>
      <c r="F2705" s="9">
        <v>28</v>
      </c>
      <c r="G2705" s="9">
        <v>371</v>
      </c>
      <c r="H2705" s="5" t="s">
        <v>21</v>
      </c>
      <c r="I2705" s="5" t="s">
        <v>6378</v>
      </c>
      <c r="J2705" s="12" t="str">
        <f>HYPERLINK("https://www.boe.es/gazeta/dias/1801/04/07/pdfs/GMD-1801-28.pdf#page=11","Abrir facsímil")</f>
        <v>Abrir facsímil</v>
      </c>
      <c r="K2705" s="15" t="s">
        <v>23</v>
      </c>
    </row>
    <row r="2706" spans="1:11" ht="42" customHeight="1">
      <c r="A2706" s="4" t="s">
        <v>6379</v>
      </c>
      <c r="B2706" s="5" t="s">
        <v>6380</v>
      </c>
      <c r="C2706" s="5" t="s">
        <v>515</v>
      </c>
      <c r="D2706" s="5" t="s">
        <v>516</v>
      </c>
      <c r="E2706" s="5" t="s">
        <v>94</v>
      </c>
      <c r="F2706" s="9">
        <v>19</v>
      </c>
      <c r="G2706" s="9">
        <v>255</v>
      </c>
      <c r="H2706" s="5" t="s">
        <v>21</v>
      </c>
      <c r="I2706" s="5" t="s">
        <v>6381</v>
      </c>
      <c r="J2706" s="12" t="str">
        <f>HYPERLINK("https://www.boe.es/gazeta/dias/1801/03/06/pdfs/GMD-C-1801-19.pdf#page=8","Abrir facsímil")</f>
        <v>Abrir facsímil</v>
      </c>
      <c r="K2706" s="15" t="s">
        <v>23</v>
      </c>
    </row>
    <row r="2707" spans="1:11" ht="42" customHeight="1">
      <c r="A2707" s="4" t="s">
        <v>6382</v>
      </c>
      <c r="B2707" s="5" t="s">
        <v>6383</v>
      </c>
      <c r="C2707" s="5" t="s">
        <v>75</v>
      </c>
      <c r="D2707" s="5" t="s">
        <v>76</v>
      </c>
      <c r="E2707" s="5" t="s">
        <v>120</v>
      </c>
      <c r="F2707" s="9">
        <v>7</v>
      </c>
      <c r="G2707" s="9">
        <v>82</v>
      </c>
      <c r="H2707" s="5" t="s">
        <v>21</v>
      </c>
      <c r="I2707" s="5" t="s">
        <v>6384</v>
      </c>
      <c r="J2707" s="12" t="str">
        <f>HYPERLINK("https://www.boe.es/gazeta/dias/1801/01/23/pdfs/GMD-1801-7.pdf#page=6","Abrir facsímil")</f>
        <v>Abrir facsímil</v>
      </c>
      <c r="K2707" s="15" t="s">
        <v>23</v>
      </c>
    </row>
    <row r="2708" spans="1:11" ht="42" customHeight="1">
      <c r="A2708" s="4" t="s">
        <v>6385</v>
      </c>
      <c r="B2708" s="5" t="s">
        <v>6385</v>
      </c>
      <c r="C2708" s="5" t="s">
        <v>26</v>
      </c>
      <c r="D2708" s="5" t="s">
        <v>27</v>
      </c>
      <c r="E2708" s="5" t="s">
        <v>501</v>
      </c>
      <c r="F2708" s="9">
        <v>115</v>
      </c>
      <c r="G2708" s="9" t="s">
        <v>996</v>
      </c>
      <c r="H2708" s="5" t="s">
        <v>21</v>
      </c>
      <c r="I2708" s="5" t="s">
        <v>6386</v>
      </c>
      <c r="J2708" s="12" t="str">
        <f>HYPERLINK("https://www.boe.es/gazeta/dias/1801/12/15/pdfs/GMD-C-1801-115.pdf#page=6","Abrir facsímil")</f>
        <v>Abrir facsímil</v>
      </c>
      <c r="K2708" s="15" t="s">
        <v>23</v>
      </c>
    </row>
    <row r="2709" spans="1:11" ht="42" customHeight="1">
      <c r="A2709" s="4" t="s">
        <v>6387</v>
      </c>
      <c r="B2709" s="5" t="s">
        <v>6387</v>
      </c>
      <c r="C2709" s="5" t="s">
        <v>75</v>
      </c>
      <c r="D2709" s="5" t="s">
        <v>76</v>
      </c>
      <c r="E2709" s="5" t="s">
        <v>108</v>
      </c>
      <c r="F2709" s="9">
        <v>61</v>
      </c>
      <c r="G2709" s="9">
        <v>693</v>
      </c>
      <c r="H2709" s="5" t="s">
        <v>21</v>
      </c>
      <c r="I2709" s="5" t="s">
        <v>6388</v>
      </c>
      <c r="J2709" s="12" t="str">
        <f>HYPERLINK("https://www.boe.es/gazeta/dias/1801/06/30/pdfs/GMD-1801-61.pdf#page=2","Abrir facsímil")</f>
        <v>Abrir facsímil</v>
      </c>
      <c r="K2709" s="15" t="s">
        <v>23</v>
      </c>
    </row>
    <row r="2710" spans="1:11" ht="42" customHeight="1">
      <c r="A2710" s="4" t="s">
        <v>6389</v>
      </c>
      <c r="B2710" s="5" t="s">
        <v>6389</v>
      </c>
      <c r="C2710" s="5" t="s">
        <v>75</v>
      </c>
      <c r="D2710" s="5" t="s">
        <v>76</v>
      </c>
      <c r="E2710" s="5" t="s">
        <v>640</v>
      </c>
      <c r="F2710" s="9">
        <v>81</v>
      </c>
      <c r="G2710" s="9">
        <v>907</v>
      </c>
      <c r="H2710" s="5" t="s">
        <v>21</v>
      </c>
      <c r="I2710" s="5" t="s">
        <v>6390</v>
      </c>
      <c r="J2710" s="12" t="str">
        <f>HYPERLINK("https://www.boe.es/gazeta/dias/1801/08/25/pdfs/GMD-1801-81.pdf#page=4","Abrir facsímil")</f>
        <v>Abrir facsímil</v>
      </c>
      <c r="K2710" s="15" t="s">
        <v>23</v>
      </c>
    </row>
    <row r="2711" spans="1:11" ht="42" customHeight="1">
      <c r="A2711" s="4" t="s">
        <v>6391</v>
      </c>
      <c r="B2711" s="5" t="s">
        <v>6391</v>
      </c>
      <c r="C2711" s="5" t="s">
        <v>32</v>
      </c>
      <c r="D2711" s="5" t="s">
        <v>33</v>
      </c>
      <c r="E2711" s="5" t="s">
        <v>137</v>
      </c>
      <c r="F2711" s="9">
        <v>30</v>
      </c>
      <c r="G2711" s="9">
        <v>389</v>
      </c>
      <c r="H2711" s="5" t="s">
        <v>21</v>
      </c>
      <c r="I2711" s="5" t="s">
        <v>6392</v>
      </c>
      <c r="J2711" s="12" t="str">
        <f>HYPERLINK("https://www.boe.es/gazeta/dias/1801/04/14/pdfs/GMD-1801-30.pdf#page=5","Abrir facsímil")</f>
        <v>Abrir facsímil</v>
      </c>
      <c r="K2711" s="15" t="s">
        <v>23</v>
      </c>
    </row>
    <row r="2712" spans="1:11" ht="42" customHeight="1">
      <c r="A2712" s="4" t="s">
        <v>6393</v>
      </c>
      <c r="B2712" s="5" t="s">
        <v>6393</v>
      </c>
      <c r="C2712" s="5" t="s">
        <v>75</v>
      </c>
      <c r="D2712" s="5" t="s">
        <v>76</v>
      </c>
      <c r="E2712" s="5" t="s">
        <v>165</v>
      </c>
      <c r="F2712" s="9">
        <v>59</v>
      </c>
      <c r="G2712" s="9">
        <v>670</v>
      </c>
      <c r="H2712" s="5" t="s">
        <v>21</v>
      </c>
      <c r="I2712" s="5" t="s">
        <v>6394</v>
      </c>
      <c r="J2712" s="12" t="str">
        <f>HYPERLINK("https://www.boe.es/gazeta/dias/1801/06/23/pdfs/GMD-1801-59.pdf#page=3","Abrir facsímil")</f>
        <v>Abrir facsímil</v>
      </c>
      <c r="K2712" s="15" t="s">
        <v>23</v>
      </c>
    </row>
    <row r="2713" spans="1:11" ht="42" customHeight="1">
      <c r="A2713" s="4" t="s">
        <v>6395</v>
      </c>
      <c r="B2713" s="5" t="s">
        <v>6395</v>
      </c>
      <c r="C2713" s="5" t="s">
        <v>75</v>
      </c>
      <c r="D2713" s="5" t="s">
        <v>76</v>
      </c>
      <c r="E2713" s="5" t="s">
        <v>251</v>
      </c>
      <c r="F2713" s="9">
        <v>66</v>
      </c>
      <c r="G2713" s="9">
        <v>740</v>
      </c>
      <c r="H2713" s="5" t="s">
        <v>21</v>
      </c>
      <c r="I2713" s="5" t="s">
        <v>6396</v>
      </c>
      <c r="J2713" s="12" t="str">
        <f>HYPERLINK("https://www.boe.es/gazeta/dias/1801/07/10/pdfs/GMD-1801-66.pdf#page=5","Abrir facsímil")</f>
        <v>Abrir facsímil</v>
      </c>
      <c r="K2713" s="15" t="s">
        <v>23</v>
      </c>
    </row>
    <row r="2714" spans="1:11" ht="42" customHeight="1">
      <c r="A2714" s="4" t="s">
        <v>6397</v>
      </c>
      <c r="B2714" s="5" t="s">
        <v>6397</v>
      </c>
      <c r="C2714" s="5" t="s">
        <v>38</v>
      </c>
      <c r="D2714" s="5" t="s">
        <v>39</v>
      </c>
      <c r="E2714" s="5" t="s">
        <v>1058</v>
      </c>
      <c r="F2714" s="9">
        <v>108</v>
      </c>
      <c r="G2714" s="9">
        <v>1188</v>
      </c>
      <c r="H2714" s="5" t="s">
        <v>21</v>
      </c>
      <c r="I2714" s="5" t="s">
        <v>6398</v>
      </c>
      <c r="J2714" s="12" t="str">
        <f>HYPERLINK("https://www.boe.es/gazeta/dias/1801/11/20/pdfs/GMD-1801-108.pdf#page=5","Abrir facsímil")</f>
        <v>Abrir facsímil</v>
      </c>
      <c r="K2714" s="15" t="s">
        <v>23</v>
      </c>
    </row>
    <row r="2715" spans="1:11" ht="42" customHeight="1">
      <c r="A2715" s="4" t="s">
        <v>6399</v>
      </c>
      <c r="B2715" s="5" t="s">
        <v>6399</v>
      </c>
      <c r="C2715" s="5" t="s">
        <v>75</v>
      </c>
      <c r="D2715" s="5" t="s">
        <v>76</v>
      </c>
      <c r="E2715" s="5" t="s">
        <v>137</v>
      </c>
      <c r="F2715" s="9">
        <v>30</v>
      </c>
      <c r="G2715" s="9">
        <v>391</v>
      </c>
      <c r="H2715" s="5" t="s">
        <v>21</v>
      </c>
      <c r="I2715" s="5" t="s">
        <v>6400</v>
      </c>
      <c r="J2715" s="12" t="str">
        <f>HYPERLINK("https://www.boe.es/gazeta/dias/1801/04/14/pdfs/GMD-1801-30.pdf#page=7","Abrir facsímil")</f>
        <v>Abrir facsímil</v>
      </c>
      <c r="K2715" s="15" t="s">
        <v>23</v>
      </c>
    </row>
    <row r="2716" spans="1:11" ht="42" customHeight="1">
      <c r="A2716" s="4" t="s">
        <v>6401</v>
      </c>
      <c r="B2716" s="5" t="s">
        <v>6401</v>
      </c>
      <c r="C2716" s="5" t="s">
        <v>75</v>
      </c>
      <c r="D2716" s="5" t="s">
        <v>76</v>
      </c>
      <c r="E2716" s="5" t="s">
        <v>448</v>
      </c>
      <c r="F2716" s="9">
        <v>35</v>
      </c>
      <c r="G2716" s="9">
        <v>447</v>
      </c>
      <c r="H2716" s="5" t="s">
        <v>21</v>
      </c>
      <c r="I2716" s="5" t="s">
        <v>6402</v>
      </c>
      <c r="J2716" s="12" t="str">
        <f>HYPERLINK("https://www.boe.es/gazeta/dias/1801/05/01/pdfs/GMD-1801-35.pdf#page=3","Abrir facsímil")</f>
        <v>Abrir facsímil</v>
      </c>
      <c r="K2716" s="15" t="s">
        <v>23</v>
      </c>
    </row>
    <row r="2717" spans="1:11" ht="42" customHeight="1">
      <c r="A2717" s="4" t="s">
        <v>6403</v>
      </c>
      <c r="B2717" s="5" t="s">
        <v>6403</v>
      </c>
      <c r="C2717" s="5" t="s">
        <v>38</v>
      </c>
      <c r="D2717" s="5" t="s">
        <v>39</v>
      </c>
      <c r="E2717" s="5" t="s">
        <v>48</v>
      </c>
      <c r="F2717" s="9">
        <v>20</v>
      </c>
      <c r="G2717" s="9">
        <v>263</v>
      </c>
      <c r="H2717" s="5" t="s">
        <v>21</v>
      </c>
      <c r="I2717" s="5" t="s">
        <v>6404</v>
      </c>
      <c r="J2717" s="12" t="str">
        <f>HYPERLINK("https://www.boe.es/gazeta/dias/1801/03/10/pdfs/GMD-1801-20.pdf#page=8","Abrir facsímil")</f>
        <v>Abrir facsímil</v>
      </c>
      <c r="K2717" s="15" t="s">
        <v>23</v>
      </c>
    </row>
    <row r="2718" spans="1:11" ht="42" customHeight="1">
      <c r="A2718" s="4" t="s">
        <v>6405</v>
      </c>
      <c r="B2718" s="5" t="s">
        <v>6405</v>
      </c>
      <c r="C2718" s="5" t="s">
        <v>75</v>
      </c>
      <c r="D2718" s="5" t="s">
        <v>76</v>
      </c>
      <c r="E2718" s="5" t="s">
        <v>615</v>
      </c>
      <c r="F2718" s="9">
        <v>72</v>
      </c>
      <c r="G2718" s="9">
        <v>797</v>
      </c>
      <c r="H2718" s="5" t="s">
        <v>21</v>
      </c>
      <c r="I2718" s="5" t="s">
        <v>6406</v>
      </c>
      <c r="J2718" s="12" t="str">
        <f>HYPERLINK("https://www.boe.es/gazeta/dias/1801/07/24/pdfs/GMD-1801-72.pdf#page=2","Abrir facsímil")</f>
        <v>Abrir facsímil</v>
      </c>
      <c r="K2718" s="15" t="s">
        <v>23</v>
      </c>
    </row>
    <row r="2719" spans="1:11" ht="42" customHeight="1">
      <c r="A2719" s="4" t="s">
        <v>6407</v>
      </c>
      <c r="B2719" s="5" t="s">
        <v>6407</v>
      </c>
      <c r="C2719" s="5" t="s">
        <v>32</v>
      </c>
      <c r="D2719" s="5" t="s">
        <v>33</v>
      </c>
      <c r="E2719" s="5" t="s">
        <v>211</v>
      </c>
      <c r="F2719" s="9">
        <v>87</v>
      </c>
      <c r="G2719" s="9">
        <v>965</v>
      </c>
      <c r="H2719" s="5" t="s">
        <v>21</v>
      </c>
      <c r="I2719" s="5" t="s">
        <v>6408</v>
      </c>
      <c r="J2719" s="12" t="str">
        <f>HYPERLINK("https://www.boe.es/gazeta/dias/1801/09/11/pdfs/GMD-1801-87.pdf#page=8","Abrir facsímil")</f>
        <v>Abrir facsímil</v>
      </c>
      <c r="K2719" s="15" t="s">
        <v>23</v>
      </c>
    </row>
    <row r="2720" spans="1:11" ht="42" customHeight="1">
      <c r="A2720" s="4" t="s">
        <v>6409</v>
      </c>
      <c r="B2720" s="5" t="s">
        <v>6409</v>
      </c>
      <c r="C2720" s="5" t="s">
        <v>69</v>
      </c>
      <c r="D2720" s="5" t="s">
        <v>19</v>
      </c>
      <c r="E2720" s="5" t="s">
        <v>165</v>
      </c>
      <c r="F2720" s="9">
        <v>59</v>
      </c>
      <c r="G2720" s="9">
        <v>678</v>
      </c>
      <c r="H2720" s="5" t="s">
        <v>21</v>
      </c>
      <c r="I2720" s="5" t="s">
        <v>6410</v>
      </c>
      <c r="J2720" s="12" t="str">
        <f>HYPERLINK("https://www.boe.es/gazeta/dias/1801/06/23/pdfs/GMD-1801-59.pdf#page=11","Abrir facsímil")</f>
        <v>Abrir facsímil</v>
      </c>
      <c r="K2720" s="15" t="s">
        <v>23</v>
      </c>
    </row>
    <row r="2721" spans="1:11" ht="42" customHeight="1">
      <c r="A2721" s="4" t="s">
        <v>6411</v>
      </c>
      <c r="B2721" s="5" t="s">
        <v>6411</v>
      </c>
      <c r="C2721" s="5" t="s">
        <v>75</v>
      </c>
      <c r="D2721" s="5" t="s">
        <v>76</v>
      </c>
      <c r="E2721" s="5" t="s">
        <v>153</v>
      </c>
      <c r="F2721" s="9">
        <v>48</v>
      </c>
      <c r="G2721" s="9">
        <v>580</v>
      </c>
      <c r="H2721" s="5" t="s">
        <v>21</v>
      </c>
      <c r="I2721" s="5" t="s">
        <v>6412</v>
      </c>
      <c r="J2721" s="12" t="str">
        <f>HYPERLINK("https://www.boe.es/gazeta/dias/1801/06/05/pdfs/GMD-1801-48.pdf#page=2","Abrir facsímil")</f>
        <v>Abrir facsímil</v>
      </c>
      <c r="K2721" s="15" t="s">
        <v>23</v>
      </c>
    </row>
    <row r="2722" spans="1:11" ht="42" customHeight="1">
      <c r="A2722" s="4" t="s">
        <v>6413</v>
      </c>
      <c r="B2722" s="5" t="s">
        <v>6413</v>
      </c>
      <c r="C2722" s="5" t="s">
        <v>38</v>
      </c>
      <c r="D2722" s="5" t="s">
        <v>39</v>
      </c>
      <c r="E2722" s="5" t="s">
        <v>48</v>
      </c>
      <c r="F2722" s="9">
        <v>20</v>
      </c>
      <c r="G2722" s="9">
        <v>263</v>
      </c>
      <c r="H2722" s="5" t="s">
        <v>21</v>
      </c>
      <c r="I2722" s="5" t="s">
        <v>6414</v>
      </c>
      <c r="J2722" s="12" t="str">
        <f>HYPERLINK("https://www.boe.es/gazeta/dias/1801/03/10/pdfs/GMD-1801-20.pdf#page=8","Abrir facsímil")</f>
        <v>Abrir facsímil</v>
      </c>
      <c r="K2722" s="15" t="s">
        <v>23</v>
      </c>
    </row>
    <row r="2723" spans="1:11" ht="42" customHeight="1">
      <c r="A2723" s="4" t="s">
        <v>6415</v>
      </c>
      <c r="B2723" s="5" t="s">
        <v>6415</v>
      </c>
      <c r="C2723" s="5" t="s">
        <v>75</v>
      </c>
      <c r="D2723" s="5" t="s">
        <v>76</v>
      </c>
      <c r="E2723" s="5" t="s">
        <v>448</v>
      </c>
      <c r="F2723" s="9">
        <v>35</v>
      </c>
      <c r="G2723" s="9">
        <v>446</v>
      </c>
      <c r="H2723" s="5" t="s">
        <v>21</v>
      </c>
      <c r="I2723" s="5" t="s">
        <v>6416</v>
      </c>
      <c r="J2723" s="12" t="str">
        <f>HYPERLINK("https://www.boe.es/gazeta/dias/1801/05/01/pdfs/GMD-1801-35.pdf#page=2","Abrir facsímil")</f>
        <v>Abrir facsímil</v>
      </c>
      <c r="K2723" s="15" t="s">
        <v>23</v>
      </c>
    </row>
    <row r="2724" spans="1:11" ht="42" customHeight="1">
      <c r="A2724" s="4" t="s">
        <v>6417</v>
      </c>
      <c r="B2724" s="5" t="s">
        <v>6417</v>
      </c>
      <c r="C2724" s="5" t="s">
        <v>75</v>
      </c>
      <c r="D2724" s="5" t="s">
        <v>76</v>
      </c>
      <c r="E2724" s="5" t="s">
        <v>615</v>
      </c>
      <c r="F2724" s="9">
        <v>72</v>
      </c>
      <c r="G2724" s="9">
        <v>800</v>
      </c>
      <c r="H2724" s="5" t="s">
        <v>21</v>
      </c>
      <c r="I2724" s="5" t="s">
        <v>6418</v>
      </c>
      <c r="J2724" s="12" t="str">
        <f>HYPERLINK("https://www.boe.es/gazeta/dias/1801/07/24/pdfs/GMD-1801-72.pdf#page=5","Abrir facsímil")</f>
        <v>Abrir facsímil</v>
      </c>
      <c r="K2724" s="15" t="s">
        <v>23</v>
      </c>
    </row>
    <row r="2725" spans="1:11" ht="42" customHeight="1">
      <c r="A2725" s="4" t="s">
        <v>6419</v>
      </c>
      <c r="B2725" s="5" t="s">
        <v>6419</v>
      </c>
      <c r="C2725" s="5" t="s">
        <v>75</v>
      </c>
      <c r="D2725" s="5" t="s">
        <v>76</v>
      </c>
      <c r="E2725" s="5" t="s">
        <v>448</v>
      </c>
      <c r="F2725" s="9">
        <v>35</v>
      </c>
      <c r="G2725" s="9">
        <v>446</v>
      </c>
      <c r="H2725" s="5" t="s">
        <v>21</v>
      </c>
      <c r="I2725" s="5" t="s">
        <v>6420</v>
      </c>
      <c r="J2725" s="12" t="str">
        <f>HYPERLINK("https://www.boe.es/gazeta/dias/1801/05/01/pdfs/GMD-1801-35.pdf#page=2","Abrir facsímil")</f>
        <v>Abrir facsímil</v>
      </c>
      <c r="K2725" s="15" t="s">
        <v>23</v>
      </c>
    </row>
    <row r="2726" spans="1:11" ht="42" customHeight="1">
      <c r="A2726" s="4" t="s">
        <v>6421</v>
      </c>
      <c r="B2726" s="5" t="s">
        <v>6421</v>
      </c>
      <c r="C2726" s="5" t="s">
        <v>32</v>
      </c>
      <c r="D2726" s="5" t="s">
        <v>33</v>
      </c>
      <c r="E2726" s="5" t="s">
        <v>128</v>
      </c>
      <c r="F2726" s="9">
        <v>17</v>
      </c>
      <c r="G2726" s="9">
        <v>207</v>
      </c>
      <c r="H2726" s="5" t="s">
        <v>21</v>
      </c>
      <c r="I2726" s="5" t="s">
        <v>6422</v>
      </c>
      <c r="J2726" s="12" t="str">
        <f>HYPERLINK("https://www.boe.es/gazeta/dias/1801/02/27/pdfs/GMD-1801-17.pdf#page=2","Abrir facsímil")</f>
        <v>Abrir facsímil</v>
      </c>
      <c r="K2726" s="15" t="s">
        <v>23</v>
      </c>
    </row>
    <row r="2727" spans="1:11" ht="42" customHeight="1">
      <c r="A2727" s="4" t="s">
        <v>6423</v>
      </c>
      <c r="B2727" s="5" t="s">
        <v>6423</v>
      </c>
      <c r="C2727" s="5" t="s">
        <v>18</v>
      </c>
      <c r="D2727" s="5" t="s">
        <v>19</v>
      </c>
      <c r="E2727" s="5" t="s">
        <v>72</v>
      </c>
      <c r="F2727" s="9">
        <v>60</v>
      </c>
      <c r="G2727" s="9">
        <v>681</v>
      </c>
      <c r="H2727" s="5" t="s">
        <v>21</v>
      </c>
      <c r="I2727" s="5" t="s">
        <v>6424</v>
      </c>
      <c r="J2727" s="12" t="str">
        <f>HYPERLINK("https://www.boe.es/gazeta/dias/1801/06/26/pdfs/GMD-1801-60.pdf#page=2","Abrir facsímil")</f>
        <v>Abrir facsímil</v>
      </c>
      <c r="K2727" s="15" t="s">
        <v>23</v>
      </c>
    </row>
    <row r="2728" spans="1:11" ht="42" customHeight="1">
      <c r="A2728" s="4" t="s">
        <v>6425</v>
      </c>
      <c r="B2728" s="5" t="s">
        <v>6425</v>
      </c>
      <c r="C2728" s="5" t="s">
        <v>32</v>
      </c>
      <c r="D2728" s="5" t="s">
        <v>33</v>
      </c>
      <c r="E2728" s="5" t="s">
        <v>201</v>
      </c>
      <c r="F2728" s="9">
        <v>79</v>
      </c>
      <c r="G2728" s="9">
        <v>887</v>
      </c>
      <c r="H2728" s="5" t="s">
        <v>21</v>
      </c>
      <c r="I2728" s="5" t="s">
        <v>6426</v>
      </c>
      <c r="J2728" s="12" t="str">
        <f>HYPERLINK("https://www.boe.es/gazeta/dias/1801/08/18/pdfs/GMD-1801-79.pdf#page=4","Abrir facsímil")</f>
        <v>Abrir facsímil</v>
      </c>
      <c r="K2728" s="15" t="s">
        <v>23</v>
      </c>
    </row>
    <row r="2729" spans="1:11" ht="42" customHeight="1">
      <c r="A2729" s="4" t="s">
        <v>6427</v>
      </c>
      <c r="B2729" s="5" t="s">
        <v>6427</v>
      </c>
      <c r="C2729" s="5" t="s">
        <v>38</v>
      </c>
      <c r="D2729" s="5" t="s">
        <v>39</v>
      </c>
      <c r="E2729" s="5" t="s">
        <v>72</v>
      </c>
      <c r="F2729" s="9">
        <v>60</v>
      </c>
      <c r="G2729" s="9">
        <v>687</v>
      </c>
      <c r="H2729" s="5" t="s">
        <v>21</v>
      </c>
      <c r="I2729" s="5" t="s">
        <v>6428</v>
      </c>
      <c r="J2729" s="12" t="str">
        <f>HYPERLINK("https://www.boe.es/gazeta/dias/1801/06/26/pdfs/GMD-1801-60.pdf#page=8","Abrir facsímil")</f>
        <v>Abrir facsímil</v>
      </c>
      <c r="K2729" s="15" t="s">
        <v>23</v>
      </c>
    </row>
    <row r="2730" spans="1:11" ht="42" customHeight="1">
      <c r="A2730" s="4" t="s">
        <v>6429</v>
      </c>
      <c r="B2730" s="5" t="s">
        <v>6429</v>
      </c>
      <c r="C2730" s="5" t="s">
        <v>75</v>
      </c>
      <c r="D2730" s="5" t="s">
        <v>76</v>
      </c>
      <c r="E2730" s="5" t="s">
        <v>615</v>
      </c>
      <c r="F2730" s="9">
        <v>72</v>
      </c>
      <c r="G2730" s="9">
        <v>797</v>
      </c>
      <c r="H2730" s="5" t="s">
        <v>21</v>
      </c>
      <c r="I2730" s="5" t="s">
        <v>6430</v>
      </c>
      <c r="J2730" s="12" t="str">
        <f>HYPERLINK("https://www.boe.es/gazeta/dias/1801/07/24/pdfs/GMD-1801-72.pdf#page=2","Abrir facsímil")</f>
        <v>Abrir facsímil</v>
      </c>
      <c r="K2730" s="15" t="s">
        <v>23</v>
      </c>
    </row>
    <row r="2731" spans="1:11" ht="42" customHeight="1">
      <c r="A2731" s="4" t="s">
        <v>6431</v>
      </c>
      <c r="B2731" s="5" t="s">
        <v>6431</v>
      </c>
      <c r="C2731" s="5" t="s">
        <v>18</v>
      </c>
      <c r="D2731" s="5" t="s">
        <v>19</v>
      </c>
      <c r="E2731" s="5" t="s">
        <v>145</v>
      </c>
      <c r="F2731" s="9">
        <v>36</v>
      </c>
      <c r="G2731" s="9">
        <v>469</v>
      </c>
      <c r="H2731" s="5" t="s">
        <v>21</v>
      </c>
      <c r="I2731" s="5" t="s">
        <v>6432</v>
      </c>
      <c r="J2731" s="12" t="str">
        <f>HYPERLINK("https://www.boe.es/gazeta/dias/1801/05/05/pdfs/GMD-1801-36.pdf#page=13","Abrir facsímil")</f>
        <v>Abrir facsímil</v>
      </c>
      <c r="K2731" s="15" t="s">
        <v>23</v>
      </c>
    </row>
    <row r="2732" spans="1:11" ht="42" customHeight="1">
      <c r="A2732" s="4" t="s">
        <v>6433</v>
      </c>
      <c r="B2732" s="5" t="s">
        <v>6433</v>
      </c>
      <c r="C2732" s="5" t="s">
        <v>38</v>
      </c>
      <c r="D2732" s="5" t="s">
        <v>39</v>
      </c>
      <c r="E2732" s="5" t="s">
        <v>2185</v>
      </c>
      <c r="F2732" s="9">
        <v>84</v>
      </c>
      <c r="G2732" s="9">
        <v>941</v>
      </c>
      <c r="H2732" s="5" t="s">
        <v>21</v>
      </c>
      <c r="I2732" s="5" t="s">
        <v>6434</v>
      </c>
      <c r="J2732" s="12" t="str">
        <f>HYPERLINK("https://www.boe.es/gazeta/dias/1801/09/04/pdfs/GMD-1801-84.pdf#page=4","Abrir facsímil")</f>
        <v>Abrir facsímil</v>
      </c>
      <c r="K2732" s="15" t="s">
        <v>23</v>
      </c>
    </row>
    <row r="2733" spans="1:11" ht="42" customHeight="1">
      <c r="A2733" s="4" t="s">
        <v>6435</v>
      </c>
      <c r="B2733" s="5" t="s">
        <v>6435</v>
      </c>
      <c r="C2733" s="5" t="s">
        <v>75</v>
      </c>
      <c r="D2733" s="5" t="s">
        <v>76</v>
      </c>
      <c r="E2733" s="5" t="s">
        <v>44</v>
      </c>
      <c r="F2733" s="9">
        <v>117</v>
      </c>
      <c r="G2733" s="9">
        <v>1279</v>
      </c>
      <c r="H2733" s="5" t="s">
        <v>21</v>
      </c>
      <c r="I2733" s="5" t="s">
        <v>6436</v>
      </c>
      <c r="J2733" s="12" t="str">
        <f>HYPERLINK("https://www.boe.es/gazeta/dias/1801/12/22/pdfs/GMD-1801-117.pdf#page=6","Abrir facsímil")</f>
        <v>Abrir facsímil</v>
      </c>
      <c r="K2733" s="15" t="s">
        <v>23</v>
      </c>
    </row>
    <row r="2734" spans="1:11" ht="42" customHeight="1">
      <c r="A2734" s="4" t="s">
        <v>6437</v>
      </c>
      <c r="B2734" s="5" t="s">
        <v>6437</v>
      </c>
      <c r="C2734" s="5" t="s">
        <v>75</v>
      </c>
      <c r="D2734" s="5" t="s">
        <v>76</v>
      </c>
      <c r="E2734" s="5" t="s">
        <v>256</v>
      </c>
      <c r="F2734" s="9">
        <v>78</v>
      </c>
      <c r="G2734" s="9">
        <v>874</v>
      </c>
      <c r="H2734" s="5" t="s">
        <v>21</v>
      </c>
      <c r="I2734" s="5" t="s">
        <v>6438</v>
      </c>
      <c r="J2734" s="12" t="str">
        <f>HYPERLINK("https://www.boe.es/gazeta/dias/1801/08/14/pdfs/GMD-1801-78.pdf#page=3","Abrir facsímil")</f>
        <v>Abrir facsímil</v>
      </c>
      <c r="K2734" s="15" t="s">
        <v>23</v>
      </c>
    </row>
    <row r="2735" spans="1:11" ht="42" customHeight="1">
      <c r="A2735" s="4" t="s">
        <v>6437</v>
      </c>
      <c r="B2735" s="5" t="s">
        <v>6437</v>
      </c>
      <c r="C2735" s="5" t="s">
        <v>38</v>
      </c>
      <c r="D2735" s="5" t="s">
        <v>39</v>
      </c>
      <c r="E2735" s="5" t="s">
        <v>266</v>
      </c>
      <c r="F2735" s="9">
        <v>119</v>
      </c>
      <c r="G2735" s="9">
        <v>1302</v>
      </c>
      <c r="H2735" s="5" t="s">
        <v>21</v>
      </c>
      <c r="I2735" s="5" t="s">
        <v>6439</v>
      </c>
      <c r="J2735" s="12" t="str">
        <f>HYPERLINK("https://www.boe.es/gazeta/dias/1801/12/29/pdfs/GMD-1801-119.pdf#page=6","Abrir facsímil")</f>
        <v>Abrir facsímil</v>
      </c>
      <c r="K2735" s="15" t="s">
        <v>23</v>
      </c>
    </row>
    <row r="2736" spans="1:11" ht="42" customHeight="1">
      <c r="A2736" s="4" t="s">
        <v>6440</v>
      </c>
      <c r="B2736" s="5" t="s">
        <v>6440</v>
      </c>
      <c r="C2736" s="5" t="s">
        <v>75</v>
      </c>
      <c r="D2736" s="5" t="s">
        <v>76</v>
      </c>
      <c r="E2736" s="5" t="s">
        <v>108</v>
      </c>
      <c r="F2736" s="9">
        <v>61</v>
      </c>
      <c r="G2736" s="9">
        <v>693</v>
      </c>
      <c r="H2736" s="5" t="s">
        <v>21</v>
      </c>
      <c r="I2736" s="5" t="s">
        <v>6388</v>
      </c>
      <c r="J2736" s="12" t="str">
        <f>HYPERLINK("https://www.boe.es/gazeta/dias/1801/06/30/pdfs/GMD-1801-61.pdf#page=2","Abrir facsímil")</f>
        <v>Abrir facsímil</v>
      </c>
      <c r="K2736" s="15" t="s">
        <v>23</v>
      </c>
    </row>
    <row r="2737" spans="1:11" ht="42" customHeight="1">
      <c r="A2737" s="4" t="s">
        <v>6441</v>
      </c>
      <c r="B2737" s="5" t="s">
        <v>6441</v>
      </c>
      <c r="C2737" s="5" t="s">
        <v>38</v>
      </c>
      <c r="D2737" s="5" t="s">
        <v>39</v>
      </c>
      <c r="E2737" s="5" t="s">
        <v>266</v>
      </c>
      <c r="F2737" s="9">
        <v>119</v>
      </c>
      <c r="G2737" s="9">
        <v>1302</v>
      </c>
      <c r="H2737" s="5" t="s">
        <v>21</v>
      </c>
      <c r="I2737" s="5" t="s">
        <v>6442</v>
      </c>
      <c r="J2737" s="12" t="str">
        <f>HYPERLINK("https://www.boe.es/gazeta/dias/1801/12/29/pdfs/GMD-1801-119.pdf#page=6","Abrir facsímil")</f>
        <v>Abrir facsímil</v>
      </c>
      <c r="K2737" s="15" t="s">
        <v>23</v>
      </c>
    </row>
    <row r="2738" spans="1:11" ht="42" customHeight="1">
      <c r="A2738" s="4" t="s">
        <v>6443</v>
      </c>
      <c r="B2738" s="5" t="s">
        <v>6443</v>
      </c>
      <c r="C2738" s="5" t="s">
        <v>75</v>
      </c>
      <c r="D2738" s="5" t="s">
        <v>76</v>
      </c>
      <c r="E2738" s="5" t="s">
        <v>94</v>
      </c>
      <c r="F2738" s="9">
        <v>19</v>
      </c>
      <c r="G2738" s="9">
        <v>238</v>
      </c>
      <c r="H2738" s="5" t="s">
        <v>21</v>
      </c>
      <c r="I2738" s="5" t="s">
        <v>6444</v>
      </c>
      <c r="J2738" s="12" t="str">
        <f>HYPERLINK("https://www.boe.es/gazeta/dias/1801/03/06/pdfs/GMD-1801-19.pdf#page=3","Abrir facsímil")</f>
        <v>Abrir facsímil</v>
      </c>
      <c r="K2738" s="15" t="s">
        <v>23</v>
      </c>
    </row>
    <row r="2739" spans="1:11" ht="42" customHeight="1">
      <c r="A2739" s="4" t="s">
        <v>6445</v>
      </c>
      <c r="B2739" s="5" t="s">
        <v>6445</v>
      </c>
      <c r="C2739" s="5" t="s">
        <v>18</v>
      </c>
      <c r="D2739" s="5" t="s">
        <v>19</v>
      </c>
      <c r="E2739" s="5" t="s">
        <v>317</v>
      </c>
      <c r="F2739" s="9">
        <v>102</v>
      </c>
      <c r="G2739" s="9">
        <v>1122</v>
      </c>
      <c r="H2739" s="5" t="s">
        <v>21</v>
      </c>
      <c r="I2739" s="5" t="s">
        <v>6446</v>
      </c>
      <c r="J2739" s="12" t="str">
        <f>HYPERLINK("https://www.boe.es/gazeta/dias/1801/10/30/pdfs/GMD-1801-102.pdf#page=7","Abrir facsímil")</f>
        <v>Abrir facsímil</v>
      </c>
      <c r="K2739" s="15" t="s">
        <v>23</v>
      </c>
    </row>
    <row r="2740" spans="1:11" ht="42" customHeight="1">
      <c r="A2740" s="4" t="s">
        <v>6447</v>
      </c>
      <c r="B2740" s="5" t="s">
        <v>6447</v>
      </c>
      <c r="C2740" s="5" t="s">
        <v>32</v>
      </c>
      <c r="D2740" s="5" t="s">
        <v>33</v>
      </c>
      <c r="E2740" s="5" t="s">
        <v>126</v>
      </c>
      <c r="F2740" s="9">
        <v>13</v>
      </c>
      <c r="G2740" s="9">
        <v>160</v>
      </c>
      <c r="H2740" s="5" t="s">
        <v>21</v>
      </c>
      <c r="I2740" s="5" t="s">
        <v>6448</v>
      </c>
      <c r="J2740" s="12" t="str">
        <f>HYPERLINK("https://www.boe.es/gazeta/dias/1801/02/13/pdfs/GMD-1801-13.pdf#page=7","Abrir facsímil")</f>
        <v>Abrir facsímil</v>
      </c>
      <c r="K2740" s="15" t="s">
        <v>23</v>
      </c>
    </row>
    <row r="2741" spans="1:11" ht="42" customHeight="1">
      <c r="A2741" s="4" t="s">
        <v>6449</v>
      </c>
      <c r="B2741" s="5" t="s">
        <v>6449</v>
      </c>
      <c r="C2741" s="5" t="s">
        <v>38</v>
      </c>
      <c r="D2741" s="5" t="s">
        <v>39</v>
      </c>
      <c r="E2741" s="5" t="s">
        <v>48</v>
      </c>
      <c r="F2741" s="9">
        <v>20</v>
      </c>
      <c r="G2741" s="9">
        <v>263</v>
      </c>
      <c r="H2741" s="5" t="s">
        <v>21</v>
      </c>
      <c r="I2741" s="5" t="s">
        <v>6450</v>
      </c>
      <c r="J2741" s="12" t="str">
        <f>HYPERLINK("https://www.boe.es/gazeta/dias/1801/03/10/pdfs/GMD-1801-20.pdf#page=8","Abrir facsímil")</f>
        <v>Abrir facsímil</v>
      </c>
      <c r="K2741" s="15" t="s">
        <v>23</v>
      </c>
    </row>
    <row r="2742" spans="1:11" ht="42" customHeight="1">
      <c r="A2742" s="4" t="s">
        <v>6451</v>
      </c>
      <c r="B2742" s="5" t="s">
        <v>6451</v>
      </c>
      <c r="C2742" s="5" t="s">
        <v>38</v>
      </c>
      <c r="D2742" s="5" t="s">
        <v>39</v>
      </c>
      <c r="E2742" s="5" t="s">
        <v>173</v>
      </c>
      <c r="F2742" s="9">
        <v>98</v>
      </c>
      <c r="G2742" s="9">
        <v>1078</v>
      </c>
      <c r="H2742" s="5" t="s">
        <v>21</v>
      </c>
      <c r="I2742" s="5" t="s">
        <v>6452</v>
      </c>
      <c r="J2742" s="12" t="str">
        <f>HYPERLINK("https://www.boe.es/gazeta/dias/1801/10/16/pdfs/GMD-1801-98.pdf#page=10","Abrir facsímil")</f>
        <v>Abrir facsímil</v>
      </c>
      <c r="K2742" s="15" t="s">
        <v>23</v>
      </c>
    </row>
    <row r="2743" spans="1:11" ht="42" customHeight="1">
      <c r="A2743" s="4" t="s">
        <v>6451</v>
      </c>
      <c r="B2743" s="5" t="s">
        <v>6451</v>
      </c>
      <c r="C2743" s="5" t="s">
        <v>32</v>
      </c>
      <c r="D2743" s="5" t="s">
        <v>33</v>
      </c>
      <c r="E2743" s="5" t="s">
        <v>112</v>
      </c>
      <c r="F2743" s="9">
        <v>114</v>
      </c>
      <c r="G2743" s="9">
        <v>1247</v>
      </c>
      <c r="H2743" s="5" t="s">
        <v>21</v>
      </c>
      <c r="I2743" s="5" t="s">
        <v>6453</v>
      </c>
      <c r="J2743" s="12" t="str">
        <f>HYPERLINK("https://www.boe.es/gazeta/dias/1801/12/11/pdfs/GMD-1801-114.pdf#page=9","Abrir facsímil")</f>
        <v>Abrir facsímil</v>
      </c>
      <c r="K2743" s="15" t="s">
        <v>23</v>
      </c>
    </row>
    <row r="2744" spans="1:11" ht="42" customHeight="1">
      <c r="A2744" s="4" t="s">
        <v>6454</v>
      </c>
      <c r="B2744" s="5" t="s">
        <v>6454</v>
      </c>
      <c r="C2744" s="5" t="s">
        <v>32</v>
      </c>
      <c r="D2744" s="5" t="s">
        <v>33</v>
      </c>
      <c r="E2744" s="5" t="s">
        <v>751</v>
      </c>
      <c r="F2744" s="9">
        <v>106</v>
      </c>
      <c r="G2744" s="9">
        <v>1165</v>
      </c>
      <c r="H2744" s="5" t="s">
        <v>21</v>
      </c>
      <c r="I2744" s="5" t="s">
        <v>6455</v>
      </c>
      <c r="J2744" s="12" t="str">
        <f>HYPERLINK("https://www.boe.es/gazeta/dias/1801/11/13/pdfs/GMD-1801-106.pdf#page=6","Abrir facsímil")</f>
        <v>Abrir facsímil</v>
      </c>
      <c r="K2744" s="15" t="s">
        <v>23</v>
      </c>
    </row>
    <row r="2745" spans="1:11" ht="42" customHeight="1">
      <c r="A2745" s="4" t="s">
        <v>6456</v>
      </c>
      <c r="B2745" s="5" t="s">
        <v>6456</v>
      </c>
      <c r="C2745" s="5" t="s">
        <v>38</v>
      </c>
      <c r="D2745" s="5" t="s">
        <v>39</v>
      </c>
      <c r="E2745" s="5" t="s">
        <v>2237</v>
      </c>
      <c r="F2745" s="9">
        <v>82</v>
      </c>
      <c r="G2745" s="9">
        <v>917</v>
      </c>
      <c r="H2745" s="5" t="s">
        <v>21</v>
      </c>
      <c r="I2745" s="5" t="s">
        <v>6457</v>
      </c>
      <c r="J2745" s="12" t="str">
        <f>HYPERLINK("https://www.boe.es/gazeta/dias/1801/08/28/pdfs/GMD-1801-82.pdf#page=6","Abrir facsímil")</f>
        <v>Abrir facsímil</v>
      </c>
      <c r="K2745" s="15" t="s">
        <v>23</v>
      </c>
    </row>
    <row r="2746" spans="1:11" ht="42" customHeight="1">
      <c r="A2746" s="4" t="s">
        <v>6456</v>
      </c>
      <c r="B2746" s="5" t="s">
        <v>6456</v>
      </c>
      <c r="C2746" s="5" t="s">
        <v>38</v>
      </c>
      <c r="D2746" s="5" t="s">
        <v>39</v>
      </c>
      <c r="E2746" s="5" t="s">
        <v>55</v>
      </c>
      <c r="F2746" s="9">
        <v>104</v>
      </c>
      <c r="G2746" s="9">
        <v>1144</v>
      </c>
      <c r="H2746" s="5" t="s">
        <v>21</v>
      </c>
      <c r="I2746" s="5" t="s">
        <v>6458</v>
      </c>
      <c r="J2746" s="12" t="str">
        <f>HYPERLINK("https://www.boe.es/gazeta/dias/1801/11/06/pdfs/GMD-1801-104.pdf#page=5","Abrir facsímil")</f>
        <v>Abrir facsímil</v>
      </c>
      <c r="K2746" s="15" t="s">
        <v>23</v>
      </c>
    </row>
    <row r="2747" spans="1:11" ht="42" customHeight="1">
      <c r="A2747" s="4" t="s">
        <v>6459</v>
      </c>
      <c r="B2747" s="5" t="s">
        <v>6459</v>
      </c>
      <c r="C2747" s="5" t="s">
        <v>75</v>
      </c>
      <c r="D2747" s="5" t="s">
        <v>76</v>
      </c>
      <c r="E2747" s="5" t="s">
        <v>161</v>
      </c>
      <c r="F2747" s="9">
        <v>58</v>
      </c>
      <c r="G2747" s="9">
        <v>657</v>
      </c>
      <c r="H2747" s="5" t="s">
        <v>21</v>
      </c>
      <c r="I2747" s="5" t="s">
        <v>6460</v>
      </c>
      <c r="J2747" s="12" t="str">
        <f>HYPERLINK("https://www.boe.es/gazeta/dias/1801/06/19/pdfs/GMD-1801-58.pdf#page=2","Abrir facsímil")</f>
        <v>Abrir facsímil</v>
      </c>
      <c r="K2747" s="15" t="s">
        <v>23</v>
      </c>
    </row>
    <row r="2748" spans="1:11" ht="42" customHeight="1">
      <c r="A2748" s="4" t="s">
        <v>6461</v>
      </c>
      <c r="B2748" s="5" t="s">
        <v>6461</v>
      </c>
      <c r="C2748" s="5" t="s">
        <v>75</v>
      </c>
      <c r="D2748" s="5" t="s">
        <v>76</v>
      </c>
      <c r="E2748" s="5" t="s">
        <v>615</v>
      </c>
      <c r="F2748" s="9">
        <v>72</v>
      </c>
      <c r="G2748" s="9">
        <v>800</v>
      </c>
      <c r="H2748" s="5" t="s">
        <v>21</v>
      </c>
      <c r="I2748" s="5" t="s">
        <v>6462</v>
      </c>
      <c r="J2748" s="12" t="str">
        <f>HYPERLINK("https://www.boe.es/gazeta/dias/1801/07/24/pdfs/GMD-1801-72.pdf#page=5","Abrir facsímil")</f>
        <v>Abrir facsímil</v>
      </c>
      <c r="K2748" s="15" t="s">
        <v>23</v>
      </c>
    </row>
    <row r="2749" spans="1:11" ht="42" customHeight="1">
      <c r="A2749" s="4" t="s">
        <v>6463</v>
      </c>
      <c r="B2749" s="5" t="s">
        <v>6463</v>
      </c>
      <c r="C2749" s="5" t="s">
        <v>75</v>
      </c>
      <c r="D2749" s="5" t="s">
        <v>76</v>
      </c>
      <c r="E2749" s="5" t="s">
        <v>888</v>
      </c>
      <c r="F2749" s="9">
        <v>103</v>
      </c>
      <c r="G2749" s="9">
        <v>1132</v>
      </c>
      <c r="H2749" s="5" t="s">
        <v>21</v>
      </c>
      <c r="I2749" s="5" t="s">
        <v>6464</v>
      </c>
      <c r="J2749" s="12" t="str">
        <f>HYPERLINK("https://www.boe.es/gazeta/dias/1801/11/03/pdfs/GMD-1801-103.pdf#page=5","Abrir facsímil")</f>
        <v>Abrir facsímil</v>
      </c>
      <c r="K2749" s="15" t="s">
        <v>23</v>
      </c>
    </row>
    <row r="2750" spans="1:11" ht="42" customHeight="1">
      <c r="A2750" s="4" t="s">
        <v>6465</v>
      </c>
      <c r="B2750" s="5" t="s">
        <v>6465</v>
      </c>
      <c r="C2750" s="5" t="s">
        <v>75</v>
      </c>
      <c r="D2750" s="5" t="s">
        <v>76</v>
      </c>
      <c r="E2750" s="5" t="s">
        <v>888</v>
      </c>
      <c r="F2750" s="9">
        <v>103</v>
      </c>
      <c r="G2750" s="9">
        <v>1132</v>
      </c>
      <c r="H2750" s="5" t="s">
        <v>21</v>
      </c>
      <c r="I2750" s="5" t="s">
        <v>6464</v>
      </c>
      <c r="J2750" s="12" t="str">
        <f>HYPERLINK("https://www.boe.es/gazeta/dias/1801/11/03/pdfs/GMD-1801-103.pdf#page=5","Abrir facsímil")</f>
        <v>Abrir facsímil</v>
      </c>
      <c r="K2750" s="15" t="s">
        <v>23</v>
      </c>
    </row>
    <row r="2751" spans="1:11" ht="42" customHeight="1">
      <c r="A2751" s="4" t="s">
        <v>6466</v>
      </c>
      <c r="B2751" s="5" t="s">
        <v>6466</v>
      </c>
      <c r="C2751" s="5" t="s">
        <v>75</v>
      </c>
      <c r="D2751" s="5" t="s">
        <v>76</v>
      </c>
      <c r="E2751" s="5" t="s">
        <v>924</v>
      </c>
      <c r="F2751" s="9">
        <v>90</v>
      </c>
      <c r="G2751" s="9">
        <v>991</v>
      </c>
      <c r="H2751" s="5" t="s">
        <v>21</v>
      </c>
      <c r="I2751" s="5" t="s">
        <v>6467</v>
      </c>
      <c r="J2751" s="12" t="str">
        <f>HYPERLINK("https://www.boe.es/gazeta/dias/1801/09/18/pdfs/GMD-1801-90.pdf#page=6","Abrir facsímil")</f>
        <v>Abrir facsímil</v>
      </c>
      <c r="K2751" s="15" t="s">
        <v>23</v>
      </c>
    </row>
    <row r="2752" spans="1:11" ht="42" customHeight="1">
      <c r="A2752" s="4" t="s">
        <v>6468</v>
      </c>
      <c r="B2752" s="5" t="s">
        <v>6468</v>
      </c>
      <c r="C2752" s="5" t="s">
        <v>38</v>
      </c>
      <c r="D2752" s="5" t="s">
        <v>39</v>
      </c>
      <c r="E2752" s="5" t="s">
        <v>143</v>
      </c>
      <c r="F2752" s="9">
        <v>34</v>
      </c>
      <c r="G2752" s="9">
        <v>431</v>
      </c>
      <c r="H2752" s="5" t="s">
        <v>21</v>
      </c>
      <c r="I2752" s="5" t="s">
        <v>6469</v>
      </c>
      <c r="J2752" s="12" t="str">
        <f>HYPERLINK("https://www.boe.es/gazeta/dias/1801/04/28/pdfs/GMD-1801-34.pdf#page=3","Abrir facsímil")</f>
        <v>Abrir facsímil</v>
      </c>
      <c r="K2752" s="15" t="s">
        <v>23</v>
      </c>
    </row>
    <row r="2753" spans="1:11" ht="42" customHeight="1">
      <c r="A2753" s="4" t="s">
        <v>6470</v>
      </c>
      <c r="B2753" s="5" t="s">
        <v>6470</v>
      </c>
      <c r="C2753" s="5" t="s">
        <v>75</v>
      </c>
      <c r="D2753" s="5" t="s">
        <v>76</v>
      </c>
      <c r="E2753" s="5" t="s">
        <v>44</v>
      </c>
      <c r="F2753" s="9">
        <v>117</v>
      </c>
      <c r="G2753" s="9">
        <v>1279</v>
      </c>
      <c r="H2753" s="5" t="s">
        <v>21</v>
      </c>
      <c r="I2753" s="5" t="s">
        <v>6471</v>
      </c>
      <c r="J2753" s="12" t="str">
        <f>HYPERLINK("https://www.boe.es/gazeta/dias/1801/12/22/pdfs/GMD-1801-117.pdf#page=6","Abrir facsímil")</f>
        <v>Abrir facsímil</v>
      </c>
      <c r="K2753" s="15" t="s">
        <v>23</v>
      </c>
    </row>
    <row r="2754" spans="1:11" ht="42" customHeight="1">
      <c r="A2754" s="4" t="s">
        <v>6472</v>
      </c>
      <c r="B2754" s="5" t="s">
        <v>6472</v>
      </c>
      <c r="C2754" s="5" t="s">
        <v>75</v>
      </c>
      <c r="D2754" s="5" t="s">
        <v>76</v>
      </c>
      <c r="E2754" s="5" t="s">
        <v>165</v>
      </c>
      <c r="F2754" s="9">
        <v>59</v>
      </c>
      <c r="G2754" s="9">
        <v>673</v>
      </c>
      <c r="H2754" s="5" t="s">
        <v>21</v>
      </c>
      <c r="I2754" s="5" t="s">
        <v>6473</v>
      </c>
      <c r="J2754" s="12" t="str">
        <f>HYPERLINK("https://www.boe.es/gazeta/dias/1801/06/23/pdfs/GMD-1801-59.pdf#page=6","Abrir facsímil")</f>
        <v>Abrir facsímil</v>
      </c>
      <c r="K2754" s="15" t="s">
        <v>23</v>
      </c>
    </row>
    <row r="2755" spans="1:11" ht="42" customHeight="1">
      <c r="A2755" s="4" t="s">
        <v>6474</v>
      </c>
      <c r="B2755" s="5" t="s">
        <v>6474</v>
      </c>
      <c r="C2755" s="5" t="s">
        <v>75</v>
      </c>
      <c r="D2755" s="5" t="s">
        <v>76</v>
      </c>
      <c r="E2755" s="5" t="s">
        <v>153</v>
      </c>
      <c r="F2755" s="9">
        <v>48</v>
      </c>
      <c r="G2755" s="9">
        <v>580</v>
      </c>
      <c r="H2755" s="5" t="s">
        <v>21</v>
      </c>
      <c r="I2755" s="5" t="s">
        <v>6475</v>
      </c>
      <c r="J2755" s="12" t="str">
        <f>HYPERLINK("https://www.boe.es/gazeta/dias/1801/06/05/pdfs/GMD-1801-48.pdf#page=2","Abrir facsímil")</f>
        <v>Abrir facsímil</v>
      </c>
      <c r="K2755" s="15" t="s">
        <v>23</v>
      </c>
    </row>
    <row r="2756" spans="1:11" ht="42" customHeight="1">
      <c r="A2756" s="4" t="s">
        <v>6476</v>
      </c>
      <c r="B2756" s="5" t="s">
        <v>6476</v>
      </c>
      <c r="C2756" s="5" t="s">
        <v>75</v>
      </c>
      <c r="D2756" s="5" t="s">
        <v>76</v>
      </c>
      <c r="E2756" s="5" t="s">
        <v>462</v>
      </c>
      <c r="F2756" s="9">
        <v>5</v>
      </c>
      <c r="G2756" s="9">
        <v>51</v>
      </c>
      <c r="H2756" s="5" t="s">
        <v>21</v>
      </c>
      <c r="I2756" s="5" t="s">
        <v>6477</v>
      </c>
      <c r="J2756" s="12" t="str">
        <f>HYPERLINK("https://www.boe.es/gazeta/dias/1801/01/16/pdfs/GMD-1801-5.pdf#page=3","Abrir facsímil")</f>
        <v>Abrir facsímil</v>
      </c>
      <c r="K2756" s="15" t="s">
        <v>23</v>
      </c>
    </row>
    <row r="2757" spans="1:11" ht="42" customHeight="1">
      <c r="A2757" s="4" t="s">
        <v>6478</v>
      </c>
      <c r="B2757" s="5" t="s">
        <v>6478</v>
      </c>
      <c r="C2757" s="5" t="s">
        <v>75</v>
      </c>
      <c r="D2757" s="5" t="s">
        <v>76</v>
      </c>
      <c r="E2757" s="5" t="s">
        <v>151</v>
      </c>
      <c r="F2757" s="9">
        <v>45</v>
      </c>
      <c r="G2757" s="9">
        <v>560</v>
      </c>
      <c r="H2757" s="5" t="s">
        <v>21</v>
      </c>
      <c r="I2757" s="5" t="s">
        <v>6479</v>
      </c>
      <c r="J2757" s="12" t="str">
        <f>HYPERLINK("https://www.boe.es/gazeta/dias/1801/06/02/pdfs/GMD-1801-45.pdf#page=8","Abrir facsímil")</f>
        <v>Abrir facsímil</v>
      </c>
      <c r="K2757" s="15" t="s">
        <v>23</v>
      </c>
    </row>
    <row r="2758" spans="1:11" ht="42" customHeight="1">
      <c r="A2758" s="4" t="s">
        <v>6480</v>
      </c>
      <c r="B2758" s="5" t="s">
        <v>6480</v>
      </c>
      <c r="C2758" s="5" t="s">
        <v>75</v>
      </c>
      <c r="D2758" s="5" t="s">
        <v>76</v>
      </c>
      <c r="E2758" s="5" t="s">
        <v>448</v>
      </c>
      <c r="F2758" s="9">
        <v>35</v>
      </c>
      <c r="G2758" s="9">
        <v>446</v>
      </c>
      <c r="H2758" s="5" t="s">
        <v>21</v>
      </c>
      <c r="I2758" s="5" t="s">
        <v>6481</v>
      </c>
      <c r="J2758" s="12" t="str">
        <f>HYPERLINK("https://www.boe.es/gazeta/dias/1801/05/01/pdfs/GMD-1801-35.pdf#page=2","Abrir facsímil")</f>
        <v>Abrir facsímil</v>
      </c>
      <c r="K2758" s="15" t="s">
        <v>23</v>
      </c>
    </row>
    <row r="2759" spans="1:11" ht="42" customHeight="1">
      <c r="A2759" s="4" t="s">
        <v>6482</v>
      </c>
      <c r="B2759" s="5" t="s">
        <v>6482</v>
      </c>
      <c r="C2759" s="5" t="s">
        <v>75</v>
      </c>
      <c r="D2759" s="5" t="s">
        <v>76</v>
      </c>
      <c r="E2759" s="5" t="s">
        <v>448</v>
      </c>
      <c r="F2759" s="9">
        <v>35</v>
      </c>
      <c r="G2759" s="9">
        <v>446</v>
      </c>
      <c r="H2759" s="5" t="s">
        <v>21</v>
      </c>
      <c r="I2759" s="5" t="s">
        <v>6483</v>
      </c>
      <c r="J2759" s="12" t="str">
        <f>HYPERLINK("https://www.boe.es/gazeta/dias/1801/05/01/pdfs/GMD-1801-35.pdf#page=2","Abrir facsímil")</f>
        <v>Abrir facsímil</v>
      </c>
      <c r="K2759" s="15" t="s">
        <v>23</v>
      </c>
    </row>
    <row r="2760" spans="1:11" ht="42" customHeight="1">
      <c r="A2760" s="4" t="s">
        <v>6484</v>
      </c>
      <c r="B2760" s="5" t="s">
        <v>6484</v>
      </c>
      <c r="C2760" s="5" t="s">
        <v>75</v>
      </c>
      <c r="D2760" s="5" t="s">
        <v>76</v>
      </c>
      <c r="E2760" s="5" t="s">
        <v>615</v>
      </c>
      <c r="F2760" s="9">
        <v>72</v>
      </c>
      <c r="G2760" s="9">
        <v>800</v>
      </c>
      <c r="H2760" s="5" t="s">
        <v>21</v>
      </c>
      <c r="I2760" s="5" t="s">
        <v>6462</v>
      </c>
      <c r="J2760" s="12" t="str">
        <f>HYPERLINK("https://www.boe.es/gazeta/dias/1801/07/24/pdfs/GMD-1801-72.pdf#page=5","Abrir facsímil")</f>
        <v>Abrir facsímil</v>
      </c>
      <c r="K2760" s="15" t="s">
        <v>23</v>
      </c>
    </row>
    <row r="2761" spans="1:11" ht="42" customHeight="1">
      <c r="A2761" s="4" t="s">
        <v>6485</v>
      </c>
      <c r="B2761" s="5" t="s">
        <v>6485</v>
      </c>
      <c r="C2761" s="5" t="s">
        <v>75</v>
      </c>
      <c r="D2761" s="5" t="s">
        <v>76</v>
      </c>
      <c r="E2761" s="5" t="s">
        <v>924</v>
      </c>
      <c r="F2761" s="9">
        <v>90</v>
      </c>
      <c r="G2761" s="9">
        <v>991</v>
      </c>
      <c r="H2761" s="5" t="s">
        <v>21</v>
      </c>
      <c r="I2761" s="5" t="s">
        <v>6467</v>
      </c>
      <c r="J2761" s="12" t="str">
        <f>HYPERLINK("https://www.boe.es/gazeta/dias/1801/09/18/pdfs/GMD-1801-90.pdf#page=6","Abrir facsímil")</f>
        <v>Abrir facsímil</v>
      </c>
      <c r="K2761" s="15" t="s">
        <v>23</v>
      </c>
    </row>
    <row r="2762" spans="1:11" ht="42" customHeight="1">
      <c r="A2762" s="4" t="s">
        <v>6486</v>
      </c>
      <c r="B2762" s="5" t="s">
        <v>6486</v>
      </c>
      <c r="C2762" s="5" t="s">
        <v>32</v>
      </c>
      <c r="D2762" s="5" t="s">
        <v>33</v>
      </c>
      <c r="E2762" s="5" t="s">
        <v>751</v>
      </c>
      <c r="F2762" s="9">
        <v>106</v>
      </c>
      <c r="G2762" s="9">
        <v>1165</v>
      </c>
      <c r="H2762" s="5" t="s">
        <v>21</v>
      </c>
      <c r="I2762" s="5" t="s">
        <v>6455</v>
      </c>
      <c r="J2762" s="12" t="str">
        <f>HYPERLINK("https://www.boe.es/gazeta/dias/1801/11/13/pdfs/GMD-1801-106.pdf#page=6","Abrir facsímil")</f>
        <v>Abrir facsímil</v>
      </c>
      <c r="K2762" s="15" t="s">
        <v>23</v>
      </c>
    </row>
    <row r="2763" spans="1:11" ht="42" customHeight="1">
      <c r="A2763" s="4" t="s">
        <v>6487</v>
      </c>
      <c r="B2763" s="5" t="s">
        <v>6487</v>
      </c>
      <c r="C2763" s="5" t="s">
        <v>32</v>
      </c>
      <c r="D2763" s="5" t="s">
        <v>33</v>
      </c>
      <c r="E2763" s="5" t="s">
        <v>751</v>
      </c>
      <c r="F2763" s="9">
        <v>106</v>
      </c>
      <c r="G2763" s="9">
        <v>1165</v>
      </c>
      <c r="H2763" s="5" t="s">
        <v>21</v>
      </c>
      <c r="I2763" s="5" t="s">
        <v>6455</v>
      </c>
      <c r="J2763" s="12" t="str">
        <f>HYPERLINK("https://www.boe.es/gazeta/dias/1801/11/13/pdfs/GMD-1801-106.pdf#page=6","Abrir facsímil")</f>
        <v>Abrir facsímil</v>
      </c>
      <c r="K2763" s="15" t="s">
        <v>23</v>
      </c>
    </row>
    <row r="2764" spans="1:11" ht="42" customHeight="1">
      <c r="A2764" s="4" t="s">
        <v>6488</v>
      </c>
      <c r="B2764" s="5" t="s">
        <v>6488</v>
      </c>
      <c r="C2764" s="5" t="s">
        <v>38</v>
      </c>
      <c r="D2764" s="5" t="s">
        <v>39</v>
      </c>
      <c r="E2764" s="5" t="s">
        <v>143</v>
      </c>
      <c r="F2764" s="9">
        <v>34</v>
      </c>
      <c r="G2764" s="9">
        <v>431</v>
      </c>
      <c r="H2764" s="5" t="s">
        <v>21</v>
      </c>
      <c r="I2764" s="5" t="s">
        <v>6469</v>
      </c>
      <c r="J2764" s="12" t="str">
        <f>HYPERLINK("https://www.boe.es/gazeta/dias/1801/04/28/pdfs/GMD-1801-34.pdf#page=3","Abrir facsímil")</f>
        <v>Abrir facsímil</v>
      </c>
      <c r="K2764" s="15" t="s">
        <v>23</v>
      </c>
    </row>
    <row r="2765" spans="1:11" ht="42" customHeight="1">
      <c r="A2765" s="4" t="s">
        <v>6489</v>
      </c>
      <c r="B2765" s="5" t="s">
        <v>6489</v>
      </c>
      <c r="C2765" s="5" t="s">
        <v>75</v>
      </c>
      <c r="D2765" s="5" t="s">
        <v>76</v>
      </c>
      <c r="E2765" s="5" t="s">
        <v>935</v>
      </c>
      <c r="F2765" s="9">
        <v>116</v>
      </c>
      <c r="G2765" s="9">
        <v>1261</v>
      </c>
      <c r="H2765" s="5" t="s">
        <v>21</v>
      </c>
      <c r="I2765" s="5" t="s">
        <v>6490</v>
      </c>
      <c r="J2765" s="12" t="str">
        <f>HYPERLINK("https://www.boe.es/gazeta/dias/1801/12/18/pdfs/GMD-1801-116.pdf#page=3","Abrir facsímil")</f>
        <v>Abrir facsímil</v>
      </c>
      <c r="K2765" s="15" t="s">
        <v>23</v>
      </c>
    </row>
    <row r="2766" spans="1:11" ht="42" customHeight="1">
      <c r="A2766" s="4" t="s">
        <v>6491</v>
      </c>
      <c r="B2766" s="5" t="s">
        <v>6491</v>
      </c>
      <c r="C2766" s="5" t="s">
        <v>32</v>
      </c>
      <c r="D2766" s="5" t="s">
        <v>33</v>
      </c>
      <c r="E2766" s="5" t="s">
        <v>505</v>
      </c>
      <c r="F2766" s="9">
        <v>94</v>
      </c>
      <c r="G2766" s="9">
        <v>1030</v>
      </c>
      <c r="H2766" s="5" t="s">
        <v>21</v>
      </c>
      <c r="I2766" s="5" t="s">
        <v>6492</v>
      </c>
      <c r="J2766" s="12" t="str">
        <f>HYPERLINK("https://www.boe.es/gazeta/dias/1801/10/02/pdfs/GMD-1801-94.pdf#page=6","Abrir facsímil")</f>
        <v>Abrir facsímil</v>
      </c>
      <c r="K2766" s="15" t="s">
        <v>23</v>
      </c>
    </row>
    <row r="2767" spans="1:11" ht="42" customHeight="1">
      <c r="A2767" s="4" t="s">
        <v>6493</v>
      </c>
      <c r="B2767" s="5" t="s">
        <v>6493</v>
      </c>
      <c r="C2767" s="5" t="s">
        <v>32</v>
      </c>
      <c r="D2767" s="5" t="s">
        <v>33</v>
      </c>
      <c r="E2767" s="5" t="s">
        <v>712</v>
      </c>
      <c r="F2767" s="9">
        <v>105</v>
      </c>
      <c r="G2767" s="9">
        <v>1150</v>
      </c>
      <c r="H2767" s="5" t="s">
        <v>21</v>
      </c>
      <c r="I2767" s="5" t="s">
        <v>6494</v>
      </c>
      <c r="J2767" s="12" t="str">
        <f>HYPERLINK("https://www.boe.es/gazeta/dias/1801/11/10/pdfs/GMD-1801-105.pdf#page=3","Abrir facsímil")</f>
        <v>Abrir facsímil</v>
      </c>
      <c r="K2767" s="15" t="s">
        <v>23</v>
      </c>
    </row>
    <row r="2768" spans="1:11" ht="42" customHeight="1">
      <c r="A2768" s="4" t="s">
        <v>6495</v>
      </c>
      <c r="B2768" s="5" t="s">
        <v>6495</v>
      </c>
      <c r="C2768" s="5" t="s">
        <v>75</v>
      </c>
      <c r="D2768" s="5" t="s">
        <v>76</v>
      </c>
      <c r="E2768" s="5" t="s">
        <v>501</v>
      </c>
      <c r="F2768" s="9">
        <v>115</v>
      </c>
      <c r="G2768" s="9">
        <v>1252</v>
      </c>
      <c r="H2768" s="5" t="s">
        <v>21</v>
      </c>
      <c r="I2768" s="5" t="s">
        <v>6496</v>
      </c>
      <c r="J2768" s="12" t="str">
        <f>HYPERLINK("https://www.boe.es/gazeta/dias/1801/12/15/pdfs/GMD-1801-115.pdf#page=2","Abrir facsímil")</f>
        <v>Abrir facsímil</v>
      </c>
      <c r="K2768" s="15" t="s">
        <v>23</v>
      </c>
    </row>
    <row r="2769" spans="1:11" ht="42" customHeight="1">
      <c r="A2769" s="4" t="s">
        <v>6497</v>
      </c>
      <c r="B2769" s="5" t="s">
        <v>6497</v>
      </c>
      <c r="C2769" s="5" t="s">
        <v>75</v>
      </c>
      <c r="D2769" s="5" t="s">
        <v>76</v>
      </c>
      <c r="E2769" s="5" t="s">
        <v>190</v>
      </c>
      <c r="F2769" s="9">
        <v>16</v>
      </c>
      <c r="G2769" s="9">
        <v>194</v>
      </c>
      <c r="H2769" s="5" t="s">
        <v>21</v>
      </c>
      <c r="I2769" s="5" t="s">
        <v>6498</v>
      </c>
      <c r="J2769" s="12" t="str">
        <f>HYPERLINK("https://www.boe.es/gazeta/dias/1801/02/24/pdfs/GMD-1801-16.pdf#page=1","Abrir facsímil")</f>
        <v>Abrir facsímil</v>
      </c>
      <c r="K2769" s="15" t="s">
        <v>23</v>
      </c>
    </row>
    <row r="2770" spans="1:11" ht="42" customHeight="1">
      <c r="A2770" s="4" t="s">
        <v>6499</v>
      </c>
      <c r="B2770" s="5" t="s">
        <v>6499</v>
      </c>
      <c r="C2770" s="5" t="s">
        <v>75</v>
      </c>
      <c r="D2770" s="5" t="s">
        <v>76</v>
      </c>
      <c r="E2770" s="5" t="s">
        <v>349</v>
      </c>
      <c r="F2770" s="9">
        <v>112</v>
      </c>
      <c r="G2770" s="9">
        <v>1223</v>
      </c>
      <c r="H2770" s="5" t="s">
        <v>21</v>
      </c>
      <c r="I2770" s="5" t="s">
        <v>6500</v>
      </c>
      <c r="J2770" s="12" t="str">
        <f>HYPERLINK("https://www.boe.es/gazeta/dias/1801/12/04/pdfs/GMD-1801-112.pdf#page=4","Abrir facsímil")</f>
        <v>Abrir facsímil</v>
      </c>
      <c r="K2770" s="15" t="s">
        <v>23</v>
      </c>
    </row>
    <row r="2771" spans="1:11" ht="42" customHeight="1">
      <c r="A2771" s="4" t="s">
        <v>6501</v>
      </c>
      <c r="B2771" s="5" t="s">
        <v>6501</v>
      </c>
      <c r="C2771" s="5" t="s">
        <v>75</v>
      </c>
      <c r="D2771" s="5" t="s">
        <v>76</v>
      </c>
      <c r="E2771" s="5" t="s">
        <v>448</v>
      </c>
      <c r="F2771" s="9">
        <v>35</v>
      </c>
      <c r="G2771" s="9">
        <v>449</v>
      </c>
      <c r="H2771" s="5" t="s">
        <v>21</v>
      </c>
      <c r="I2771" s="5" t="s">
        <v>6502</v>
      </c>
      <c r="J2771" s="12" t="str">
        <f>HYPERLINK("https://www.boe.es/gazeta/dias/1801/05/01/pdfs/GMD-1801-35.pdf#page=5","Abrir facsímil")</f>
        <v>Abrir facsímil</v>
      </c>
      <c r="K2771" s="15" t="s">
        <v>23</v>
      </c>
    </row>
    <row r="2772" spans="1:11" ht="42" customHeight="1">
      <c r="A2772" s="4" t="s">
        <v>6503</v>
      </c>
      <c r="B2772" s="5" t="s">
        <v>6503</v>
      </c>
      <c r="C2772" s="5" t="s">
        <v>32</v>
      </c>
      <c r="D2772" s="5" t="s">
        <v>33</v>
      </c>
      <c r="E2772" s="5" t="s">
        <v>190</v>
      </c>
      <c r="F2772" s="9">
        <v>16</v>
      </c>
      <c r="G2772" s="9">
        <v>203</v>
      </c>
      <c r="H2772" s="5" t="s">
        <v>21</v>
      </c>
      <c r="I2772" s="5" t="s">
        <v>6504</v>
      </c>
      <c r="J2772" s="12" t="str">
        <f>HYPERLINK("https://www.boe.es/gazeta/dias/1801/02/24/pdfs/GMD-1801-16.pdf#page=10","Abrir facsímil")</f>
        <v>Abrir facsímil</v>
      </c>
      <c r="K2772" s="15" t="s">
        <v>23</v>
      </c>
    </row>
    <row r="2773" spans="1:11" ht="42" customHeight="1">
      <c r="A2773" s="4" t="s">
        <v>6505</v>
      </c>
      <c r="B2773" s="5" t="s">
        <v>6505</v>
      </c>
      <c r="C2773" s="5" t="s">
        <v>38</v>
      </c>
      <c r="D2773" s="5" t="s">
        <v>39</v>
      </c>
      <c r="E2773" s="5" t="s">
        <v>254</v>
      </c>
      <c r="F2773" s="9">
        <v>73</v>
      </c>
      <c r="G2773" s="9">
        <v>814</v>
      </c>
      <c r="H2773" s="5" t="s">
        <v>21</v>
      </c>
      <c r="I2773" s="5" t="s">
        <v>6506</v>
      </c>
      <c r="J2773" s="12" t="str">
        <f>HYPERLINK("https://www.boe.es/gazeta/dias/1801/07/28/pdfs/GMD-1801-73.pdf#page=7","Abrir facsímil")</f>
        <v>Abrir facsímil</v>
      </c>
      <c r="K2773" s="15" t="s">
        <v>23</v>
      </c>
    </row>
    <row r="2774" spans="1:11" ht="42" customHeight="1">
      <c r="A2774" s="4" t="s">
        <v>6507</v>
      </c>
      <c r="B2774" s="5" t="s">
        <v>6507</v>
      </c>
      <c r="C2774" s="5" t="s">
        <v>38</v>
      </c>
      <c r="D2774" s="5" t="s">
        <v>39</v>
      </c>
      <c r="E2774" s="5" t="s">
        <v>145</v>
      </c>
      <c r="F2774" s="9">
        <v>36</v>
      </c>
      <c r="G2774" s="9">
        <v>471</v>
      </c>
      <c r="H2774" s="5" t="s">
        <v>21</v>
      </c>
      <c r="I2774" s="5" t="s">
        <v>6508</v>
      </c>
      <c r="J2774" s="12" t="str">
        <f>HYPERLINK("https://www.boe.es/gazeta/dias/1801/05/05/pdfs/GMD-1801-36.pdf#page=15","Abrir facsímil")</f>
        <v>Abrir facsímil</v>
      </c>
      <c r="K2774" s="15" t="s">
        <v>23</v>
      </c>
    </row>
    <row r="2775" spans="1:11" ht="42" customHeight="1">
      <c r="A2775" s="4" t="s">
        <v>6509</v>
      </c>
      <c r="B2775" s="5" t="s">
        <v>6509</v>
      </c>
      <c r="C2775" s="5" t="s">
        <v>26</v>
      </c>
      <c r="D2775" s="5" t="s">
        <v>27</v>
      </c>
      <c r="E2775" s="5" t="s">
        <v>128</v>
      </c>
      <c r="F2775" s="9">
        <v>17</v>
      </c>
      <c r="G2775" s="9">
        <v>217</v>
      </c>
      <c r="H2775" s="5" t="s">
        <v>21</v>
      </c>
      <c r="I2775" s="5" t="s">
        <v>6510</v>
      </c>
      <c r="J2775" s="12" t="str">
        <f>HYPERLINK("https://www.boe.es/gazeta/dias/1801/02/27/pdfs/GMD-1801-17.pdf#page=12","Abrir facsímil")</f>
        <v>Abrir facsímil</v>
      </c>
      <c r="K2775" s="15" t="s">
        <v>23</v>
      </c>
    </row>
    <row r="2776" spans="1:11" ht="42" customHeight="1">
      <c r="A2776" s="4" t="s">
        <v>6511</v>
      </c>
      <c r="B2776" s="5" t="s">
        <v>6511</v>
      </c>
      <c r="C2776" s="5" t="s">
        <v>75</v>
      </c>
      <c r="D2776" s="5" t="s">
        <v>76</v>
      </c>
      <c r="E2776" s="5" t="s">
        <v>44</v>
      </c>
      <c r="F2776" s="9">
        <v>117</v>
      </c>
      <c r="G2776" s="9">
        <v>1275</v>
      </c>
      <c r="H2776" s="5" t="s">
        <v>21</v>
      </c>
      <c r="I2776" s="5" t="s">
        <v>6512</v>
      </c>
      <c r="J2776" s="12" t="str">
        <f>HYPERLINK("https://www.boe.es/gazeta/dias/1801/12/22/pdfs/GMD-1801-117.pdf#page=2","Abrir facsímil")</f>
        <v>Abrir facsímil</v>
      </c>
      <c r="K2776" s="15" t="s">
        <v>23</v>
      </c>
    </row>
    <row r="2777" spans="1:11" ht="42" customHeight="1">
      <c r="A2777" s="4" t="s">
        <v>6513</v>
      </c>
      <c r="B2777" s="5" t="s">
        <v>6513</v>
      </c>
      <c r="C2777" s="5" t="s">
        <v>32</v>
      </c>
      <c r="D2777" s="5" t="s">
        <v>33</v>
      </c>
      <c r="E2777" s="5" t="s">
        <v>124</v>
      </c>
      <c r="F2777" s="9">
        <v>12</v>
      </c>
      <c r="G2777" s="9">
        <v>148</v>
      </c>
      <c r="H2777" s="5" t="s">
        <v>21</v>
      </c>
      <c r="I2777" s="5" t="s">
        <v>6514</v>
      </c>
      <c r="J2777" s="12" t="str">
        <f>HYPERLINK("https://www.boe.es/gazeta/dias/1801/02/10/pdfs/GMD-1801-12.pdf#page=9","Abrir facsímil")</f>
        <v>Abrir facsímil</v>
      </c>
      <c r="K2777" s="15" t="s">
        <v>23</v>
      </c>
    </row>
    <row r="2778" spans="1:11" ht="42" customHeight="1">
      <c r="A2778" s="4" t="s">
        <v>6515</v>
      </c>
      <c r="B2778" s="5" t="s">
        <v>6515</v>
      </c>
      <c r="C2778" s="5" t="s">
        <v>38</v>
      </c>
      <c r="D2778" s="5" t="s">
        <v>39</v>
      </c>
      <c r="E2778" s="5" t="s">
        <v>173</v>
      </c>
      <c r="F2778" s="9">
        <v>98</v>
      </c>
      <c r="G2778" s="9">
        <v>1077</v>
      </c>
      <c r="H2778" s="5" t="s">
        <v>21</v>
      </c>
      <c r="I2778" s="5" t="s">
        <v>6516</v>
      </c>
      <c r="J2778" s="12" t="str">
        <f>HYPERLINK("https://www.boe.es/gazeta/dias/1801/10/16/pdfs/GMD-1801-98.pdf#page=9","Abrir facsímil")</f>
        <v>Abrir facsímil</v>
      </c>
      <c r="K2778" s="15" t="s">
        <v>23</v>
      </c>
    </row>
    <row r="2779" spans="1:11" ht="42" customHeight="1">
      <c r="A2779" s="4" t="s">
        <v>6517</v>
      </c>
      <c r="B2779" s="5" t="s">
        <v>6517</v>
      </c>
      <c r="C2779" s="5" t="s">
        <v>75</v>
      </c>
      <c r="D2779" s="5" t="s">
        <v>76</v>
      </c>
      <c r="E2779" s="5" t="s">
        <v>223</v>
      </c>
      <c r="F2779" s="9">
        <v>74</v>
      </c>
      <c r="G2779" s="9">
        <v>822</v>
      </c>
      <c r="H2779" s="5" t="s">
        <v>21</v>
      </c>
      <c r="I2779" s="5" t="s">
        <v>6518</v>
      </c>
      <c r="J2779" s="12" t="str">
        <f>HYPERLINK("https://www.boe.es/gazeta/dias/1801/07/31/pdfs/GMD-1801-74.pdf#page=3","Abrir facsímil")</f>
        <v>Abrir facsímil</v>
      </c>
      <c r="K2779" s="15" t="s">
        <v>23</v>
      </c>
    </row>
    <row r="2780" spans="1:11" ht="42" customHeight="1">
      <c r="A2780" s="4" t="s">
        <v>6519</v>
      </c>
      <c r="B2780" s="5" t="s">
        <v>6519</v>
      </c>
      <c r="C2780" s="5" t="s">
        <v>75</v>
      </c>
      <c r="D2780" s="5" t="s">
        <v>76</v>
      </c>
      <c r="E2780" s="5" t="s">
        <v>366</v>
      </c>
      <c r="F2780" s="9">
        <v>86</v>
      </c>
      <c r="G2780" s="9">
        <v>954</v>
      </c>
      <c r="H2780" s="5" t="s">
        <v>21</v>
      </c>
      <c r="I2780" s="5" t="s">
        <v>6520</v>
      </c>
      <c r="J2780" s="12" t="str">
        <f>HYPERLINK("https://www.boe.es/gazeta/dias/1801/09/08/pdfs/GMD-1801-86.pdf#page=5","Abrir facsímil")</f>
        <v>Abrir facsímil</v>
      </c>
      <c r="K2780" s="15" t="s">
        <v>23</v>
      </c>
    </row>
    <row r="2781" spans="1:11" ht="42" customHeight="1">
      <c r="A2781" s="4" t="s">
        <v>6521</v>
      </c>
      <c r="B2781" s="5" t="s">
        <v>6521</v>
      </c>
      <c r="C2781" s="5" t="s">
        <v>26</v>
      </c>
      <c r="D2781" s="5" t="s">
        <v>27</v>
      </c>
      <c r="E2781" s="5" t="s">
        <v>62</v>
      </c>
      <c r="F2781" s="9">
        <v>6</v>
      </c>
      <c r="G2781" s="9">
        <v>76</v>
      </c>
      <c r="H2781" s="5" t="s">
        <v>21</v>
      </c>
      <c r="I2781" s="5" t="s">
        <v>6522</v>
      </c>
      <c r="J2781" s="12" t="str">
        <f>HYPERLINK("https://www.boe.es/gazeta/dias/1801/01/20/pdfs/GMD-1801-6.pdf#page=12","Abrir facsímil")</f>
        <v>Abrir facsímil</v>
      </c>
      <c r="K2781" s="15" t="s">
        <v>23</v>
      </c>
    </row>
    <row r="2782" spans="1:11" ht="42" customHeight="1">
      <c r="A2782" s="4" t="s">
        <v>6523</v>
      </c>
      <c r="B2782" s="5" t="s">
        <v>6523</v>
      </c>
      <c r="C2782" s="5" t="s">
        <v>38</v>
      </c>
      <c r="D2782" s="5" t="s">
        <v>39</v>
      </c>
      <c r="E2782" s="5" t="s">
        <v>1939</v>
      </c>
      <c r="F2782" s="9">
        <v>107</v>
      </c>
      <c r="G2782" s="9">
        <v>1181</v>
      </c>
      <c r="H2782" s="5" t="s">
        <v>21</v>
      </c>
      <c r="I2782" s="5" t="s">
        <v>6524</v>
      </c>
      <c r="J2782" s="12" t="str">
        <f>HYPERLINK("https://www.boe.es/gazeta/dias/1801/11/17/pdfs/GMD-1801-107.pdf#page=10","Abrir facsímil")</f>
        <v>Abrir facsímil</v>
      </c>
      <c r="K2782" s="15" t="s">
        <v>23</v>
      </c>
    </row>
    <row r="2783" spans="1:11" ht="42" customHeight="1">
      <c r="A2783" s="4" t="s">
        <v>6525</v>
      </c>
      <c r="B2783" s="5" t="s">
        <v>6525</v>
      </c>
      <c r="C2783" s="5" t="s">
        <v>75</v>
      </c>
      <c r="D2783" s="5" t="s">
        <v>76</v>
      </c>
      <c r="E2783" s="5" t="s">
        <v>122</v>
      </c>
      <c r="F2783" s="9">
        <v>8</v>
      </c>
      <c r="G2783" s="9">
        <v>96</v>
      </c>
      <c r="H2783" s="5" t="s">
        <v>21</v>
      </c>
      <c r="I2783" s="5" t="s">
        <v>6526</v>
      </c>
      <c r="J2783" s="12" t="str">
        <f>HYPERLINK("https://www.boe.es/gazeta/dias/1801/01/27/pdfs/GMD-1801-8.pdf#page=8","Abrir facsímil")</f>
        <v>Abrir facsímil</v>
      </c>
      <c r="K2783" s="15" t="s">
        <v>23</v>
      </c>
    </row>
    <row r="2784" spans="1:11" ht="42" customHeight="1">
      <c r="A2784" s="4" t="s">
        <v>6527</v>
      </c>
      <c r="B2784" s="5" t="s">
        <v>6527</v>
      </c>
      <c r="C2784" s="5" t="s">
        <v>38</v>
      </c>
      <c r="D2784" s="5" t="s">
        <v>39</v>
      </c>
      <c r="E2784" s="5" t="s">
        <v>254</v>
      </c>
      <c r="F2784" s="9">
        <v>73</v>
      </c>
      <c r="G2784" s="9">
        <v>813</v>
      </c>
      <c r="H2784" s="5" t="s">
        <v>21</v>
      </c>
      <c r="I2784" s="5" t="s">
        <v>6528</v>
      </c>
      <c r="J2784" s="12" t="str">
        <f>HYPERLINK("https://www.boe.es/gazeta/dias/1801/07/28/pdfs/GMD-1801-73.pdf#page=6","Abrir facsímil")</f>
        <v>Abrir facsímil</v>
      </c>
      <c r="K2784" s="15" t="s">
        <v>23</v>
      </c>
    </row>
    <row r="2785" spans="1:11" ht="42" customHeight="1">
      <c r="A2785" s="4" t="s">
        <v>6529</v>
      </c>
      <c r="B2785" s="5" t="s">
        <v>6529</v>
      </c>
      <c r="C2785" s="5" t="s">
        <v>75</v>
      </c>
      <c r="D2785" s="5" t="s">
        <v>76</v>
      </c>
      <c r="E2785" s="5" t="s">
        <v>328</v>
      </c>
      <c r="F2785" s="9">
        <v>89</v>
      </c>
      <c r="G2785" s="9">
        <v>980</v>
      </c>
      <c r="H2785" s="5" t="s">
        <v>21</v>
      </c>
      <c r="I2785" s="5" t="s">
        <v>6530</v>
      </c>
      <c r="J2785" s="12" t="str">
        <f>HYPERLINK("https://www.boe.es/gazeta/dias/1801/09/15/pdfs/GMD-1801-89.pdf#page=7","Abrir facsímil")</f>
        <v>Abrir facsímil</v>
      </c>
      <c r="K2785" s="15" t="s">
        <v>23</v>
      </c>
    </row>
    <row r="2786" spans="1:11" ht="42" customHeight="1">
      <c r="A2786" s="4" t="s">
        <v>6531</v>
      </c>
      <c r="B2786" s="5" t="s">
        <v>6531</v>
      </c>
      <c r="C2786" s="5" t="s">
        <v>38</v>
      </c>
      <c r="D2786" s="5" t="s">
        <v>39</v>
      </c>
      <c r="E2786" s="5" t="s">
        <v>131</v>
      </c>
      <c r="F2786" s="9">
        <v>22</v>
      </c>
      <c r="G2786" s="9">
        <v>286</v>
      </c>
      <c r="H2786" s="5" t="s">
        <v>21</v>
      </c>
      <c r="I2786" s="5" t="s">
        <v>6532</v>
      </c>
      <c r="J2786" s="12" t="str">
        <f>HYPERLINK("https://www.boe.es/gazeta/dias/1801/03/17/pdfs/GMD-1801-22.pdf#page=3","Abrir facsímil")</f>
        <v>Abrir facsímil</v>
      </c>
      <c r="K2786" s="15" t="s">
        <v>23</v>
      </c>
    </row>
    <row r="2787" spans="1:11" ht="42" customHeight="1">
      <c r="A2787" s="4" t="s">
        <v>6533</v>
      </c>
      <c r="B2787" s="5" t="s">
        <v>6533</v>
      </c>
      <c r="C2787" s="5" t="s">
        <v>32</v>
      </c>
      <c r="D2787" s="5" t="s">
        <v>33</v>
      </c>
      <c r="E2787" s="5" t="s">
        <v>28</v>
      </c>
      <c r="F2787" s="9">
        <v>77</v>
      </c>
      <c r="G2787" s="9">
        <v>861</v>
      </c>
      <c r="H2787" s="5" t="s">
        <v>21</v>
      </c>
      <c r="I2787" s="5" t="s">
        <v>6534</v>
      </c>
      <c r="J2787" s="12" t="str">
        <f>HYPERLINK("https://www.boe.es/gazeta/dias/1801/08/11/pdfs/GMD-1801-77.pdf#page=6","Abrir facsímil")</f>
        <v>Abrir facsímil</v>
      </c>
      <c r="K2787" s="15" t="s">
        <v>23</v>
      </c>
    </row>
    <row r="2788" spans="1:11" ht="42" customHeight="1">
      <c r="A2788" s="4" t="s">
        <v>6535</v>
      </c>
      <c r="B2788" s="5" t="s">
        <v>6535</v>
      </c>
      <c r="C2788" s="5" t="s">
        <v>26</v>
      </c>
      <c r="D2788" s="5" t="s">
        <v>27</v>
      </c>
      <c r="E2788" s="5" t="s">
        <v>135</v>
      </c>
      <c r="F2788" s="9">
        <v>24</v>
      </c>
      <c r="G2788" s="9">
        <v>320</v>
      </c>
      <c r="H2788" s="5" t="s">
        <v>21</v>
      </c>
      <c r="I2788" s="5" t="s">
        <v>6536</v>
      </c>
      <c r="J2788" s="12" t="str">
        <f>HYPERLINK("https://www.boe.es/gazeta/dias/1801/03/24/pdfs/GMD-1801-24.pdf#page=11","Abrir facsímil")</f>
        <v>Abrir facsímil</v>
      </c>
      <c r="K2788" s="15" t="s">
        <v>23</v>
      </c>
    </row>
    <row r="2789" spans="1:11" ht="42" customHeight="1">
      <c r="A2789" s="4" t="s">
        <v>6537</v>
      </c>
      <c r="B2789" s="5" t="s">
        <v>6537</v>
      </c>
      <c r="C2789" s="5" t="s">
        <v>38</v>
      </c>
      <c r="D2789" s="5" t="s">
        <v>39</v>
      </c>
      <c r="E2789" s="5" t="s">
        <v>735</v>
      </c>
      <c r="F2789" s="9">
        <v>97</v>
      </c>
      <c r="G2789" s="9">
        <v>1064</v>
      </c>
      <c r="H2789" s="5" t="s">
        <v>21</v>
      </c>
      <c r="I2789" s="5" t="s">
        <v>6538</v>
      </c>
      <c r="J2789" s="12" t="str">
        <f>HYPERLINK("https://www.boe.es/gazeta/dias/1801/10/13/pdfs/GMD-1801-97.pdf#page=8","Abrir facsímil")</f>
        <v>Abrir facsímil</v>
      </c>
      <c r="K2789" s="15" t="s">
        <v>23</v>
      </c>
    </row>
    <row r="2790" spans="1:11" ht="42" customHeight="1">
      <c r="A2790" s="4" t="s">
        <v>6539</v>
      </c>
      <c r="B2790" s="5" t="s">
        <v>6539</v>
      </c>
      <c r="C2790" s="5" t="s">
        <v>38</v>
      </c>
      <c r="D2790" s="5" t="s">
        <v>39</v>
      </c>
      <c r="E2790" s="5" t="s">
        <v>751</v>
      </c>
      <c r="F2790" s="9">
        <v>106</v>
      </c>
      <c r="G2790" s="9">
        <v>1160</v>
      </c>
      <c r="H2790" s="5" t="s">
        <v>21</v>
      </c>
      <c r="I2790" s="5" t="s">
        <v>6540</v>
      </c>
      <c r="J2790" s="12" t="str">
        <f>HYPERLINK("https://www.boe.es/gazeta/dias/1801/11/13/pdfs/GMD-1801-106.pdf#page=1","Abrir facsímil")</f>
        <v>Abrir facsímil</v>
      </c>
      <c r="K2790" s="15" t="s">
        <v>23</v>
      </c>
    </row>
    <row r="2791" spans="1:11" ht="42" customHeight="1">
      <c r="A2791" s="4" t="s">
        <v>6541</v>
      </c>
      <c r="B2791" s="5" t="s">
        <v>6541</v>
      </c>
      <c r="C2791" s="5" t="s">
        <v>75</v>
      </c>
      <c r="D2791" s="5" t="s">
        <v>76</v>
      </c>
      <c r="E2791" s="5" t="s">
        <v>2237</v>
      </c>
      <c r="F2791" s="9">
        <v>82</v>
      </c>
      <c r="G2791" s="9">
        <v>913</v>
      </c>
      <c r="H2791" s="5" t="s">
        <v>21</v>
      </c>
      <c r="I2791" s="5" t="s">
        <v>6542</v>
      </c>
      <c r="J2791" s="12" t="str">
        <f>HYPERLINK("https://www.boe.es/gazeta/dias/1801/08/28/pdfs/GMD-1801-82.pdf#page=2","Abrir facsímil")</f>
        <v>Abrir facsímil</v>
      </c>
      <c r="K2791" s="15" t="s">
        <v>23</v>
      </c>
    </row>
    <row r="2792" spans="1:11" ht="42" customHeight="1">
      <c r="A2792" s="4" t="s">
        <v>6543</v>
      </c>
      <c r="B2792" s="5" t="s">
        <v>6543</v>
      </c>
      <c r="C2792" s="5" t="s">
        <v>32</v>
      </c>
      <c r="D2792" s="5" t="s">
        <v>33</v>
      </c>
      <c r="E2792" s="5" t="s">
        <v>359</v>
      </c>
      <c r="F2792" s="9">
        <v>101</v>
      </c>
      <c r="G2792" s="9">
        <v>1109</v>
      </c>
      <c r="H2792" s="5" t="s">
        <v>21</v>
      </c>
      <c r="I2792" s="5" t="s">
        <v>6544</v>
      </c>
      <c r="J2792" s="12" t="str">
        <f>HYPERLINK("https://www.boe.es/gazeta/dias/1801/10/27/pdfs/GMD-1801-101.pdf#page=2","Abrir facsímil")</f>
        <v>Abrir facsímil</v>
      </c>
      <c r="K2792" s="15" t="s">
        <v>23</v>
      </c>
    </row>
    <row r="2793" spans="1:11" ht="42" customHeight="1">
      <c r="A2793" s="4" t="s">
        <v>6545</v>
      </c>
      <c r="B2793" s="5" t="s">
        <v>6545</v>
      </c>
      <c r="C2793" s="5" t="s">
        <v>38</v>
      </c>
      <c r="D2793" s="5" t="s">
        <v>39</v>
      </c>
      <c r="E2793" s="5" t="s">
        <v>264</v>
      </c>
      <c r="F2793" s="9">
        <v>111</v>
      </c>
      <c r="G2793" s="9">
        <v>1217</v>
      </c>
      <c r="H2793" s="5" t="s">
        <v>21</v>
      </c>
      <c r="I2793" s="5" t="s">
        <v>6546</v>
      </c>
      <c r="J2793" s="12" t="str">
        <f>HYPERLINK("https://www.boe.es/gazeta/dias/1801/12/01/pdfs/GMD-1801-111.pdf#page=6","Abrir facsímil")</f>
        <v>Abrir facsímil</v>
      </c>
      <c r="K2793" s="15" t="s">
        <v>23</v>
      </c>
    </row>
    <row r="2794" spans="1:11" ht="42" customHeight="1">
      <c r="A2794" s="4" t="s">
        <v>6547</v>
      </c>
      <c r="B2794" s="5" t="s">
        <v>6547</v>
      </c>
      <c r="C2794" s="5" t="s">
        <v>75</v>
      </c>
      <c r="D2794" s="5" t="s">
        <v>76</v>
      </c>
      <c r="E2794" s="5" t="s">
        <v>366</v>
      </c>
      <c r="F2794" s="9">
        <v>86</v>
      </c>
      <c r="G2794" s="9">
        <v>954</v>
      </c>
      <c r="H2794" s="5" t="s">
        <v>21</v>
      </c>
      <c r="I2794" s="5" t="s">
        <v>6548</v>
      </c>
      <c r="J2794" s="12" t="str">
        <f>HYPERLINK("https://www.boe.es/gazeta/dias/1801/09/08/pdfs/GMD-1801-86.pdf#page=5","Abrir facsímil")</f>
        <v>Abrir facsímil</v>
      </c>
      <c r="K2794" s="15" t="s">
        <v>23</v>
      </c>
    </row>
    <row r="2795" spans="1:11" ht="42" customHeight="1">
      <c r="A2795" s="4" t="s">
        <v>6549</v>
      </c>
      <c r="B2795" s="5" t="s">
        <v>6549</v>
      </c>
      <c r="C2795" s="5" t="s">
        <v>38</v>
      </c>
      <c r="D2795" s="5" t="s">
        <v>39</v>
      </c>
      <c r="E2795" s="5" t="s">
        <v>135</v>
      </c>
      <c r="F2795" s="9">
        <v>24</v>
      </c>
      <c r="G2795" s="9">
        <v>317</v>
      </c>
      <c r="H2795" s="5" t="s">
        <v>21</v>
      </c>
      <c r="I2795" s="5" t="s">
        <v>6550</v>
      </c>
      <c r="J2795" s="12" t="str">
        <f>HYPERLINK("https://www.boe.es/gazeta/dias/1801/03/24/pdfs/GMD-1801-24.pdf#page=8","Abrir facsímil")</f>
        <v>Abrir facsímil</v>
      </c>
      <c r="K2795" s="15" t="s">
        <v>23</v>
      </c>
    </row>
    <row r="2796" spans="1:11" ht="42" customHeight="1">
      <c r="A2796" s="4" t="s">
        <v>6551</v>
      </c>
      <c r="B2796" s="5" t="s">
        <v>6551</v>
      </c>
      <c r="C2796" s="5" t="s">
        <v>32</v>
      </c>
      <c r="D2796" s="5" t="s">
        <v>33</v>
      </c>
      <c r="E2796" s="5" t="s">
        <v>313</v>
      </c>
      <c r="F2796" s="9">
        <v>39</v>
      </c>
      <c r="G2796" s="9">
        <v>504</v>
      </c>
      <c r="H2796" s="5" t="s">
        <v>21</v>
      </c>
      <c r="I2796" s="5" t="s">
        <v>6552</v>
      </c>
      <c r="J2796" s="12" t="str">
        <f>HYPERLINK("https://www.boe.es/gazeta/dias/1801/05/15/pdfs/GMD-1801-39.pdf#page=8","Abrir facsímil")</f>
        <v>Abrir facsímil</v>
      </c>
      <c r="K2796" s="15" t="s">
        <v>23</v>
      </c>
    </row>
    <row r="2797" spans="1:11" ht="42" customHeight="1">
      <c r="A2797" s="4" t="s">
        <v>6553</v>
      </c>
      <c r="B2797" s="5" t="s">
        <v>6553</v>
      </c>
      <c r="C2797" s="5" t="s">
        <v>26</v>
      </c>
      <c r="D2797" s="5" t="s">
        <v>27</v>
      </c>
      <c r="E2797" s="5" t="s">
        <v>258</v>
      </c>
      <c r="F2797" s="9">
        <v>96</v>
      </c>
      <c r="G2797" s="9">
        <v>1055</v>
      </c>
      <c r="H2797" s="5" t="s">
        <v>21</v>
      </c>
      <c r="I2797" s="5" t="s">
        <v>6554</v>
      </c>
      <c r="J2797" s="12" t="str">
        <f>HYPERLINK("https://www.boe.es/gazeta/dias/1801/10/09/pdfs/GMD-1801-96.pdf#page=11","Abrir facsímil")</f>
        <v>Abrir facsímil</v>
      </c>
      <c r="K2797" s="15" t="s">
        <v>23</v>
      </c>
    </row>
    <row r="2798" spans="1:11" ht="42" customHeight="1">
      <c r="A2798" s="4" t="s">
        <v>6555</v>
      </c>
      <c r="B2798" s="5" t="s">
        <v>6555</v>
      </c>
      <c r="C2798" s="5" t="s">
        <v>26</v>
      </c>
      <c r="D2798" s="5" t="s">
        <v>27</v>
      </c>
      <c r="E2798" s="5" t="s">
        <v>935</v>
      </c>
      <c r="F2798" s="9">
        <v>116</v>
      </c>
      <c r="G2798" s="9">
        <v>1270</v>
      </c>
      <c r="H2798" s="5" t="s">
        <v>21</v>
      </c>
      <c r="I2798" s="5" t="s">
        <v>6556</v>
      </c>
      <c r="J2798" s="12" t="str">
        <f>HYPERLINK("https://www.boe.es/gazeta/dias/1801/12/18/pdfs/GMD-1801-116.pdf#page=12","Abrir facsímil")</f>
        <v>Abrir facsímil</v>
      </c>
      <c r="K2798" s="15" t="s">
        <v>23</v>
      </c>
    </row>
    <row r="2799" spans="1:11" ht="42" customHeight="1">
      <c r="A2799" s="4" t="s">
        <v>6557</v>
      </c>
      <c r="B2799" s="5" t="s">
        <v>6557</v>
      </c>
      <c r="C2799" s="5" t="s">
        <v>32</v>
      </c>
      <c r="D2799" s="5" t="s">
        <v>33</v>
      </c>
      <c r="E2799" s="5" t="s">
        <v>201</v>
      </c>
      <c r="F2799" s="9">
        <v>79</v>
      </c>
      <c r="G2799" s="9">
        <v>884</v>
      </c>
      <c r="H2799" s="5" t="s">
        <v>21</v>
      </c>
      <c r="I2799" s="5" t="s">
        <v>6558</v>
      </c>
      <c r="J2799" s="12" t="str">
        <f>HYPERLINK("https://www.boe.es/gazeta/dias/1801/08/18/pdfs/GMD-1801-79.pdf#page=1","Abrir facsímil")</f>
        <v>Abrir facsímil</v>
      </c>
      <c r="K2799" s="15" t="s">
        <v>23</v>
      </c>
    </row>
    <row r="2800" spans="1:11" ht="42" customHeight="1">
      <c r="A2800" s="4" t="s">
        <v>6559</v>
      </c>
      <c r="B2800" s="5" t="s">
        <v>6559</v>
      </c>
      <c r="C2800" s="5" t="s">
        <v>75</v>
      </c>
      <c r="D2800" s="5" t="s">
        <v>76</v>
      </c>
      <c r="E2800" s="5" t="s">
        <v>275</v>
      </c>
      <c r="F2800" s="9">
        <v>9</v>
      </c>
      <c r="G2800" s="9">
        <v>111</v>
      </c>
      <c r="H2800" s="5" t="s">
        <v>21</v>
      </c>
      <c r="I2800" s="5" t="s">
        <v>6560</v>
      </c>
      <c r="J2800" s="12" t="str">
        <f>HYPERLINK("https://www.boe.es/gazeta/dias/1801/01/30/pdfs/GMD-1801-9.pdf#page=8","Abrir facsímil")</f>
        <v>Abrir facsímil</v>
      </c>
      <c r="K2800" s="15" t="s">
        <v>23</v>
      </c>
    </row>
    <row r="2801" spans="1:11" ht="42" customHeight="1">
      <c r="A2801" s="4" t="s">
        <v>6561</v>
      </c>
      <c r="B2801" s="5" t="s">
        <v>6561</v>
      </c>
      <c r="C2801" s="5" t="s">
        <v>38</v>
      </c>
      <c r="D2801" s="5" t="s">
        <v>39</v>
      </c>
      <c r="E2801" s="5" t="s">
        <v>112</v>
      </c>
      <c r="F2801" s="9">
        <v>114</v>
      </c>
      <c r="G2801" s="9">
        <v>1246</v>
      </c>
      <c r="H2801" s="5" t="s">
        <v>21</v>
      </c>
      <c r="I2801" s="5" t="s">
        <v>6562</v>
      </c>
      <c r="J2801" s="12" t="str">
        <f>HYPERLINK("https://www.boe.es/gazeta/dias/1801/12/11/pdfs/GMD-1801-114.pdf#page=8","Abrir facsímil")</f>
        <v>Abrir facsímil</v>
      </c>
      <c r="K2801" s="15" t="s">
        <v>23</v>
      </c>
    </row>
    <row r="2802" spans="1:11" ht="42" customHeight="1">
      <c r="A2802" s="4" t="s">
        <v>6563</v>
      </c>
      <c r="B2802" s="5" t="s">
        <v>6563</v>
      </c>
      <c r="C2802" s="5" t="s">
        <v>38</v>
      </c>
      <c r="D2802" s="5" t="s">
        <v>39</v>
      </c>
      <c r="E2802" s="5" t="s">
        <v>112</v>
      </c>
      <c r="F2802" s="9">
        <v>114</v>
      </c>
      <c r="G2802" s="9">
        <v>1246</v>
      </c>
      <c r="H2802" s="5" t="s">
        <v>21</v>
      </c>
      <c r="I2802" s="5" t="s">
        <v>6564</v>
      </c>
      <c r="J2802" s="12" t="str">
        <f>HYPERLINK("https://www.boe.es/gazeta/dias/1801/12/11/pdfs/GMD-1801-114.pdf#page=8","Abrir facsímil")</f>
        <v>Abrir facsímil</v>
      </c>
      <c r="K2802" s="15" t="s">
        <v>23</v>
      </c>
    </row>
    <row r="2803" spans="1:11" ht="42" customHeight="1">
      <c r="A2803" s="4" t="s">
        <v>6565</v>
      </c>
      <c r="B2803" s="5" t="s">
        <v>6565</v>
      </c>
      <c r="C2803" s="5" t="s">
        <v>38</v>
      </c>
      <c r="D2803" s="5" t="s">
        <v>39</v>
      </c>
      <c r="E2803" s="5" t="s">
        <v>211</v>
      </c>
      <c r="F2803" s="9">
        <v>87</v>
      </c>
      <c r="G2803" s="9">
        <v>966</v>
      </c>
      <c r="H2803" s="5" t="s">
        <v>21</v>
      </c>
      <c r="I2803" s="5" t="s">
        <v>6566</v>
      </c>
      <c r="J2803" s="12" t="str">
        <f>HYPERLINK("https://www.boe.es/gazeta/dias/1801/09/11/pdfs/GMD-1801-87.pdf#page=9","Abrir facsímil")</f>
        <v>Abrir facsímil</v>
      </c>
      <c r="K2803" s="15" t="s">
        <v>23</v>
      </c>
    </row>
    <row r="2804" spans="1:11" ht="42" customHeight="1">
      <c r="A2804" s="4" t="s">
        <v>6567</v>
      </c>
      <c r="B2804" s="5" t="s">
        <v>6567</v>
      </c>
      <c r="C2804" s="5" t="s">
        <v>32</v>
      </c>
      <c r="D2804" s="5" t="s">
        <v>33</v>
      </c>
      <c r="E2804" s="5" t="s">
        <v>453</v>
      </c>
      <c r="F2804" s="9">
        <v>100</v>
      </c>
      <c r="G2804" s="9">
        <v>1098</v>
      </c>
      <c r="H2804" s="5" t="s">
        <v>21</v>
      </c>
      <c r="I2804" s="5" t="s">
        <v>6568</v>
      </c>
      <c r="J2804" s="12" t="str">
        <f>HYPERLINK("https://www.boe.es/gazeta/dias/1801/10/23/pdfs/GMD-1801-100.pdf#page=7","Abrir facsímil")</f>
        <v>Abrir facsímil</v>
      </c>
      <c r="K2804" s="15" t="s">
        <v>23</v>
      </c>
    </row>
    <row r="2805" spans="1:11" ht="42" customHeight="1">
      <c r="A2805" s="4" t="s">
        <v>6569</v>
      </c>
      <c r="B2805" s="5" t="s">
        <v>6569</v>
      </c>
      <c r="C2805" s="5" t="s">
        <v>32</v>
      </c>
      <c r="D2805" s="5" t="s">
        <v>33</v>
      </c>
      <c r="E2805" s="5" t="s">
        <v>417</v>
      </c>
      <c r="F2805" s="9">
        <v>64</v>
      </c>
      <c r="G2805" s="9">
        <v>723</v>
      </c>
      <c r="H2805" s="5" t="s">
        <v>21</v>
      </c>
      <c r="I2805" s="5" t="s">
        <v>6570</v>
      </c>
      <c r="J2805" s="12" t="str">
        <f>HYPERLINK("https://www.boe.es/gazeta/dias/1801/07/07/pdfs/GMD-1801-64.pdf#page=4","Abrir facsímil")</f>
        <v>Abrir facsímil</v>
      </c>
      <c r="K2805" s="15" t="s">
        <v>23</v>
      </c>
    </row>
    <row r="2806" spans="1:11" ht="42" customHeight="1">
      <c r="A2806" s="4" t="s">
        <v>6571</v>
      </c>
      <c r="B2806" s="5" t="s">
        <v>6571</v>
      </c>
      <c r="C2806" s="5" t="s">
        <v>38</v>
      </c>
      <c r="D2806" s="5" t="s">
        <v>39</v>
      </c>
      <c r="E2806" s="5" t="s">
        <v>1436</v>
      </c>
      <c r="F2806" s="9">
        <v>95</v>
      </c>
      <c r="G2806" s="9">
        <v>1038</v>
      </c>
      <c r="H2806" s="5" t="s">
        <v>21</v>
      </c>
      <c r="I2806" s="5" t="s">
        <v>6572</v>
      </c>
      <c r="J2806" s="12" t="str">
        <f>HYPERLINK("https://www.boe.es/gazeta/dias/1801/10/06/pdfs/GMD-1801-95.pdf#page=2","Abrir facsímil")</f>
        <v>Abrir facsímil</v>
      </c>
      <c r="K2806" s="15" t="s">
        <v>23</v>
      </c>
    </row>
    <row r="2807" spans="1:11" ht="42" customHeight="1">
      <c r="A2807" s="4" t="s">
        <v>6573</v>
      </c>
      <c r="B2807" s="5" t="s">
        <v>6573</v>
      </c>
      <c r="C2807" s="5" t="s">
        <v>38</v>
      </c>
      <c r="D2807" s="5" t="s">
        <v>39</v>
      </c>
      <c r="E2807" s="5" t="s">
        <v>173</v>
      </c>
      <c r="F2807" s="9">
        <v>98</v>
      </c>
      <c r="G2807" s="9">
        <v>1073</v>
      </c>
      <c r="H2807" s="5" t="s">
        <v>21</v>
      </c>
      <c r="I2807" s="5" t="s">
        <v>6574</v>
      </c>
      <c r="J2807" s="12" t="str">
        <f>HYPERLINK("https://www.boe.es/gazeta/dias/1801/10/16/pdfs/GMD-1801-98.pdf#page=5","Abrir facsímil")</f>
        <v>Abrir facsímil</v>
      </c>
      <c r="K2807" s="15" t="s">
        <v>23</v>
      </c>
    </row>
    <row r="2808" spans="1:11" ht="42" customHeight="1">
      <c r="A2808" s="4" t="s">
        <v>6575</v>
      </c>
      <c r="B2808" s="5" t="s">
        <v>6575</v>
      </c>
      <c r="C2808" s="5" t="s">
        <v>75</v>
      </c>
      <c r="D2808" s="5" t="s">
        <v>76</v>
      </c>
      <c r="E2808" s="5" t="s">
        <v>223</v>
      </c>
      <c r="F2808" s="9">
        <v>74</v>
      </c>
      <c r="G2808" s="9">
        <v>826</v>
      </c>
      <c r="H2808" s="5" t="s">
        <v>21</v>
      </c>
      <c r="I2808" s="5" t="s">
        <v>6576</v>
      </c>
      <c r="J2808" s="12" t="str">
        <f>HYPERLINK("https://www.boe.es/gazeta/dias/1801/07/31/pdfs/GMD-1801-74.pdf#page=7","Abrir facsímil")</f>
        <v>Abrir facsímil</v>
      </c>
      <c r="K2808" s="15" t="s">
        <v>23</v>
      </c>
    </row>
    <row r="2809" spans="1:11" ht="42" customHeight="1">
      <c r="A2809" s="4" t="s">
        <v>6577</v>
      </c>
      <c r="B2809" s="5" t="s">
        <v>6577</v>
      </c>
      <c r="C2809" s="5" t="s">
        <v>38</v>
      </c>
      <c r="D2809" s="5" t="s">
        <v>39</v>
      </c>
      <c r="E2809" s="5" t="s">
        <v>62</v>
      </c>
      <c r="F2809" s="9">
        <v>6</v>
      </c>
      <c r="G2809" s="9">
        <v>72</v>
      </c>
      <c r="H2809" s="5" t="s">
        <v>21</v>
      </c>
      <c r="I2809" s="5" t="s">
        <v>6578</v>
      </c>
      <c r="J2809" s="12" t="str">
        <f>HYPERLINK("https://www.boe.es/gazeta/dias/1801/01/20/pdfs/GMD-1801-6.pdf#page=8","Abrir facsímil")</f>
        <v>Abrir facsímil</v>
      </c>
      <c r="K2809" s="15" t="s">
        <v>23</v>
      </c>
    </row>
    <row r="2810" spans="1:11" ht="42" customHeight="1">
      <c r="A2810" s="4" t="s">
        <v>6579</v>
      </c>
      <c r="B2810" s="5" t="s">
        <v>6579</v>
      </c>
      <c r="C2810" s="5" t="s">
        <v>38</v>
      </c>
      <c r="D2810" s="5" t="s">
        <v>39</v>
      </c>
      <c r="E2810" s="5" t="s">
        <v>1085</v>
      </c>
      <c r="F2810" s="9">
        <v>99</v>
      </c>
      <c r="G2810" s="9">
        <v>1088</v>
      </c>
      <c r="H2810" s="5" t="s">
        <v>21</v>
      </c>
      <c r="I2810" s="5" t="s">
        <v>6580</v>
      </c>
      <c r="J2810" s="12" t="str">
        <f>HYPERLINK("https://www.boe.es/gazeta/dias/1801/10/20/pdfs/GMD-1801-99.pdf#page=5","Abrir facsímil")</f>
        <v>Abrir facsímil</v>
      </c>
      <c r="K2810" s="15" t="s">
        <v>23</v>
      </c>
    </row>
    <row r="2811" spans="1:11" ht="42" customHeight="1">
      <c r="A2811" s="4" t="s">
        <v>6581</v>
      </c>
      <c r="B2811" s="5" t="s">
        <v>6581</v>
      </c>
      <c r="C2811" s="5" t="s">
        <v>32</v>
      </c>
      <c r="D2811" s="5" t="s">
        <v>33</v>
      </c>
      <c r="E2811" s="5" t="s">
        <v>292</v>
      </c>
      <c r="F2811" s="9">
        <v>25</v>
      </c>
      <c r="G2811" s="9">
        <v>324</v>
      </c>
      <c r="H2811" s="5" t="s">
        <v>21</v>
      </c>
      <c r="I2811" s="5" t="s">
        <v>6582</v>
      </c>
      <c r="J2811" s="12" t="str">
        <f>HYPERLINK("https://www.boe.es/gazeta/dias/1801/03/27/pdfs/GMD-1801-25.pdf#page=3","Abrir facsímil")</f>
        <v>Abrir facsímil</v>
      </c>
      <c r="K2811" s="15" t="s">
        <v>23</v>
      </c>
    </row>
    <row r="2812" spans="1:11" ht="42" customHeight="1">
      <c r="A2812" s="4" t="s">
        <v>6583</v>
      </c>
      <c r="B2812" s="5" t="s">
        <v>6583</v>
      </c>
      <c r="C2812" s="5" t="s">
        <v>38</v>
      </c>
      <c r="D2812" s="5" t="s">
        <v>39</v>
      </c>
      <c r="E2812" s="5" t="s">
        <v>258</v>
      </c>
      <c r="F2812" s="9">
        <v>96</v>
      </c>
      <c r="G2812" s="9">
        <v>1054</v>
      </c>
      <c r="H2812" s="5" t="s">
        <v>21</v>
      </c>
      <c r="I2812" s="5" t="s">
        <v>6584</v>
      </c>
      <c r="J2812" s="12" t="str">
        <f>HYPERLINK("https://www.boe.es/gazeta/dias/1801/10/09/pdfs/GMD-1801-96.pdf#page=10","Abrir facsímil")</f>
        <v>Abrir facsímil</v>
      </c>
      <c r="K2812" s="15" t="s">
        <v>23</v>
      </c>
    </row>
    <row r="2813" spans="1:11" ht="42" customHeight="1">
      <c r="A2813" s="4" t="s">
        <v>6585</v>
      </c>
      <c r="B2813" s="5" t="s">
        <v>6585</v>
      </c>
      <c r="C2813" s="5" t="s">
        <v>38</v>
      </c>
      <c r="D2813" s="5" t="s">
        <v>39</v>
      </c>
      <c r="E2813" s="5" t="s">
        <v>219</v>
      </c>
      <c r="F2813" s="9">
        <v>26</v>
      </c>
      <c r="G2813" s="9">
        <v>345</v>
      </c>
      <c r="H2813" s="5" t="s">
        <v>21</v>
      </c>
      <c r="I2813" s="5" t="s">
        <v>6586</v>
      </c>
      <c r="J2813" s="12" t="str">
        <f>HYPERLINK("https://www.boe.es/gazeta/dias/1801/03/31/pdfs/GMD-1801-26.pdf#page=9","Abrir facsímil")</f>
        <v>Abrir facsímil</v>
      </c>
      <c r="K2813" s="15" t="s">
        <v>23</v>
      </c>
    </row>
    <row r="2814" spans="1:11" ht="42" customHeight="1">
      <c r="A2814" s="4" t="s">
        <v>6587</v>
      </c>
      <c r="B2814" s="5" t="s">
        <v>6587</v>
      </c>
      <c r="C2814" s="5" t="s">
        <v>32</v>
      </c>
      <c r="D2814" s="5" t="s">
        <v>33</v>
      </c>
      <c r="E2814" s="5" t="s">
        <v>254</v>
      </c>
      <c r="F2814" s="9">
        <v>73</v>
      </c>
      <c r="G2814" s="9">
        <v>814</v>
      </c>
      <c r="H2814" s="5" t="s">
        <v>21</v>
      </c>
      <c r="I2814" s="5" t="s">
        <v>6588</v>
      </c>
      <c r="J2814" s="12" t="str">
        <f>HYPERLINK("https://www.boe.es/gazeta/dias/1801/07/28/pdfs/GMD-1801-73.pdf#page=7","Abrir facsímil")</f>
        <v>Abrir facsímil</v>
      </c>
      <c r="K2814" s="15" t="s">
        <v>23</v>
      </c>
    </row>
    <row r="2815" spans="1:11" ht="42" customHeight="1">
      <c r="A2815" s="4" t="s">
        <v>6589</v>
      </c>
      <c r="B2815" s="5" t="s">
        <v>6589</v>
      </c>
      <c r="C2815" s="5" t="s">
        <v>26</v>
      </c>
      <c r="D2815" s="5" t="s">
        <v>27</v>
      </c>
      <c r="E2815" s="5" t="s">
        <v>321</v>
      </c>
      <c r="F2815" s="9">
        <v>3</v>
      </c>
      <c r="G2815" s="9">
        <v>31</v>
      </c>
      <c r="H2815" s="5" t="s">
        <v>21</v>
      </c>
      <c r="I2815" s="5" t="s">
        <v>6590</v>
      </c>
      <c r="J2815" s="12" t="str">
        <f>HYPERLINK("https://www.boe.es/gazeta/dias/1801/01/09/pdfs/GMD-1801-3.pdf#page=7","Abrir facsímil")</f>
        <v>Abrir facsímil</v>
      </c>
      <c r="K2815" s="15" t="s">
        <v>23</v>
      </c>
    </row>
    <row r="2816" spans="1:11" ht="42" customHeight="1">
      <c r="A2816" s="4" t="s">
        <v>6591</v>
      </c>
      <c r="B2816" s="5" t="s">
        <v>6591</v>
      </c>
      <c r="C2816" s="5" t="s">
        <v>18</v>
      </c>
      <c r="D2816" s="5" t="s">
        <v>19</v>
      </c>
      <c r="E2816" s="5" t="s">
        <v>321</v>
      </c>
      <c r="F2816" s="9">
        <v>3</v>
      </c>
      <c r="G2816" s="9">
        <v>32</v>
      </c>
      <c r="H2816" s="5" t="s">
        <v>21</v>
      </c>
      <c r="I2816" s="5" t="s">
        <v>6592</v>
      </c>
      <c r="J2816" s="12" t="str">
        <f>HYPERLINK("https://www.boe.es/gazeta/dias/1801/01/09/pdfs/GMD-1801-3.pdf#page=8","Abrir facsímil")</f>
        <v>Abrir facsímil</v>
      </c>
      <c r="K2816" s="15" t="s">
        <v>23</v>
      </c>
    </row>
    <row r="2817" spans="1:11" ht="42" customHeight="1">
      <c r="A2817" s="4" t="s">
        <v>6593</v>
      </c>
      <c r="B2817" s="5" t="s">
        <v>6593</v>
      </c>
      <c r="C2817" s="5" t="s">
        <v>38</v>
      </c>
      <c r="D2817" s="5" t="s">
        <v>39</v>
      </c>
      <c r="E2817" s="5" t="s">
        <v>501</v>
      </c>
      <c r="F2817" s="9">
        <v>115</v>
      </c>
      <c r="G2817" s="9">
        <v>1255</v>
      </c>
      <c r="H2817" s="5" t="s">
        <v>21</v>
      </c>
      <c r="I2817" s="5" t="s">
        <v>6594</v>
      </c>
      <c r="J2817" s="12" t="str">
        <f>HYPERLINK("https://www.boe.es/gazeta/dias/1801/12/15/pdfs/GMD-1801-115.pdf#page=5","Abrir facsímil")</f>
        <v>Abrir facsímil</v>
      </c>
      <c r="K2817" s="15" t="s">
        <v>23</v>
      </c>
    </row>
    <row r="2818" spans="1:11" ht="42" customHeight="1">
      <c r="A2818" s="4" t="s">
        <v>6595</v>
      </c>
      <c r="B2818" s="5" t="s">
        <v>6595</v>
      </c>
      <c r="C2818" s="5" t="s">
        <v>18</v>
      </c>
      <c r="D2818" s="5" t="s">
        <v>19</v>
      </c>
      <c r="E2818" s="5" t="s">
        <v>179</v>
      </c>
      <c r="F2818" s="9">
        <v>11</v>
      </c>
      <c r="G2818" s="9">
        <v>137</v>
      </c>
      <c r="H2818" s="5" t="s">
        <v>21</v>
      </c>
      <c r="I2818" s="5" t="s">
        <v>6596</v>
      </c>
      <c r="J2818" s="12" t="str">
        <f>HYPERLINK("https://www.boe.es/gazeta/dias/1801/02/06/pdfs/GMD-1801-11.pdf#page=10","Abrir facsímil")</f>
        <v>Abrir facsímil</v>
      </c>
      <c r="K2818" s="15" t="s">
        <v>23</v>
      </c>
    </row>
    <row r="2819" spans="1:11" ht="42" customHeight="1">
      <c r="A2819" s="4" t="s">
        <v>6597</v>
      </c>
      <c r="B2819" s="5" t="s">
        <v>6597</v>
      </c>
      <c r="C2819" s="5" t="s">
        <v>26</v>
      </c>
      <c r="D2819" s="5" t="s">
        <v>27</v>
      </c>
      <c r="E2819" s="5" t="s">
        <v>366</v>
      </c>
      <c r="F2819" s="9">
        <v>86</v>
      </c>
      <c r="G2819" s="9">
        <v>957</v>
      </c>
      <c r="H2819" s="5" t="s">
        <v>21</v>
      </c>
      <c r="I2819" s="5" t="s">
        <v>6598</v>
      </c>
      <c r="J2819" s="12" t="str">
        <f>HYPERLINK("https://www.boe.es/gazeta/dias/1801/09/08/pdfs/GMD-1801-86.pdf#page=8","Abrir facsímil")</f>
        <v>Abrir facsímil</v>
      </c>
      <c r="K2819" s="15" t="s">
        <v>23</v>
      </c>
    </row>
    <row r="2820" spans="1:11" ht="42" customHeight="1">
      <c r="A2820" s="4" t="s">
        <v>6599</v>
      </c>
      <c r="B2820" s="5" t="s">
        <v>6599</v>
      </c>
      <c r="C2820" s="5" t="s">
        <v>38</v>
      </c>
      <c r="D2820" s="5" t="s">
        <v>39</v>
      </c>
      <c r="E2820" s="5" t="s">
        <v>417</v>
      </c>
      <c r="F2820" s="9">
        <v>64</v>
      </c>
      <c r="G2820" s="9">
        <v>725</v>
      </c>
      <c r="H2820" s="5" t="s">
        <v>21</v>
      </c>
      <c r="I2820" s="5" t="s">
        <v>6600</v>
      </c>
      <c r="J2820" s="12" t="str">
        <f>HYPERLINK("https://www.boe.es/gazeta/dias/1801/07/07/pdfs/GMD-1801-64.pdf#page=6","Abrir facsímil")</f>
        <v>Abrir facsímil</v>
      </c>
      <c r="K2820" s="15" t="s">
        <v>23</v>
      </c>
    </row>
    <row r="2821" spans="1:11" ht="42" customHeight="1">
      <c r="A2821" s="4" t="s">
        <v>6601</v>
      </c>
      <c r="B2821" s="5" t="s">
        <v>6602</v>
      </c>
      <c r="C2821" s="5" t="s">
        <v>75</v>
      </c>
      <c r="D2821" s="5" t="s">
        <v>76</v>
      </c>
      <c r="E2821" s="5" t="s">
        <v>124</v>
      </c>
      <c r="F2821" s="9">
        <v>12</v>
      </c>
      <c r="G2821" s="9">
        <v>144</v>
      </c>
      <c r="H2821" s="5" t="s">
        <v>21</v>
      </c>
      <c r="I2821" s="5" t="s">
        <v>6603</v>
      </c>
      <c r="J2821" s="12" t="str">
        <f>HYPERLINK("https://www.boe.es/gazeta/dias/1801/02/10/pdfs/GMD-1801-12.pdf#page=5","Abrir facsímil")</f>
        <v>Abrir facsímil</v>
      </c>
      <c r="K2821" s="15" t="s">
        <v>23</v>
      </c>
    </row>
    <row r="2822" spans="1:11" ht="42" customHeight="1">
      <c r="A2822" s="4" t="s">
        <v>6604</v>
      </c>
      <c r="B2822" s="5" t="s">
        <v>6605</v>
      </c>
      <c r="C2822" s="5" t="s">
        <v>80</v>
      </c>
      <c r="D2822" s="5" t="s">
        <v>81</v>
      </c>
      <c r="E2822" s="5" t="s">
        <v>289</v>
      </c>
      <c r="F2822" s="9">
        <v>40</v>
      </c>
      <c r="G2822" s="9" t="s">
        <v>517</v>
      </c>
      <c r="H2822" s="5" t="s">
        <v>21</v>
      </c>
      <c r="I2822" s="5" t="s">
        <v>6606</v>
      </c>
      <c r="J2822" s="12" t="str">
        <f>HYPERLINK("https://www.boe.es/gazeta/dias/1801/05/19/pdfs/GMD-C-1801-40.pdf#page=7","Abrir facsímil")</f>
        <v>Abrir facsímil</v>
      </c>
      <c r="K2822" s="15" t="s">
        <v>23</v>
      </c>
    </row>
    <row r="2823" spans="1:11" ht="42" customHeight="1">
      <c r="A2823" s="4" t="s">
        <v>6607</v>
      </c>
      <c r="B2823" s="5" t="s">
        <v>6607</v>
      </c>
      <c r="C2823" s="5" t="s">
        <v>69</v>
      </c>
      <c r="D2823" s="5" t="s">
        <v>19</v>
      </c>
      <c r="E2823" s="5" t="s">
        <v>135</v>
      </c>
      <c r="F2823" s="9">
        <v>24</v>
      </c>
      <c r="G2823" s="9">
        <v>319</v>
      </c>
      <c r="H2823" s="5" t="s">
        <v>21</v>
      </c>
      <c r="I2823" s="5" t="s">
        <v>6608</v>
      </c>
      <c r="J2823" s="12" t="str">
        <f>HYPERLINK("https://www.boe.es/gazeta/dias/1801/03/24/pdfs/GMD-1801-24.pdf#page=10","Abrir facsímil")</f>
        <v>Abrir facsímil</v>
      </c>
      <c r="K2823" s="15" t="s">
        <v>23</v>
      </c>
    </row>
    <row r="2824" spans="1:11" ht="42" customHeight="1">
      <c r="A2824" s="4" t="s">
        <v>6609</v>
      </c>
      <c r="B2824" s="5" t="s">
        <v>6609</v>
      </c>
      <c r="C2824" s="5" t="s">
        <v>38</v>
      </c>
      <c r="D2824" s="5" t="s">
        <v>39</v>
      </c>
      <c r="E2824" s="5" t="s">
        <v>171</v>
      </c>
      <c r="F2824" s="9">
        <v>76</v>
      </c>
      <c r="G2824" s="9">
        <v>846</v>
      </c>
      <c r="H2824" s="5" t="s">
        <v>21</v>
      </c>
      <c r="I2824" s="5" t="s">
        <v>6610</v>
      </c>
      <c r="J2824" s="12" t="str">
        <f>HYPERLINK("https://www.boe.es/gazeta/dias/1801/08/07/pdfs/GMD-1801-76.pdf#page=3","Abrir facsímil")</f>
        <v>Abrir facsímil</v>
      </c>
      <c r="K2824" s="15" t="s">
        <v>23</v>
      </c>
    </row>
    <row r="2825" spans="1:11" ht="42" customHeight="1">
      <c r="A2825" s="4" t="s">
        <v>6611</v>
      </c>
      <c r="B2825" s="5" t="s">
        <v>6612</v>
      </c>
      <c r="C2825" s="5" t="s">
        <v>75</v>
      </c>
      <c r="D2825" s="5" t="s">
        <v>76</v>
      </c>
      <c r="E2825" s="5" t="s">
        <v>1085</v>
      </c>
      <c r="F2825" s="9">
        <v>99</v>
      </c>
      <c r="G2825" s="9">
        <v>1087</v>
      </c>
      <c r="H2825" s="5" t="s">
        <v>21</v>
      </c>
      <c r="I2825" s="5" t="s">
        <v>6613</v>
      </c>
      <c r="J2825" s="12" t="str">
        <f>HYPERLINK("https://www.boe.es/gazeta/dias/1801/10/20/pdfs/GMD-1801-99.pdf#page=4","Abrir facsímil")</f>
        <v>Abrir facsímil</v>
      </c>
      <c r="K2825" s="15" t="s">
        <v>23</v>
      </c>
    </row>
    <row r="2826" spans="1:11" ht="42" customHeight="1">
      <c r="A2826" s="4" t="s">
        <v>6614</v>
      </c>
      <c r="B2826" s="5" t="s">
        <v>6614</v>
      </c>
      <c r="C2826" s="5" t="s">
        <v>75</v>
      </c>
      <c r="D2826" s="5" t="s">
        <v>76</v>
      </c>
      <c r="E2826" s="5" t="s">
        <v>712</v>
      </c>
      <c r="F2826" s="9">
        <v>105</v>
      </c>
      <c r="G2826" s="9">
        <v>1152</v>
      </c>
      <c r="H2826" s="5" t="s">
        <v>21</v>
      </c>
      <c r="I2826" s="5" t="s">
        <v>6615</v>
      </c>
      <c r="J2826" s="12" t="str">
        <f>HYPERLINK("https://www.boe.es/gazeta/dias/1801/11/10/pdfs/GMD-1801-105.pdf#page=5","Abrir facsímil")</f>
        <v>Abrir facsímil</v>
      </c>
      <c r="K2826" s="15" t="s">
        <v>23</v>
      </c>
    </row>
    <row r="2827" spans="1:11" ht="42" customHeight="1">
      <c r="A2827" s="4" t="s">
        <v>6616</v>
      </c>
      <c r="B2827" s="5" t="s">
        <v>6617</v>
      </c>
      <c r="C2827" s="5" t="s">
        <v>32</v>
      </c>
      <c r="D2827" s="5" t="s">
        <v>33</v>
      </c>
      <c r="E2827" s="5" t="s">
        <v>349</v>
      </c>
      <c r="F2827" s="9">
        <v>112</v>
      </c>
      <c r="G2827" s="9">
        <v>1225</v>
      </c>
      <c r="H2827" s="5" t="s">
        <v>21</v>
      </c>
      <c r="I2827" s="5" t="s">
        <v>6618</v>
      </c>
      <c r="J2827" s="12" t="str">
        <f>HYPERLINK("https://www.boe.es/gazeta/dias/1801/12/04/pdfs/GMD-1801-112.pdf#page=6","Abrir facsímil")</f>
        <v>Abrir facsímil</v>
      </c>
      <c r="K2827" s="15" t="s">
        <v>23</v>
      </c>
    </row>
    <row r="2828" spans="1:11" ht="42" customHeight="1">
      <c r="A2828" s="4" t="s">
        <v>6619</v>
      </c>
      <c r="B2828" s="5" t="s">
        <v>6620</v>
      </c>
      <c r="C2828" s="5" t="s">
        <v>69</v>
      </c>
      <c r="D2828" s="5" t="s">
        <v>19</v>
      </c>
      <c r="E2828" s="5" t="s">
        <v>112</v>
      </c>
      <c r="F2828" s="9">
        <v>114</v>
      </c>
      <c r="G2828" s="9">
        <v>1247</v>
      </c>
      <c r="H2828" s="5" t="s">
        <v>21</v>
      </c>
      <c r="I2828" s="5" t="s">
        <v>6621</v>
      </c>
      <c r="J2828" s="12" t="str">
        <f>HYPERLINK("https://www.boe.es/gazeta/dias/1801/12/11/pdfs/GMD-1801-114.pdf#page=9","Abrir facsímil")</f>
        <v>Abrir facsímil</v>
      </c>
      <c r="K2828" s="15" t="s">
        <v>23</v>
      </c>
    </row>
    <row r="2829" spans="1:11" ht="42" customHeight="1">
      <c r="A2829" s="4" t="s">
        <v>6622</v>
      </c>
      <c r="B2829" s="5" t="s">
        <v>6623</v>
      </c>
      <c r="C2829" s="5" t="s">
        <v>32</v>
      </c>
      <c r="D2829" s="5" t="s">
        <v>33</v>
      </c>
      <c r="E2829" s="5" t="s">
        <v>190</v>
      </c>
      <c r="F2829" s="9">
        <v>16</v>
      </c>
      <c r="G2829" s="9">
        <v>201</v>
      </c>
      <c r="H2829" s="5" t="s">
        <v>21</v>
      </c>
      <c r="I2829" s="5" t="s">
        <v>6624</v>
      </c>
      <c r="J2829" s="12" t="str">
        <f>HYPERLINK("https://www.boe.es/gazeta/dias/1801/02/24/pdfs/GMD-1801-16.pdf#page=8","Abrir facsímil")</f>
        <v>Abrir facsímil</v>
      </c>
      <c r="K2829" s="15" t="s">
        <v>23</v>
      </c>
    </row>
    <row r="2830" spans="1:11" ht="42" customHeight="1">
      <c r="A2830" s="4" t="s">
        <v>6625</v>
      </c>
      <c r="B2830" s="5" t="s">
        <v>6626</v>
      </c>
      <c r="C2830" s="5" t="s">
        <v>75</v>
      </c>
      <c r="D2830" s="5" t="s">
        <v>76</v>
      </c>
      <c r="E2830" s="5" t="s">
        <v>158</v>
      </c>
      <c r="F2830" s="9">
        <v>55</v>
      </c>
      <c r="G2830" s="9">
        <v>627</v>
      </c>
      <c r="H2830" s="5" t="s">
        <v>21</v>
      </c>
      <c r="I2830" s="5" t="s">
        <v>6627</v>
      </c>
      <c r="J2830" s="12" t="str">
        <f>HYPERLINK("https://www.boe.es/gazeta/dias/1801/06/16/pdfs/GMD-1801-55.pdf#page=3","Abrir facsímil")</f>
        <v>Abrir facsímil</v>
      </c>
      <c r="K2830" s="15" t="s">
        <v>23</v>
      </c>
    </row>
    <row r="2831" spans="1:11" ht="42" customHeight="1">
      <c r="A2831" s="4" t="s">
        <v>6625</v>
      </c>
      <c r="B2831" s="5" t="s">
        <v>6626</v>
      </c>
      <c r="C2831" s="5" t="s">
        <v>38</v>
      </c>
      <c r="D2831" s="5" t="s">
        <v>39</v>
      </c>
      <c r="E2831" s="5" t="s">
        <v>173</v>
      </c>
      <c r="F2831" s="9">
        <v>98</v>
      </c>
      <c r="G2831" s="9">
        <v>1074</v>
      </c>
      <c r="H2831" s="5" t="s">
        <v>21</v>
      </c>
      <c r="I2831" s="5" t="s">
        <v>6628</v>
      </c>
      <c r="J2831" s="12" t="str">
        <f>HYPERLINK("https://www.boe.es/gazeta/dias/1801/10/16/pdfs/GMD-1801-98.pdf#page=6","Abrir facsímil")</f>
        <v>Abrir facsímil</v>
      </c>
      <c r="K2831" s="15" t="s">
        <v>23</v>
      </c>
    </row>
    <row r="2832" spans="1:11" ht="42" customHeight="1">
      <c r="A2832" s="4" t="s">
        <v>6629</v>
      </c>
      <c r="B2832" s="5" t="s">
        <v>6630</v>
      </c>
      <c r="C2832" s="5" t="s">
        <v>69</v>
      </c>
      <c r="D2832" s="5" t="s">
        <v>19</v>
      </c>
      <c r="E2832" s="5" t="s">
        <v>712</v>
      </c>
      <c r="F2832" s="9">
        <v>105</v>
      </c>
      <c r="G2832" s="9">
        <v>1157</v>
      </c>
      <c r="H2832" s="5" t="s">
        <v>21</v>
      </c>
      <c r="I2832" s="5" t="s">
        <v>6631</v>
      </c>
      <c r="J2832" s="12" t="str">
        <f>HYPERLINK("https://www.boe.es/gazeta/dias/1801/11/10/pdfs/GMD-1801-105.pdf#page=10","Abrir facsímil")</f>
        <v>Abrir facsímil</v>
      </c>
      <c r="K2832" s="15" t="s">
        <v>23</v>
      </c>
    </row>
    <row r="2833" spans="1:11" ht="42" customHeight="1">
      <c r="A2833" s="4" t="s">
        <v>6632</v>
      </c>
      <c r="B2833" s="5" t="s">
        <v>6633</v>
      </c>
      <c r="C2833" s="5" t="s">
        <v>32</v>
      </c>
      <c r="D2833" s="5" t="s">
        <v>33</v>
      </c>
      <c r="E2833" s="5" t="s">
        <v>328</v>
      </c>
      <c r="F2833" s="9">
        <v>89</v>
      </c>
      <c r="G2833" s="9">
        <v>981</v>
      </c>
      <c r="H2833" s="5" t="s">
        <v>21</v>
      </c>
      <c r="I2833" s="5" t="s">
        <v>6634</v>
      </c>
      <c r="J2833" s="12" t="str">
        <f>HYPERLINK("https://www.boe.es/gazeta/dias/1801/09/15/pdfs/GMD-1801-89.pdf#page=8","Abrir facsímil")</f>
        <v>Abrir facsímil</v>
      </c>
      <c r="K2833" s="15" t="s">
        <v>23</v>
      </c>
    </row>
    <row r="2834" spans="1:11" ht="42" customHeight="1">
      <c r="A2834" s="4" t="s">
        <v>6635</v>
      </c>
      <c r="B2834" s="5" t="s">
        <v>6636</v>
      </c>
      <c r="C2834" s="5" t="s">
        <v>26</v>
      </c>
      <c r="D2834" s="5" t="s">
        <v>27</v>
      </c>
      <c r="E2834" s="5" t="s">
        <v>328</v>
      </c>
      <c r="F2834" s="9">
        <v>89</v>
      </c>
      <c r="G2834" s="9">
        <v>981</v>
      </c>
      <c r="H2834" s="5" t="s">
        <v>21</v>
      </c>
      <c r="I2834" s="5" t="s">
        <v>6637</v>
      </c>
      <c r="J2834" s="12" t="str">
        <f>HYPERLINK("https://www.boe.es/gazeta/dias/1801/09/15/pdfs/GMD-1801-89.pdf#page=8","Abrir facsímil")</f>
        <v>Abrir facsímil</v>
      </c>
      <c r="K2834" s="15" t="s">
        <v>23</v>
      </c>
    </row>
    <row r="2835" spans="1:11" ht="42" customHeight="1">
      <c r="A2835" s="4" t="s">
        <v>6638</v>
      </c>
      <c r="B2835" s="5" t="s">
        <v>6639</v>
      </c>
      <c r="C2835" s="5" t="s">
        <v>75</v>
      </c>
      <c r="D2835" s="5" t="s">
        <v>76</v>
      </c>
      <c r="E2835" s="5" t="s">
        <v>292</v>
      </c>
      <c r="F2835" s="9">
        <v>25</v>
      </c>
      <c r="G2835" s="9">
        <v>329</v>
      </c>
      <c r="H2835" s="5" t="s">
        <v>21</v>
      </c>
      <c r="I2835" s="5" t="s">
        <v>6640</v>
      </c>
      <c r="J2835" s="12" t="str">
        <f>HYPERLINK("https://www.boe.es/gazeta/dias/1801/03/27/pdfs/GMD-1801-25.pdf#page=8","Abrir facsímil")</f>
        <v>Abrir facsímil</v>
      </c>
      <c r="K2835" s="15" t="s">
        <v>23</v>
      </c>
    </row>
    <row r="2836" spans="1:11" ht="42" customHeight="1">
      <c r="A2836" s="4" t="s">
        <v>6641</v>
      </c>
      <c r="B2836" s="5" t="s">
        <v>6642</v>
      </c>
      <c r="C2836" s="5" t="s">
        <v>32</v>
      </c>
      <c r="D2836" s="5" t="s">
        <v>33</v>
      </c>
      <c r="E2836" s="5" t="s">
        <v>615</v>
      </c>
      <c r="F2836" s="9">
        <v>72</v>
      </c>
      <c r="G2836" s="9">
        <v>800</v>
      </c>
      <c r="H2836" s="5" t="s">
        <v>21</v>
      </c>
      <c r="I2836" s="5" t="s">
        <v>6643</v>
      </c>
      <c r="J2836" s="12" t="str">
        <f>HYPERLINK("https://www.boe.es/gazeta/dias/1801/07/24/pdfs/GMD-1801-72.pdf#page=5","Abrir facsímil")</f>
        <v>Abrir facsímil</v>
      </c>
      <c r="K2836" s="15" t="s">
        <v>23</v>
      </c>
    </row>
    <row r="2837" spans="1:11" ht="42" customHeight="1">
      <c r="A2837" s="4" t="s">
        <v>6644</v>
      </c>
      <c r="B2837" s="5" t="s">
        <v>6645</v>
      </c>
      <c r="C2837" s="5" t="s">
        <v>75</v>
      </c>
      <c r="D2837" s="5" t="s">
        <v>76</v>
      </c>
      <c r="E2837" s="5" t="s">
        <v>137</v>
      </c>
      <c r="F2837" s="9">
        <v>30</v>
      </c>
      <c r="G2837" s="9">
        <v>389</v>
      </c>
      <c r="H2837" s="5" t="s">
        <v>21</v>
      </c>
      <c r="I2837" s="5" t="s">
        <v>6646</v>
      </c>
      <c r="J2837" s="12" t="str">
        <f>HYPERLINK("https://www.boe.es/gazeta/dias/1801/04/14/pdfs/GMD-1801-30.pdf#page=5","Abrir facsímil")</f>
        <v>Abrir facsímil</v>
      </c>
      <c r="K2837" s="15" t="s">
        <v>23</v>
      </c>
    </row>
    <row r="2838" spans="1:11" ht="42" customHeight="1">
      <c r="A2838" s="4" t="s">
        <v>6647</v>
      </c>
      <c r="B2838" s="5" t="s">
        <v>6648</v>
      </c>
      <c r="C2838" s="5" t="s">
        <v>75</v>
      </c>
      <c r="D2838" s="5" t="s">
        <v>76</v>
      </c>
      <c r="E2838" s="5" t="s">
        <v>124</v>
      </c>
      <c r="F2838" s="9">
        <v>12</v>
      </c>
      <c r="G2838" s="9">
        <v>147</v>
      </c>
      <c r="H2838" s="5" t="s">
        <v>21</v>
      </c>
      <c r="I2838" s="5" t="s">
        <v>6649</v>
      </c>
      <c r="J2838" s="12" t="str">
        <f>HYPERLINK("https://www.boe.es/gazeta/dias/1801/02/10/pdfs/GMD-1801-12.pdf#page=8","Abrir facsímil")</f>
        <v>Abrir facsímil</v>
      </c>
      <c r="K2838" s="15" t="s">
        <v>23</v>
      </c>
    </row>
    <row r="2839" spans="1:11" ht="42" customHeight="1">
      <c r="A2839" s="4" t="s">
        <v>6647</v>
      </c>
      <c r="B2839" s="5" t="s">
        <v>6648</v>
      </c>
      <c r="C2839" s="5" t="s">
        <v>38</v>
      </c>
      <c r="D2839" s="5" t="s">
        <v>39</v>
      </c>
      <c r="E2839" s="5" t="s">
        <v>124</v>
      </c>
      <c r="F2839" s="9">
        <v>12</v>
      </c>
      <c r="G2839" s="9">
        <v>148</v>
      </c>
      <c r="H2839" s="5" t="s">
        <v>21</v>
      </c>
      <c r="I2839" s="5" t="s">
        <v>6650</v>
      </c>
      <c r="J2839" s="12" t="str">
        <f>HYPERLINK("https://www.boe.es/gazeta/dias/1801/02/10/pdfs/GMD-1801-12.pdf#page=9","Abrir facsímil")</f>
        <v>Abrir facsímil</v>
      </c>
      <c r="K2839" s="15" t="s">
        <v>23</v>
      </c>
    </row>
    <row r="2840" spans="1:11" ht="42" customHeight="1">
      <c r="A2840" s="4" t="s">
        <v>6651</v>
      </c>
      <c r="B2840" s="5" t="s">
        <v>6652</v>
      </c>
      <c r="C2840" s="5" t="s">
        <v>38</v>
      </c>
      <c r="D2840" s="5" t="s">
        <v>39</v>
      </c>
      <c r="E2840" s="5" t="s">
        <v>135</v>
      </c>
      <c r="F2840" s="9">
        <v>24</v>
      </c>
      <c r="G2840" s="9">
        <v>317</v>
      </c>
      <c r="H2840" s="5" t="s">
        <v>21</v>
      </c>
      <c r="I2840" s="5" t="s">
        <v>6653</v>
      </c>
      <c r="J2840" s="12" t="str">
        <f>HYPERLINK("https://www.boe.es/gazeta/dias/1801/03/24/pdfs/GMD-1801-24.pdf#page=8","Abrir facsímil")</f>
        <v>Abrir facsímil</v>
      </c>
      <c r="K2840" s="15" t="s">
        <v>23</v>
      </c>
    </row>
    <row r="2841" spans="1:11" ht="42" customHeight="1">
      <c r="A2841" s="4" t="s">
        <v>6654</v>
      </c>
      <c r="B2841" s="5" t="s">
        <v>6655</v>
      </c>
      <c r="C2841" s="5" t="s">
        <v>80</v>
      </c>
      <c r="D2841" s="5" t="s">
        <v>81</v>
      </c>
      <c r="E2841" s="5" t="s">
        <v>289</v>
      </c>
      <c r="F2841" s="9">
        <v>40</v>
      </c>
      <c r="G2841" s="9" t="s">
        <v>502</v>
      </c>
      <c r="H2841" s="5" t="s">
        <v>21</v>
      </c>
      <c r="I2841" s="5" t="s">
        <v>6656</v>
      </c>
      <c r="J2841" s="12" t="str">
        <f>HYPERLINK("https://www.boe.es/gazeta/dias/1801/05/19/pdfs/GMD-C-1801-40.pdf#page=8","Abrir facsímil")</f>
        <v>Abrir facsímil</v>
      </c>
      <c r="K2841" s="15" t="s">
        <v>23</v>
      </c>
    </row>
    <row r="2842" spans="1:11" ht="42" customHeight="1">
      <c r="A2842" s="4" t="s">
        <v>6657</v>
      </c>
      <c r="B2842" s="5" t="s">
        <v>6658</v>
      </c>
      <c r="C2842" s="5" t="s">
        <v>38</v>
      </c>
      <c r="D2842" s="5" t="s">
        <v>39</v>
      </c>
      <c r="E2842" s="5" t="s">
        <v>349</v>
      </c>
      <c r="F2842" s="9">
        <v>112</v>
      </c>
      <c r="G2842" s="9">
        <v>1225</v>
      </c>
      <c r="H2842" s="5" t="s">
        <v>21</v>
      </c>
      <c r="I2842" s="5" t="s">
        <v>6659</v>
      </c>
      <c r="J2842" s="12" t="str">
        <f>HYPERLINK("https://www.boe.es/gazeta/dias/1801/12/04/pdfs/GMD-1801-112.pdf#page=6","Abrir facsímil")</f>
        <v>Abrir facsímil</v>
      </c>
      <c r="K2842" s="15" t="s">
        <v>23</v>
      </c>
    </row>
    <row r="2843" spans="1:11" ht="42" customHeight="1">
      <c r="A2843" s="4" t="s">
        <v>6660</v>
      </c>
      <c r="B2843" s="5" t="s">
        <v>6660</v>
      </c>
      <c r="C2843" s="5" t="s">
        <v>38</v>
      </c>
      <c r="D2843" s="5" t="s">
        <v>39</v>
      </c>
      <c r="E2843" s="5" t="s">
        <v>131</v>
      </c>
      <c r="F2843" s="9">
        <v>22</v>
      </c>
      <c r="G2843" s="9">
        <v>285</v>
      </c>
      <c r="H2843" s="5" t="s">
        <v>21</v>
      </c>
      <c r="I2843" s="5" t="s">
        <v>6661</v>
      </c>
      <c r="J2843" s="12" t="str">
        <f>HYPERLINK("https://www.boe.es/gazeta/dias/1801/03/17/pdfs/GMD-1801-22.pdf#page=2","Abrir facsímil")</f>
        <v>Abrir facsímil</v>
      </c>
      <c r="K2843" s="15" t="s">
        <v>23</v>
      </c>
    </row>
    <row r="2844" spans="1:11" ht="42" customHeight="1">
      <c r="A2844" s="4" t="s">
        <v>6660</v>
      </c>
      <c r="B2844" s="5" t="s">
        <v>6660</v>
      </c>
      <c r="C2844" s="5" t="s">
        <v>32</v>
      </c>
      <c r="D2844" s="5" t="s">
        <v>33</v>
      </c>
      <c r="E2844" s="5" t="s">
        <v>99</v>
      </c>
      <c r="F2844" s="9">
        <v>32</v>
      </c>
      <c r="G2844" s="9">
        <v>406</v>
      </c>
      <c r="H2844" s="5" t="s">
        <v>21</v>
      </c>
      <c r="I2844" s="5" t="s">
        <v>6662</v>
      </c>
      <c r="J2844" s="12" t="str">
        <f>HYPERLINK("https://www.boe.es/gazeta/dias/1801/04/21/pdfs/GMD-1801-32.pdf#page=2","Abrir facsímil")</f>
        <v>Abrir facsímil</v>
      </c>
      <c r="K2844" s="15" t="s">
        <v>23</v>
      </c>
    </row>
    <row r="2845" spans="1:11" ht="42" customHeight="1">
      <c r="A2845" s="4" t="s">
        <v>6660</v>
      </c>
      <c r="B2845" s="5" t="s">
        <v>6660</v>
      </c>
      <c r="C2845" s="5" t="s">
        <v>32</v>
      </c>
      <c r="D2845" s="5" t="s">
        <v>33</v>
      </c>
      <c r="E2845" s="5" t="s">
        <v>141</v>
      </c>
      <c r="F2845" s="9">
        <v>33</v>
      </c>
      <c r="G2845" s="9">
        <v>422</v>
      </c>
      <c r="H2845" s="5" t="s">
        <v>21</v>
      </c>
      <c r="I2845" s="5" t="s">
        <v>6663</v>
      </c>
      <c r="J2845" s="12" t="str">
        <f>HYPERLINK("https://www.boe.es/gazeta/dias/1801/04/24/pdfs/GMD-1801-33.pdf#page=6","Abrir facsímil")</f>
        <v>Abrir facsímil</v>
      </c>
      <c r="K2845" s="15" t="s">
        <v>23</v>
      </c>
    </row>
    <row r="2846" spans="1:11" ht="42" customHeight="1">
      <c r="A2846" s="4" t="s">
        <v>6664</v>
      </c>
      <c r="B2846" s="5" t="s">
        <v>6664</v>
      </c>
      <c r="C2846" s="5" t="s">
        <v>75</v>
      </c>
      <c r="D2846" s="5" t="s">
        <v>76</v>
      </c>
      <c r="E2846" s="5" t="s">
        <v>448</v>
      </c>
      <c r="F2846" s="9">
        <v>35</v>
      </c>
      <c r="G2846" s="9">
        <v>451</v>
      </c>
      <c r="H2846" s="5" t="s">
        <v>21</v>
      </c>
      <c r="I2846" s="5" t="s">
        <v>6665</v>
      </c>
      <c r="J2846" s="12" t="str">
        <f>HYPERLINK("https://www.boe.es/gazeta/dias/1801/05/01/pdfs/GMD-1801-35.pdf#page=7","Abrir facsímil")</f>
        <v>Abrir facsímil</v>
      </c>
      <c r="K2846" s="15" t="s">
        <v>23</v>
      </c>
    </row>
    <row r="2847" spans="1:11" ht="42" customHeight="1">
      <c r="A2847" s="4" t="s">
        <v>6660</v>
      </c>
      <c r="B2847" s="5" t="s">
        <v>6660</v>
      </c>
      <c r="C2847" s="5" t="s">
        <v>75</v>
      </c>
      <c r="D2847" s="5" t="s">
        <v>76</v>
      </c>
      <c r="E2847" s="5" t="s">
        <v>145</v>
      </c>
      <c r="F2847" s="9">
        <v>36</v>
      </c>
      <c r="G2847" s="9">
        <v>458</v>
      </c>
      <c r="H2847" s="5" t="s">
        <v>21</v>
      </c>
      <c r="I2847" s="5" t="s">
        <v>6666</v>
      </c>
      <c r="J2847" s="12" t="str">
        <f>HYPERLINK("https://www.boe.es/gazeta/dias/1801/05/05/pdfs/GMD-1801-36.pdf#page=2","Abrir facsímil")</f>
        <v>Abrir facsímil</v>
      </c>
      <c r="K2847" s="15" t="s">
        <v>23</v>
      </c>
    </row>
    <row r="2848" spans="1:11" ht="42" customHeight="1">
      <c r="A2848" s="4" t="s">
        <v>6667</v>
      </c>
      <c r="B2848" s="5" t="s">
        <v>6667</v>
      </c>
      <c r="C2848" s="5" t="s">
        <v>26</v>
      </c>
      <c r="D2848" s="5" t="s">
        <v>27</v>
      </c>
      <c r="E2848" s="5" t="s">
        <v>1015</v>
      </c>
      <c r="F2848" s="9">
        <v>15</v>
      </c>
      <c r="G2848" s="9">
        <v>183</v>
      </c>
      <c r="H2848" s="5" t="s">
        <v>21</v>
      </c>
      <c r="I2848" s="5" t="s">
        <v>6668</v>
      </c>
      <c r="J2848" s="12" t="str">
        <f>HYPERLINK("https://www.boe.es/gazeta/dias/1801/02/20/pdfs/GMD-1801-15.pdf#page=2","Abrir facsímil")</f>
        <v>Abrir facsímil</v>
      </c>
      <c r="K2848" s="15" t="s">
        <v>23</v>
      </c>
    </row>
    <row r="2849" spans="1:11" ht="42" customHeight="1">
      <c r="A2849" s="4" t="s">
        <v>6669</v>
      </c>
      <c r="B2849" s="5" t="s">
        <v>6669</v>
      </c>
      <c r="C2849" s="5" t="s">
        <v>32</v>
      </c>
      <c r="D2849" s="5" t="s">
        <v>33</v>
      </c>
      <c r="E2849" s="5" t="s">
        <v>417</v>
      </c>
      <c r="F2849" s="9">
        <v>64</v>
      </c>
      <c r="G2849" s="9">
        <v>723</v>
      </c>
      <c r="H2849" s="5" t="s">
        <v>21</v>
      </c>
      <c r="I2849" s="5" t="s">
        <v>6670</v>
      </c>
      <c r="J2849" s="12" t="str">
        <f>HYPERLINK("https://www.boe.es/gazeta/dias/1801/07/07/pdfs/GMD-1801-64.pdf#page=4","Abrir facsímil")</f>
        <v>Abrir facsímil</v>
      </c>
      <c r="K2849" s="15" t="s">
        <v>23</v>
      </c>
    </row>
    <row r="2850" spans="1:11" ht="42" customHeight="1">
      <c r="A2850" s="4" t="s">
        <v>6671</v>
      </c>
      <c r="B2850" s="5" t="s">
        <v>6672</v>
      </c>
      <c r="C2850" s="5" t="s">
        <v>80</v>
      </c>
      <c r="D2850" s="5" t="s">
        <v>81</v>
      </c>
      <c r="E2850" s="5" t="s">
        <v>82</v>
      </c>
      <c r="F2850" s="9">
        <v>75</v>
      </c>
      <c r="G2850" s="9" t="s">
        <v>299</v>
      </c>
      <c r="H2850" s="5" t="s">
        <v>21</v>
      </c>
      <c r="I2850" s="5" t="s">
        <v>6673</v>
      </c>
      <c r="J2850" s="12" t="str">
        <f>HYPERLINK("https://www.boe.es/gazeta/dias/1801/08/04/pdfs/GMD-C-1801-75.pdf#page=5","Abrir facsímil")</f>
        <v>Abrir facsímil</v>
      </c>
      <c r="K2850" s="15" t="s">
        <v>23</v>
      </c>
    </row>
    <row r="2851" spans="1:11" ht="42" customHeight="1">
      <c r="A2851" s="4" t="s">
        <v>6674</v>
      </c>
      <c r="B2851" s="5" t="s">
        <v>6675</v>
      </c>
      <c r="C2851" s="5" t="s">
        <v>32</v>
      </c>
      <c r="D2851" s="5" t="s">
        <v>33</v>
      </c>
      <c r="E2851" s="5" t="s">
        <v>90</v>
      </c>
      <c r="F2851" s="9">
        <v>1</v>
      </c>
      <c r="G2851" s="9">
        <v>8</v>
      </c>
      <c r="H2851" s="5" t="s">
        <v>21</v>
      </c>
      <c r="I2851" s="5" t="s">
        <v>6676</v>
      </c>
      <c r="J2851" s="12" t="str">
        <f>HYPERLINK("https://www.boe.es/gazeta/dias/1801/01/02/pdfs/GMD-1801-1.pdf#page=8","Abrir facsímil")</f>
        <v>Abrir facsímil</v>
      </c>
      <c r="K2851" s="15" t="s">
        <v>23</v>
      </c>
    </row>
    <row r="2852" spans="1:11" ht="42" customHeight="1">
      <c r="A2852" s="4" t="s">
        <v>6677</v>
      </c>
      <c r="B2852" s="5" t="s">
        <v>6678</v>
      </c>
      <c r="C2852" s="5" t="s">
        <v>32</v>
      </c>
      <c r="D2852" s="5" t="s">
        <v>33</v>
      </c>
      <c r="E2852" s="5" t="s">
        <v>640</v>
      </c>
      <c r="F2852" s="9">
        <v>81</v>
      </c>
      <c r="G2852" s="9">
        <v>909</v>
      </c>
      <c r="H2852" s="5" t="s">
        <v>21</v>
      </c>
      <c r="I2852" s="5" t="s">
        <v>6679</v>
      </c>
      <c r="J2852" s="12" t="str">
        <f>HYPERLINK("https://www.boe.es/gazeta/dias/1801/08/25/pdfs/GMD-1801-81.pdf#page=6","Abrir facsímil")</f>
        <v>Abrir facsímil</v>
      </c>
      <c r="K2852" s="15" t="s">
        <v>23</v>
      </c>
    </row>
    <row r="2853" spans="1:11" ht="42" customHeight="1">
      <c r="A2853" s="4" t="s">
        <v>6680</v>
      </c>
      <c r="B2853" s="5" t="s">
        <v>6681</v>
      </c>
      <c r="C2853" s="5" t="s">
        <v>32</v>
      </c>
      <c r="D2853" s="5" t="s">
        <v>33</v>
      </c>
      <c r="E2853" s="5" t="s">
        <v>82</v>
      </c>
      <c r="F2853" s="9">
        <v>75</v>
      </c>
      <c r="G2853" s="9">
        <v>840</v>
      </c>
      <c r="H2853" s="5" t="s">
        <v>21</v>
      </c>
      <c r="I2853" s="5" t="s">
        <v>6682</v>
      </c>
      <c r="J2853" s="12" t="str">
        <f>HYPERLINK("https://www.boe.es/gazeta/dias/1801/08/04/pdfs/GMD-1801-75.pdf#page=9","Abrir facsímil")</f>
        <v>Abrir facsímil</v>
      </c>
      <c r="K2853" s="15" t="s">
        <v>23</v>
      </c>
    </row>
    <row r="2854" spans="1:11" ht="42" customHeight="1">
      <c r="A2854" s="4" t="s">
        <v>6683</v>
      </c>
      <c r="B2854" s="5" t="s">
        <v>6684</v>
      </c>
      <c r="C2854" s="5" t="s">
        <v>32</v>
      </c>
      <c r="D2854" s="5" t="s">
        <v>33</v>
      </c>
      <c r="E2854" s="5" t="s">
        <v>50</v>
      </c>
      <c r="F2854" s="9">
        <v>29</v>
      </c>
      <c r="G2854" s="9">
        <v>382</v>
      </c>
      <c r="H2854" s="5" t="s">
        <v>21</v>
      </c>
      <c r="I2854" s="5" t="s">
        <v>6685</v>
      </c>
      <c r="J2854" s="12" t="str">
        <f>HYPERLINK("https://www.boe.es/gazeta/dias/1801/04/10/pdfs/GMD-1801-29.pdf#page=10","Abrir facsímil")</f>
        <v>Abrir facsímil</v>
      </c>
      <c r="K2854" s="15" t="s">
        <v>23</v>
      </c>
    </row>
    <row r="2855" spans="1:11" ht="42" customHeight="1">
      <c r="A2855" s="4" t="s">
        <v>6686</v>
      </c>
      <c r="B2855" s="5" t="s">
        <v>6687</v>
      </c>
      <c r="C2855" s="5" t="s">
        <v>75</v>
      </c>
      <c r="D2855" s="5" t="s">
        <v>76</v>
      </c>
      <c r="E2855" s="5" t="s">
        <v>158</v>
      </c>
      <c r="F2855" s="9">
        <v>55</v>
      </c>
      <c r="G2855" s="9">
        <v>626</v>
      </c>
      <c r="H2855" s="5" t="s">
        <v>21</v>
      </c>
      <c r="I2855" s="5" t="s">
        <v>6688</v>
      </c>
      <c r="J2855" s="12" t="str">
        <f>HYPERLINK("https://www.boe.es/gazeta/dias/1801/06/16/pdfs/GMD-1801-55.pdf#page=2","Abrir facsímil")</f>
        <v>Abrir facsímil</v>
      </c>
      <c r="K2855" s="15" t="s">
        <v>23</v>
      </c>
    </row>
    <row r="2856" spans="1:11" ht="42" customHeight="1">
      <c r="A2856" s="4" t="s">
        <v>6689</v>
      </c>
      <c r="B2856" s="5" t="s">
        <v>6690</v>
      </c>
      <c r="C2856" s="5" t="s">
        <v>38</v>
      </c>
      <c r="D2856" s="5" t="s">
        <v>39</v>
      </c>
      <c r="E2856" s="5" t="s">
        <v>264</v>
      </c>
      <c r="F2856" s="9">
        <v>111</v>
      </c>
      <c r="G2856" s="9">
        <v>1217</v>
      </c>
      <c r="H2856" s="5" t="s">
        <v>21</v>
      </c>
      <c r="I2856" s="5" t="s">
        <v>6691</v>
      </c>
      <c r="J2856" s="12" t="str">
        <f>HYPERLINK("https://www.boe.es/gazeta/dias/1801/12/01/pdfs/GMD-1801-111.pdf#page=6","Abrir facsímil")</f>
        <v>Abrir facsímil</v>
      </c>
      <c r="K2856" s="15" t="s">
        <v>23</v>
      </c>
    </row>
    <row r="2857" spans="1:11" ht="42" customHeight="1">
      <c r="A2857" s="4" t="s">
        <v>6692</v>
      </c>
      <c r="B2857" s="5" t="s">
        <v>6693</v>
      </c>
      <c r="C2857" s="5" t="s">
        <v>75</v>
      </c>
      <c r="D2857" s="5" t="s">
        <v>76</v>
      </c>
      <c r="E2857" s="5" t="s">
        <v>321</v>
      </c>
      <c r="F2857" s="9">
        <v>3</v>
      </c>
      <c r="G2857" s="9">
        <v>29</v>
      </c>
      <c r="H2857" s="5" t="s">
        <v>21</v>
      </c>
      <c r="I2857" s="5" t="s">
        <v>6694</v>
      </c>
      <c r="J2857" s="12" t="str">
        <f>HYPERLINK("https://www.boe.es/gazeta/dias/1801/01/09/pdfs/GMD-1801-3.pdf#page=5","Abrir facsímil")</f>
        <v>Abrir facsímil</v>
      </c>
      <c r="K2857" s="15" t="s">
        <v>23</v>
      </c>
    </row>
    <row r="2858" spans="1:11" ht="42" customHeight="1">
      <c r="A2858" s="4" t="s">
        <v>6695</v>
      </c>
      <c r="B2858" s="5" t="s">
        <v>6696</v>
      </c>
      <c r="C2858" s="5" t="s">
        <v>75</v>
      </c>
      <c r="D2858" s="5" t="s">
        <v>76</v>
      </c>
      <c r="E2858" s="5" t="s">
        <v>90</v>
      </c>
      <c r="F2858" s="9">
        <v>1</v>
      </c>
      <c r="G2858" s="9">
        <v>4</v>
      </c>
      <c r="H2858" s="5" t="s">
        <v>21</v>
      </c>
      <c r="I2858" s="5" t="s">
        <v>6697</v>
      </c>
      <c r="J2858" s="12" t="str">
        <f>HYPERLINK("https://www.boe.es/gazeta/dias/1801/01/02/pdfs/GMD-1801-1.pdf#page=4","Abrir facsímil")</f>
        <v>Abrir facsímil</v>
      </c>
      <c r="K2858" s="15" t="s">
        <v>23</v>
      </c>
    </row>
    <row r="2859" spans="1:11" ht="42" customHeight="1">
      <c r="A2859" s="4" t="s">
        <v>6695</v>
      </c>
      <c r="B2859" s="5" t="s">
        <v>6696</v>
      </c>
      <c r="C2859" s="5" t="s">
        <v>75</v>
      </c>
      <c r="D2859" s="5" t="s">
        <v>76</v>
      </c>
      <c r="E2859" s="5" t="s">
        <v>62</v>
      </c>
      <c r="F2859" s="9">
        <v>6</v>
      </c>
      <c r="G2859" s="9">
        <v>70</v>
      </c>
      <c r="H2859" s="5" t="s">
        <v>21</v>
      </c>
      <c r="I2859" s="5" t="s">
        <v>6698</v>
      </c>
      <c r="J2859" s="12" t="str">
        <f>HYPERLINK("https://www.boe.es/gazeta/dias/1801/01/20/pdfs/GMD-1801-6.pdf#page=6","Abrir facsímil")</f>
        <v>Abrir facsímil</v>
      </c>
      <c r="K2859" s="15" t="s">
        <v>23</v>
      </c>
    </row>
    <row r="2860" spans="1:11" ht="42" customHeight="1">
      <c r="A2860" s="4" t="s">
        <v>6699</v>
      </c>
      <c r="B2860" s="5" t="s">
        <v>6700</v>
      </c>
      <c r="C2860" s="5" t="s">
        <v>75</v>
      </c>
      <c r="D2860" s="5" t="s">
        <v>76</v>
      </c>
      <c r="E2860" s="5" t="s">
        <v>70</v>
      </c>
      <c r="F2860" s="9">
        <v>2</v>
      </c>
      <c r="G2860" s="9">
        <v>19</v>
      </c>
      <c r="H2860" s="5" t="s">
        <v>21</v>
      </c>
      <c r="I2860" s="5" t="s">
        <v>6701</v>
      </c>
      <c r="J2860" s="12" t="str">
        <f>HYPERLINK("https://www.boe.es/gazeta/dias/1801/01/06/pdfs/GMD-1801-2.pdf#page=7","Abrir facsímil")</f>
        <v>Abrir facsímil</v>
      </c>
      <c r="K2860" s="15" t="s">
        <v>23</v>
      </c>
    </row>
    <row r="2861" spans="1:11" ht="42" customHeight="1">
      <c r="A2861" s="4" t="s">
        <v>6702</v>
      </c>
      <c r="B2861" s="5" t="s">
        <v>6703</v>
      </c>
      <c r="C2861" s="5" t="s">
        <v>32</v>
      </c>
      <c r="D2861" s="5" t="s">
        <v>33</v>
      </c>
      <c r="E2861" s="5" t="s">
        <v>70</v>
      </c>
      <c r="F2861" s="9">
        <v>2</v>
      </c>
      <c r="G2861" s="9">
        <v>18</v>
      </c>
      <c r="H2861" s="5" t="s">
        <v>21</v>
      </c>
      <c r="I2861" s="5" t="s">
        <v>6704</v>
      </c>
      <c r="J2861" s="12" t="str">
        <f>HYPERLINK("https://www.boe.es/gazeta/dias/1801/01/06/pdfs/GMD-1801-2.pdf#page=6","Abrir facsímil")</f>
        <v>Abrir facsímil</v>
      </c>
      <c r="K2861" s="15" t="s">
        <v>23</v>
      </c>
    </row>
    <row r="2862" spans="1:11" ht="42" customHeight="1">
      <c r="A2862" s="4" t="s">
        <v>6705</v>
      </c>
      <c r="B2862" s="5" t="s">
        <v>6706</v>
      </c>
      <c r="C2862" s="5" t="s">
        <v>75</v>
      </c>
      <c r="D2862" s="5" t="s">
        <v>76</v>
      </c>
      <c r="E2862" s="5" t="s">
        <v>321</v>
      </c>
      <c r="F2862" s="9">
        <v>3</v>
      </c>
      <c r="G2862" s="9">
        <v>28</v>
      </c>
      <c r="H2862" s="5" t="s">
        <v>21</v>
      </c>
      <c r="I2862" s="5" t="s">
        <v>6707</v>
      </c>
      <c r="J2862" s="12" t="str">
        <f>HYPERLINK("https://www.boe.es/gazeta/dias/1801/01/09/pdfs/GMD-1801-3.pdf#page=4","Abrir facsímil")</f>
        <v>Abrir facsímil</v>
      </c>
      <c r="K2862" s="15" t="s">
        <v>23</v>
      </c>
    </row>
    <row r="2863" spans="1:11" ht="42" customHeight="1">
      <c r="A2863" s="4" t="s">
        <v>6705</v>
      </c>
      <c r="B2863" s="5" t="s">
        <v>6706</v>
      </c>
      <c r="C2863" s="5" t="s">
        <v>32</v>
      </c>
      <c r="D2863" s="5" t="s">
        <v>33</v>
      </c>
      <c r="E2863" s="5" t="s">
        <v>126</v>
      </c>
      <c r="F2863" s="9">
        <v>13</v>
      </c>
      <c r="G2863" s="9">
        <v>159</v>
      </c>
      <c r="H2863" s="5" t="s">
        <v>21</v>
      </c>
      <c r="I2863" s="5" t="s">
        <v>6708</v>
      </c>
      <c r="J2863" s="12" t="str">
        <f>HYPERLINK("https://www.boe.es/gazeta/dias/1801/02/13/pdfs/GMD-1801-13.pdf#page=6","Abrir facsímil")</f>
        <v>Abrir facsímil</v>
      </c>
      <c r="K2863" s="15" t="s">
        <v>23</v>
      </c>
    </row>
    <row r="2864" spans="1:11" ht="42" customHeight="1">
      <c r="A2864" s="4" t="s">
        <v>6709</v>
      </c>
      <c r="B2864" s="5" t="s">
        <v>6710</v>
      </c>
      <c r="C2864" s="5" t="s">
        <v>75</v>
      </c>
      <c r="D2864" s="5" t="s">
        <v>76</v>
      </c>
      <c r="E2864" s="5" t="s">
        <v>70</v>
      </c>
      <c r="F2864" s="9">
        <v>2</v>
      </c>
      <c r="G2864" s="9">
        <v>18</v>
      </c>
      <c r="H2864" s="5" t="s">
        <v>21</v>
      </c>
      <c r="I2864" s="5" t="s">
        <v>6711</v>
      </c>
      <c r="J2864" s="12" t="str">
        <f>HYPERLINK("https://www.boe.es/gazeta/dias/1801/01/06/pdfs/GMD-1801-2.pdf#page=6","Abrir facsímil")</f>
        <v>Abrir facsímil</v>
      </c>
      <c r="K2864" s="15" t="s">
        <v>23</v>
      </c>
    </row>
    <row r="2865" spans="1:11" ht="42" customHeight="1">
      <c r="A2865" s="4" t="s">
        <v>6712</v>
      </c>
      <c r="B2865" s="5" t="s">
        <v>6713</v>
      </c>
      <c r="C2865" s="5" t="s">
        <v>18</v>
      </c>
      <c r="D2865" s="5" t="s">
        <v>19</v>
      </c>
      <c r="E2865" s="5" t="s">
        <v>465</v>
      </c>
      <c r="F2865" s="9">
        <v>4</v>
      </c>
      <c r="G2865" s="9">
        <v>40</v>
      </c>
      <c r="H2865" s="5" t="s">
        <v>21</v>
      </c>
      <c r="I2865" s="5" t="s">
        <v>6714</v>
      </c>
      <c r="J2865" s="12" t="str">
        <f>HYPERLINK("https://www.boe.es/gazeta/dias/1801/01/13/pdfs/GMD-1801-4.pdf#page=4","Abrir facsímil")</f>
        <v>Abrir facsímil</v>
      </c>
      <c r="K2865" s="15" t="s">
        <v>23</v>
      </c>
    </row>
    <row r="2866" spans="1:11" ht="42" customHeight="1">
      <c r="A2866" s="4" t="s">
        <v>6712</v>
      </c>
      <c r="B2866" s="5" t="s">
        <v>6713</v>
      </c>
      <c r="C2866" s="5" t="s">
        <v>75</v>
      </c>
      <c r="D2866" s="5" t="s">
        <v>76</v>
      </c>
      <c r="E2866" s="5" t="s">
        <v>124</v>
      </c>
      <c r="F2866" s="9">
        <v>12</v>
      </c>
      <c r="G2866" s="9">
        <v>145</v>
      </c>
      <c r="H2866" s="5" t="s">
        <v>21</v>
      </c>
      <c r="I2866" s="5" t="s">
        <v>6715</v>
      </c>
      <c r="J2866" s="12" t="str">
        <f>HYPERLINK("https://www.boe.es/gazeta/dias/1801/02/10/pdfs/GMD-1801-12.pdf#page=6","Abrir facsímil")</f>
        <v>Abrir facsímil</v>
      </c>
      <c r="K2866" s="15" t="s">
        <v>23</v>
      </c>
    </row>
    <row r="2867" spans="1:11" ht="42" customHeight="1">
      <c r="A2867" s="4" t="s">
        <v>6712</v>
      </c>
      <c r="B2867" s="5" t="s">
        <v>6713</v>
      </c>
      <c r="C2867" s="5" t="s">
        <v>75</v>
      </c>
      <c r="D2867" s="5" t="s">
        <v>76</v>
      </c>
      <c r="E2867" s="5" t="s">
        <v>141</v>
      </c>
      <c r="F2867" s="9">
        <v>33</v>
      </c>
      <c r="G2867" s="9">
        <v>421</v>
      </c>
      <c r="H2867" s="5" t="s">
        <v>21</v>
      </c>
      <c r="I2867" s="5" t="s">
        <v>6716</v>
      </c>
      <c r="J2867" s="12" t="str">
        <f>HYPERLINK("https://www.boe.es/gazeta/dias/1801/04/24/pdfs/GMD-1801-33.pdf#page=5","Abrir facsímil")</f>
        <v>Abrir facsímil</v>
      </c>
      <c r="K2867" s="15" t="s">
        <v>23</v>
      </c>
    </row>
    <row r="2868" spans="1:11" ht="42" customHeight="1">
      <c r="A2868" s="4" t="s">
        <v>6717</v>
      </c>
      <c r="B2868" s="5" t="s">
        <v>6718</v>
      </c>
      <c r="C2868" s="5" t="s">
        <v>75</v>
      </c>
      <c r="D2868" s="5" t="s">
        <v>76</v>
      </c>
      <c r="E2868" s="5" t="s">
        <v>223</v>
      </c>
      <c r="F2868" s="9">
        <v>74</v>
      </c>
      <c r="G2868" s="9">
        <v>821</v>
      </c>
      <c r="H2868" s="5" t="s">
        <v>21</v>
      </c>
      <c r="I2868" s="5" t="s">
        <v>6719</v>
      </c>
      <c r="J2868" s="12" t="str">
        <f>HYPERLINK("https://www.boe.es/gazeta/dias/1801/07/31/pdfs/GMD-1801-74.pdf#page=2","Abrir facsímil")</f>
        <v>Abrir facsímil</v>
      </c>
      <c r="K2868" s="15" t="s">
        <v>23</v>
      </c>
    </row>
    <row r="2869" spans="1:11" ht="42" customHeight="1">
      <c r="A2869" s="4" t="s">
        <v>6720</v>
      </c>
      <c r="B2869" s="5" t="s">
        <v>6720</v>
      </c>
      <c r="C2869" s="5" t="s">
        <v>38</v>
      </c>
      <c r="D2869" s="5" t="s">
        <v>39</v>
      </c>
      <c r="E2869" s="5" t="s">
        <v>131</v>
      </c>
      <c r="F2869" s="9">
        <v>22</v>
      </c>
      <c r="G2869" s="9">
        <v>286</v>
      </c>
      <c r="H2869" s="5" t="s">
        <v>21</v>
      </c>
      <c r="I2869" s="5" t="s">
        <v>6721</v>
      </c>
      <c r="J2869" s="12" t="str">
        <f>HYPERLINK("https://www.boe.es/gazeta/dias/1801/03/17/pdfs/GMD-1801-22.pdf#page=3","Abrir facsímil")</f>
        <v>Abrir facsímil</v>
      </c>
      <c r="K2869" s="15" t="s">
        <v>23</v>
      </c>
    </row>
    <row r="2870" spans="1:11" ht="42" customHeight="1">
      <c r="A2870" s="4" t="s">
        <v>6720</v>
      </c>
      <c r="B2870" s="5" t="s">
        <v>6720</v>
      </c>
      <c r="C2870" s="5" t="s">
        <v>32</v>
      </c>
      <c r="D2870" s="5" t="s">
        <v>33</v>
      </c>
      <c r="E2870" s="5" t="s">
        <v>135</v>
      </c>
      <c r="F2870" s="9">
        <v>24</v>
      </c>
      <c r="G2870" s="9">
        <v>315</v>
      </c>
      <c r="H2870" s="5" t="s">
        <v>21</v>
      </c>
      <c r="I2870" s="5" t="s">
        <v>6722</v>
      </c>
      <c r="J2870" s="12" t="str">
        <f>HYPERLINK("https://www.boe.es/gazeta/dias/1801/03/24/pdfs/GMD-1801-24.pdf#page=6","Abrir facsímil")</f>
        <v>Abrir facsímil</v>
      </c>
      <c r="K2870" s="15" t="s">
        <v>23</v>
      </c>
    </row>
    <row r="2871" spans="1:11" ht="42" customHeight="1">
      <c r="A2871" s="4" t="s">
        <v>6720</v>
      </c>
      <c r="B2871" s="5" t="s">
        <v>6720</v>
      </c>
      <c r="C2871" s="5" t="s">
        <v>75</v>
      </c>
      <c r="D2871" s="5" t="s">
        <v>76</v>
      </c>
      <c r="E2871" s="5" t="s">
        <v>292</v>
      </c>
      <c r="F2871" s="9">
        <v>25</v>
      </c>
      <c r="G2871" s="9">
        <v>327</v>
      </c>
      <c r="H2871" s="5" t="s">
        <v>21</v>
      </c>
      <c r="I2871" s="5" t="s">
        <v>6723</v>
      </c>
      <c r="J2871" s="12" t="str">
        <f>HYPERLINK("https://www.boe.es/gazeta/dias/1801/03/27/pdfs/GMD-1801-25.pdf#page=6","Abrir facsímil")</f>
        <v>Abrir facsímil</v>
      </c>
      <c r="K2871" s="15" t="s">
        <v>23</v>
      </c>
    </row>
    <row r="2872" spans="1:11" ht="42" customHeight="1">
      <c r="A2872" s="4" t="s">
        <v>6720</v>
      </c>
      <c r="B2872" s="5" t="s">
        <v>6720</v>
      </c>
      <c r="C2872" s="5" t="s">
        <v>75</v>
      </c>
      <c r="D2872" s="5" t="s">
        <v>76</v>
      </c>
      <c r="E2872" s="5" t="s">
        <v>219</v>
      </c>
      <c r="F2872" s="9">
        <v>26</v>
      </c>
      <c r="G2872" s="9">
        <v>341</v>
      </c>
      <c r="H2872" s="5" t="s">
        <v>21</v>
      </c>
      <c r="I2872" s="5" t="s">
        <v>6724</v>
      </c>
      <c r="J2872" s="12" t="str">
        <f>HYPERLINK("https://www.boe.es/gazeta/dias/1801/03/31/pdfs/GMD-1801-26.pdf#page=5","Abrir facsímil")</f>
        <v>Abrir facsímil</v>
      </c>
      <c r="K2872" s="15" t="s">
        <v>23</v>
      </c>
    </row>
    <row r="2873" spans="1:11" ht="42" customHeight="1">
      <c r="A2873" s="4" t="s">
        <v>6720</v>
      </c>
      <c r="B2873" s="5" t="s">
        <v>6720</v>
      </c>
      <c r="C2873" s="5" t="s">
        <v>75</v>
      </c>
      <c r="D2873" s="5" t="s">
        <v>76</v>
      </c>
      <c r="E2873" s="5" t="s">
        <v>221</v>
      </c>
      <c r="F2873" s="9">
        <v>28</v>
      </c>
      <c r="G2873" s="9">
        <v>367</v>
      </c>
      <c r="H2873" s="5" t="s">
        <v>21</v>
      </c>
      <c r="I2873" s="5" t="s">
        <v>6725</v>
      </c>
      <c r="J2873" s="12" t="str">
        <f>HYPERLINK("https://www.boe.es/gazeta/dias/1801/04/07/pdfs/GMD-1801-28.pdf#page=7","Abrir facsímil")</f>
        <v>Abrir facsímil</v>
      </c>
      <c r="K2873" s="15" t="s">
        <v>23</v>
      </c>
    </row>
    <row r="2874" spans="1:11" ht="42" customHeight="1">
      <c r="A2874" s="4" t="s">
        <v>6720</v>
      </c>
      <c r="B2874" s="5" t="s">
        <v>6720</v>
      </c>
      <c r="C2874" s="5" t="s">
        <v>32</v>
      </c>
      <c r="D2874" s="5" t="s">
        <v>33</v>
      </c>
      <c r="E2874" s="5" t="s">
        <v>158</v>
      </c>
      <c r="F2874" s="9">
        <v>55</v>
      </c>
      <c r="G2874" s="9">
        <v>626</v>
      </c>
      <c r="H2874" s="5" t="s">
        <v>21</v>
      </c>
      <c r="I2874" s="5" t="s">
        <v>6726</v>
      </c>
      <c r="J2874" s="12" t="str">
        <f>HYPERLINK("https://www.boe.es/gazeta/dias/1801/06/16/pdfs/GMD-1801-55.pdf#page=2","Abrir facsímil")</f>
        <v>Abrir facsímil</v>
      </c>
      <c r="K2874" s="15" t="s">
        <v>23</v>
      </c>
    </row>
    <row r="2875" spans="1:11" ht="42" customHeight="1">
      <c r="A2875" s="4" t="s">
        <v>6727</v>
      </c>
      <c r="B2875" s="5" t="s">
        <v>6728</v>
      </c>
      <c r="C2875" s="5" t="s">
        <v>80</v>
      </c>
      <c r="D2875" s="5" t="s">
        <v>81</v>
      </c>
      <c r="E2875" s="5" t="s">
        <v>82</v>
      </c>
      <c r="F2875" s="9">
        <v>75</v>
      </c>
      <c r="G2875" s="9" t="s">
        <v>299</v>
      </c>
      <c r="H2875" s="5" t="s">
        <v>21</v>
      </c>
      <c r="I2875" s="5" t="s">
        <v>6729</v>
      </c>
      <c r="J2875" s="12" t="str">
        <f>HYPERLINK("https://www.boe.es/gazeta/dias/1801/08/04/pdfs/GMD-C-1801-75.pdf#page=5","Abrir facsímil")</f>
        <v>Abrir facsímil</v>
      </c>
      <c r="K2875" s="15" t="s">
        <v>23</v>
      </c>
    </row>
    <row r="2876" spans="1:11" ht="42" customHeight="1">
      <c r="A2876" s="4" t="s">
        <v>6730</v>
      </c>
      <c r="B2876" s="5" t="s">
        <v>6731</v>
      </c>
      <c r="C2876" s="5" t="s">
        <v>32</v>
      </c>
      <c r="D2876" s="5" t="s">
        <v>33</v>
      </c>
      <c r="E2876" s="5" t="s">
        <v>122</v>
      </c>
      <c r="F2876" s="9">
        <v>8</v>
      </c>
      <c r="G2876" s="9">
        <v>100</v>
      </c>
      <c r="H2876" s="5" t="s">
        <v>21</v>
      </c>
      <c r="I2876" s="5" t="s">
        <v>6732</v>
      </c>
      <c r="J2876" s="12" t="str">
        <f>HYPERLINK("https://www.boe.es/gazeta/dias/1801/01/27/pdfs/GMD-1801-8.pdf#page=12","Abrir facsímil")</f>
        <v>Abrir facsímil</v>
      </c>
      <c r="K2876" s="15" t="s">
        <v>23</v>
      </c>
    </row>
    <row r="2877" spans="1:11" ht="42" customHeight="1">
      <c r="A2877" s="4" t="s">
        <v>6733</v>
      </c>
      <c r="B2877" s="5" t="s">
        <v>6734</v>
      </c>
      <c r="C2877" s="5" t="s">
        <v>75</v>
      </c>
      <c r="D2877" s="5" t="s">
        <v>76</v>
      </c>
      <c r="E2877" s="5" t="s">
        <v>275</v>
      </c>
      <c r="F2877" s="9">
        <v>9</v>
      </c>
      <c r="G2877" s="9">
        <v>109</v>
      </c>
      <c r="H2877" s="5" t="s">
        <v>21</v>
      </c>
      <c r="I2877" s="5" t="s">
        <v>6735</v>
      </c>
      <c r="J2877" s="12" t="str">
        <f>HYPERLINK("https://www.boe.es/gazeta/dias/1801/01/30/pdfs/GMD-1801-9.pdf#page=6","Abrir facsímil")</f>
        <v>Abrir facsímil</v>
      </c>
      <c r="K2877" s="15" t="s">
        <v>23</v>
      </c>
    </row>
    <row r="2878" spans="1:11" ht="42" customHeight="1">
      <c r="A2878" s="4" t="s">
        <v>6733</v>
      </c>
      <c r="B2878" s="5" t="s">
        <v>6734</v>
      </c>
      <c r="C2878" s="5" t="s">
        <v>75</v>
      </c>
      <c r="D2878" s="5" t="s">
        <v>76</v>
      </c>
      <c r="E2878" s="5" t="s">
        <v>190</v>
      </c>
      <c r="F2878" s="9">
        <v>16</v>
      </c>
      <c r="G2878" s="9">
        <v>197</v>
      </c>
      <c r="H2878" s="5" t="s">
        <v>21</v>
      </c>
      <c r="I2878" s="5" t="s">
        <v>6736</v>
      </c>
      <c r="J2878" s="12" t="str">
        <f>HYPERLINK("https://www.boe.es/gazeta/dias/1801/02/24/pdfs/GMD-1801-16.pdf#page=4","Abrir facsímil")</f>
        <v>Abrir facsímil</v>
      </c>
      <c r="K2878" s="15" t="s">
        <v>23</v>
      </c>
    </row>
    <row r="2879" spans="1:11" ht="42" customHeight="1">
      <c r="A2879" s="4" t="s">
        <v>6737</v>
      </c>
      <c r="B2879" s="5" t="s">
        <v>6738</v>
      </c>
      <c r="C2879" s="5" t="s">
        <v>32</v>
      </c>
      <c r="D2879" s="5" t="s">
        <v>33</v>
      </c>
      <c r="E2879" s="5" t="s">
        <v>62</v>
      </c>
      <c r="F2879" s="9">
        <v>6</v>
      </c>
      <c r="G2879" s="9">
        <v>69</v>
      </c>
      <c r="H2879" s="5" t="s">
        <v>21</v>
      </c>
      <c r="I2879" s="5" t="s">
        <v>6739</v>
      </c>
      <c r="J2879" s="12" t="str">
        <f>HYPERLINK("https://www.boe.es/gazeta/dias/1801/01/20/pdfs/GMD-1801-6.pdf#page=5","Abrir facsímil")</f>
        <v>Abrir facsímil</v>
      </c>
      <c r="K2879" s="15" t="s">
        <v>23</v>
      </c>
    </row>
    <row r="2880" spans="1:11" ht="42" customHeight="1">
      <c r="A2880" s="4" t="s">
        <v>6737</v>
      </c>
      <c r="B2880" s="5" t="s">
        <v>6738</v>
      </c>
      <c r="C2880" s="5" t="s">
        <v>32</v>
      </c>
      <c r="D2880" s="5" t="s">
        <v>33</v>
      </c>
      <c r="E2880" s="5" t="s">
        <v>275</v>
      </c>
      <c r="F2880" s="9">
        <v>9</v>
      </c>
      <c r="G2880" s="9">
        <v>109</v>
      </c>
      <c r="H2880" s="5" t="s">
        <v>21</v>
      </c>
      <c r="I2880" s="5" t="s">
        <v>6740</v>
      </c>
      <c r="J2880" s="12" t="str">
        <f>HYPERLINK("https://www.boe.es/gazeta/dias/1801/01/30/pdfs/GMD-1801-9.pdf#page=6","Abrir facsímil")</f>
        <v>Abrir facsímil</v>
      </c>
      <c r="K2880" s="15" t="s">
        <v>23</v>
      </c>
    </row>
    <row r="2881" spans="1:11" ht="42" customHeight="1">
      <c r="A2881" s="4" t="s">
        <v>6737</v>
      </c>
      <c r="B2881" s="5" t="s">
        <v>6738</v>
      </c>
      <c r="C2881" s="5" t="s">
        <v>32</v>
      </c>
      <c r="D2881" s="5" t="s">
        <v>33</v>
      </c>
      <c r="E2881" s="5" t="s">
        <v>190</v>
      </c>
      <c r="F2881" s="9">
        <v>16</v>
      </c>
      <c r="G2881" s="9">
        <v>197</v>
      </c>
      <c r="H2881" s="5" t="s">
        <v>21</v>
      </c>
      <c r="I2881" s="5" t="s">
        <v>6741</v>
      </c>
      <c r="J2881" s="12" t="str">
        <f>HYPERLINK("https://www.boe.es/gazeta/dias/1801/02/24/pdfs/GMD-1801-16.pdf#page=4","Abrir facsímil")</f>
        <v>Abrir facsímil</v>
      </c>
      <c r="K2881" s="15" t="s">
        <v>23</v>
      </c>
    </row>
    <row r="2882" spans="1:11" ht="42" customHeight="1">
      <c r="A2882" s="4" t="s">
        <v>6742</v>
      </c>
      <c r="B2882" s="5" t="s">
        <v>6743</v>
      </c>
      <c r="C2882" s="5" t="s">
        <v>80</v>
      </c>
      <c r="D2882" s="5" t="s">
        <v>81</v>
      </c>
      <c r="E2882" s="5" t="s">
        <v>82</v>
      </c>
      <c r="F2882" s="9">
        <v>75</v>
      </c>
      <c r="G2882" s="9" t="s">
        <v>305</v>
      </c>
      <c r="H2882" s="5" t="s">
        <v>21</v>
      </c>
      <c r="I2882" s="5" t="s">
        <v>6744</v>
      </c>
      <c r="J2882" s="12" t="str">
        <f>HYPERLINK("https://www.boe.es/gazeta/dias/1801/08/04/pdfs/GMD-C-1801-75.pdf#page=4","Abrir facsímil")</f>
        <v>Abrir facsímil</v>
      </c>
      <c r="K2882" s="15" t="s">
        <v>23</v>
      </c>
    </row>
    <row r="2883" spans="1:11" ht="42" customHeight="1">
      <c r="A2883" s="4" t="s">
        <v>6745</v>
      </c>
      <c r="B2883" s="5" t="s">
        <v>6746</v>
      </c>
      <c r="C2883" s="5" t="s">
        <v>32</v>
      </c>
      <c r="D2883" s="5" t="s">
        <v>33</v>
      </c>
      <c r="E2883" s="5" t="s">
        <v>1939</v>
      </c>
      <c r="F2883" s="9">
        <v>107</v>
      </c>
      <c r="G2883" s="9">
        <v>1172</v>
      </c>
      <c r="H2883" s="5" t="s">
        <v>21</v>
      </c>
      <c r="I2883" s="5" t="s">
        <v>6747</v>
      </c>
      <c r="J2883" s="12" t="str">
        <f>HYPERLINK("https://www.boe.es/gazeta/dias/1801/11/17/pdfs/GMD-1801-107.pdf#page=1","Abrir facsímil")</f>
        <v>Abrir facsímil</v>
      </c>
      <c r="K2883" s="15" t="s">
        <v>23</v>
      </c>
    </row>
    <row r="2884" spans="1:11" ht="42" customHeight="1">
      <c r="A2884" s="4" t="s">
        <v>6748</v>
      </c>
      <c r="B2884" s="5" t="s">
        <v>6749</v>
      </c>
      <c r="C2884" s="5" t="s">
        <v>32</v>
      </c>
      <c r="D2884" s="5" t="s">
        <v>33</v>
      </c>
      <c r="E2884" s="5" t="s">
        <v>82</v>
      </c>
      <c r="F2884" s="9">
        <v>75</v>
      </c>
      <c r="G2884" s="9">
        <v>840</v>
      </c>
      <c r="H2884" s="5" t="s">
        <v>21</v>
      </c>
      <c r="I2884" s="5" t="s">
        <v>6750</v>
      </c>
      <c r="J2884" s="12" t="str">
        <f>HYPERLINK("https://www.boe.es/gazeta/dias/1801/08/04/pdfs/GMD-1801-75.pdf#page=9","Abrir facsímil")</f>
        <v>Abrir facsímil</v>
      </c>
      <c r="K2884" s="15" t="s">
        <v>23</v>
      </c>
    </row>
    <row r="2885" spans="1:11" ht="42" customHeight="1">
      <c r="A2885" s="4" t="s">
        <v>6751</v>
      </c>
      <c r="B2885" s="5" t="s">
        <v>6752</v>
      </c>
      <c r="C2885" s="5" t="s">
        <v>38</v>
      </c>
      <c r="D2885" s="5" t="s">
        <v>39</v>
      </c>
      <c r="E2885" s="5" t="s">
        <v>48</v>
      </c>
      <c r="F2885" s="9">
        <v>20</v>
      </c>
      <c r="G2885" s="9">
        <v>265</v>
      </c>
      <c r="H2885" s="5" t="s">
        <v>21</v>
      </c>
      <c r="I2885" s="5" t="s">
        <v>6753</v>
      </c>
      <c r="J2885" s="12" t="str">
        <f>HYPERLINK("https://www.boe.es/gazeta/dias/1801/03/10/pdfs/GMD-1801-20.pdf#page=10","Abrir facsímil")</f>
        <v>Abrir facsímil</v>
      </c>
      <c r="K2885" s="15" t="s">
        <v>23</v>
      </c>
    </row>
    <row r="2886" spans="1:11" ht="42" customHeight="1">
      <c r="A2886" s="4" t="s">
        <v>6754</v>
      </c>
      <c r="B2886" s="5" t="s">
        <v>6755</v>
      </c>
      <c r="C2886" s="5" t="s">
        <v>18</v>
      </c>
      <c r="D2886" s="5" t="s">
        <v>19</v>
      </c>
      <c r="E2886" s="5" t="s">
        <v>702</v>
      </c>
      <c r="F2886" s="9">
        <v>69</v>
      </c>
      <c r="G2886" s="9">
        <v>764</v>
      </c>
      <c r="H2886" s="5" t="s">
        <v>21</v>
      </c>
      <c r="I2886" s="5" t="s">
        <v>6756</v>
      </c>
      <c r="J2886" s="12" t="str">
        <f>HYPERLINK("https://www.boe.es/gazeta/dias/1801/07/14/pdfs/GMD-1801-69.pdf#page=9","Abrir facsímil")</f>
        <v>Abrir facsímil</v>
      </c>
      <c r="K2886" s="15" t="s">
        <v>23</v>
      </c>
    </row>
    <row r="2887" spans="1:11" ht="42" customHeight="1">
      <c r="A2887" s="4" t="s">
        <v>6754</v>
      </c>
      <c r="B2887" s="5" t="s">
        <v>6755</v>
      </c>
      <c r="C2887" s="5" t="s">
        <v>18</v>
      </c>
      <c r="D2887" s="5" t="s">
        <v>19</v>
      </c>
      <c r="E2887" s="5" t="s">
        <v>215</v>
      </c>
      <c r="F2887" s="9">
        <v>71</v>
      </c>
      <c r="G2887" s="9">
        <v>788</v>
      </c>
      <c r="H2887" s="5" t="s">
        <v>21</v>
      </c>
      <c r="I2887" s="5" t="s">
        <v>6757</v>
      </c>
      <c r="J2887" s="12" t="str">
        <f>HYPERLINK("https://www.boe.es/gazeta/dias/1801/07/21/pdfs/GMD-1801-71.pdf#page=9","Abrir facsímil")</f>
        <v>Abrir facsímil</v>
      </c>
      <c r="K2887" s="15" t="s">
        <v>23</v>
      </c>
    </row>
    <row r="2888" spans="1:11" ht="42" customHeight="1">
      <c r="A2888" s="4" t="s">
        <v>6754</v>
      </c>
      <c r="B2888" s="5" t="s">
        <v>6755</v>
      </c>
      <c r="C2888" s="5" t="s">
        <v>38</v>
      </c>
      <c r="D2888" s="5" t="s">
        <v>39</v>
      </c>
      <c r="E2888" s="5" t="s">
        <v>82</v>
      </c>
      <c r="F2888" s="9">
        <v>75</v>
      </c>
      <c r="G2888" s="9">
        <v>841</v>
      </c>
      <c r="H2888" s="5" t="s">
        <v>21</v>
      </c>
      <c r="I2888" s="5" t="s">
        <v>6758</v>
      </c>
      <c r="J2888" s="12" t="str">
        <f>HYPERLINK("https://www.boe.es/gazeta/dias/1801/08/04/pdfs/GMD-1801-75.pdf#page=10","Abrir facsímil")</f>
        <v>Abrir facsímil</v>
      </c>
      <c r="K2888" s="15" t="s">
        <v>23</v>
      </c>
    </row>
    <row r="2889" spans="1:11" ht="42" customHeight="1">
      <c r="A2889" s="4" t="s">
        <v>6754</v>
      </c>
      <c r="B2889" s="5" t="s">
        <v>6755</v>
      </c>
      <c r="C2889" s="5" t="s">
        <v>18</v>
      </c>
      <c r="D2889" s="5" t="s">
        <v>19</v>
      </c>
      <c r="E2889" s="5" t="s">
        <v>751</v>
      </c>
      <c r="F2889" s="9">
        <v>106</v>
      </c>
      <c r="G2889" s="9">
        <v>1169</v>
      </c>
      <c r="H2889" s="5" t="s">
        <v>21</v>
      </c>
      <c r="I2889" s="5" t="s">
        <v>6759</v>
      </c>
      <c r="J2889" s="12" t="str">
        <f>HYPERLINK("https://www.boe.es/gazeta/dias/1801/11/13/pdfs/GMD-C-1801-106.pdf#page=2","Abrir facsímil")</f>
        <v>Abrir facsímil</v>
      </c>
      <c r="K2889" s="15" t="s">
        <v>23</v>
      </c>
    </row>
    <row r="2890" spans="1:11" ht="42" customHeight="1">
      <c r="A2890" s="4" t="s">
        <v>6754</v>
      </c>
      <c r="B2890" s="5" t="s">
        <v>6755</v>
      </c>
      <c r="C2890" s="5" t="s">
        <v>18</v>
      </c>
      <c r="D2890" s="5" t="s">
        <v>19</v>
      </c>
      <c r="E2890" s="5" t="s">
        <v>1939</v>
      </c>
      <c r="F2890" s="9">
        <v>107</v>
      </c>
      <c r="G2890" s="9">
        <v>1180</v>
      </c>
      <c r="H2890" s="5" t="s">
        <v>21</v>
      </c>
      <c r="I2890" s="5" t="s">
        <v>6760</v>
      </c>
      <c r="J2890" s="12" t="str">
        <f>HYPERLINK("https://www.boe.es/gazeta/dias/1801/11/17/pdfs/GMD-1801-107.pdf#page=9","Abrir facsímil")</f>
        <v>Abrir facsímil</v>
      </c>
      <c r="K2890" s="15" t="s">
        <v>23</v>
      </c>
    </row>
    <row r="2891" spans="1:11" ht="42" customHeight="1">
      <c r="A2891" s="4" t="s">
        <v>6754</v>
      </c>
      <c r="B2891" s="5" t="s">
        <v>6755</v>
      </c>
      <c r="C2891" s="5" t="s">
        <v>18</v>
      </c>
      <c r="D2891" s="5" t="s">
        <v>19</v>
      </c>
      <c r="E2891" s="5" t="s">
        <v>1058</v>
      </c>
      <c r="F2891" s="9">
        <v>108</v>
      </c>
      <c r="G2891" s="9">
        <v>1193</v>
      </c>
      <c r="H2891" s="5" t="s">
        <v>21</v>
      </c>
      <c r="I2891" s="5" t="s">
        <v>6761</v>
      </c>
      <c r="J2891" s="12" t="str">
        <f>HYPERLINK("https://www.boe.es/gazeta/dias/1801/11/20/pdfs/GMD-1801-108.pdf#page=10","Abrir facsímil")</f>
        <v>Abrir facsímil</v>
      </c>
      <c r="K2891" s="15" t="s">
        <v>23</v>
      </c>
    </row>
    <row r="2892" spans="1:11" ht="42" customHeight="1">
      <c r="A2892" s="4" t="s">
        <v>6762</v>
      </c>
      <c r="B2892" s="5" t="s">
        <v>6763</v>
      </c>
      <c r="C2892" s="5" t="s">
        <v>32</v>
      </c>
      <c r="D2892" s="5" t="s">
        <v>33</v>
      </c>
      <c r="E2892" s="5" t="s">
        <v>289</v>
      </c>
      <c r="F2892" s="9">
        <v>40</v>
      </c>
      <c r="G2892" s="9">
        <v>512</v>
      </c>
      <c r="H2892" s="5" t="s">
        <v>21</v>
      </c>
      <c r="I2892" s="5" t="s">
        <v>6764</v>
      </c>
      <c r="J2892" s="12" t="str">
        <f>HYPERLINK("https://www.boe.es/gazeta/dias/1801/05/19/pdfs/GMD-1801-40.pdf#page=4","Abrir facsímil")</f>
        <v>Abrir facsímil</v>
      </c>
      <c r="K2892" s="15" t="s">
        <v>23</v>
      </c>
    </row>
    <row r="2893" spans="1:11" ht="42" customHeight="1">
      <c r="A2893" s="4" t="s">
        <v>6765</v>
      </c>
      <c r="B2893" s="5" t="s">
        <v>6765</v>
      </c>
      <c r="C2893" s="5" t="s">
        <v>75</v>
      </c>
      <c r="D2893" s="5" t="s">
        <v>76</v>
      </c>
      <c r="E2893" s="5" t="s">
        <v>201</v>
      </c>
      <c r="F2893" s="9">
        <v>79</v>
      </c>
      <c r="G2893" s="9">
        <v>885</v>
      </c>
      <c r="H2893" s="5" t="s">
        <v>21</v>
      </c>
      <c r="I2893" s="5" t="s">
        <v>6766</v>
      </c>
      <c r="J2893" s="12" t="str">
        <f>HYPERLINK("https://www.boe.es/gazeta/dias/1801/08/18/pdfs/GMD-1801-79.pdf#page=2","Abrir facsímil")</f>
        <v>Abrir facsímil</v>
      </c>
      <c r="K2893" s="15" t="s">
        <v>23</v>
      </c>
    </row>
    <row r="2894" spans="1:11" ht="42" customHeight="1">
      <c r="A2894" s="4" t="s">
        <v>6767</v>
      </c>
      <c r="B2894" s="5" t="s">
        <v>6767</v>
      </c>
      <c r="C2894" s="5" t="s">
        <v>75</v>
      </c>
      <c r="D2894" s="5" t="s">
        <v>76</v>
      </c>
      <c r="E2894" s="5" t="s">
        <v>764</v>
      </c>
      <c r="F2894" s="9">
        <v>80</v>
      </c>
      <c r="G2894" s="9">
        <v>896</v>
      </c>
      <c r="H2894" s="5" t="s">
        <v>21</v>
      </c>
      <c r="I2894" s="5" t="s">
        <v>6768</v>
      </c>
      <c r="J2894" s="12" t="str">
        <f>HYPERLINK("https://www.boe.es/gazeta/dias/1801/08/21/pdfs/GMD-1801-80.pdf#page=5","Abrir facsímil")</f>
        <v>Abrir facsímil</v>
      </c>
      <c r="K2894" s="15" t="s">
        <v>23</v>
      </c>
    </row>
    <row r="2895" spans="1:11" ht="42" customHeight="1">
      <c r="A2895" s="4" t="s">
        <v>6769</v>
      </c>
      <c r="B2895" s="5" t="s">
        <v>6770</v>
      </c>
      <c r="C2895" s="5" t="s">
        <v>32</v>
      </c>
      <c r="D2895" s="5" t="s">
        <v>33</v>
      </c>
      <c r="E2895" s="5" t="s">
        <v>289</v>
      </c>
      <c r="F2895" s="9">
        <v>40</v>
      </c>
      <c r="G2895" s="9">
        <v>509</v>
      </c>
      <c r="H2895" s="5" t="s">
        <v>21</v>
      </c>
      <c r="I2895" s="5" t="s">
        <v>6771</v>
      </c>
      <c r="J2895" s="12" t="str">
        <f>HYPERLINK("https://www.boe.es/gazeta/dias/1801/05/19/pdfs/GMD-1801-40.pdf#page=1","Abrir facsímil")</f>
        <v>Abrir facsímil</v>
      </c>
      <c r="K2895" s="15" t="s">
        <v>23</v>
      </c>
    </row>
    <row r="2896" spans="1:11" ht="42" customHeight="1">
      <c r="A2896" s="4" t="s">
        <v>6772</v>
      </c>
      <c r="B2896" s="5" t="s">
        <v>6773</v>
      </c>
      <c r="C2896" s="5" t="s">
        <v>38</v>
      </c>
      <c r="D2896" s="5" t="s">
        <v>39</v>
      </c>
      <c r="E2896" s="5" t="s">
        <v>328</v>
      </c>
      <c r="F2896" s="9">
        <v>89</v>
      </c>
      <c r="G2896" s="9">
        <v>981</v>
      </c>
      <c r="H2896" s="5" t="s">
        <v>21</v>
      </c>
      <c r="I2896" s="5" t="s">
        <v>6774</v>
      </c>
      <c r="J2896" s="12" t="str">
        <f>HYPERLINK("https://www.boe.es/gazeta/dias/1801/09/15/pdfs/GMD-1801-89.pdf#page=8","Abrir facsímil")</f>
        <v>Abrir facsímil</v>
      </c>
      <c r="K2896" s="15" t="s">
        <v>23</v>
      </c>
    </row>
    <row r="2897" spans="1:11" ht="42" customHeight="1">
      <c r="A2897" s="4" t="s">
        <v>6775</v>
      </c>
      <c r="B2897" s="5" t="s">
        <v>6776</v>
      </c>
      <c r="C2897" s="5" t="s">
        <v>32</v>
      </c>
      <c r="D2897" s="5" t="s">
        <v>33</v>
      </c>
      <c r="E2897" s="5" t="s">
        <v>62</v>
      </c>
      <c r="F2897" s="9">
        <v>6</v>
      </c>
      <c r="G2897" s="9">
        <v>73</v>
      </c>
      <c r="H2897" s="5" t="s">
        <v>21</v>
      </c>
      <c r="I2897" s="5" t="s">
        <v>6777</v>
      </c>
      <c r="J2897" s="12" t="str">
        <f>HYPERLINK("https://www.boe.es/gazeta/dias/1801/01/20/pdfs/GMD-1801-6.pdf#page=9","Abrir facsímil")</f>
        <v>Abrir facsímil</v>
      </c>
      <c r="K2897" s="15" t="s">
        <v>23</v>
      </c>
    </row>
    <row r="2898" spans="1:11" ht="42" customHeight="1">
      <c r="A2898" s="4" t="s">
        <v>6778</v>
      </c>
      <c r="B2898" s="5" t="s">
        <v>6778</v>
      </c>
      <c r="C2898" s="5" t="s">
        <v>32</v>
      </c>
      <c r="D2898" s="5" t="s">
        <v>33</v>
      </c>
      <c r="E2898" s="5" t="s">
        <v>66</v>
      </c>
      <c r="F2898" s="9">
        <v>52</v>
      </c>
      <c r="G2898" s="9">
        <v>607</v>
      </c>
      <c r="H2898" s="5" t="s">
        <v>21</v>
      </c>
      <c r="I2898" s="5" t="s">
        <v>6779</v>
      </c>
      <c r="J2898" s="12" t="str">
        <f>HYPERLINK("https://www.boe.es/gazeta/dias/1801/06/12/pdfs/GMD-1801-52.pdf#page=6","Abrir facsímil")</f>
        <v>Abrir facsímil</v>
      </c>
      <c r="K2898" s="15" t="s">
        <v>23</v>
      </c>
    </row>
    <row r="2899" spans="1:11" ht="42" customHeight="1">
      <c r="A2899" s="4" t="s">
        <v>6780</v>
      </c>
      <c r="B2899" s="5" t="s">
        <v>6781</v>
      </c>
      <c r="C2899" s="5" t="s">
        <v>75</v>
      </c>
      <c r="D2899" s="5" t="s">
        <v>76</v>
      </c>
      <c r="E2899" s="5" t="s">
        <v>34</v>
      </c>
      <c r="F2899" s="9">
        <v>38</v>
      </c>
      <c r="G2899" s="9">
        <v>489</v>
      </c>
      <c r="H2899" s="5" t="s">
        <v>21</v>
      </c>
      <c r="I2899" s="5" t="s">
        <v>6782</v>
      </c>
      <c r="J2899" s="12" t="str">
        <f>HYPERLINK("https://www.boe.es/gazeta/dias/1801/05/12/pdfs/GMD-1801-38.pdf#page=5","Abrir facsímil")</f>
        <v>Abrir facsímil</v>
      </c>
      <c r="K2899" s="15" t="s">
        <v>23</v>
      </c>
    </row>
    <row r="2900" spans="1:11" ht="42" customHeight="1">
      <c r="A2900" s="4" t="s">
        <v>6783</v>
      </c>
      <c r="B2900" s="5" t="s">
        <v>6783</v>
      </c>
      <c r="C2900" s="5" t="s">
        <v>38</v>
      </c>
      <c r="D2900" s="5" t="s">
        <v>39</v>
      </c>
      <c r="E2900" s="5" t="s">
        <v>262</v>
      </c>
      <c r="F2900" s="9">
        <v>109</v>
      </c>
      <c r="G2900" s="9">
        <v>1207</v>
      </c>
      <c r="H2900" s="5" t="s">
        <v>21</v>
      </c>
      <c r="I2900" s="5" t="s">
        <v>6784</v>
      </c>
      <c r="J2900" s="12" t="str">
        <f>HYPERLINK("https://www.boe.es/gazeta/dias/1801/11/24/pdfs/GMD-1801-109.pdf#page=12","Abrir facsímil")</f>
        <v>Abrir facsímil</v>
      </c>
      <c r="K2900" s="15" t="s">
        <v>23</v>
      </c>
    </row>
    <row r="2901" spans="1:11" ht="42" customHeight="1">
      <c r="A2901" s="4" t="s">
        <v>6785</v>
      </c>
      <c r="B2901" s="5" t="s">
        <v>6786</v>
      </c>
      <c r="C2901" s="5" t="s">
        <v>38</v>
      </c>
      <c r="D2901" s="5" t="s">
        <v>39</v>
      </c>
      <c r="E2901" s="5" t="s">
        <v>480</v>
      </c>
      <c r="F2901" s="9">
        <v>10</v>
      </c>
      <c r="G2901" s="9">
        <v>127</v>
      </c>
      <c r="H2901" s="5" t="s">
        <v>21</v>
      </c>
      <c r="I2901" s="5" t="s">
        <v>6787</v>
      </c>
      <c r="J2901" s="12" t="str">
        <f>HYPERLINK("https://www.boe.es/gazeta/dias/1801/02/03/pdfs/GMD-1801-10.pdf#page=12","Abrir facsímil")</f>
        <v>Abrir facsímil</v>
      </c>
      <c r="K2901" s="15" t="s">
        <v>23</v>
      </c>
    </row>
    <row r="2902" spans="1:11" ht="42" customHeight="1">
      <c r="A2902" s="4" t="s">
        <v>6788</v>
      </c>
      <c r="B2902" s="5" t="s">
        <v>6789</v>
      </c>
      <c r="C2902" s="5" t="s">
        <v>26</v>
      </c>
      <c r="D2902" s="5" t="s">
        <v>27</v>
      </c>
      <c r="E2902" s="5" t="s">
        <v>20</v>
      </c>
      <c r="F2902" s="9">
        <v>37</v>
      </c>
      <c r="G2902" s="9">
        <v>484</v>
      </c>
      <c r="H2902" s="5" t="s">
        <v>21</v>
      </c>
      <c r="I2902" s="5" t="s">
        <v>6790</v>
      </c>
      <c r="J2902" s="12" t="str">
        <f>HYPERLINK("https://www.boe.es/gazeta/dias/1801/05/08/pdfs/GMD-1801-37.pdf#page=12","Abrir facsímil")</f>
        <v>Abrir facsímil</v>
      </c>
      <c r="K2902" s="15" t="s">
        <v>23</v>
      </c>
    </row>
    <row r="2903" spans="1:11" ht="42" customHeight="1">
      <c r="A2903" s="4" t="s">
        <v>6791</v>
      </c>
      <c r="B2903" s="5" t="s">
        <v>6792</v>
      </c>
      <c r="C2903" s="5" t="s">
        <v>80</v>
      </c>
      <c r="D2903" s="5" t="s">
        <v>81</v>
      </c>
      <c r="E2903" s="5" t="s">
        <v>289</v>
      </c>
      <c r="F2903" s="9">
        <v>40</v>
      </c>
      <c r="G2903" s="9" t="s">
        <v>83</v>
      </c>
      <c r="H2903" s="5" t="s">
        <v>21</v>
      </c>
      <c r="I2903" s="5" t="s">
        <v>6793</v>
      </c>
      <c r="J2903" s="12" t="str">
        <f>HYPERLINK("https://www.boe.es/gazeta/dias/1801/05/19/pdfs/GMD-C-1801-40.pdf#page=2","Abrir facsímil")</f>
        <v>Abrir facsímil</v>
      </c>
      <c r="K2903" s="15" t="s">
        <v>23</v>
      </c>
    </row>
    <row r="2904" spans="1:11" ht="42" customHeight="1">
      <c r="A2904" s="4" t="s">
        <v>6794</v>
      </c>
      <c r="B2904" s="5" t="s">
        <v>6795</v>
      </c>
      <c r="C2904" s="5" t="s">
        <v>38</v>
      </c>
      <c r="D2904" s="5" t="s">
        <v>39</v>
      </c>
      <c r="E2904" s="5" t="s">
        <v>615</v>
      </c>
      <c r="F2904" s="9">
        <v>72</v>
      </c>
      <c r="G2904" s="9">
        <v>803</v>
      </c>
      <c r="H2904" s="5" t="s">
        <v>21</v>
      </c>
      <c r="I2904" s="5" t="s">
        <v>6796</v>
      </c>
      <c r="J2904" s="12" t="str">
        <f>HYPERLINK("https://www.boe.es/gazeta/dias/1801/07/24/pdfs/GMD-1801-72.pdf#page=8","Abrir facsímil")</f>
        <v>Abrir facsímil</v>
      </c>
      <c r="K2904" s="15" t="s">
        <v>23</v>
      </c>
    </row>
    <row r="2905" spans="1:11" ht="42" customHeight="1">
      <c r="A2905" s="4" t="s">
        <v>6797</v>
      </c>
      <c r="B2905" s="5" t="s">
        <v>6797</v>
      </c>
      <c r="C2905" s="5" t="s">
        <v>75</v>
      </c>
      <c r="D2905" s="5" t="s">
        <v>76</v>
      </c>
      <c r="E2905" s="5" t="s">
        <v>505</v>
      </c>
      <c r="F2905" s="9">
        <v>94</v>
      </c>
      <c r="G2905" s="9">
        <v>1025</v>
      </c>
      <c r="H2905" s="5" t="s">
        <v>21</v>
      </c>
      <c r="I2905" s="5" t="s">
        <v>6798</v>
      </c>
      <c r="J2905" s="12" t="str">
        <f>HYPERLINK("https://www.boe.es/gazeta/dias/1801/10/02/pdfs/GMD-1801-94.pdf#page=1","Abrir facsímil")</f>
        <v>Abrir facsímil</v>
      </c>
      <c r="K2905" s="15" t="s">
        <v>23</v>
      </c>
    </row>
    <row r="2906" spans="1:11" ht="42" customHeight="1">
      <c r="A2906" s="4" t="s">
        <v>6799</v>
      </c>
      <c r="B2906" s="5" t="s">
        <v>6800</v>
      </c>
      <c r="C2906" s="5" t="s">
        <v>75</v>
      </c>
      <c r="D2906" s="5" t="s">
        <v>76</v>
      </c>
      <c r="E2906" s="5" t="s">
        <v>34</v>
      </c>
      <c r="F2906" s="9">
        <v>38</v>
      </c>
      <c r="G2906" s="9">
        <v>490</v>
      </c>
      <c r="H2906" s="5" t="s">
        <v>21</v>
      </c>
      <c r="I2906" s="5" t="s">
        <v>6801</v>
      </c>
      <c r="J2906" s="12" t="str">
        <f>HYPERLINK("https://www.boe.es/gazeta/dias/1801/05/12/pdfs/GMD-1801-38.pdf#page=6","Abrir facsímil")</f>
        <v>Abrir facsímil</v>
      </c>
      <c r="K2906" s="15" t="s">
        <v>23</v>
      </c>
    </row>
    <row r="2907" spans="1:11" ht="42" customHeight="1">
      <c r="A2907" s="4" t="s">
        <v>6802</v>
      </c>
      <c r="B2907" s="5" t="s">
        <v>6802</v>
      </c>
      <c r="C2907" s="5" t="s">
        <v>69</v>
      </c>
      <c r="D2907" s="5" t="s">
        <v>19</v>
      </c>
      <c r="E2907" s="5" t="s">
        <v>99</v>
      </c>
      <c r="F2907" s="9">
        <v>32</v>
      </c>
      <c r="G2907" s="9">
        <v>408</v>
      </c>
      <c r="H2907" s="5" t="s">
        <v>21</v>
      </c>
      <c r="I2907" s="5" t="s">
        <v>6803</v>
      </c>
      <c r="J2907" s="12" t="str">
        <f>HYPERLINK("https://www.boe.es/gazeta/dias/1801/04/21/pdfs/GMD-1801-32.pdf#page=4","Abrir facsímil")</f>
        <v>Abrir facsímil</v>
      </c>
      <c r="K2907" s="15" t="s">
        <v>23</v>
      </c>
    </row>
    <row r="2908" spans="1:11" ht="42" customHeight="1">
      <c r="A2908" s="4" t="s">
        <v>6804</v>
      </c>
      <c r="B2908" s="5" t="s">
        <v>6805</v>
      </c>
      <c r="C2908" s="5" t="s">
        <v>75</v>
      </c>
      <c r="D2908" s="5" t="s">
        <v>76</v>
      </c>
      <c r="E2908" s="5" t="s">
        <v>101</v>
      </c>
      <c r="F2908" s="9">
        <v>41</v>
      </c>
      <c r="G2908" s="9">
        <v>519</v>
      </c>
      <c r="H2908" s="5" t="s">
        <v>21</v>
      </c>
      <c r="I2908" s="5" t="s">
        <v>6806</v>
      </c>
      <c r="J2908" s="12" t="str">
        <f>HYPERLINK("https://www.boe.es/gazeta/dias/1801/05/22/pdfs/GMD-1801-41.pdf#page=3","Abrir facsímil")</f>
        <v>Abrir facsímil</v>
      </c>
      <c r="K2908" s="15" t="s">
        <v>23</v>
      </c>
    </row>
    <row r="2909" spans="1:11" ht="42" customHeight="1">
      <c r="A2909" s="4" t="s">
        <v>6804</v>
      </c>
      <c r="B2909" s="5" t="s">
        <v>6805</v>
      </c>
      <c r="C2909" s="5" t="s">
        <v>75</v>
      </c>
      <c r="D2909" s="5" t="s">
        <v>76</v>
      </c>
      <c r="E2909" s="5" t="s">
        <v>417</v>
      </c>
      <c r="F2909" s="9">
        <v>64</v>
      </c>
      <c r="G2909" s="9">
        <v>720</v>
      </c>
      <c r="H2909" s="5" t="s">
        <v>21</v>
      </c>
      <c r="I2909" s="5" t="s">
        <v>6807</v>
      </c>
      <c r="J2909" s="12" t="str">
        <f>HYPERLINK("https://www.boe.es/gazeta/dias/1801/07/07/pdfs/GMD-1801-64.pdf#page=1","Abrir facsímil")</f>
        <v>Abrir facsímil</v>
      </c>
      <c r="K2909" s="15" t="s">
        <v>23</v>
      </c>
    </row>
    <row r="2910" spans="1:11" ht="42" customHeight="1">
      <c r="A2910" s="4" t="s">
        <v>6808</v>
      </c>
      <c r="B2910" s="5" t="s">
        <v>6808</v>
      </c>
      <c r="C2910" s="5" t="s">
        <v>75</v>
      </c>
      <c r="D2910" s="5" t="s">
        <v>76</v>
      </c>
      <c r="E2910" s="5" t="s">
        <v>289</v>
      </c>
      <c r="F2910" s="9">
        <v>40</v>
      </c>
      <c r="G2910" s="9">
        <v>512</v>
      </c>
      <c r="H2910" s="5" t="s">
        <v>21</v>
      </c>
      <c r="I2910" s="5" t="s">
        <v>6809</v>
      </c>
      <c r="J2910" s="12" t="str">
        <f>HYPERLINK("https://www.boe.es/gazeta/dias/1801/05/19/pdfs/GMD-1801-40.pdf#page=4","Abrir facsímil")</f>
        <v>Abrir facsímil</v>
      </c>
      <c r="K2910" s="15" t="s">
        <v>23</v>
      </c>
    </row>
    <row r="2911" spans="1:11" ht="42" customHeight="1">
      <c r="A2911" s="4" t="s">
        <v>6810</v>
      </c>
      <c r="B2911" s="5" t="s">
        <v>6810</v>
      </c>
      <c r="C2911" s="5" t="s">
        <v>38</v>
      </c>
      <c r="D2911" s="5" t="s">
        <v>39</v>
      </c>
      <c r="E2911" s="5" t="s">
        <v>2185</v>
      </c>
      <c r="F2911" s="9">
        <v>84</v>
      </c>
      <c r="G2911" s="9">
        <v>940</v>
      </c>
      <c r="H2911" s="5" t="s">
        <v>21</v>
      </c>
      <c r="I2911" s="5" t="s">
        <v>6811</v>
      </c>
      <c r="J2911" s="12" t="str">
        <f>HYPERLINK("https://www.boe.es/gazeta/dias/1801/09/04/pdfs/GMD-1801-84.pdf#page=3","Abrir facsímil")</f>
        <v>Abrir facsímil</v>
      </c>
      <c r="K2911" s="15" t="s">
        <v>23</v>
      </c>
    </row>
    <row r="2912" spans="1:11" ht="42" customHeight="1">
      <c r="A2912" s="4" t="s">
        <v>6812</v>
      </c>
      <c r="B2912" s="5" t="s">
        <v>6812</v>
      </c>
      <c r="C2912" s="5" t="s">
        <v>75</v>
      </c>
      <c r="D2912" s="5" t="s">
        <v>76</v>
      </c>
      <c r="E2912" s="5" t="s">
        <v>309</v>
      </c>
      <c r="F2912" s="9">
        <v>118</v>
      </c>
      <c r="G2912" s="9">
        <v>1286</v>
      </c>
      <c r="H2912" s="5" t="s">
        <v>21</v>
      </c>
      <c r="I2912" s="5" t="s">
        <v>6813</v>
      </c>
      <c r="J2912" s="12" t="str">
        <f>HYPERLINK("https://www.boe.es/gazeta/dias/1801/12/25/pdfs/GMD-1801-118.pdf#page=1","Abrir facsímil")</f>
        <v>Abrir facsímil</v>
      </c>
      <c r="K2912" s="15" t="s">
        <v>23</v>
      </c>
    </row>
    <row r="2913" spans="1:11" ht="42" customHeight="1">
      <c r="A2913" s="4" t="s">
        <v>6814</v>
      </c>
      <c r="B2913" s="5" t="s">
        <v>6814</v>
      </c>
      <c r="C2913" s="5" t="s">
        <v>38</v>
      </c>
      <c r="D2913" s="5" t="s">
        <v>39</v>
      </c>
      <c r="E2913" s="5" t="s">
        <v>1058</v>
      </c>
      <c r="F2913" s="9">
        <v>108</v>
      </c>
      <c r="G2913" s="9">
        <v>1187</v>
      </c>
      <c r="H2913" s="5" t="s">
        <v>21</v>
      </c>
      <c r="I2913" s="5" t="s">
        <v>6815</v>
      </c>
      <c r="J2913" s="12" t="str">
        <f>HYPERLINK("https://www.boe.es/gazeta/dias/1801/11/20/pdfs/GMD-1801-108.pdf#page=4","Abrir facsímil")</f>
        <v>Abrir facsímil</v>
      </c>
      <c r="K2913" s="15" t="s">
        <v>23</v>
      </c>
    </row>
    <row r="2914" spans="1:11" ht="42" customHeight="1">
      <c r="A2914" s="4" t="s">
        <v>6816</v>
      </c>
      <c r="B2914" s="5" t="s">
        <v>6816</v>
      </c>
      <c r="C2914" s="5" t="s">
        <v>75</v>
      </c>
      <c r="D2914" s="5" t="s">
        <v>76</v>
      </c>
      <c r="E2914" s="5" t="s">
        <v>735</v>
      </c>
      <c r="F2914" s="9">
        <v>97</v>
      </c>
      <c r="G2914" s="9">
        <v>1058</v>
      </c>
      <c r="H2914" s="5" t="s">
        <v>21</v>
      </c>
      <c r="I2914" s="5" t="s">
        <v>6817</v>
      </c>
      <c r="J2914" s="12" t="str">
        <f>HYPERLINK("https://www.boe.es/gazeta/dias/1801/10/13/pdfs/GMD-1801-97.pdf#page=2","Abrir facsímil")</f>
        <v>Abrir facsímil</v>
      </c>
      <c r="K2914" s="15" t="s">
        <v>23</v>
      </c>
    </row>
    <row r="2915" spans="1:11" ht="42" customHeight="1">
      <c r="A2915" s="4" t="s">
        <v>6818</v>
      </c>
      <c r="B2915" s="5" t="s">
        <v>6818</v>
      </c>
      <c r="C2915" s="5" t="s">
        <v>32</v>
      </c>
      <c r="D2915" s="5" t="s">
        <v>33</v>
      </c>
      <c r="E2915" s="5" t="s">
        <v>251</v>
      </c>
      <c r="F2915" s="9">
        <v>66</v>
      </c>
      <c r="G2915" s="9">
        <v>738</v>
      </c>
      <c r="H2915" s="5" t="s">
        <v>21</v>
      </c>
      <c r="I2915" s="5" t="s">
        <v>6819</v>
      </c>
      <c r="J2915" s="12" t="str">
        <f>HYPERLINK("https://www.boe.es/gazeta/dias/1801/07/10/pdfs/GMD-1801-66.pdf#page=3","Abrir facsímil")</f>
        <v>Abrir facsímil</v>
      </c>
      <c r="K2915" s="15" t="s">
        <v>23</v>
      </c>
    </row>
    <row r="2916" spans="1:11" ht="42" customHeight="1">
      <c r="A2916" s="4" t="s">
        <v>6820</v>
      </c>
      <c r="B2916" s="5" t="s">
        <v>6820</v>
      </c>
      <c r="C2916" s="5" t="s">
        <v>75</v>
      </c>
      <c r="D2916" s="5" t="s">
        <v>76</v>
      </c>
      <c r="E2916" s="5" t="s">
        <v>1085</v>
      </c>
      <c r="F2916" s="9">
        <v>99</v>
      </c>
      <c r="G2916" s="9">
        <v>1086</v>
      </c>
      <c r="H2916" s="5" t="s">
        <v>21</v>
      </c>
      <c r="I2916" s="5" t="s">
        <v>6821</v>
      </c>
      <c r="J2916" s="12" t="str">
        <f>HYPERLINK("https://www.boe.es/gazeta/dias/1801/10/20/pdfs/GMD-1801-99.pdf#page=3","Abrir facsímil")</f>
        <v>Abrir facsímil</v>
      </c>
      <c r="K2916" s="15" t="s">
        <v>23</v>
      </c>
    </row>
    <row r="2917" spans="1:11" ht="42" customHeight="1">
      <c r="A2917" s="4" t="s">
        <v>6822</v>
      </c>
      <c r="B2917" s="5" t="s">
        <v>6822</v>
      </c>
      <c r="C2917" s="5" t="s">
        <v>38</v>
      </c>
      <c r="D2917" s="5" t="s">
        <v>39</v>
      </c>
      <c r="E2917" s="5" t="s">
        <v>131</v>
      </c>
      <c r="F2917" s="9">
        <v>22</v>
      </c>
      <c r="G2917" s="9">
        <v>286</v>
      </c>
      <c r="H2917" s="5" t="s">
        <v>21</v>
      </c>
      <c r="I2917" s="5" t="s">
        <v>6823</v>
      </c>
      <c r="J2917" s="12" t="str">
        <f>HYPERLINK("https://www.boe.es/gazeta/dias/1801/03/17/pdfs/GMD-1801-22.pdf#page=3","Abrir facsímil")</f>
        <v>Abrir facsímil</v>
      </c>
      <c r="K2917" s="15" t="s">
        <v>23</v>
      </c>
    </row>
    <row r="2918" spans="1:11" ht="42" customHeight="1">
      <c r="A2918" s="4" t="s">
        <v>6824</v>
      </c>
      <c r="B2918" s="5" t="s">
        <v>6824</v>
      </c>
      <c r="C2918" s="5" t="s">
        <v>18</v>
      </c>
      <c r="D2918" s="5" t="s">
        <v>19</v>
      </c>
      <c r="E2918" s="5" t="s">
        <v>186</v>
      </c>
      <c r="F2918" s="9">
        <v>21</v>
      </c>
      <c r="G2918" s="9">
        <v>273</v>
      </c>
      <c r="H2918" s="5" t="s">
        <v>21</v>
      </c>
      <c r="I2918" s="5" t="s">
        <v>6825</v>
      </c>
      <c r="J2918" s="12" t="str">
        <f>HYPERLINK("https://www.boe.es/gazeta/dias/1801/03/13/pdfs/GMD-1801-21.pdf#page=2","Abrir facsímil")</f>
        <v>Abrir facsímil</v>
      </c>
      <c r="K2918" s="15" t="s">
        <v>23</v>
      </c>
    </row>
    <row r="2919" spans="1:11" ht="42" customHeight="1">
      <c r="A2919" s="4" t="s">
        <v>6826</v>
      </c>
      <c r="B2919" s="5" t="s">
        <v>6826</v>
      </c>
      <c r="C2919" s="5" t="s">
        <v>75</v>
      </c>
      <c r="D2919" s="5" t="s">
        <v>76</v>
      </c>
      <c r="E2919" s="5" t="s">
        <v>179</v>
      </c>
      <c r="F2919" s="9">
        <v>11</v>
      </c>
      <c r="G2919" s="9">
        <v>133</v>
      </c>
      <c r="H2919" s="5" t="s">
        <v>21</v>
      </c>
      <c r="I2919" s="5" t="s">
        <v>6827</v>
      </c>
      <c r="J2919" s="12" t="str">
        <f>HYPERLINK("https://www.boe.es/gazeta/dias/1801/02/06/pdfs/GMD-1801-11.pdf#page=6","Abrir facsímil")</f>
        <v>Abrir facsímil</v>
      </c>
      <c r="K2919" s="15" t="s">
        <v>23</v>
      </c>
    </row>
    <row r="2920" spans="1:11" ht="42" customHeight="1">
      <c r="A2920" s="4" t="s">
        <v>6828</v>
      </c>
      <c r="B2920" s="5" t="s">
        <v>6828</v>
      </c>
      <c r="C2920" s="5" t="s">
        <v>32</v>
      </c>
      <c r="D2920" s="5" t="s">
        <v>33</v>
      </c>
      <c r="E2920" s="5" t="s">
        <v>94</v>
      </c>
      <c r="F2920" s="9">
        <v>19</v>
      </c>
      <c r="G2920" s="9">
        <v>238</v>
      </c>
      <c r="H2920" s="5" t="s">
        <v>21</v>
      </c>
      <c r="I2920" s="5" t="s">
        <v>6829</v>
      </c>
      <c r="J2920" s="12" t="str">
        <f>HYPERLINK("https://www.boe.es/gazeta/dias/1801/03/06/pdfs/GMD-1801-19.pdf#page=3","Abrir facsímil")</f>
        <v>Abrir facsímil</v>
      </c>
      <c r="K2920" s="15" t="s">
        <v>23</v>
      </c>
    </row>
    <row r="2921" spans="1:11" ht="42" customHeight="1">
      <c r="A2921" s="4" t="s">
        <v>6828</v>
      </c>
      <c r="B2921" s="5" t="s">
        <v>6828</v>
      </c>
      <c r="C2921" s="5" t="s">
        <v>18</v>
      </c>
      <c r="D2921" s="5" t="s">
        <v>19</v>
      </c>
      <c r="E2921" s="5" t="s">
        <v>141</v>
      </c>
      <c r="F2921" s="9">
        <v>33</v>
      </c>
      <c r="G2921" s="9">
        <v>419</v>
      </c>
      <c r="H2921" s="5" t="s">
        <v>21</v>
      </c>
      <c r="I2921" s="5" t="s">
        <v>6830</v>
      </c>
      <c r="J2921" s="12" t="str">
        <f>HYPERLINK("https://www.boe.es/gazeta/dias/1801/04/24/pdfs/GMD-1801-33.pdf#page=3","Abrir facsímil")</f>
        <v>Abrir facsímil</v>
      </c>
      <c r="K2921" s="15" t="s">
        <v>23</v>
      </c>
    </row>
    <row r="2922" spans="1:11" ht="42" customHeight="1">
      <c r="A2922" s="4" t="s">
        <v>6828</v>
      </c>
      <c r="B2922" s="5" t="s">
        <v>6828</v>
      </c>
      <c r="C2922" s="5" t="s">
        <v>75</v>
      </c>
      <c r="D2922" s="5" t="s">
        <v>76</v>
      </c>
      <c r="E2922" s="5" t="s">
        <v>151</v>
      </c>
      <c r="F2922" s="9">
        <v>45</v>
      </c>
      <c r="G2922" s="9">
        <v>555</v>
      </c>
      <c r="H2922" s="5" t="s">
        <v>21</v>
      </c>
      <c r="I2922" s="5" t="s">
        <v>6831</v>
      </c>
      <c r="J2922" s="12" t="str">
        <f>HYPERLINK("https://www.boe.es/gazeta/dias/1801/06/02/pdfs/GMD-1801-45.pdf#page=3","Abrir facsímil")</f>
        <v>Abrir facsímil</v>
      </c>
      <c r="K2922" s="15" t="s">
        <v>23</v>
      </c>
    </row>
    <row r="2923" spans="1:11" ht="42" customHeight="1">
      <c r="A2923" s="4" t="s">
        <v>6832</v>
      </c>
      <c r="B2923" s="5" t="s">
        <v>6832</v>
      </c>
      <c r="C2923" s="5" t="s">
        <v>75</v>
      </c>
      <c r="D2923" s="5" t="s">
        <v>76</v>
      </c>
      <c r="E2923" s="5" t="s">
        <v>313</v>
      </c>
      <c r="F2923" s="9">
        <v>39</v>
      </c>
      <c r="G2923" s="9">
        <v>499</v>
      </c>
      <c r="H2923" s="5" t="s">
        <v>21</v>
      </c>
      <c r="I2923" s="5" t="s">
        <v>6833</v>
      </c>
      <c r="J2923" s="12" t="str">
        <f>HYPERLINK("https://www.boe.es/gazeta/dias/1801/05/15/pdfs/GMD-1801-39.pdf#page=3","Abrir facsímil")</f>
        <v>Abrir facsímil</v>
      </c>
      <c r="K2923" s="15" t="s">
        <v>23</v>
      </c>
    </row>
    <row r="2924" spans="1:11" ht="42" customHeight="1">
      <c r="A2924" s="4" t="s">
        <v>6832</v>
      </c>
      <c r="B2924" s="5" t="s">
        <v>6832</v>
      </c>
      <c r="C2924" s="5" t="s">
        <v>75</v>
      </c>
      <c r="D2924" s="5" t="s">
        <v>76</v>
      </c>
      <c r="E2924" s="5" t="s">
        <v>1436</v>
      </c>
      <c r="F2924" s="9">
        <v>95</v>
      </c>
      <c r="G2924" s="9">
        <v>1037</v>
      </c>
      <c r="H2924" s="5" t="s">
        <v>21</v>
      </c>
      <c r="I2924" s="5" t="s">
        <v>6834</v>
      </c>
      <c r="J2924" s="12" t="str">
        <f>HYPERLINK("https://www.boe.es/gazeta/dias/1801/10/06/pdfs/GMD-1801-95.pdf#page=1","Abrir facsímil")</f>
        <v>Abrir facsímil</v>
      </c>
      <c r="K2924" s="15" t="s">
        <v>23</v>
      </c>
    </row>
    <row r="2925" spans="1:11" ht="42" customHeight="1">
      <c r="A2925" s="4" t="s">
        <v>6835</v>
      </c>
      <c r="B2925" s="5" t="s">
        <v>6835</v>
      </c>
      <c r="C2925" s="5" t="s">
        <v>75</v>
      </c>
      <c r="D2925" s="5" t="s">
        <v>76</v>
      </c>
      <c r="E2925" s="5" t="s">
        <v>108</v>
      </c>
      <c r="F2925" s="9">
        <v>61</v>
      </c>
      <c r="G2925" s="9">
        <v>694</v>
      </c>
      <c r="H2925" s="5" t="s">
        <v>21</v>
      </c>
      <c r="I2925" s="5" t="s">
        <v>6836</v>
      </c>
      <c r="J2925" s="12" t="str">
        <f>HYPERLINK("https://www.boe.es/gazeta/dias/1801/06/30/pdfs/GMD-1801-61.pdf#page=3","Abrir facsímil")</f>
        <v>Abrir facsímil</v>
      </c>
      <c r="K2925" s="15" t="s">
        <v>23</v>
      </c>
    </row>
    <row r="2926" spans="1:11" ht="42" customHeight="1">
      <c r="A2926" s="4" t="s">
        <v>6837</v>
      </c>
      <c r="B2926" s="5" t="s">
        <v>6837</v>
      </c>
      <c r="C2926" s="5" t="s">
        <v>32</v>
      </c>
      <c r="D2926" s="5" t="s">
        <v>33</v>
      </c>
      <c r="E2926" s="5" t="s">
        <v>221</v>
      </c>
      <c r="F2926" s="9">
        <v>28</v>
      </c>
      <c r="G2926" s="9">
        <v>369</v>
      </c>
      <c r="H2926" s="5" t="s">
        <v>21</v>
      </c>
      <c r="I2926" s="5" t="s">
        <v>6838</v>
      </c>
      <c r="J2926" s="12" t="str">
        <f>HYPERLINK("https://www.boe.es/gazeta/dias/1801/04/07/pdfs/GMD-1801-28.pdf#page=9","Abrir facsímil")</f>
        <v>Abrir facsímil</v>
      </c>
      <c r="K2926" s="15" t="s">
        <v>23</v>
      </c>
    </row>
    <row r="2927" spans="1:11" ht="42" customHeight="1">
      <c r="A2927" s="4" t="s">
        <v>6839</v>
      </c>
      <c r="B2927" s="5" t="s">
        <v>6839</v>
      </c>
      <c r="C2927" s="5" t="s">
        <v>38</v>
      </c>
      <c r="D2927" s="5" t="s">
        <v>39</v>
      </c>
      <c r="E2927" s="5" t="s">
        <v>155</v>
      </c>
      <c r="F2927" s="9">
        <v>50</v>
      </c>
      <c r="G2927" s="9">
        <v>594</v>
      </c>
      <c r="H2927" s="5" t="s">
        <v>21</v>
      </c>
      <c r="I2927" s="5" t="s">
        <v>6840</v>
      </c>
      <c r="J2927" s="12" t="str">
        <f>HYPERLINK("https://www.boe.es/gazeta/dias/1801/06/09/pdfs/GMD-1801-50.pdf#page=6","Abrir facsímil")</f>
        <v>Abrir facsímil</v>
      </c>
      <c r="K2927" s="15" t="s">
        <v>23</v>
      </c>
    </row>
    <row r="2928" spans="1:11" ht="42" customHeight="1">
      <c r="A2928" s="4" t="s">
        <v>6841</v>
      </c>
      <c r="B2928" s="5" t="s">
        <v>6841</v>
      </c>
      <c r="C2928" s="5" t="s">
        <v>32</v>
      </c>
      <c r="D2928" s="5" t="s">
        <v>33</v>
      </c>
      <c r="E2928" s="5" t="s">
        <v>135</v>
      </c>
      <c r="F2928" s="9">
        <v>24</v>
      </c>
      <c r="G2928" s="9">
        <v>310</v>
      </c>
      <c r="H2928" s="5" t="s">
        <v>21</v>
      </c>
      <c r="I2928" s="5" t="s">
        <v>6842</v>
      </c>
      <c r="J2928" s="12" t="str">
        <f>HYPERLINK("https://www.boe.es/gazeta/dias/1801/03/24/pdfs/GMD-1801-24.pdf#page=1","Abrir facsímil")</f>
        <v>Abrir facsímil</v>
      </c>
      <c r="K2928" s="15" t="s">
        <v>23</v>
      </c>
    </row>
    <row r="2929" spans="1:11" ht="42" customHeight="1">
      <c r="A2929" s="4" t="s">
        <v>6843</v>
      </c>
      <c r="B2929" s="5" t="s">
        <v>6843</v>
      </c>
      <c r="C2929" s="5" t="s">
        <v>26</v>
      </c>
      <c r="D2929" s="5" t="s">
        <v>27</v>
      </c>
      <c r="E2929" s="5" t="s">
        <v>924</v>
      </c>
      <c r="F2929" s="9">
        <v>90</v>
      </c>
      <c r="G2929" s="9">
        <v>991</v>
      </c>
      <c r="H2929" s="5" t="s">
        <v>21</v>
      </c>
      <c r="I2929" s="5" t="s">
        <v>6844</v>
      </c>
      <c r="J2929" s="12" t="str">
        <f>HYPERLINK("https://www.boe.es/gazeta/dias/1801/09/18/pdfs/GMD-1801-90.pdf#page=6","Abrir facsímil")</f>
        <v>Abrir facsímil</v>
      </c>
      <c r="K2929" s="15" t="s">
        <v>23</v>
      </c>
    </row>
    <row r="2930" spans="1:11" ht="42" customHeight="1">
      <c r="A2930" s="4" t="s">
        <v>6845</v>
      </c>
      <c r="B2930" s="5" t="s">
        <v>6846</v>
      </c>
      <c r="C2930" s="5" t="s">
        <v>38</v>
      </c>
      <c r="D2930" s="5" t="s">
        <v>39</v>
      </c>
      <c r="E2930" s="5" t="s">
        <v>131</v>
      </c>
      <c r="F2930" s="9">
        <v>22</v>
      </c>
      <c r="G2930" s="9">
        <v>286</v>
      </c>
      <c r="H2930" s="5" t="s">
        <v>21</v>
      </c>
      <c r="I2930" s="5" t="s">
        <v>6847</v>
      </c>
      <c r="J2930" s="12" t="str">
        <f>HYPERLINK("https://www.boe.es/gazeta/dias/1801/03/17/pdfs/GMD-1801-22.pdf#page=3","Abrir facsímil")</f>
        <v>Abrir facsímil</v>
      </c>
      <c r="K2930" s="15" t="s">
        <v>23</v>
      </c>
    </row>
    <row r="2931" spans="1:11" ht="42" customHeight="1">
      <c r="A2931" s="4" t="s">
        <v>6848</v>
      </c>
      <c r="B2931" s="5" t="s">
        <v>6849</v>
      </c>
      <c r="C2931" s="5" t="s">
        <v>38</v>
      </c>
      <c r="D2931" s="5" t="s">
        <v>39</v>
      </c>
      <c r="E2931" s="5" t="s">
        <v>77</v>
      </c>
      <c r="F2931" s="9">
        <v>93</v>
      </c>
      <c r="G2931" s="9">
        <v>1018</v>
      </c>
      <c r="H2931" s="5" t="s">
        <v>21</v>
      </c>
      <c r="I2931" s="5" t="s">
        <v>6850</v>
      </c>
      <c r="J2931" s="12" t="str">
        <f>HYPERLINK("https://www.boe.es/gazeta/dias/1801/09/29/pdfs/GMD-1801-93.pdf#page=5","Abrir facsímil")</f>
        <v>Abrir facsímil</v>
      </c>
      <c r="K2931" s="15" t="s">
        <v>23</v>
      </c>
    </row>
    <row r="2932" spans="1:11" ht="42" customHeight="1">
      <c r="A2932" s="4" t="s">
        <v>6851</v>
      </c>
      <c r="B2932" s="5" t="s">
        <v>6852</v>
      </c>
      <c r="C2932" s="5" t="s">
        <v>75</v>
      </c>
      <c r="D2932" s="5" t="s">
        <v>76</v>
      </c>
      <c r="E2932" s="5" t="s">
        <v>735</v>
      </c>
      <c r="F2932" s="9">
        <v>97</v>
      </c>
      <c r="G2932" s="9">
        <v>1059</v>
      </c>
      <c r="H2932" s="5" t="s">
        <v>21</v>
      </c>
      <c r="I2932" s="5" t="s">
        <v>6853</v>
      </c>
      <c r="J2932" s="12" t="str">
        <f>HYPERLINK("https://www.boe.es/gazeta/dias/1801/10/13/pdfs/GMD-1801-97.pdf#page=3","Abrir facsímil")</f>
        <v>Abrir facsímil</v>
      </c>
      <c r="K2932" s="15" t="s">
        <v>23</v>
      </c>
    </row>
    <row r="2933" spans="1:11" ht="42" customHeight="1">
      <c r="A2933" s="4" t="s">
        <v>6854</v>
      </c>
      <c r="B2933" s="5" t="s">
        <v>6855</v>
      </c>
      <c r="C2933" s="5" t="s">
        <v>75</v>
      </c>
      <c r="D2933" s="5" t="s">
        <v>76</v>
      </c>
      <c r="E2933" s="5" t="s">
        <v>34</v>
      </c>
      <c r="F2933" s="9">
        <v>38</v>
      </c>
      <c r="G2933" s="9">
        <v>489</v>
      </c>
      <c r="H2933" s="5" t="s">
        <v>21</v>
      </c>
      <c r="I2933" s="5" t="s">
        <v>6856</v>
      </c>
      <c r="J2933" s="12" t="str">
        <f>HYPERLINK("https://www.boe.es/gazeta/dias/1801/05/12/pdfs/GMD-1801-38.pdf#page=5","Abrir facsímil")</f>
        <v>Abrir facsímil</v>
      </c>
      <c r="K2933" s="15" t="s">
        <v>23</v>
      </c>
    </row>
    <row r="2934" spans="1:11" ht="42" customHeight="1">
      <c r="A2934" s="4" t="s">
        <v>6857</v>
      </c>
      <c r="B2934" s="5" t="s">
        <v>6858</v>
      </c>
      <c r="C2934" s="5" t="s">
        <v>69</v>
      </c>
      <c r="D2934" s="5" t="s">
        <v>19</v>
      </c>
      <c r="E2934" s="5" t="s">
        <v>888</v>
      </c>
      <c r="F2934" s="9">
        <v>103</v>
      </c>
      <c r="G2934" s="9">
        <v>1128</v>
      </c>
      <c r="H2934" s="5" t="s">
        <v>21</v>
      </c>
      <c r="I2934" s="5" t="s">
        <v>6859</v>
      </c>
      <c r="J2934" s="12" t="str">
        <f>HYPERLINK("https://www.boe.es/gazeta/dias/1801/11/03/pdfs/GMD-1801-103.pdf#page=1","Abrir facsímil")</f>
        <v>Abrir facsímil</v>
      </c>
      <c r="K2934" s="15" t="s">
        <v>23</v>
      </c>
    </row>
    <row r="2935" spans="1:11" ht="42" customHeight="1">
      <c r="A2935" s="4" t="s">
        <v>6860</v>
      </c>
      <c r="B2935" s="5" t="s">
        <v>6861</v>
      </c>
      <c r="C2935" s="5" t="s">
        <v>75</v>
      </c>
      <c r="D2935" s="5" t="s">
        <v>76</v>
      </c>
      <c r="E2935" s="5" t="s">
        <v>105</v>
      </c>
      <c r="F2935" s="9">
        <v>44</v>
      </c>
      <c r="G2935" s="9">
        <v>544</v>
      </c>
      <c r="H2935" s="5" t="s">
        <v>21</v>
      </c>
      <c r="I2935" s="5" t="s">
        <v>6862</v>
      </c>
      <c r="J2935" s="12" t="str">
        <f>HYPERLINK("https://www.boe.es/gazeta/dias/1801/05/29/pdfs/GMD-1801-44.pdf#page=4","Abrir facsímil")</f>
        <v>Abrir facsímil</v>
      </c>
      <c r="K2935" s="15" t="s">
        <v>23</v>
      </c>
    </row>
    <row r="2936" spans="1:11" ht="42" customHeight="1">
      <c r="A2936" s="4" t="s">
        <v>6860</v>
      </c>
      <c r="B2936" s="5" t="s">
        <v>6861</v>
      </c>
      <c r="C2936" s="5" t="s">
        <v>75</v>
      </c>
      <c r="D2936" s="5" t="s">
        <v>76</v>
      </c>
      <c r="E2936" s="5" t="s">
        <v>223</v>
      </c>
      <c r="F2936" s="9">
        <v>74</v>
      </c>
      <c r="G2936" s="9">
        <v>823</v>
      </c>
      <c r="H2936" s="5" t="s">
        <v>21</v>
      </c>
      <c r="I2936" s="5" t="s">
        <v>6863</v>
      </c>
      <c r="J2936" s="12" t="str">
        <f>HYPERLINK("https://www.boe.es/gazeta/dias/1801/07/31/pdfs/GMD-1801-74.pdf#page=4","Abrir facsímil")</f>
        <v>Abrir facsímil</v>
      </c>
      <c r="K2936" s="15" t="s">
        <v>23</v>
      </c>
    </row>
    <row r="2937" spans="1:11" ht="42" customHeight="1">
      <c r="A2937" s="4" t="s">
        <v>6860</v>
      </c>
      <c r="B2937" s="5" t="s">
        <v>6861</v>
      </c>
      <c r="C2937" s="5" t="s">
        <v>32</v>
      </c>
      <c r="D2937" s="5" t="s">
        <v>33</v>
      </c>
      <c r="E2937" s="5" t="s">
        <v>924</v>
      </c>
      <c r="F2937" s="9">
        <v>90</v>
      </c>
      <c r="G2937" s="9">
        <v>987</v>
      </c>
      <c r="H2937" s="5" t="s">
        <v>21</v>
      </c>
      <c r="I2937" s="5" t="s">
        <v>6864</v>
      </c>
      <c r="J2937" s="12" t="str">
        <f>HYPERLINK("https://www.boe.es/gazeta/dias/1801/09/18/pdfs/GMD-1801-90.pdf#page=2","Abrir facsímil")</f>
        <v>Abrir facsímil</v>
      </c>
      <c r="K2937" s="15" t="s">
        <v>23</v>
      </c>
    </row>
    <row r="2938" spans="1:11" ht="42" customHeight="1">
      <c r="A2938" s="4" t="s">
        <v>6865</v>
      </c>
      <c r="B2938" s="5" t="s">
        <v>6866</v>
      </c>
      <c r="C2938" s="5" t="s">
        <v>32</v>
      </c>
      <c r="D2938" s="5" t="s">
        <v>33</v>
      </c>
      <c r="E2938" s="5" t="s">
        <v>480</v>
      </c>
      <c r="F2938" s="9">
        <v>10</v>
      </c>
      <c r="G2938" s="9">
        <v>116</v>
      </c>
      <c r="H2938" s="5" t="s">
        <v>21</v>
      </c>
      <c r="I2938" s="5" t="s">
        <v>6867</v>
      </c>
      <c r="J2938" s="12" t="str">
        <f>HYPERLINK("https://www.boe.es/gazeta/dias/1801/02/03/pdfs/GMD-1801-10.pdf#page=1","Abrir facsímil")</f>
        <v>Abrir facsímil</v>
      </c>
      <c r="K2938" s="15" t="s">
        <v>23</v>
      </c>
    </row>
    <row r="2939" spans="1:11" ht="42" customHeight="1">
      <c r="A2939" s="4" t="s">
        <v>6865</v>
      </c>
      <c r="B2939" s="5" t="s">
        <v>6866</v>
      </c>
      <c r="C2939" s="5" t="s">
        <v>75</v>
      </c>
      <c r="D2939" s="5" t="s">
        <v>76</v>
      </c>
      <c r="E2939" s="5" t="s">
        <v>94</v>
      </c>
      <c r="F2939" s="9">
        <v>19</v>
      </c>
      <c r="G2939" s="9">
        <v>236</v>
      </c>
      <c r="H2939" s="5" t="s">
        <v>21</v>
      </c>
      <c r="I2939" s="5" t="s">
        <v>6868</v>
      </c>
      <c r="J2939" s="12" t="str">
        <f>HYPERLINK("https://www.boe.es/gazeta/dias/1801/03/06/pdfs/GMD-1801-19.pdf#page=1","Abrir facsímil")</f>
        <v>Abrir facsímil</v>
      </c>
      <c r="K2939" s="15" t="s">
        <v>23</v>
      </c>
    </row>
    <row r="2940" spans="1:11" ht="42" customHeight="1">
      <c r="A2940" s="4" t="s">
        <v>6865</v>
      </c>
      <c r="B2940" s="5" t="s">
        <v>6866</v>
      </c>
      <c r="C2940" s="5" t="s">
        <v>75</v>
      </c>
      <c r="D2940" s="5" t="s">
        <v>76</v>
      </c>
      <c r="E2940" s="5" t="s">
        <v>186</v>
      </c>
      <c r="F2940" s="9">
        <v>21</v>
      </c>
      <c r="G2940" s="9">
        <v>272</v>
      </c>
      <c r="H2940" s="5" t="s">
        <v>21</v>
      </c>
      <c r="I2940" s="5" t="s">
        <v>6869</v>
      </c>
      <c r="J2940" s="12" t="str">
        <f>HYPERLINK("https://www.boe.es/gazeta/dias/1801/03/13/pdfs/GMD-1801-21.pdf#page=1","Abrir facsímil")</f>
        <v>Abrir facsímil</v>
      </c>
      <c r="K2940" s="15" t="s">
        <v>23</v>
      </c>
    </row>
    <row r="2941" spans="1:11" ht="42" customHeight="1">
      <c r="A2941" s="4" t="s">
        <v>6865</v>
      </c>
      <c r="B2941" s="5" t="s">
        <v>6866</v>
      </c>
      <c r="C2941" s="5" t="s">
        <v>38</v>
      </c>
      <c r="D2941" s="5" t="s">
        <v>39</v>
      </c>
      <c r="E2941" s="5" t="s">
        <v>378</v>
      </c>
      <c r="F2941" s="9">
        <v>23</v>
      </c>
      <c r="G2941" s="9">
        <v>301</v>
      </c>
      <c r="H2941" s="5" t="s">
        <v>21</v>
      </c>
      <c r="I2941" s="5" t="s">
        <v>6870</v>
      </c>
      <c r="J2941" s="12" t="str">
        <f>HYPERLINK("https://www.boe.es/gazeta/dias/1801/03/20/pdfs/GMD-1801-23.pdf#page=4","Abrir facsímil")</f>
        <v>Abrir facsímil</v>
      </c>
      <c r="K2941" s="15" t="s">
        <v>23</v>
      </c>
    </row>
    <row r="2942" spans="1:11" ht="42" customHeight="1">
      <c r="A2942" s="4" t="s">
        <v>6865</v>
      </c>
      <c r="B2942" s="5" t="s">
        <v>6866</v>
      </c>
      <c r="C2942" s="5" t="s">
        <v>75</v>
      </c>
      <c r="D2942" s="5" t="s">
        <v>76</v>
      </c>
      <c r="E2942" s="5" t="s">
        <v>135</v>
      </c>
      <c r="F2942" s="9">
        <v>24</v>
      </c>
      <c r="G2942" s="9">
        <v>310</v>
      </c>
      <c r="H2942" s="5" t="s">
        <v>21</v>
      </c>
      <c r="I2942" s="5" t="s">
        <v>6871</v>
      </c>
      <c r="J2942" s="12" t="str">
        <f>HYPERLINK("https://www.boe.es/gazeta/dias/1801/03/24/pdfs/GMD-1801-24.pdf#page=1","Abrir facsímil")</f>
        <v>Abrir facsímil</v>
      </c>
      <c r="K2942" s="15" t="s">
        <v>23</v>
      </c>
    </row>
    <row r="2943" spans="1:11" ht="42" customHeight="1">
      <c r="A2943" s="4" t="s">
        <v>6865</v>
      </c>
      <c r="B2943" s="5" t="s">
        <v>6866</v>
      </c>
      <c r="C2943" s="5" t="s">
        <v>75</v>
      </c>
      <c r="D2943" s="5" t="s">
        <v>76</v>
      </c>
      <c r="E2943" s="5" t="s">
        <v>137</v>
      </c>
      <c r="F2943" s="9">
        <v>30</v>
      </c>
      <c r="G2943" s="9">
        <v>385</v>
      </c>
      <c r="H2943" s="5" t="s">
        <v>21</v>
      </c>
      <c r="I2943" s="5" t="s">
        <v>6872</v>
      </c>
      <c r="J2943" s="12" t="str">
        <f>HYPERLINK("https://www.boe.es/gazeta/dias/1801/04/14/pdfs/GMD-1801-30.pdf#page=1","Abrir facsímil")</f>
        <v>Abrir facsímil</v>
      </c>
      <c r="K2943" s="15" t="s">
        <v>23</v>
      </c>
    </row>
    <row r="2944" spans="1:11" ht="42" customHeight="1">
      <c r="A2944" s="4" t="s">
        <v>6865</v>
      </c>
      <c r="B2944" s="5" t="s">
        <v>6866</v>
      </c>
      <c r="C2944" s="5" t="s">
        <v>75</v>
      </c>
      <c r="D2944" s="5" t="s">
        <v>76</v>
      </c>
      <c r="E2944" s="5" t="s">
        <v>101</v>
      </c>
      <c r="F2944" s="9">
        <v>41</v>
      </c>
      <c r="G2944" s="9">
        <v>520</v>
      </c>
      <c r="H2944" s="5" t="s">
        <v>21</v>
      </c>
      <c r="I2944" s="5" t="s">
        <v>6873</v>
      </c>
      <c r="J2944" s="12" t="str">
        <f>HYPERLINK("https://www.boe.es/gazeta/dias/1801/05/22/pdfs/GMD-1801-41.pdf#page=4","Abrir facsímil")</f>
        <v>Abrir facsímil</v>
      </c>
      <c r="K2944" s="15" t="s">
        <v>23</v>
      </c>
    </row>
    <row r="2945" spans="1:11" ht="42" customHeight="1">
      <c r="A2945" s="4" t="s">
        <v>6865</v>
      </c>
      <c r="B2945" s="5" t="s">
        <v>6866</v>
      </c>
      <c r="C2945" s="5" t="s">
        <v>32</v>
      </c>
      <c r="D2945" s="5" t="s">
        <v>33</v>
      </c>
      <c r="E2945" s="5" t="s">
        <v>105</v>
      </c>
      <c r="F2945" s="9">
        <v>44</v>
      </c>
      <c r="G2945" s="9">
        <v>544</v>
      </c>
      <c r="H2945" s="5" t="s">
        <v>21</v>
      </c>
      <c r="I2945" s="5" t="s">
        <v>6874</v>
      </c>
      <c r="J2945" s="12" t="str">
        <f>HYPERLINK("https://www.boe.es/gazeta/dias/1801/05/29/pdfs/GMD-1801-44.pdf#page=4","Abrir facsímil")</f>
        <v>Abrir facsímil</v>
      </c>
      <c r="K2945" s="15" t="s">
        <v>23</v>
      </c>
    </row>
    <row r="2946" spans="1:11" ht="42" customHeight="1">
      <c r="A2946" s="4" t="s">
        <v>6865</v>
      </c>
      <c r="B2946" s="5" t="s">
        <v>6866</v>
      </c>
      <c r="C2946" s="5" t="s">
        <v>38</v>
      </c>
      <c r="D2946" s="5" t="s">
        <v>39</v>
      </c>
      <c r="E2946" s="5" t="s">
        <v>72</v>
      </c>
      <c r="F2946" s="9">
        <v>60</v>
      </c>
      <c r="G2946" s="9">
        <v>682</v>
      </c>
      <c r="H2946" s="5" t="s">
        <v>21</v>
      </c>
      <c r="I2946" s="5" t="s">
        <v>6875</v>
      </c>
      <c r="J2946" s="12" t="str">
        <f>HYPERLINK("https://www.boe.es/gazeta/dias/1801/06/26/pdfs/GMD-1801-60.pdf#page=3","Abrir facsímil")</f>
        <v>Abrir facsímil</v>
      </c>
      <c r="K2946" s="15" t="s">
        <v>23</v>
      </c>
    </row>
    <row r="2947" spans="1:11" ht="42" customHeight="1">
      <c r="A2947" s="4" t="s">
        <v>6865</v>
      </c>
      <c r="B2947" s="5" t="s">
        <v>6866</v>
      </c>
      <c r="C2947" s="5" t="s">
        <v>38</v>
      </c>
      <c r="D2947" s="5" t="s">
        <v>39</v>
      </c>
      <c r="E2947" s="5" t="s">
        <v>72</v>
      </c>
      <c r="F2947" s="9">
        <v>60</v>
      </c>
      <c r="G2947" s="9">
        <v>683</v>
      </c>
      <c r="H2947" s="5" t="s">
        <v>21</v>
      </c>
      <c r="I2947" s="5" t="s">
        <v>6876</v>
      </c>
      <c r="J2947" s="12" t="str">
        <f>HYPERLINK("https://www.boe.es/gazeta/dias/1801/06/26/pdfs/GMD-1801-60.pdf#page=4","Abrir facsímil")</f>
        <v>Abrir facsímil</v>
      </c>
      <c r="K2947" s="15" t="s">
        <v>23</v>
      </c>
    </row>
    <row r="2948" spans="1:11" ht="42" customHeight="1">
      <c r="A2948" s="4" t="s">
        <v>6865</v>
      </c>
      <c r="B2948" s="5" t="s">
        <v>6866</v>
      </c>
      <c r="C2948" s="5" t="s">
        <v>75</v>
      </c>
      <c r="D2948" s="5" t="s">
        <v>76</v>
      </c>
      <c r="E2948" s="5" t="s">
        <v>108</v>
      </c>
      <c r="F2948" s="9">
        <v>61</v>
      </c>
      <c r="G2948" s="9">
        <v>694</v>
      </c>
      <c r="H2948" s="5" t="s">
        <v>21</v>
      </c>
      <c r="I2948" s="5" t="s">
        <v>6877</v>
      </c>
      <c r="J2948" s="12" t="str">
        <f>HYPERLINK("https://www.boe.es/gazeta/dias/1801/06/30/pdfs/GMD-1801-61.pdf#page=3","Abrir facsímil")</f>
        <v>Abrir facsímil</v>
      </c>
      <c r="K2948" s="15" t="s">
        <v>23</v>
      </c>
    </row>
    <row r="2949" spans="1:11" ht="42" customHeight="1">
      <c r="A2949" s="4" t="s">
        <v>6865</v>
      </c>
      <c r="B2949" s="5" t="s">
        <v>6866</v>
      </c>
      <c r="C2949" s="5" t="s">
        <v>38</v>
      </c>
      <c r="D2949" s="5" t="s">
        <v>39</v>
      </c>
      <c r="E2949" s="5" t="s">
        <v>417</v>
      </c>
      <c r="F2949" s="9">
        <v>64</v>
      </c>
      <c r="G2949" s="9">
        <v>723</v>
      </c>
      <c r="H2949" s="5" t="s">
        <v>21</v>
      </c>
      <c r="I2949" s="5" t="s">
        <v>6878</v>
      </c>
      <c r="J2949" s="12" t="str">
        <f>HYPERLINK("https://www.boe.es/gazeta/dias/1801/07/07/pdfs/GMD-1801-64.pdf#page=4","Abrir facsímil")</f>
        <v>Abrir facsímil</v>
      </c>
      <c r="K2949" s="15" t="s">
        <v>23</v>
      </c>
    </row>
    <row r="2950" spans="1:11" ht="42" customHeight="1">
      <c r="A2950" s="4" t="s">
        <v>6865</v>
      </c>
      <c r="B2950" s="5" t="s">
        <v>6866</v>
      </c>
      <c r="C2950" s="5" t="s">
        <v>75</v>
      </c>
      <c r="D2950" s="5" t="s">
        <v>76</v>
      </c>
      <c r="E2950" s="5" t="s">
        <v>223</v>
      </c>
      <c r="F2950" s="9">
        <v>74</v>
      </c>
      <c r="G2950" s="9">
        <v>823</v>
      </c>
      <c r="H2950" s="5" t="s">
        <v>21</v>
      </c>
      <c r="I2950" s="5" t="s">
        <v>6879</v>
      </c>
      <c r="J2950" s="12" t="str">
        <f>HYPERLINK("https://www.boe.es/gazeta/dias/1801/07/31/pdfs/GMD-1801-74.pdf#page=4","Abrir facsímil")</f>
        <v>Abrir facsímil</v>
      </c>
      <c r="K2950" s="15" t="s">
        <v>23</v>
      </c>
    </row>
    <row r="2951" spans="1:11" ht="42" customHeight="1">
      <c r="A2951" s="4" t="s">
        <v>6880</v>
      </c>
      <c r="B2951" s="5" t="s">
        <v>6881</v>
      </c>
      <c r="C2951" s="5" t="s">
        <v>38</v>
      </c>
      <c r="D2951" s="5" t="s">
        <v>39</v>
      </c>
      <c r="E2951" s="5" t="s">
        <v>82</v>
      </c>
      <c r="F2951" s="9">
        <v>75</v>
      </c>
      <c r="G2951" s="9">
        <v>834</v>
      </c>
      <c r="H2951" s="5" t="s">
        <v>21</v>
      </c>
      <c r="I2951" s="5" t="s">
        <v>6882</v>
      </c>
      <c r="J2951" s="12" t="str">
        <f>HYPERLINK("https://www.boe.es/gazeta/dias/1801/08/04/pdfs/GMD-1801-75.pdf#page=3","Abrir facsímil")</f>
        <v>Abrir facsímil</v>
      </c>
      <c r="K2951" s="15" t="s">
        <v>23</v>
      </c>
    </row>
    <row r="2952" spans="1:11" ht="42" customHeight="1">
      <c r="A2952" s="4" t="s">
        <v>6865</v>
      </c>
      <c r="B2952" s="5" t="s">
        <v>6866</v>
      </c>
      <c r="C2952" s="5" t="s">
        <v>75</v>
      </c>
      <c r="D2952" s="5" t="s">
        <v>76</v>
      </c>
      <c r="E2952" s="5" t="s">
        <v>28</v>
      </c>
      <c r="F2952" s="9">
        <v>77</v>
      </c>
      <c r="G2952" s="9">
        <v>860</v>
      </c>
      <c r="H2952" s="5" t="s">
        <v>21</v>
      </c>
      <c r="I2952" s="5" t="s">
        <v>6883</v>
      </c>
      <c r="J2952" s="12" t="str">
        <f>HYPERLINK("https://www.boe.es/gazeta/dias/1801/08/11/pdfs/GMD-1801-77.pdf#page=5","Abrir facsímil")</f>
        <v>Abrir facsímil</v>
      </c>
      <c r="K2952" s="15" t="s">
        <v>23</v>
      </c>
    </row>
    <row r="2953" spans="1:11" ht="42" customHeight="1">
      <c r="A2953" s="4" t="s">
        <v>6865</v>
      </c>
      <c r="B2953" s="5" t="s">
        <v>6866</v>
      </c>
      <c r="C2953" s="5" t="s">
        <v>75</v>
      </c>
      <c r="D2953" s="5" t="s">
        <v>76</v>
      </c>
      <c r="E2953" s="5" t="s">
        <v>919</v>
      </c>
      <c r="F2953" s="9">
        <v>91</v>
      </c>
      <c r="G2953" s="9">
        <v>998</v>
      </c>
      <c r="H2953" s="5" t="s">
        <v>21</v>
      </c>
      <c r="I2953" s="5" t="s">
        <v>6884</v>
      </c>
      <c r="J2953" s="12" t="str">
        <f>HYPERLINK("https://www.boe.es/gazeta/dias/1801/09/22/pdfs/GMD-1801-91.pdf#page=1","Abrir facsímil")</f>
        <v>Abrir facsímil</v>
      </c>
      <c r="K2953" s="15" t="s">
        <v>23</v>
      </c>
    </row>
    <row r="2954" spans="1:11" ht="42" customHeight="1">
      <c r="A2954" s="4" t="s">
        <v>6865</v>
      </c>
      <c r="B2954" s="5" t="s">
        <v>6866</v>
      </c>
      <c r="C2954" s="5" t="s">
        <v>18</v>
      </c>
      <c r="D2954" s="5" t="s">
        <v>19</v>
      </c>
      <c r="E2954" s="5" t="s">
        <v>723</v>
      </c>
      <c r="F2954" s="9">
        <v>113</v>
      </c>
      <c r="G2954" s="9">
        <v>1232</v>
      </c>
      <c r="H2954" s="5" t="s">
        <v>21</v>
      </c>
      <c r="I2954" s="5" t="s">
        <v>6885</v>
      </c>
      <c r="J2954" s="12" t="str">
        <f>HYPERLINK("https://www.boe.es/gazeta/dias/1801/12/08/pdfs/GMD-1801-113.pdf#page=5","Abrir facsímil")</f>
        <v>Abrir facsímil</v>
      </c>
      <c r="K2954" s="15" t="s">
        <v>23</v>
      </c>
    </row>
    <row r="2955" spans="1:11" ht="42" customHeight="1">
      <c r="A2955" s="4" t="s">
        <v>6865</v>
      </c>
      <c r="B2955" s="5" t="s">
        <v>6866</v>
      </c>
      <c r="C2955" s="5" t="s">
        <v>18</v>
      </c>
      <c r="D2955" s="5" t="s">
        <v>19</v>
      </c>
      <c r="E2955" s="5" t="s">
        <v>266</v>
      </c>
      <c r="F2955" s="9">
        <v>119</v>
      </c>
      <c r="G2955" s="9">
        <v>1297</v>
      </c>
      <c r="H2955" s="5" t="s">
        <v>21</v>
      </c>
      <c r="I2955" s="5" t="s">
        <v>6886</v>
      </c>
      <c r="J2955" s="12" t="str">
        <f>HYPERLINK("https://www.boe.es/gazeta/dias/1801/12/29/pdfs/GMD-1801-119.pdf#page=1","Abrir facsímil")</f>
        <v>Abrir facsímil</v>
      </c>
      <c r="K2955" s="15" t="s">
        <v>23</v>
      </c>
    </row>
    <row r="2956" spans="1:11" ht="42" customHeight="1">
      <c r="A2956" s="4" t="s">
        <v>6887</v>
      </c>
      <c r="B2956" s="5" t="s">
        <v>6888</v>
      </c>
      <c r="C2956" s="5" t="s">
        <v>75</v>
      </c>
      <c r="D2956" s="5" t="s">
        <v>76</v>
      </c>
      <c r="E2956" s="5" t="s">
        <v>99</v>
      </c>
      <c r="F2956" s="9">
        <v>32</v>
      </c>
      <c r="G2956" s="9">
        <v>405</v>
      </c>
      <c r="H2956" s="5" t="s">
        <v>21</v>
      </c>
      <c r="I2956" s="5" t="s">
        <v>6889</v>
      </c>
      <c r="J2956" s="12" t="str">
        <f>HYPERLINK("https://www.boe.es/gazeta/dias/1801/04/21/pdfs/GMD-1801-32.pdf#page=1","Abrir facsímil")</f>
        <v>Abrir facsímil</v>
      </c>
      <c r="K2956" s="15" t="s">
        <v>23</v>
      </c>
    </row>
    <row r="2957" spans="1:11" ht="42" customHeight="1">
      <c r="A2957" s="4" t="s">
        <v>6890</v>
      </c>
      <c r="B2957" s="5" t="s">
        <v>6890</v>
      </c>
      <c r="C2957" s="5" t="s">
        <v>32</v>
      </c>
      <c r="D2957" s="5" t="s">
        <v>33</v>
      </c>
      <c r="E2957" s="5" t="s">
        <v>328</v>
      </c>
      <c r="F2957" s="9">
        <v>89</v>
      </c>
      <c r="G2957" s="9">
        <v>982</v>
      </c>
      <c r="H2957" s="5" t="s">
        <v>21</v>
      </c>
      <c r="I2957" s="5" t="s">
        <v>6891</v>
      </c>
      <c r="J2957" s="12" t="str">
        <f>HYPERLINK("https://www.boe.es/gazeta/dias/1801/09/15/pdfs/GMD-1801-89.pdf#page=9","Abrir facsímil")</f>
        <v>Abrir facsímil</v>
      </c>
      <c r="K2957" s="15" t="s">
        <v>23</v>
      </c>
    </row>
    <row r="2958" spans="1:11" ht="42" customHeight="1">
      <c r="A2958" s="4" t="s">
        <v>6892</v>
      </c>
      <c r="B2958" s="5" t="s">
        <v>6892</v>
      </c>
      <c r="C2958" s="5" t="s">
        <v>69</v>
      </c>
      <c r="D2958" s="5" t="s">
        <v>19</v>
      </c>
      <c r="E2958" s="5" t="s">
        <v>48</v>
      </c>
      <c r="F2958" s="9">
        <v>20</v>
      </c>
      <c r="G2958" s="9">
        <v>266</v>
      </c>
      <c r="H2958" s="5" t="s">
        <v>21</v>
      </c>
      <c r="I2958" s="5" t="s">
        <v>6893</v>
      </c>
      <c r="J2958" s="12" t="str">
        <f>HYPERLINK("https://www.boe.es/gazeta/dias/1801/03/10/pdfs/GMD-1801-20.pdf#page=11","Abrir facsímil")</f>
        <v>Abrir facsímil</v>
      </c>
      <c r="K2958" s="15" t="s">
        <v>23</v>
      </c>
    </row>
    <row r="2959" spans="1:11" ht="42" customHeight="1">
      <c r="A2959" s="4" t="s">
        <v>6894</v>
      </c>
      <c r="B2959" s="5" t="s">
        <v>6894</v>
      </c>
      <c r="C2959" s="5" t="s">
        <v>38</v>
      </c>
      <c r="D2959" s="5" t="s">
        <v>39</v>
      </c>
      <c r="E2959" s="5" t="s">
        <v>128</v>
      </c>
      <c r="F2959" s="9">
        <v>17</v>
      </c>
      <c r="G2959" s="9">
        <v>215</v>
      </c>
      <c r="H2959" s="5" t="s">
        <v>21</v>
      </c>
      <c r="I2959" s="5" t="s">
        <v>6895</v>
      </c>
      <c r="J2959" s="12" t="str">
        <f>HYPERLINK("https://www.boe.es/gazeta/dias/1801/02/27/pdfs/GMD-1801-17.pdf#page=10","Abrir facsímil")</f>
        <v>Abrir facsímil</v>
      </c>
      <c r="K2959" s="15" t="s">
        <v>23</v>
      </c>
    </row>
    <row r="2960" spans="1:11" ht="42" customHeight="1">
      <c r="A2960" s="4" t="s">
        <v>6896</v>
      </c>
      <c r="B2960" s="5" t="s">
        <v>6896</v>
      </c>
      <c r="C2960" s="5" t="s">
        <v>32</v>
      </c>
      <c r="D2960" s="5" t="s">
        <v>33</v>
      </c>
      <c r="E2960" s="5" t="s">
        <v>453</v>
      </c>
      <c r="F2960" s="9">
        <v>100</v>
      </c>
      <c r="G2960" s="9">
        <v>1100</v>
      </c>
      <c r="H2960" s="5" t="s">
        <v>21</v>
      </c>
      <c r="I2960" s="5" t="s">
        <v>6897</v>
      </c>
      <c r="J2960" s="12" t="str">
        <f>HYPERLINK("https://www.boe.es/gazeta/dias/1801/10/23/pdfs/GMD-1801-100.pdf#page=9","Abrir facsímil")</f>
        <v>Abrir facsímil</v>
      </c>
      <c r="K2960" s="15" t="s">
        <v>23</v>
      </c>
    </row>
    <row r="2961" spans="1:11" ht="42" customHeight="1">
      <c r="A2961" s="4" t="s">
        <v>6898</v>
      </c>
      <c r="B2961" s="5" t="s">
        <v>6899</v>
      </c>
      <c r="C2961" s="5" t="s">
        <v>32</v>
      </c>
      <c r="D2961" s="5" t="s">
        <v>33</v>
      </c>
      <c r="E2961" s="5" t="s">
        <v>50</v>
      </c>
      <c r="F2961" s="9">
        <v>29</v>
      </c>
      <c r="G2961" s="9">
        <v>382</v>
      </c>
      <c r="H2961" s="5" t="s">
        <v>21</v>
      </c>
      <c r="I2961" s="5" t="s">
        <v>6900</v>
      </c>
      <c r="J2961" s="12" t="str">
        <f>HYPERLINK("https://www.boe.es/gazeta/dias/1801/04/10/pdfs/GMD-1801-29.pdf#page=10","Abrir facsímil")</f>
        <v>Abrir facsímil</v>
      </c>
      <c r="K2961" s="15" t="s">
        <v>23</v>
      </c>
    </row>
    <row r="2962" spans="1:11" ht="42" customHeight="1">
      <c r="A2962" s="4" t="s">
        <v>6901</v>
      </c>
      <c r="B2962" s="5" t="s">
        <v>6901</v>
      </c>
      <c r="C2962" s="5" t="s">
        <v>75</v>
      </c>
      <c r="D2962" s="5" t="s">
        <v>76</v>
      </c>
      <c r="E2962" s="5" t="s">
        <v>266</v>
      </c>
      <c r="F2962" s="9">
        <v>119</v>
      </c>
      <c r="G2962" s="9">
        <v>1298</v>
      </c>
      <c r="H2962" s="5" t="s">
        <v>21</v>
      </c>
      <c r="I2962" s="5" t="s">
        <v>6902</v>
      </c>
      <c r="J2962" s="12" t="str">
        <f>HYPERLINK("https://www.boe.es/gazeta/dias/1801/12/29/pdfs/GMD-1801-119.pdf#page=2","Abrir facsímil")</f>
        <v>Abrir facsímil</v>
      </c>
      <c r="K2962" s="15" t="s">
        <v>23</v>
      </c>
    </row>
    <row r="2963" spans="1:11" ht="42" customHeight="1">
      <c r="A2963" s="4" t="s">
        <v>6903</v>
      </c>
      <c r="B2963" s="5" t="s">
        <v>6904</v>
      </c>
      <c r="C2963" s="5" t="s">
        <v>80</v>
      </c>
      <c r="D2963" s="5" t="s">
        <v>81</v>
      </c>
      <c r="E2963" s="5" t="s">
        <v>289</v>
      </c>
      <c r="F2963" s="9">
        <v>40</v>
      </c>
      <c r="G2963" s="9" t="s">
        <v>668</v>
      </c>
      <c r="H2963" s="5" t="s">
        <v>21</v>
      </c>
      <c r="I2963" s="5" t="s">
        <v>6905</v>
      </c>
      <c r="J2963" s="12" t="str">
        <f>HYPERLINK("https://www.boe.es/gazeta/dias/1801/05/19/pdfs/GMD-C-1801-40.pdf#page=1","Abrir facsímil")</f>
        <v>Abrir facsímil</v>
      </c>
      <c r="K2963" s="15" t="s">
        <v>23</v>
      </c>
    </row>
    <row r="2964" spans="1:11" ht="42" customHeight="1">
      <c r="A2964" s="4" t="s">
        <v>6906</v>
      </c>
      <c r="B2964" s="5" t="s">
        <v>6907</v>
      </c>
      <c r="C2964" s="5" t="s">
        <v>38</v>
      </c>
      <c r="D2964" s="5" t="s">
        <v>39</v>
      </c>
      <c r="E2964" s="5" t="s">
        <v>702</v>
      </c>
      <c r="F2964" s="9">
        <v>69</v>
      </c>
      <c r="G2964" s="9">
        <v>764</v>
      </c>
      <c r="H2964" s="5" t="s">
        <v>21</v>
      </c>
      <c r="I2964" s="5" t="s">
        <v>6908</v>
      </c>
      <c r="J2964" s="12" t="str">
        <f>HYPERLINK("https://www.boe.es/gazeta/dias/1801/07/14/pdfs/GMD-1801-69.pdf#page=9","Abrir facsímil")</f>
        <v>Abrir facsímil</v>
      </c>
      <c r="K2964" s="15" t="s">
        <v>23</v>
      </c>
    </row>
    <row r="2965" spans="1:11" ht="42" customHeight="1">
      <c r="A2965" s="4" t="s">
        <v>6906</v>
      </c>
      <c r="B2965" s="5" t="s">
        <v>6907</v>
      </c>
      <c r="C2965" s="5" t="s">
        <v>38</v>
      </c>
      <c r="D2965" s="5" t="s">
        <v>39</v>
      </c>
      <c r="E2965" s="5" t="s">
        <v>215</v>
      </c>
      <c r="F2965" s="9">
        <v>71</v>
      </c>
      <c r="G2965" s="9">
        <v>788</v>
      </c>
      <c r="H2965" s="5" t="s">
        <v>21</v>
      </c>
      <c r="I2965" s="5" t="s">
        <v>6909</v>
      </c>
      <c r="J2965" s="12" t="str">
        <f>HYPERLINK("https://www.boe.es/gazeta/dias/1801/07/21/pdfs/GMD-1801-71.pdf#page=9","Abrir facsímil")</f>
        <v>Abrir facsímil</v>
      </c>
      <c r="K2965" s="15" t="s">
        <v>23</v>
      </c>
    </row>
    <row r="2966" spans="1:11" ht="42" customHeight="1">
      <c r="A2966" s="4" t="s">
        <v>6910</v>
      </c>
      <c r="B2966" s="5" t="s">
        <v>6910</v>
      </c>
      <c r="C2966" s="5" t="s">
        <v>75</v>
      </c>
      <c r="D2966" s="5" t="s">
        <v>76</v>
      </c>
      <c r="E2966" s="5" t="s">
        <v>640</v>
      </c>
      <c r="F2966" s="9">
        <v>81</v>
      </c>
      <c r="G2966" s="9">
        <v>905</v>
      </c>
      <c r="H2966" s="5" t="s">
        <v>21</v>
      </c>
      <c r="I2966" s="5" t="s">
        <v>6911</v>
      </c>
      <c r="J2966" s="12" t="str">
        <f>HYPERLINK("https://www.boe.es/gazeta/dias/1801/08/25/pdfs/GMD-1801-81.pdf#page=2","Abrir facsímil")</f>
        <v>Abrir facsímil</v>
      </c>
      <c r="K2966" s="15" t="s">
        <v>23</v>
      </c>
    </row>
    <row r="2967" spans="1:11" ht="42" customHeight="1">
      <c r="A2967" s="4" t="s">
        <v>6910</v>
      </c>
      <c r="B2967" s="5" t="s">
        <v>6910</v>
      </c>
      <c r="C2967" s="5" t="s">
        <v>75</v>
      </c>
      <c r="D2967" s="5" t="s">
        <v>76</v>
      </c>
      <c r="E2967" s="5" t="s">
        <v>194</v>
      </c>
      <c r="F2967" s="9">
        <v>92</v>
      </c>
      <c r="G2967" s="9">
        <v>1009</v>
      </c>
      <c r="H2967" s="5" t="s">
        <v>21</v>
      </c>
      <c r="I2967" s="5" t="s">
        <v>6912</v>
      </c>
      <c r="J2967" s="12" t="str">
        <f>HYPERLINK("https://www.boe.es/gazeta/dias/1801/09/25/pdfs/GMD-1801-92.pdf#page=4","Abrir facsímil")</f>
        <v>Abrir facsímil</v>
      </c>
      <c r="K2967" s="15" t="s">
        <v>23</v>
      </c>
    </row>
    <row r="2968" spans="1:11" ht="42" customHeight="1">
      <c r="A2968" s="4" t="s">
        <v>6913</v>
      </c>
      <c r="B2968" s="5" t="s">
        <v>6913</v>
      </c>
      <c r="C2968" s="5" t="s">
        <v>38</v>
      </c>
      <c r="D2968" s="5" t="s">
        <v>39</v>
      </c>
      <c r="E2968" s="5" t="s">
        <v>378</v>
      </c>
      <c r="F2968" s="9">
        <v>23</v>
      </c>
      <c r="G2968" s="9">
        <v>301</v>
      </c>
      <c r="H2968" s="5" t="s">
        <v>21</v>
      </c>
      <c r="I2968" s="5" t="s">
        <v>6914</v>
      </c>
      <c r="J2968" s="12" t="str">
        <f>HYPERLINK("https://www.boe.es/gazeta/dias/1801/03/20/pdfs/GMD-1801-23.pdf#page=4","Abrir facsímil")</f>
        <v>Abrir facsímil</v>
      </c>
      <c r="K2968" s="15" t="s">
        <v>23</v>
      </c>
    </row>
    <row r="2969" spans="1:11" ht="42" customHeight="1">
      <c r="A2969" s="4" t="s">
        <v>6915</v>
      </c>
      <c r="B2969" s="5" t="s">
        <v>6915</v>
      </c>
      <c r="C2969" s="5" t="s">
        <v>75</v>
      </c>
      <c r="D2969" s="5" t="s">
        <v>76</v>
      </c>
      <c r="E2969" s="5" t="s">
        <v>77</v>
      </c>
      <c r="F2969" s="9">
        <v>93</v>
      </c>
      <c r="G2969" s="9">
        <v>1015</v>
      </c>
      <c r="H2969" s="5" t="s">
        <v>21</v>
      </c>
      <c r="I2969" s="5" t="s">
        <v>6916</v>
      </c>
      <c r="J2969" s="12" t="str">
        <f>HYPERLINK("https://www.boe.es/gazeta/dias/1801/09/29/pdfs/GMD-1801-93.pdf#page=2","Abrir facsímil")</f>
        <v>Abrir facsímil</v>
      </c>
      <c r="K2969" s="15" t="s">
        <v>23</v>
      </c>
    </row>
    <row r="2970" spans="1:11" ht="42" customHeight="1">
      <c r="A2970" s="4" t="s">
        <v>6917</v>
      </c>
      <c r="B2970" s="5" t="s">
        <v>6917</v>
      </c>
      <c r="C2970" s="5" t="s">
        <v>38</v>
      </c>
      <c r="D2970" s="5" t="s">
        <v>39</v>
      </c>
      <c r="E2970" s="5" t="s">
        <v>182</v>
      </c>
      <c r="F2970" s="9">
        <v>18</v>
      </c>
      <c r="G2970" s="9">
        <v>229</v>
      </c>
      <c r="H2970" s="5" t="s">
        <v>21</v>
      </c>
      <c r="I2970" s="5" t="s">
        <v>6918</v>
      </c>
      <c r="J2970" s="12" t="str">
        <f>HYPERLINK("https://www.boe.es/gazeta/dias/1801/03/03/pdfs/GMD-1801-18.pdf#page=10","Abrir facsímil")</f>
        <v>Abrir facsímil</v>
      </c>
      <c r="K2970" s="15" t="s">
        <v>23</v>
      </c>
    </row>
    <row r="2971" spans="1:11" ht="42" customHeight="1">
      <c r="A2971" s="4" t="s">
        <v>6919</v>
      </c>
      <c r="B2971" s="5" t="s">
        <v>6919</v>
      </c>
      <c r="C2971" s="5" t="s">
        <v>32</v>
      </c>
      <c r="D2971" s="5" t="s">
        <v>33</v>
      </c>
      <c r="E2971" s="5" t="s">
        <v>781</v>
      </c>
      <c r="F2971" s="9">
        <v>14</v>
      </c>
      <c r="G2971" s="9">
        <v>167</v>
      </c>
      <c r="H2971" s="5" t="s">
        <v>21</v>
      </c>
      <c r="I2971" s="5" t="s">
        <v>6920</v>
      </c>
      <c r="J2971" s="12" t="str">
        <f>HYPERLINK("https://www.boe.es/gazeta/dias/1801/02/17/pdfs/GMD-1801-14.pdf#page=2","Abrir facsímil")</f>
        <v>Abrir facsímil</v>
      </c>
      <c r="K2971" s="15" t="s">
        <v>23</v>
      </c>
    </row>
    <row r="2972" spans="1:11" ht="42" customHeight="1">
      <c r="A2972" s="4" t="s">
        <v>6921</v>
      </c>
      <c r="B2972" s="5" t="s">
        <v>6921</v>
      </c>
      <c r="C2972" s="5" t="s">
        <v>38</v>
      </c>
      <c r="D2972" s="5" t="s">
        <v>39</v>
      </c>
      <c r="E2972" s="5" t="s">
        <v>317</v>
      </c>
      <c r="F2972" s="9">
        <v>102</v>
      </c>
      <c r="G2972" s="9">
        <v>1120</v>
      </c>
      <c r="H2972" s="5" t="s">
        <v>21</v>
      </c>
      <c r="I2972" s="5" t="s">
        <v>6922</v>
      </c>
      <c r="J2972" s="12" t="str">
        <f>HYPERLINK("https://www.boe.es/gazeta/dias/1801/10/30/pdfs/GMD-1801-102.pdf#page=5","Abrir facsímil")</f>
        <v>Abrir facsímil</v>
      </c>
      <c r="K2972" s="15" t="s">
        <v>23</v>
      </c>
    </row>
    <row r="2973" spans="1:11" ht="42" customHeight="1">
      <c r="A2973" s="4" t="s">
        <v>6923</v>
      </c>
      <c r="B2973" s="5" t="s">
        <v>6923</v>
      </c>
      <c r="C2973" s="5" t="s">
        <v>75</v>
      </c>
      <c r="D2973" s="5" t="s">
        <v>76</v>
      </c>
      <c r="E2973" s="5" t="s">
        <v>48</v>
      </c>
      <c r="F2973" s="9">
        <v>20</v>
      </c>
      <c r="G2973" s="9">
        <v>258</v>
      </c>
      <c r="H2973" s="5" t="s">
        <v>21</v>
      </c>
      <c r="I2973" s="5" t="s">
        <v>6924</v>
      </c>
      <c r="J2973" s="12" t="str">
        <f>HYPERLINK("https://www.boe.es/gazeta/dias/1801/03/10/pdfs/GMD-1801-20.pdf#page=3","Abrir facsímil")</f>
        <v>Abrir facsímil</v>
      </c>
      <c r="K2973" s="15" t="s">
        <v>23</v>
      </c>
    </row>
    <row r="2974" spans="1:11" ht="42" customHeight="1">
      <c r="A2974" s="4" t="s">
        <v>6925</v>
      </c>
      <c r="B2974" s="5" t="s">
        <v>6925</v>
      </c>
      <c r="C2974" s="5" t="s">
        <v>75</v>
      </c>
      <c r="D2974" s="5" t="s">
        <v>76</v>
      </c>
      <c r="E2974" s="5" t="s">
        <v>48</v>
      </c>
      <c r="F2974" s="9">
        <v>20</v>
      </c>
      <c r="G2974" s="9">
        <v>258</v>
      </c>
      <c r="H2974" s="5" t="s">
        <v>21</v>
      </c>
      <c r="I2974" s="5" t="s">
        <v>6926</v>
      </c>
      <c r="J2974" s="12" t="str">
        <f>HYPERLINK("https://www.boe.es/gazeta/dias/1801/03/10/pdfs/GMD-1801-20.pdf#page=3","Abrir facsímil")</f>
        <v>Abrir facsímil</v>
      </c>
      <c r="K2974" s="15" t="s">
        <v>23</v>
      </c>
    </row>
    <row r="2975" spans="1:11" ht="42" customHeight="1">
      <c r="A2975" s="4" t="s">
        <v>6927</v>
      </c>
      <c r="B2975" s="5" t="s">
        <v>6927</v>
      </c>
      <c r="C2975" s="5" t="s">
        <v>75</v>
      </c>
      <c r="D2975" s="5" t="s">
        <v>76</v>
      </c>
      <c r="E2975" s="5" t="s">
        <v>186</v>
      </c>
      <c r="F2975" s="9">
        <v>21</v>
      </c>
      <c r="G2975" s="9">
        <v>273</v>
      </c>
      <c r="H2975" s="5" t="s">
        <v>21</v>
      </c>
      <c r="I2975" s="5" t="s">
        <v>6928</v>
      </c>
      <c r="J2975" s="12" t="str">
        <f>HYPERLINK("https://www.boe.es/gazeta/dias/1801/03/13/pdfs/GMD-1801-21.pdf#page=2","Abrir facsímil")</f>
        <v>Abrir facsímil</v>
      </c>
      <c r="K2975" s="15" t="s">
        <v>23</v>
      </c>
    </row>
    <row r="2976" spans="1:11" ht="42" customHeight="1">
      <c r="A2976" s="4" t="s">
        <v>6929</v>
      </c>
      <c r="B2976" s="5" t="s">
        <v>6929</v>
      </c>
      <c r="C2976" s="5" t="s">
        <v>26</v>
      </c>
      <c r="D2976" s="5" t="s">
        <v>27</v>
      </c>
      <c r="E2976" s="5" t="s">
        <v>99</v>
      </c>
      <c r="F2976" s="9">
        <v>32</v>
      </c>
      <c r="G2976" s="9">
        <v>409</v>
      </c>
      <c r="H2976" s="5" t="s">
        <v>21</v>
      </c>
      <c r="I2976" s="5" t="s">
        <v>6930</v>
      </c>
      <c r="J2976" s="12" t="str">
        <f>HYPERLINK("https://www.boe.es/gazeta/dias/1801/04/21/pdfs/GMD-1801-32.pdf#page=5","Abrir facsímil")</f>
        <v>Abrir facsímil</v>
      </c>
      <c r="K2976" s="15" t="s">
        <v>23</v>
      </c>
    </row>
    <row r="2977" spans="1:11" ht="42" customHeight="1">
      <c r="A2977" s="4" t="s">
        <v>6931</v>
      </c>
      <c r="B2977" s="5" t="s">
        <v>6931</v>
      </c>
      <c r="C2977" s="5" t="s">
        <v>69</v>
      </c>
      <c r="D2977" s="5" t="s">
        <v>19</v>
      </c>
      <c r="E2977" s="5" t="s">
        <v>219</v>
      </c>
      <c r="F2977" s="9">
        <v>26</v>
      </c>
      <c r="G2977" s="9">
        <v>342</v>
      </c>
      <c r="H2977" s="5" t="s">
        <v>21</v>
      </c>
      <c r="I2977" s="5" t="s">
        <v>6932</v>
      </c>
      <c r="J2977" s="12" t="str">
        <f>HYPERLINK("https://www.boe.es/gazeta/dias/1801/03/31/pdfs/GMD-1801-26.pdf#page=6","Abrir facsímil")</f>
        <v>Abrir facsímil</v>
      </c>
      <c r="K2977" s="15" t="s">
        <v>23</v>
      </c>
    </row>
    <row r="2978" spans="1:11" ht="42" customHeight="1">
      <c r="A2978" s="4" t="s">
        <v>6933</v>
      </c>
      <c r="B2978" s="5" t="s">
        <v>6933</v>
      </c>
      <c r="C2978" s="5" t="s">
        <v>32</v>
      </c>
      <c r="D2978" s="5" t="s">
        <v>33</v>
      </c>
      <c r="E2978" s="5" t="s">
        <v>480</v>
      </c>
      <c r="F2978" s="9">
        <v>10</v>
      </c>
      <c r="G2978" s="9">
        <v>116</v>
      </c>
      <c r="H2978" s="5" t="s">
        <v>21</v>
      </c>
      <c r="I2978" s="5" t="s">
        <v>6934</v>
      </c>
      <c r="J2978" s="12" t="str">
        <f>HYPERLINK("https://www.boe.es/gazeta/dias/1801/02/03/pdfs/GMD-1801-10.pdf#page=1","Abrir facsímil")</f>
        <v>Abrir facsímil</v>
      </c>
      <c r="K2978" s="15" t="s">
        <v>23</v>
      </c>
    </row>
    <row r="2979" spans="1:11" ht="42" customHeight="1">
      <c r="A2979" s="4" t="s">
        <v>6933</v>
      </c>
      <c r="B2979" s="5" t="s">
        <v>6933</v>
      </c>
      <c r="C2979" s="5" t="s">
        <v>32</v>
      </c>
      <c r="D2979" s="5" t="s">
        <v>33</v>
      </c>
      <c r="E2979" s="5" t="s">
        <v>135</v>
      </c>
      <c r="F2979" s="9">
        <v>24</v>
      </c>
      <c r="G2979" s="9">
        <v>311</v>
      </c>
      <c r="H2979" s="5" t="s">
        <v>21</v>
      </c>
      <c r="I2979" s="5" t="s">
        <v>6935</v>
      </c>
      <c r="J2979" s="12" t="str">
        <f>HYPERLINK("https://www.boe.es/gazeta/dias/1801/03/24/pdfs/GMD-1801-24.pdf#page=2","Abrir facsímil")</f>
        <v>Abrir facsímil</v>
      </c>
      <c r="K2979" s="15" t="s">
        <v>23</v>
      </c>
    </row>
    <row r="2980" spans="1:11" ht="42" customHeight="1">
      <c r="A2980" s="4" t="s">
        <v>6933</v>
      </c>
      <c r="B2980" s="5" t="s">
        <v>6933</v>
      </c>
      <c r="C2980" s="5" t="s">
        <v>75</v>
      </c>
      <c r="D2980" s="5" t="s">
        <v>76</v>
      </c>
      <c r="E2980" s="5" t="s">
        <v>338</v>
      </c>
      <c r="F2980" s="9">
        <v>83</v>
      </c>
      <c r="G2980" s="9">
        <v>928</v>
      </c>
      <c r="H2980" s="5" t="s">
        <v>21</v>
      </c>
      <c r="I2980" s="5" t="s">
        <v>6936</v>
      </c>
      <c r="J2980" s="12" t="str">
        <f>HYPERLINK("https://www.boe.es/gazeta/dias/1801/09/01/pdfs/GMD-1801-83.pdf#page=3","Abrir facsímil")</f>
        <v>Abrir facsímil</v>
      </c>
      <c r="K2980" s="15" t="s">
        <v>23</v>
      </c>
    </row>
    <row r="2981" spans="1:11" ht="42" customHeight="1">
      <c r="A2981" s="4" t="s">
        <v>6937</v>
      </c>
      <c r="B2981" s="5" t="s">
        <v>6937</v>
      </c>
      <c r="C2981" s="5" t="s">
        <v>38</v>
      </c>
      <c r="D2981" s="5" t="s">
        <v>39</v>
      </c>
      <c r="E2981" s="5" t="s">
        <v>72</v>
      </c>
      <c r="F2981" s="9">
        <v>60</v>
      </c>
      <c r="G2981" s="9">
        <v>683</v>
      </c>
      <c r="H2981" s="5" t="s">
        <v>21</v>
      </c>
      <c r="I2981" s="5" t="s">
        <v>6938</v>
      </c>
      <c r="J2981" s="12" t="str">
        <f>HYPERLINK("https://www.boe.es/gazeta/dias/1801/06/26/pdfs/GMD-1801-60.pdf#page=4","Abrir facsímil")</f>
        <v>Abrir facsímil</v>
      </c>
      <c r="K2981" s="15" t="s">
        <v>23</v>
      </c>
    </row>
    <row r="2982" spans="1:11" ht="42" customHeight="1">
      <c r="A2982" s="4" t="s">
        <v>6937</v>
      </c>
      <c r="B2982" s="5" t="s">
        <v>6937</v>
      </c>
      <c r="C2982" s="5" t="s">
        <v>75</v>
      </c>
      <c r="D2982" s="5" t="s">
        <v>76</v>
      </c>
      <c r="E2982" s="5" t="s">
        <v>169</v>
      </c>
      <c r="F2982" s="9">
        <v>70</v>
      </c>
      <c r="G2982" s="9">
        <v>770</v>
      </c>
      <c r="H2982" s="5" t="s">
        <v>21</v>
      </c>
      <c r="I2982" s="5" t="s">
        <v>6939</v>
      </c>
      <c r="J2982" s="12" t="str">
        <f>HYPERLINK("https://www.boe.es/gazeta/dias/1801/07/17/pdfs/GMD-1801-70.pdf#page=3","Abrir facsímil")</f>
        <v>Abrir facsímil</v>
      </c>
      <c r="K2982" s="15" t="s">
        <v>23</v>
      </c>
    </row>
    <row r="2983" spans="1:11" ht="42" customHeight="1">
      <c r="A2983" s="4" t="s">
        <v>6940</v>
      </c>
      <c r="B2983" s="5" t="s">
        <v>6940</v>
      </c>
      <c r="C2983" s="5" t="s">
        <v>75</v>
      </c>
      <c r="D2983" s="5" t="s">
        <v>76</v>
      </c>
      <c r="E2983" s="5" t="s">
        <v>28</v>
      </c>
      <c r="F2983" s="9">
        <v>77</v>
      </c>
      <c r="G2983" s="9">
        <v>859</v>
      </c>
      <c r="H2983" s="5" t="s">
        <v>21</v>
      </c>
      <c r="I2983" s="5" t="s">
        <v>6941</v>
      </c>
      <c r="J2983" s="12" t="str">
        <f>HYPERLINK("https://www.boe.es/gazeta/dias/1801/08/11/pdfs/GMD-1801-77.pdf#page=4","Abrir facsímil")</f>
        <v>Abrir facsímil</v>
      </c>
      <c r="K2983" s="15" t="s">
        <v>23</v>
      </c>
    </row>
    <row r="2984" spans="1:11" ht="42" customHeight="1">
      <c r="A2984" s="4" t="s">
        <v>6942</v>
      </c>
      <c r="B2984" s="5" t="s">
        <v>6942</v>
      </c>
      <c r="C2984" s="5" t="s">
        <v>75</v>
      </c>
      <c r="D2984" s="5" t="s">
        <v>76</v>
      </c>
      <c r="E2984" s="5" t="s">
        <v>135</v>
      </c>
      <c r="F2984" s="9">
        <v>24</v>
      </c>
      <c r="G2984" s="9">
        <v>315</v>
      </c>
      <c r="H2984" s="5" t="s">
        <v>21</v>
      </c>
      <c r="I2984" s="5" t="s">
        <v>6943</v>
      </c>
      <c r="J2984" s="12" t="str">
        <f>HYPERLINK("https://www.boe.es/gazeta/dias/1801/03/24/pdfs/GMD-1801-24.pdf#page=6","Abrir facsímil")</f>
        <v>Abrir facsímil</v>
      </c>
      <c r="K2984" s="15" t="s">
        <v>23</v>
      </c>
    </row>
    <row r="2985" spans="1:11" ht="42" customHeight="1">
      <c r="A2985" s="4" t="s">
        <v>6942</v>
      </c>
      <c r="B2985" s="5" t="s">
        <v>6942</v>
      </c>
      <c r="C2985" s="5" t="s">
        <v>75</v>
      </c>
      <c r="D2985" s="5" t="s">
        <v>76</v>
      </c>
      <c r="E2985" s="5" t="s">
        <v>40</v>
      </c>
      <c r="F2985" s="9">
        <v>63</v>
      </c>
      <c r="G2985" s="9">
        <v>704</v>
      </c>
      <c r="H2985" s="5" t="s">
        <v>21</v>
      </c>
      <c r="I2985" s="5" t="s">
        <v>6944</v>
      </c>
      <c r="J2985" s="12" t="str">
        <f>HYPERLINK("https://www.boe.es/gazeta/dias/1801/07/03/pdfs/GMD-1801-63.pdf#page=1","Abrir facsímil")</f>
        <v>Abrir facsímil</v>
      </c>
      <c r="K2985" s="15" t="s">
        <v>23</v>
      </c>
    </row>
    <row r="2986" spans="1:11" ht="42" customHeight="1">
      <c r="A2986" s="4" t="s">
        <v>6942</v>
      </c>
      <c r="B2986" s="5" t="s">
        <v>6942</v>
      </c>
      <c r="C2986" s="5" t="s">
        <v>32</v>
      </c>
      <c r="D2986" s="5" t="s">
        <v>33</v>
      </c>
      <c r="E2986" s="5" t="s">
        <v>194</v>
      </c>
      <c r="F2986" s="9">
        <v>92</v>
      </c>
      <c r="G2986" s="9">
        <v>1006</v>
      </c>
      <c r="H2986" s="5" t="s">
        <v>21</v>
      </c>
      <c r="I2986" s="5" t="s">
        <v>6945</v>
      </c>
      <c r="J2986" s="12" t="str">
        <f>HYPERLINK("https://www.boe.es/gazeta/dias/1801/09/25/pdfs/GMD-1801-92.pdf#page=1","Abrir facsímil")</f>
        <v>Abrir facsímil</v>
      </c>
      <c r="K2986" s="15" t="s">
        <v>23</v>
      </c>
    </row>
    <row r="2987" spans="1:11" ht="42" customHeight="1">
      <c r="A2987" s="4" t="s">
        <v>6942</v>
      </c>
      <c r="B2987" s="5" t="s">
        <v>6942</v>
      </c>
      <c r="C2987" s="5" t="s">
        <v>75</v>
      </c>
      <c r="D2987" s="5" t="s">
        <v>76</v>
      </c>
      <c r="E2987" s="5" t="s">
        <v>262</v>
      </c>
      <c r="F2987" s="9">
        <v>109</v>
      </c>
      <c r="G2987" s="9">
        <v>1202</v>
      </c>
      <c r="H2987" s="5" t="s">
        <v>21</v>
      </c>
      <c r="I2987" s="5" t="s">
        <v>6946</v>
      </c>
      <c r="J2987" s="12" t="str">
        <f>HYPERLINK("https://www.boe.es/gazeta/dias/1801/11/24/pdfs/GMD-1801-109.pdf#page=7","Abrir facsímil")</f>
        <v>Abrir facsímil</v>
      </c>
      <c r="K2987" s="15" t="s">
        <v>23</v>
      </c>
    </row>
    <row r="2988" spans="1:11" ht="42" customHeight="1">
      <c r="A2988" s="4" t="s">
        <v>6947</v>
      </c>
      <c r="B2988" s="5" t="s">
        <v>6947</v>
      </c>
      <c r="C2988" s="5" t="s">
        <v>38</v>
      </c>
      <c r="D2988" s="5" t="s">
        <v>39</v>
      </c>
      <c r="E2988" s="5" t="s">
        <v>161</v>
      </c>
      <c r="F2988" s="9">
        <v>58</v>
      </c>
      <c r="G2988" s="9">
        <v>661</v>
      </c>
      <c r="H2988" s="5" t="s">
        <v>21</v>
      </c>
      <c r="I2988" s="5" t="s">
        <v>6948</v>
      </c>
      <c r="J2988" s="12" t="str">
        <f>HYPERLINK("https://www.boe.es/gazeta/dias/1801/06/19/pdfs/GMD-1801-58.pdf#page=6","Abrir facsímil")</f>
        <v>Abrir facsímil</v>
      </c>
      <c r="K2988" s="15" t="s">
        <v>23</v>
      </c>
    </row>
    <row r="2989" spans="1:11" ht="42" customHeight="1">
      <c r="A2989" s="4" t="s">
        <v>6947</v>
      </c>
      <c r="B2989" s="5" t="s">
        <v>6947</v>
      </c>
      <c r="C2989" s="5" t="s">
        <v>38</v>
      </c>
      <c r="D2989" s="5" t="s">
        <v>39</v>
      </c>
      <c r="E2989" s="5" t="s">
        <v>251</v>
      </c>
      <c r="F2989" s="9">
        <v>66</v>
      </c>
      <c r="G2989" s="9">
        <v>741</v>
      </c>
      <c r="H2989" s="5" t="s">
        <v>21</v>
      </c>
      <c r="I2989" s="5" t="s">
        <v>6949</v>
      </c>
      <c r="J2989" s="12" t="str">
        <f>HYPERLINK("https://www.boe.es/gazeta/dias/1801/07/10/pdfs/GMD-1801-66.pdf#page=6","Abrir facsímil")</f>
        <v>Abrir facsímil</v>
      </c>
      <c r="K2989" s="15" t="s">
        <v>23</v>
      </c>
    </row>
    <row r="2990" spans="1:11" ht="42" customHeight="1">
      <c r="A2990" s="4" t="s">
        <v>6947</v>
      </c>
      <c r="B2990" s="5" t="s">
        <v>6947</v>
      </c>
      <c r="C2990" s="5" t="s">
        <v>38</v>
      </c>
      <c r="D2990" s="5" t="s">
        <v>39</v>
      </c>
      <c r="E2990" s="5" t="s">
        <v>171</v>
      </c>
      <c r="F2990" s="9">
        <v>76</v>
      </c>
      <c r="G2990" s="9">
        <v>844</v>
      </c>
      <c r="H2990" s="5" t="s">
        <v>21</v>
      </c>
      <c r="I2990" s="5" t="s">
        <v>6950</v>
      </c>
      <c r="J2990" s="12" t="str">
        <f>HYPERLINK("https://www.boe.es/gazeta/dias/1801/08/07/pdfs/GMD-1801-76.pdf#page=1","Abrir facsímil")</f>
        <v>Abrir facsímil</v>
      </c>
      <c r="K2990" s="15" t="s">
        <v>23</v>
      </c>
    </row>
    <row r="2991" spans="1:11" ht="42" customHeight="1">
      <c r="A2991" s="4" t="s">
        <v>6951</v>
      </c>
      <c r="B2991" s="5" t="s">
        <v>6951</v>
      </c>
      <c r="C2991" s="5" t="s">
        <v>38</v>
      </c>
      <c r="D2991" s="5" t="s">
        <v>39</v>
      </c>
      <c r="E2991" s="5" t="s">
        <v>97</v>
      </c>
      <c r="F2991" s="9">
        <v>31</v>
      </c>
      <c r="G2991" s="9">
        <v>401</v>
      </c>
      <c r="H2991" s="5" t="s">
        <v>21</v>
      </c>
      <c r="I2991" s="5" t="s">
        <v>6952</v>
      </c>
      <c r="J2991" s="12" t="str">
        <f>HYPERLINK("https://www.boe.es/gazeta/dias/1801/04/17/pdfs/GMD-1801-31.pdf#page=5","Abrir facsímil")</f>
        <v>Abrir facsímil</v>
      </c>
      <c r="K2991" s="15" t="s">
        <v>23</v>
      </c>
    </row>
    <row r="2992" spans="1:11" ht="42" customHeight="1">
      <c r="A2992" s="4" t="s">
        <v>6953</v>
      </c>
      <c r="B2992" s="5" t="s">
        <v>6953</v>
      </c>
      <c r="C2992" s="5" t="s">
        <v>38</v>
      </c>
      <c r="D2992" s="5" t="s">
        <v>39</v>
      </c>
      <c r="E2992" s="5" t="s">
        <v>751</v>
      </c>
      <c r="F2992" s="9">
        <v>106</v>
      </c>
      <c r="G2992" s="9">
        <v>1160</v>
      </c>
      <c r="H2992" s="5" t="s">
        <v>21</v>
      </c>
      <c r="I2992" s="5" t="s">
        <v>6954</v>
      </c>
      <c r="J2992" s="12" t="str">
        <f>HYPERLINK("https://www.boe.es/gazeta/dias/1801/11/13/pdfs/GMD-1801-106.pdf#page=1","Abrir facsímil")</f>
        <v>Abrir facsímil</v>
      </c>
      <c r="K2992" s="15" t="s">
        <v>23</v>
      </c>
    </row>
    <row r="2993" spans="1:11" ht="42" customHeight="1">
      <c r="A2993" s="4" t="s">
        <v>6955</v>
      </c>
      <c r="B2993" s="5" t="s">
        <v>6955</v>
      </c>
      <c r="C2993" s="5" t="s">
        <v>75</v>
      </c>
      <c r="D2993" s="5" t="s">
        <v>76</v>
      </c>
      <c r="E2993" s="5" t="s">
        <v>501</v>
      </c>
      <c r="F2993" s="9">
        <v>115</v>
      </c>
      <c r="G2993" s="9">
        <v>1253</v>
      </c>
      <c r="H2993" s="5" t="s">
        <v>21</v>
      </c>
      <c r="I2993" s="5" t="s">
        <v>6956</v>
      </c>
      <c r="J2993" s="12" t="str">
        <f>HYPERLINK("https://www.boe.es/gazeta/dias/1801/12/15/pdfs/GMD-1801-115.pdf#page=3","Abrir facsímil")</f>
        <v>Abrir facsímil</v>
      </c>
      <c r="K2993" s="15" t="s">
        <v>23</v>
      </c>
    </row>
    <row r="2994" spans="1:11" ht="42" customHeight="1">
      <c r="A2994" s="4" t="s">
        <v>6957</v>
      </c>
      <c r="B2994" s="5" t="s">
        <v>6957</v>
      </c>
      <c r="C2994" s="5" t="s">
        <v>32</v>
      </c>
      <c r="D2994" s="5" t="s">
        <v>33</v>
      </c>
      <c r="E2994" s="5" t="s">
        <v>919</v>
      </c>
      <c r="F2994" s="9">
        <v>91</v>
      </c>
      <c r="G2994" s="9">
        <v>1001</v>
      </c>
      <c r="H2994" s="5" t="s">
        <v>21</v>
      </c>
      <c r="I2994" s="5" t="s">
        <v>6958</v>
      </c>
      <c r="J2994" s="12" t="str">
        <f>HYPERLINK("https://www.boe.es/gazeta/dias/1801/09/22/pdfs/GMD-1801-91.pdf#page=4","Abrir facsímil")</f>
        <v>Abrir facsímil</v>
      </c>
      <c r="K2994" s="15" t="s">
        <v>23</v>
      </c>
    </row>
    <row r="2995" spans="1:11" ht="42" customHeight="1">
      <c r="A2995" s="4" t="s">
        <v>6959</v>
      </c>
      <c r="B2995" s="5" t="s">
        <v>6959</v>
      </c>
      <c r="C2995" s="5" t="s">
        <v>69</v>
      </c>
      <c r="D2995" s="5" t="s">
        <v>19</v>
      </c>
      <c r="E2995" s="5" t="s">
        <v>40</v>
      </c>
      <c r="F2995" s="9">
        <v>63</v>
      </c>
      <c r="G2995" s="9">
        <v>710</v>
      </c>
      <c r="H2995" s="5" t="s">
        <v>21</v>
      </c>
      <c r="I2995" s="5" t="s">
        <v>6960</v>
      </c>
      <c r="J2995" s="12" t="str">
        <f>HYPERLINK("https://www.boe.es/gazeta/dias/1801/07/03/pdfs/GMD-1801-63.pdf#page=7","Abrir facsímil")</f>
        <v>Abrir facsímil</v>
      </c>
      <c r="K2995" s="15" t="s">
        <v>23</v>
      </c>
    </row>
    <row r="2996" spans="1:11" ht="42" customHeight="1">
      <c r="A2996" s="4" t="s">
        <v>6959</v>
      </c>
      <c r="B2996" s="5" t="s">
        <v>6959</v>
      </c>
      <c r="C2996" s="5" t="s">
        <v>32</v>
      </c>
      <c r="D2996" s="5" t="s">
        <v>33</v>
      </c>
      <c r="E2996" s="5" t="s">
        <v>28</v>
      </c>
      <c r="F2996" s="9">
        <v>77</v>
      </c>
      <c r="G2996" s="9">
        <v>862</v>
      </c>
      <c r="H2996" s="5" t="s">
        <v>21</v>
      </c>
      <c r="I2996" s="5" t="s">
        <v>6961</v>
      </c>
      <c r="J2996" s="12" t="str">
        <f>HYPERLINK("https://www.boe.es/gazeta/dias/1801/08/11/pdfs/GMD-1801-77.pdf#page=7","Abrir facsímil")</f>
        <v>Abrir facsímil</v>
      </c>
      <c r="K2996" s="15" t="s">
        <v>23</v>
      </c>
    </row>
    <row r="2997" spans="1:11" ht="42" customHeight="1">
      <c r="A2997" s="4" t="s">
        <v>6959</v>
      </c>
      <c r="B2997" s="5" t="s">
        <v>6959</v>
      </c>
      <c r="C2997" s="5" t="s">
        <v>75</v>
      </c>
      <c r="D2997" s="5" t="s">
        <v>76</v>
      </c>
      <c r="E2997" s="5" t="s">
        <v>211</v>
      </c>
      <c r="F2997" s="9">
        <v>87</v>
      </c>
      <c r="G2997" s="9">
        <v>959</v>
      </c>
      <c r="H2997" s="5" t="s">
        <v>21</v>
      </c>
      <c r="I2997" s="5" t="s">
        <v>6962</v>
      </c>
      <c r="J2997" s="12" t="str">
        <f>HYPERLINK("https://www.boe.es/gazeta/dias/1801/09/11/pdfs/GMD-1801-87.pdf#page=2","Abrir facsímil")</f>
        <v>Abrir facsímil</v>
      </c>
      <c r="K2997" s="15" t="s">
        <v>23</v>
      </c>
    </row>
    <row r="2998" spans="1:11" ht="42" customHeight="1">
      <c r="A2998" s="4" t="s">
        <v>6959</v>
      </c>
      <c r="B2998" s="5" t="s">
        <v>6959</v>
      </c>
      <c r="C2998" s="5" t="s">
        <v>75</v>
      </c>
      <c r="D2998" s="5" t="s">
        <v>76</v>
      </c>
      <c r="E2998" s="5" t="s">
        <v>1436</v>
      </c>
      <c r="F2998" s="9">
        <v>95</v>
      </c>
      <c r="G2998" s="9">
        <v>1037</v>
      </c>
      <c r="H2998" s="5" t="s">
        <v>21</v>
      </c>
      <c r="I2998" s="5" t="s">
        <v>6963</v>
      </c>
      <c r="J2998" s="12" t="str">
        <f>HYPERLINK("https://www.boe.es/gazeta/dias/1801/10/06/pdfs/GMD-1801-95.pdf#page=1","Abrir facsímil")</f>
        <v>Abrir facsímil</v>
      </c>
      <c r="K2998" s="15" t="s">
        <v>23</v>
      </c>
    </row>
    <row r="2999" spans="1:11" ht="42" customHeight="1">
      <c r="A2999" s="4" t="s">
        <v>6959</v>
      </c>
      <c r="B2999" s="5" t="s">
        <v>6959</v>
      </c>
      <c r="C2999" s="5" t="s">
        <v>75</v>
      </c>
      <c r="D2999" s="5" t="s">
        <v>76</v>
      </c>
      <c r="E2999" s="5" t="s">
        <v>935</v>
      </c>
      <c r="F2999" s="9">
        <v>116</v>
      </c>
      <c r="G2999" s="9">
        <v>1260</v>
      </c>
      <c r="H2999" s="5" t="s">
        <v>21</v>
      </c>
      <c r="I2999" s="5" t="s">
        <v>6964</v>
      </c>
      <c r="J2999" s="12" t="str">
        <f>HYPERLINK("https://www.boe.es/gazeta/dias/1801/12/18/pdfs/GMD-1801-116.pdf#page=2","Abrir facsímil")</f>
        <v>Abrir facsímil</v>
      </c>
      <c r="K2999" s="15" t="s">
        <v>23</v>
      </c>
    </row>
    <row r="3000" spans="1:11" ht="42" customHeight="1">
      <c r="A3000" s="4" t="s">
        <v>6965</v>
      </c>
      <c r="B3000" s="5" t="s">
        <v>6965</v>
      </c>
      <c r="C3000" s="5" t="s">
        <v>32</v>
      </c>
      <c r="D3000" s="5" t="s">
        <v>33</v>
      </c>
      <c r="E3000" s="5" t="s">
        <v>264</v>
      </c>
      <c r="F3000" s="9">
        <v>111</v>
      </c>
      <c r="G3000" s="9">
        <v>1217</v>
      </c>
      <c r="H3000" s="5" t="s">
        <v>21</v>
      </c>
      <c r="I3000" s="5" t="s">
        <v>6966</v>
      </c>
      <c r="J3000" s="12" t="str">
        <f>HYPERLINK("https://www.boe.es/gazeta/dias/1801/12/01/pdfs/GMD-1801-111.pdf#page=6","Abrir facsímil")</f>
        <v>Abrir facsímil</v>
      </c>
      <c r="K3000" s="15" t="s">
        <v>23</v>
      </c>
    </row>
    <row r="3001" spans="1:11" ht="42" customHeight="1">
      <c r="A3001" s="4" t="s">
        <v>6967</v>
      </c>
      <c r="B3001" s="5" t="s">
        <v>6967</v>
      </c>
      <c r="C3001" s="5" t="s">
        <v>75</v>
      </c>
      <c r="D3001" s="5" t="s">
        <v>76</v>
      </c>
      <c r="E3001" s="5" t="s">
        <v>328</v>
      </c>
      <c r="F3001" s="9">
        <v>89</v>
      </c>
      <c r="G3001" s="9">
        <v>974</v>
      </c>
      <c r="H3001" s="5" t="s">
        <v>21</v>
      </c>
      <c r="I3001" s="5" t="s">
        <v>6968</v>
      </c>
      <c r="J3001" s="12" t="str">
        <f>HYPERLINK("https://www.boe.es/gazeta/dias/1801/09/15/pdfs/GMD-1801-89.pdf#page=1","Abrir facsímil")</f>
        <v>Abrir facsímil</v>
      </c>
      <c r="K3001" s="15" t="s">
        <v>23</v>
      </c>
    </row>
    <row r="3002" spans="1:11" ht="42" customHeight="1">
      <c r="A3002" s="4" t="s">
        <v>6969</v>
      </c>
      <c r="B3002" s="5" t="s">
        <v>6969</v>
      </c>
      <c r="C3002" s="5" t="s">
        <v>32</v>
      </c>
      <c r="D3002" s="5" t="s">
        <v>33</v>
      </c>
      <c r="E3002" s="5" t="s">
        <v>256</v>
      </c>
      <c r="F3002" s="9">
        <v>78</v>
      </c>
      <c r="G3002" s="9">
        <v>878</v>
      </c>
      <c r="H3002" s="5" t="s">
        <v>21</v>
      </c>
      <c r="I3002" s="5" t="s">
        <v>6970</v>
      </c>
      <c r="J3002" s="12" t="str">
        <f>HYPERLINK("https://www.boe.es/gazeta/dias/1801/08/14/pdfs/GMD-1801-78.pdf#page=7","Abrir facsímil")</f>
        <v>Abrir facsímil</v>
      </c>
      <c r="K3002" s="15" t="s">
        <v>23</v>
      </c>
    </row>
    <row r="3003" spans="1:11" ht="42" customHeight="1">
      <c r="A3003" s="4" t="s">
        <v>6971</v>
      </c>
      <c r="B3003" s="5" t="s">
        <v>6971</v>
      </c>
      <c r="C3003" s="5" t="s">
        <v>75</v>
      </c>
      <c r="D3003" s="5" t="s">
        <v>76</v>
      </c>
      <c r="E3003" s="5" t="s">
        <v>44</v>
      </c>
      <c r="F3003" s="9">
        <v>117</v>
      </c>
      <c r="G3003" s="9">
        <v>1275</v>
      </c>
      <c r="H3003" s="5" t="s">
        <v>21</v>
      </c>
      <c r="I3003" s="5" t="s">
        <v>6972</v>
      </c>
      <c r="J3003" s="12" t="str">
        <f>HYPERLINK("https://www.boe.es/gazeta/dias/1801/12/22/pdfs/GMD-1801-117.pdf#page=2","Abrir facsímil")</f>
        <v>Abrir facsímil</v>
      </c>
      <c r="K3003" s="15" t="s">
        <v>23</v>
      </c>
    </row>
    <row r="3004" spans="1:11" ht="42" customHeight="1">
      <c r="A3004" s="4" t="s">
        <v>6973</v>
      </c>
      <c r="B3004" s="5" t="s">
        <v>6973</v>
      </c>
      <c r="C3004" s="5" t="s">
        <v>75</v>
      </c>
      <c r="D3004" s="5" t="s">
        <v>76</v>
      </c>
      <c r="E3004" s="5" t="s">
        <v>935</v>
      </c>
      <c r="F3004" s="9">
        <v>116</v>
      </c>
      <c r="G3004" s="9">
        <v>1260</v>
      </c>
      <c r="H3004" s="5" t="s">
        <v>21</v>
      </c>
      <c r="I3004" s="5" t="s">
        <v>6974</v>
      </c>
      <c r="J3004" s="12" t="str">
        <f>HYPERLINK("https://www.boe.es/gazeta/dias/1801/12/18/pdfs/GMD-1801-116.pdf#page=2","Abrir facsímil")</f>
        <v>Abrir facsímil</v>
      </c>
      <c r="K3004" s="15" t="s">
        <v>23</v>
      </c>
    </row>
    <row r="3005" spans="1:11" ht="42" customHeight="1">
      <c r="A3005" s="4" t="s">
        <v>6975</v>
      </c>
      <c r="B3005" s="5" t="s">
        <v>6975</v>
      </c>
      <c r="C3005" s="5" t="s">
        <v>75</v>
      </c>
      <c r="D3005" s="5" t="s">
        <v>76</v>
      </c>
      <c r="E3005" s="5" t="s">
        <v>338</v>
      </c>
      <c r="F3005" s="9">
        <v>83</v>
      </c>
      <c r="G3005" s="9">
        <v>926</v>
      </c>
      <c r="H3005" s="5" t="s">
        <v>21</v>
      </c>
      <c r="I3005" s="5" t="s">
        <v>6976</v>
      </c>
      <c r="J3005" s="12" t="str">
        <f>HYPERLINK("https://www.boe.es/gazeta/dias/1801/09/01/pdfs/GMD-1801-83.pdf#page=1","Abrir facsímil")</f>
        <v>Abrir facsímil</v>
      </c>
      <c r="K3005" s="15" t="s">
        <v>23</v>
      </c>
    </row>
    <row r="3006" spans="1:11" ht="42" customHeight="1">
      <c r="A3006" s="4" t="s">
        <v>6977</v>
      </c>
      <c r="B3006" s="5" t="s">
        <v>6977</v>
      </c>
      <c r="C3006" s="5" t="s">
        <v>38</v>
      </c>
      <c r="D3006" s="5" t="s">
        <v>39</v>
      </c>
      <c r="E3006" s="5" t="s">
        <v>171</v>
      </c>
      <c r="F3006" s="9">
        <v>76</v>
      </c>
      <c r="G3006" s="9">
        <v>846</v>
      </c>
      <c r="H3006" s="5" t="s">
        <v>21</v>
      </c>
      <c r="I3006" s="5" t="s">
        <v>6978</v>
      </c>
      <c r="J3006" s="12" t="str">
        <f>HYPERLINK("https://www.boe.es/gazeta/dias/1801/08/07/pdfs/GMD-1801-76.pdf#page=3","Abrir facsímil")</f>
        <v>Abrir facsímil</v>
      </c>
      <c r="K3006" s="15" t="s">
        <v>23</v>
      </c>
    </row>
    <row r="3007" spans="1:11" ht="42" customHeight="1">
      <c r="A3007" s="4" t="s">
        <v>6979</v>
      </c>
      <c r="B3007" s="5" t="s">
        <v>6979</v>
      </c>
      <c r="C3007" s="5" t="s">
        <v>32</v>
      </c>
      <c r="D3007" s="5" t="s">
        <v>33</v>
      </c>
      <c r="E3007" s="5" t="s">
        <v>1939</v>
      </c>
      <c r="F3007" s="9">
        <v>107</v>
      </c>
      <c r="G3007" s="9">
        <v>1176</v>
      </c>
      <c r="H3007" s="5" t="s">
        <v>21</v>
      </c>
      <c r="I3007" s="5" t="s">
        <v>6980</v>
      </c>
      <c r="J3007" s="12" t="str">
        <f>HYPERLINK("https://www.boe.es/gazeta/dias/1801/11/17/pdfs/GMD-1801-107.pdf#page=5","Abrir facsímil")</f>
        <v>Abrir facsímil</v>
      </c>
      <c r="K3007" s="15" t="s">
        <v>23</v>
      </c>
    </row>
    <row r="3008" spans="1:11" ht="42" customHeight="1">
      <c r="A3008" s="4" t="s">
        <v>6981</v>
      </c>
      <c r="B3008" s="5" t="s">
        <v>6981</v>
      </c>
      <c r="C3008" s="5" t="s">
        <v>38</v>
      </c>
      <c r="D3008" s="5" t="s">
        <v>39</v>
      </c>
      <c r="E3008" s="5" t="s">
        <v>615</v>
      </c>
      <c r="F3008" s="9">
        <v>72</v>
      </c>
      <c r="G3008" s="9">
        <v>801</v>
      </c>
      <c r="H3008" s="5" t="s">
        <v>21</v>
      </c>
      <c r="I3008" s="5" t="s">
        <v>6982</v>
      </c>
      <c r="J3008" s="12" t="str">
        <f>HYPERLINK("https://www.boe.es/gazeta/dias/1801/07/24/pdfs/GMD-1801-72.pdf#page=6","Abrir facsímil")</f>
        <v>Abrir facsímil</v>
      </c>
      <c r="K3008" s="15" t="s">
        <v>23</v>
      </c>
    </row>
    <row r="3009" spans="1:11" ht="42" customHeight="1">
      <c r="A3009" s="4" t="s">
        <v>6983</v>
      </c>
      <c r="B3009" s="5" t="s">
        <v>6983</v>
      </c>
      <c r="C3009" s="5" t="s">
        <v>38</v>
      </c>
      <c r="D3009" s="5" t="s">
        <v>39</v>
      </c>
      <c r="E3009" s="5" t="s">
        <v>453</v>
      </c>
      <c r="F3009" s="9">
        <v>100</v>
      </c>
      <c r="G3009" s="9">
        <v>1093</v>
      </c>
      <c r="H3009" s="5" t="s">
        <v>21</v>
      </c>
      <c r="I3009" s="5" t="s">
        <v>6984</v>
      </c>
      <c r="J3009" s="12" t="str">
        <f>HYPERLINK("https://www.boe.es/gazeta/dias/1801/10/23/pdfs/GMD-1801-100.pdf#page=2","Abrir facsímil")</f>
        <v>Abrir facsímil</v>
      </c>
      <c r="K3009" s="15" t="s">
        <v>23</v>
      </c>
    </row>
    <row r="3010" spans="1:11" ht="42" customHeight="1">
      <c r="A3010" s="4" t="s">
        <v>6985</v>
      </c>
      <c r="B3010" s="5" t="s">
        <v>6985</v>
      </c>
      <c r="C3010" s="5" t="s">
        <v>75</v>
      </c>
      <c r="D3010" s="5" t="s">
        <v>76</v>
      </c>
      <c r="E3010" s="5" t="s">
        <v>201</v>
      </c>
      <c r="F3010" s="9">
        <v>79</v>
      </c>
      <c r="G3010" s="9">
        <v>885</v>
      </c>
      <c r="H3010" s="5" t="s">
        <v>21</v>
      </c>
      <c r="I3010" s="5" t="s">
        <v>6986</v>
      </c>
      <c r="J3010" s="12" t="str">
        <f>HYPERLINK("https://www.boe.es/gazeta/dias/1801/08/18/pdfs/GMD-1801-79.pdf#page=2","Abrir facsímil")</f>
        <v>Abrir facsímil</v>
      </c>
      <c r="K3010" s="15" t="s">
        <v>23</v>
      </c>
    </row>
    <row r="3011" spans="1:11" ht="42" customHeight="1">
      <c r="A3011" s="4" t="s">
        <v>6987</v>
      </c>
      <c r="B3011" s="5" t="s">
        <v>6987</v>
      </c>
      <c r="C3011" s="5" t="s">
        <v>75</v>
      </c>
      <c r="D3011" s="5" t="s">
        <v>76</v>
      </c>
      <c r="E3011" s="5" t="s">
        <v>924</v>
      </c>
      <c r="F3011" s="9">
        <v>90</v>
      </c>
      <c r="G3011" s="9">
        <v>990</v>
      </c>
      <c r="H3011" s="5" t="s">
        <v>21</v>
      </c>
      <c r="I3011" s="5" t="s">
        <v>6988</v>
      </c>
      <c r="J3011" s="12" t="str">
        <f>HYPERLINK("https://www.boe.es/gazeta/dias/1801/09/18/pdfs/GMD-1801-90.pdf#page=5","Abrir facsímil")</f>
        <v>Abrir facsímil</v>
      </c>
      <c r="K3011" s="15" t="s">
        <v>23</v>
      </c>
    </row>
    <row r="3012" spans="1:11" ht="42" customHeight="1">
      <c r="A3012" s="4" t="s">
        <v>6989</v>
      </c>
      <c r="B3012" s="5" t="s">
        <v>6989</v>
      </c>
      <c r="C3012" s="5" t="s">
        <v>75</v>
      </c>
      <c r="D3012" s="5" t="s">
        <v>76</v>
      </c>
      <c r="E3012" s="5" t="s">
        <v>735</v>
      </c>
      <c r="F3012" s="9">
        <v>97</v>
      </c>
      <c r="G3012" s="9">
        <v>1060</v>
      </c>
      <c r="H3012" s="5" t="s">
        <v>21</v>
      </c>
      <c r="I3012" s="5" t="s">
        <v>6990</v>
      </c>
      <c r="J3012" s="12" t="str">
        <f>HYPERLINK("https://www.boe.es/gazeta/dias/1801/10/13/pdfs/GMD-1801-97.pdf#page=4","Abrir facsímil")</f>
        <v>Abrir facsímil</v>
      </c>
      <c r="K3012" s="15" t="s">
        <v>23</v>
      </c>
    </row>
    <row r="3013" spans="1:11" ht="42" customHeight="1">
      <c r="A3013" s="4" t="s">
        <v>6991</v>
      </c>
      <c r="B3013" s="5" t="s">
        <v>6991</v>
      </c>
      <c r="C3013" s="5" t="s">
        <v>38</v>
      </c>
      <c r="D3013" s="5" t="s">
        <v>39</v>
      </c>
      <c r="E3013" s="5" t="s">
        <v>219</v>
      </c>
      <c r="F3013" s="9">
        <v>26</v>
      </c>
      <c r="G3013" s="9">
        <v>343</v>
      </c>
      <c r="H3013" s="5" t="s">
        <v>21</v>
      </c>
      <c r="I3013" s="5" t="s">
        <v>6992</v>
      </c>
      <c r="J3013" s="12" t="str">
        <f>HYPERLINK("https://www.boe.es/gazeta/dias/1801/03/31/pdfs/GMD-1801-26.pdf#page=7","Abrir facsímil")</f>
        <v>Abrir facsímil</v>
      </c>
      <c r="K3013" s="15" t="s">
        <v>23</v>
      </c>
    </row>
    <row r="3014" spans="1:11" ht="42" customHeight="1">
      <c r="A3014" s="4" t="s">
        <v>6993</v>
      </c>
      <c r="B3014" s="5" t="s">
        <v>6993</v>
      </c>
      <c r="C3014" s="5" t="s">
        <v>32</v>
      </c>
      <c r="D3014" s="5" t="s">
        <v>33</v>
      </c>
      <c r="E3014" s="5" t="s">
        <v>135</v>
      </c>
      <c r="F3014" s="9">
        <v>24</v>
      </c>
      <c r="G3014" s="9">
        <v>312</v>
      </c>
      <c r="H3014" s="5" t="s">
        <v>21</v>
      </c>
      <c r="I3014" s="5" t="s">
        <v>6994</v>
      </c>
      <c r="J3014" s="12" t="str">
        <f>HYPERLINK("https://www.boe.es/gazeta/dias/1801/03/24/pdfs/GMD-1801-24.pdf#page=3","Abrir facsímil")</f>
        <v>Abrir facsímil</v>
      </c>
      <c r="K3014" s="15" t="s">
        <v>23</v>
      </c>
    </row>
    <row r="3015" spans="1:11" ht="42" customHeight="1">
      <c r="A3015" s="4" t="s">
        <v>6995</v>
      </c>
      <c r="B3015" s="5" t="s">
        <v>6995</v>
      </c>
      <c r="C3015" s="5" t="s">
        <v>32</v>
      </c>
      <c r="D3015" s="5" t="s">
        <v>33</v>
      </c>
      <c r="E3015" s="5" t="s">
        <v>505</v>
      </c>
      <c r="F3015" s="9">
        <v>94</v>
      </c>
      <c r="G3015" s="9">
        <v>1027</v>
      </c>
      <c r="H3015" s="5" t="s">
        <v>21</v>
      </c>
      <c r="I3015" s="5" t="s">
        <v>6996</v>
      </c>
      <c r="J3015" s="12" t="str">
        <f>HYPERLINK("https://www.boe.es/gazeta/dias/1801/10/02/pdfs/GMD-1801-94.pdf#page=3","Abrir facsímil")</f>
        <v>Abrir facsímil</v>
      </c>
      <c r="K3015" s="15" t="s">
        <v>23</v>
      </c>
    </row>
    <row r="3016" spans="1:11" ht="42" customHeight="1">
      <c r="A3016" s="4" t="s">
        <v>6997</v>
      </c>
      <c r="B3016" s="5" t="s">
        <v>6997</v>
      </c>
      <c r="C3016" s="5" t="s">
        <v>75</v>
      </c>
      <c r="D3016" s="5" t="s">
        <v>76</v>
      </c>
      <c r="E3016" s="5" t="s">
        <v>505</v>
      </c>
      <c r="F3016" s="9">
        <v>94</v>
      </c>
      <c r="G3016" s="9">
        <v>1026</v>
      </c>
      <c r="H3016" s="5" t="s">
        <v>21</v>
      </c>
      <c r="I3016" s="5" t="s">
        <v>6998</v>
      </c>
      <c r="J3016" s="12" t="str">
        <f>HYPERLINK("https://www.boe.es/gazeta/dias/1801/10/02/pdfs/GMD-1801-94.pdf#page=2","Abrir facsímil")</f>
        <v>Abrir facsímil</v>
      </c>
      <c r="K3016" s="15" t="s">
        <v>23</v>
      </c>
    </row>
    <row r="3017" spans="1:11" ht="42" customHeight="1">
      <c r="A3017" s="4" t="s">
        <v>6999</v>
      </c>
      <c r="B3017" s="5" t="s">
        <v>6999</v>
      </c>
      <c r="C3017" s="5" t="s">
        <v>75</v>
      </c>
      <c r="D3017" s="5" t="s">
        <v>76</v>
      </c>
      <c r="E3017" s="5" t="s">
        <v>94</v>
      </c>
      <c r="F3017" s="9">
        <v>19</v>
      </c>
      <c r="G3017" s="9">
        <v>236</v>
      </c>
      <c r="H3017" s="5" t="s">
        <v>21</v>
      </c>
      <c r="I3017" s="5" t="s">
        <v>7000</v>
      </c>
      <c r="J3017" s="12" t="str">
        <f>HYPERLINK("https://www.boe.es/gazeta/dias/1801/03/06/pdfs/GMD-1801-19.pdf#page=1","Abrir facsímil")</f>
        <v>Abrir facsímil</v>
      </c>
      <c r="K3017" s="15" t="s">
        <v>23</v>
      </c>
    </row>
    <row r="3018" spans="1:11" ht="42" customHeight="1">
      <c r="A3018" s="4" t="s">
        <v>6999</v>
      </c>
      <c r="B3018" s="5" t="s">
        <v>6999</v>
      </c>
      <c r="C3018" s="5" t="s">
        <v>75</v>
      </c>
      <c r="D3018" s="5" t="s">
        <v>76</v>
      </c>
      <c r="E3018" s="5" t="s">
        <v>48</v>
      </c>
      <c r="F3018" s="9">
        <v>20</v>
      </c>
      <c r="G3018" s="9">
        <v>256</v>
      </c>
      <c r="H3018" s="5" t="s">
        <v>21</v>
      </c>
      <c r="I3018" s="5" t="s">
        <v>7001</v>
      </c>
      <c r="J3018" s="12" t="str">
        <f>HYPERLINK("https://www.boe.es/gazeta/dias/1801/03/10/pdfs/GMD-1801-20.pdf#page=1","Abrir facsímil")</f>
        <v>Abrir facsímil</v>
      </c>
      <c r="K3018" s="15" t="s">
        <v>23</v>
      </c>
    </row>
    <row r="3019" spans="1:11" ht="42" customHeight="1">
      <c r="A3019" s="4" t="s">
        <v>6999</v>
      </c>
      <c r="B3019" s="5" t="s">
        <v>6999</v>
      </c>
      <c r="C3019" s="5" t="s">
        <v>75</v>
      </c>
      <c r="D3019" s="5" t="s">
        <v>76</v>
      </c>
      <c r="E3019" s="5" t="s">
        <v>135</v>
      </c>
      <c r="F3019" s="9">
        <v>24</v>
      </c>
      <c r="G3019" s="9">
        <v>312</v>
      </c>
      <c r="H3019" s="5" t="s">
        <v>21</v>
      </c>
      <c r="I3019" s="5" t="s">
        <v>7002</v>
      </c>
      <c r="J3019" s="12" t="str">
        <f>HYPERLINK("https://www.boe.es/gazeta/dias/1801/03/24/pdfs/GMD-1801-24.pdf#page=3","Abrir facsímil")</f>
        <v>Abrir facsímil</v>
      </c>
      <c r="K3019" s="15" t="s">
        <v>23</v>
      </c>
    </row>
    <row r="3020" spans="1:11" ht="42" customHeight="1">
      <c r="A3020" s="4" t="s">
        <v>6999</v>
      </c>
      <c r="B3020" s="5" t="s">
        <v>6999</v>
      </c>
      <c r="C3020" s="5" t="s">
        <v>75</v>
      </c>
      <c r="D3020" s="5" t="s">
        <v>76</v>
      </c>
      <c r="E3020" s="5" t="s">
        <v>135</v>
      </c>
      <c r="F3020" s="9">
        <v>24</v>
      </c>
      <c r="G3020" s="9">
        <v>314</v>
      </c>
      <c r="H3020" s="5" t="s">
        <v>21</v>
      </c>
      <c r="I3020" s="5" t="s">
        <v>7003</v>
      </c>
      <c r="J3020" s="12" t="str">
        <f>HYPERLINK("https://www.boe.es/gazeta/dias/1801/03/24/pdfs/GMD-1801-24.pdf#page=5","Abrir facsímil")</f>
        <v>Abrir facsímil</v>
      </c>
      <c r="K3020" s="15" t="s">
        <v>23</v>
      </c>
    </row>
    <row r="3021" spans="1:11" ht="42" customHeight="1">
      <c r="A3021" s="4" t="s">
        <v>6999</v>
      </c>
      <c r="B3021" s="5" t="s">
        <v>6999</v>
      </c>
      <c r="C3021" s="5" t="s">
        <v>75</v>
      </c>
      <c r="D3021" s="5" t="s">
        <v>76</v>
      </c>
      <c r="E3021" s="5" t="s">
        <v>141</v>
      </c>
      <c r="F3021" s="9">
        <v>33</v>
      </c>
      <c r="G3021" s="9">
        <v>418</v>
      </c>
      <c r="H3021" s="5" t="s">
        <v>21</v>
      </c>
      <c r="I3021" s="5" t="s">
        <v>7004</v>
      </c>
      <c r="J3021" s="12" t="str">
        <f>HYPERLINK("https://www.boe.es/gazeta/dias/1801/04/24/pdfs/GMD-1801-33.pdf#page=2","Abrir facsímil")</f>
        <v>Abrir facsímil</v>
      </c>
      <c r="K3021" s="15" t="s">
        <v>23</v>
      </c>
    </row>
    <row r="3022" spans="1:11" ht="42" customHeight="1">
      <c r="A3022" s="4" t="s">
        <v>6999</v>
      </c>
      <c r="B3022" s="5" t="s">
        <v>6999</v>
      </c>
      <c r="C3022" s="5" t="s">
        <v>38</v>
      </c>
      <c r="D3022" s="5" t="s">
        <v>39</v>
      </c>
      <c r="E3022" s="5" t="s">
        <v>289</v>
      </c>
      <c r="F3022" s="9">
        <v>40</v>
      </c>
      <c r="G3022" s="9">
        <v>515</v>
      </c>
      <c r="H3022" s="5" t="s">
        <v>21</v>
      </c>
      <c r="I3022" s="5" t="s">
        <v>7005</v>
      </c>
      <c r="J3022" s="12" t="str">
        <f>HYPERLINK("https://www.boe.es/gazeta/dias/1801/05/19/pdfs/GMD-1801-40.pdf#page=7","Abrir facsímil")</f>
        <v>Abrir facsímil</v>
      </c>
      <c r="K3022" s="15" t="s">
        <v>23</v>
      </c>
    </row>
    <row r="3023" spans="1:11" ht="42" customHeight="1">
      <c r="A3023" s="4" t="s">
        <v>6999</v>
      </c>
      <c r="B3023" s="5" t="s">
        <v>6999</v>
      </c>
      <c r="C3023" s="5" t="s">
        <v>75</v>
      </c>
      <c r="D3023" s="5" t="s">
        <v>76</v>
      </c>
      <c r="E3023" s="5" t="s">
        <v>161</v>
      </c>
      <c r="F3023" s="9">
        <v>58</v>
      </c>
      <c r="G3023" s="9">
        <v>658</v>
      </c>
      <c r="H3023" s="5" t="s">
        <v>21</v>
      </c>
      <c r="I3023" s="5" t="s">
        <v>7006</v>
      </c>
      <c r="J3023" s="12" t="str">
        <f>HYPERLINK("https://www.boe.es/gazeta/dias/1801/06/19/pdfs/GMD-1801-58.pdf#page=3","Abrir facsímil")</f>
        <v>Abrir facsímil</v>
      </c>
      <c r="K3023" s="15" t="s">
        <v>23</v>
      </c>
    </row>
    <row r="3024" spans="1:11" ht="42" customHeight="1">
      <c r="A3024" s="4" t="s">
        <v>6999</v>
      </c>
      <c r="B3024" s="5" t="s">
        <v>6999</v>
      </c>
      <c r="C3024" s="5" t="s">
        <v>75</v>
      </c>
      <c r="D3024" s="5" t="s">
        <v>76</v>
      </c>
      <c r="E3024" s="5" t="s">
        <v>702</v>
      </c>
      <c r="F3024" s="9">
        <v>69</v>
      </c>
      <c r="G3024" s="9">
        <v>756</v>
      </c>
      <c r="H3024" s="5" t="s">
        <v>21</v>
      </c>
      <c r="I3024" s="5" t="s">
        <v>7007</v>
      </c>
      <c r="J3024" s="12" t="str">
        <f>HYPERLINK("https://www.boe.es/gazeta/dias/1801/07/14/pdfs/GMD-1801-69.pdf#page=1","Abrir facsímil")</f>
        <v>Abrir facsímil</v>
      </c>
      <c r="K3024" s="15" t="s">
        <v>23</v>
      </c>
    </row>
    <row r="3025" spans="1:11" ht="42" customHeight="1">
      <c r="A3025" s="4" t="s">
        <v>6999</v>
      </c>
      <c r="B3025" s="5" t="s">
        <v>6999</v>
      </c>
      <c r="C3025" s="5" t="s">
        <v>75</v>
      </c>
      <c r="D3025" s="5" t="s">
        <v>76</v>
      </c>
      <c r="E3025" s="5" t="s">
        <v>935</v>
      </c>
      <c r="F3025" s="9">
        <v>116</v>
      </c>
      <c r="G3025" s="9">
        <v>1260</v>
      </c>
      <c r="H3025" s="5" t="s">
        <v>21</v>
      </c>
      <c r="I3025" s="5" t="s">
        <v>7008</v>
      </c>
      <c r="J3025" s="12" t="str">
        <f>HYPERLINK("https://www.boe.es/gazeta/dias/1801/12/18/pdfs/GMD-1801-116.pdf#page=2","Abrir facsímil")</f>
        <v>Abrir facsímil</v>
      </c>
      <c r="K3025" s="15" t="s">
        <v>23</v>
      </c>
    </row>
    <row r="3026" spans="1:11" ht="42" customHeight="1">
      <c r="A3026" s="4" t="s">
        <v>7009</v>
      </c>
      <c r="B3026" s="5" t="s">
        <v>7009</v>
      </c>
      <c r="C3026" s="5" t="s">
        <v>32</v>
      </c>
      <c r="D3026" s="5" t="s">
        <v>33</v>
      </c>
      <c r="E3026" s="5" t="s">
        <v>108</v>
      </c>
      <c r="F3026" s="9">
        <v>61</v>
      </c>
      <c r="G3026" s="9">
        <v>693</v>
      </c>
      <c r="H3026" s="5" t="s">
        <v>21</v>
      </c>
      <c r="I3026" s="5" t="s">
        <v>7010</v>
      </c>
      <c r="J3026" s="12" t="str">
        <f>HYPERLINK("https://www.boe.es/gazeta/dias/1801/06/30/pdfs/GMD-1801-61.pdf#page=2","Abrir facsímil")</f>
        <v>Abrir facsímil</v>
      </c>
      <c r="K3026" s="15" t="s">
        <v>23</v>
      </c>
    </row>
    <row r="3027" spans="1:11" ht="42" customHeight="1">
      <c r="A3027" s="4" t="s">
        <v>7011</v>
      </c>
      <c r="B3027" s="5" t="s">
        <v>7011</v>
      </c>
      <c r="C3027" s="5" t="s">
        <v>38</v>
      </c>
      <c r="D3027" s="5" t="s">
        <v>39</v>
      </c>
      <c r="E3027" s="5" t="s">
        <v>171</v>
      </c>
      <c r="F3027" s="9">
        <v>76</v>
      </c>
      <c r="G3027" s="9">
        <v>844</v>
      </c>
      <c r="H3027" s="5" t="s">
        <v>21</v>
      </c>
      <c r="I3027" s="5" t="s">
        <v>7012</v>
      </c>
      <c r="J3027" s="12" t="str">
        <f>HYPERLINK("https://www.boe.es/gazeta/dias/1801/08/07/pdfs/GMD-1801-76.pdf#page=1","Abrir facsímil")</f>
        <v>Abrir facsímil</v>
      </c>
      <c r="K3027" s="15" t="s">
        <v>23</v>
      </c>
    </row>
    <row r="3028" spans="1:11" ht="42" customHeight="1">
      <c r="A3028" s="4" t="s">
        <v>7013</v>
      </c>
      <c r="B3028" s="5" t="s">
        <v>7013</v>
      </c>
      <c r="C3028" s="5" t="s">
        <v>75</v>
      </c>
      <c r="D3028" s="5" t="s">
        <v>76</v>
      </c>
      <c r="E3028" s="5" t="s">
        <v>935</v>
      </c>
      <c r="F3028" s="9">
        <v>116</v>
      </c>
      <c r="G3028" s="9">
        <v>1260</v>
      </c>
      <c r="H3028" s="5" t="s">
        <v>21</v>
      </c>
      <c r="I3028" s="5" t="s">
        <v>7014</v>
      </c>
      <c r="J3028" s="12" t="str">
        <f>HYPERLINK("https://www.boe.es/gazeta/dias/1801/12/18/pdfs/GMD-1801-116.pdf#page=2","Abrir facsímil")</f>
        <v>Abrir facsímil</v>
      </c>
      <c r="K3028" s="15" t="s">
        <v>23</v>
      </c>
    </row>
    <row r="3029" spans="1:11" ht="42" customHeight="1">
      <c r="A3029" s="4" t="s">
        <v>7015</v>
      </c>
      <c r="B3029" s="5" t="s">
        <v>7015</v>
      </c>
      <c r="C3029" s="5" t="s">
        <v>75</v>
      </c>
      <c r="D3029" s="5" t="s">
        <v>76</v>
      </c>
      <c r="E3029" s="5" t="s">
        <v>258</v>
      </c>
      <c r="F3029" s="9">
        <v>96</v>
      </c>
      <c r="G3029" s="9">
        <v>1049</v>
      </c>
      <c r="H3029" s="5" t="s">
        <v>21</v>
      </c>
      <c r="I3029" s="5" t="s">
        <v>7016</v>
      </c>
      <c r="J3029" s="12" t="str">
        <f>HYPERLINK("https://www.boe.es/gazeta/dias/1801/10/09/pdfs/GMD-1801-96.pdf#page=5","Abrir facsímil")</f>
        <v>Abrir facsímil</v>
      </c>
      <c r="K3029" s="15" t="s">
        <v>23</v>
      </c>
    </row>
    <row r="3030" spans="1:11" ht="42" customHeight="1">
      <c r="A3030" s="4" t="s">
        <v>7017</v>
      </c>
      <c r="B3030" s="5" t="s">
        <v>7017</v>
      </c>
      <c r="C3030" s="5" t="s">
        <v>38</v>
      </c>
      <c r="D3030" s="5" t="s">
        <v>39</v>
      </c>
      <c r="E3030" s="5" t="s">
        <v>190</v>
      </c>
      <c r="F3030" s="9">
        <v>16</v>
      </c>
      <c r="G3030" s="9">
        <v>201</v>
      </c>
      <c r="H3030" s="5" t="s">
        <v>21</v>
      </c>
      <c r="I3030" s="5" t="s">
        <v>7018</v>
      </c>
      <c r="J3030" s="12" t="str">
        <f>HYPERLINK("https://www.boe.es/gazeta/dias/1801/02/24/pdfs/GMD-1801-16.pdf#page=8","Abrir facsímil")</f>
        <v>Abrir facsímil</v>
      </c>
      <c r="K3030" s="15" t="s">
        <v>23</v>
      </c>
    </row>
    <row r="3031" spans="1:11" ht="42" customHeight="1">
      <c r="A3031" s="4" t="s">
        <v>7019</v>
      </c>
      <c r="B3031" s="5" t="s">
        <v>7019</v>
      </c>
      <c r="C3031" s="5" t="s">
        <v>75</v>
      </c>
      <c r="D3031" s="5" t="s">
        <v>76</v>
      </c>
      <c r="E3031" s="5" t="s">
        <v>215</v>
      </c>
      <c r="F3031" s="9">
        <v>71</v>
      </c>
      <c r="G3031" s="9">
        <v>782</v>
      </c>
      <c r="H3031" s="5" t="s">
        <v>21</v>
      </c>
      <c r="I3031" s="5" t="s">
        <v>7020</v>
      </c>
      <c r="J3031" s="12" t="str">
        <f>HYPERLINK("https://www.boe.es/gazeta/dias/1801/07/21/pdfs/GMD-1801-71.pdf#page=3","Abrir facsímil")</f>
        <v>Abrir facsímil</v>
      </c>
      <c r="K3031" s="15" t="s">
        <v>23</v>
      </c>
    </row>
    <row r="3032" spans="1:11" ht="42" customHeight="1">
      <c r="A3032" s="4" t="s">
        <v>7021</v>
      </c>
      <c r="B3032" s="5" t="s">
        <v>7021</v>
      </c>
      <c r="C3032" s="5" t="s">
        <v>75</v>
      </c>
      <c r="D3032" s="5" t="s">
        <v>76</v>
      </c>
      <c r="E3032" s="5" t="s">
        <v>211</v>
      </c>
      <c r="F3032" s="9">
        <v>87</v>
      </c>
      <c r="G3032" s="9">
        <v>958</v>
      </c>
      <c r="H3032" s="5" t="s">
        <v>21</v>
      </c>
      <c r="I3032" s="5" t="s">
        <v>7022</v>
      </c>
      <c r="J3032" s="12" t="str">
        <f>HYPERLINK("https://www.boe.es/gazeta/dias/1801/09/11/pdfs/GMD-1801-87.pdf#page=1","Abrir facsímil")</f>
        <v>Abrir facsímil</v>
      </c>
      <c r="K3032" s="15" t="s">
        <v>23</v>
      </c>
    </row>
    <row r="3033" spans="1:11" ht="42" customHeight="1">
      <c r="A3033" s="4" t="s">
        <v>7023</v>
      </c>
      <c r="B3033" s="5" t="s">
        <v>7023</v>
      </c>
      <c r="C3033" s="5" t="s">
        <v>75</v>
      </c>
      <c r="D3033" s="5" t="s">
        <v>76</v>
      </c>
      <c r="E3033" s="5" t="s">
        <v>77</v>
      </c>
      <c r="F3033" s="9">
        <v>93</v>
      </c>
      <c r="G3033" s="9">
        <v>1014</v>
      </c>
      <c r="H3033" s="5" t="s">
        <v>21</v>
      </c>
      <c r="I3033" s="5" t="s">
        <v>7024</v>
      </c>
      <c r="J3033" s="12" t="str">
        <f>HYPERLINK("https://www.boe.es/gazeta/dias/1801/09/29/pdfs/GMD-1801-93.pdf#page=1","Abrir facsímil")</f>
        <v>Abrir facsímil</v>
      </c>
      <c r="K3033" s="15" t="s">
        <v>23</v>
      </c>
    </row>
    <row r="3034" spans="1:11" ht="42" customHeight="1">
      <c r="A3034" s="4" t="s">
        <v>7025</v>
      </c>
      <c r="B3034" s="5" t="s">
        <v>7025</v>
      </c>
      <c r="C3034" s="5" t="s">
        <v>75</v>
      </c>
      <c r="D3034" s="5" t="s">
        <v>76</v>
      </c>
      <c r="E3034" s="5" t="s">
        <v>90</v>
      </c>
      <c r="F3034" s="9">
        <v>1</v>
      </c>
      <c r="G3034" s="9">
        <v>3</v>
      </c>
      <c r="H3034" s="5" t="s">
        <v>21</v>
      </c>
      <c r="I3034" s="5" t="s">
        <v>7026</v>
      </c>
      <c r="J3034" s="12" t="str">
        <f>HYPERLINK("https://www.boe.es/gazeta/dias/1801/01/02/pdfs/GMD-1801-1.pdf#page=3","Abrir facsímil")</f>
        <v>Abrir facsímil</v>
      </c>
      <c r="K3034" s="15" t="s">
        <v>23</v>
      </c>
    </row>
    <row r="3035" spans="1:11" ht="42" customHeight="1">
      <c r="A3035" s="4" t="s">
        <v>7027</v>
      </c>
      <c r="B3035" s="5" t="s">
        <v>7027</v>
      </c>
      <c r="C3035" s="5" t="s">
        <v>75</v>
      </c>
      <c r="D3035" s="5" t="s">
        <v>76</v>
      </c>
      <c r="E3035" s="5" t="s">
        <v>919</v>
      </c>
      <c r="F3035" s="9">
        <v>91</v>
      </c>
      <c r="G3035" s="9">
        <v>1000</v>
      </c>
      <c r="H3035" s="5" t="s">
        <v>21</v>
      </c>
      <c r="I3035" s="5" t="s">
        <v>7028</v>
      </c>
      <c r="J3035" s="12" t="str">
        <f>HYPERLINK("https://www.boe.es/gazeta/dias/1801/09/22/pdfs/GMD-1801-91.pdf#page=3","Abrir facsímil")</f>
        <v>Abrir facsímil</v>
      </c>
      <c r="K3035" s="15" t="s">
        <v>23</v>
      </c>
    </row>
    <row r="3036" spans="1:11" ht="42" customHeight="1">
      <c r="A3036" s="4" t="s">
        <v>7029</v>
      </c>
      <c r="B3036" s="5" t="s">
        <v>7029</v>
      </c>
      <c r="C3036" s="5" t="s">
        <v>75</v>
      </c>
      <c r="D3036" s="5" t="s">
        <v>76</v>
      </c>
      <c r="E3036" s="5" t="s">
        <v>108</v>
      </c>
      <c r="F3036" s="9">
        <v>61</v>
      </c>
      <c r="G3036" s="9">
        <v>692</v>
      </c>
      <c r="H3036" s="5" t="s">
        <v>21</v>
      </c>
      <c r="I3036" s="5" t="s">
        <v>7030</v>
      </c>
      <c r="J3036" s="12" t="str">
        <f>HYPERLINK("https://www.boe.es/gazeta/dias/1801/06/30/pdfs/GMD-1801-61.pdf#page=1","Abrir facsímil")</f>
        <v>Abrir facsímil</v>
      </c>
      <c r="K3036" s="15" t="s">
        <v>23</v>
      </c>
    </row>
    <row r="3037" spans="1:11" ht="42" customHeight="1">
      <c r="A3037" s="4" t="s">
        <v>7031</v>
      </c>
      <c r="B3037" s="5" t="s">
        <v>7031</v>
      </c>
      <c r="C3037" s="5" t="s">
        <v>32</v>
      </c>
      <c r="D3037" s="5" t="s">
        <v>33</v>
      </c>
      <c r="E3037" s="5" t="s">
        <v>131</v>
      </c>
      <c r="F3037" s="9">
        <v>22</v>
      </c>
      <c r="G3037" s="9">
        <v>285</v>
      </c>
      <c r="H3037" s="5" t="s">
        <v>21</v>
      </c>
      <c r="I3037" s="5" t="s">
        <v>7032</v>
      </c>
      <c r="J3037" s="12" t="str">
        <f>HYPERLINK("https://www.boe.es/gazeta/dias/1801/03/17/pdfs/GMD-1801-22.pdf#page=2","Abrir facsímil")</f>
        <v>Abrir facsímil</v>
      </c>
      <c r="K3037" s="15" t="s">
        <v>23</v>
      </c>
    </row>
    <row r="3038" spans="1:11" ht="42" customHeight="1">
      <c r="A3038" s="4" t="s">
        <v>7033</v>
      </c>
      <c r="B3038" s="5" t="s">
        <v>7033</v>
      </c>
      <c r="C3038" s="5" t="s">
        <v>32</v>
      </c>
      <c r="D3038" s="5" t="s">
        <v>33</v>
      </c>
      <c r="E3038" s="5" t="s">
        <v>94</v>
      </c>
      <c r="F3038" s="9">
        <v>19</v>
      </c>
      <c r="G3038" s="9">
        <v>237</v>
      </c>
      <c r="H3038" s="5" t="s">
        <v>21</v>
      </c>
      <c r="I3038" s="5" t="s">
        <v>7034</v>
      </c>
      <c r="J3038" s="12" t="str">
        <f>HYPERLINK("https://www.boe.es/gazeta/dias/1801/03/06/pdfs/GMD-1801-19.pdf#page=2","Abrir facsímil")</f>
        <v>Abrir facsímil</v>
      </c>
      <c r="K3038" s="15" t="s">
        <v>23</v>
      </c>
    </row>
    <row r="3039" spans="1:11" ht="42" customHeight="1">
      <c r="A3039" s="4" t="s">
        <v>7035</v>
      </c>
      <c r="B3039" s="5" t="s">
        <v>7035</v>
      </c>
      <c r="C3039" s="5" t="s">
        <v>18</v>
      </c>
      <c r="D3039" s="5" t="s">
        <v>19</v>
      </c>
      <c r="E3039" s="5" t="s">
        <v>338</v>
      </c>
      <c r="F3039" s="9">
        <v>83</v>
      </c>
      <c r="G3039" s="9">
        <v>930</v>
      </c>
      <c r="H3039" s="5" t="s">
        <v>21</v>
      </c>
      <c r="I3039" s="5" t="s">
        <v>7036</v>
      </c>
      <c r="J3039" s="12" t="str">
        <f>HYPERLINK("https://www.boe.es/gazeta/dias/1801/09/01/pdfs/GMD-1801-83.pdf#page=5","Abrir facsímil")</f>
        <v>Abrir facsímil</v>
      </c>
      <c r="K3039" s="15" t="s">
        <v>23</v>
      </c>
    </row>
    <row r="3040" spans="1:11" ht="42" customHeight="1">
      <c r="A3040" s="4" t="s">
        <v>7037</v>
      </c>
      <c r="B3040" s="5" t="s">
        <v>7037</v>
      </c>
      <c r="C3040" s="5" t="s">
        <v>38</v>
      </c>
      <c r="D3040" s="5" t="s">
        <v>39</v>
      </c>
      <c r="E3040" s="5" t="s">
        <v>2185</v>
      </c>
      <c r="F3040" s="9">
        <v>84</v>
      </c>
      <c r="G3040" s="9">
        <v>940</v>
      </c>
      <c r="H3040" s="5" t="s">
        <v>21</v>
      </c>
      <c r="I3040" s="5" t="s">
        <v>7038</v>
      </c>
      <c r="J3040" s="12" t="str">
        <f>HYPERLINK("https://www.boe.es/gazeta/dias/1801/09/04/pdfs/GMD-1801-84.pdf#page=3","Abrir facsímil")</f>
        <v>Abrir facsímil</v>
      </c>
      <c r="K3040" s="15" t="s">
        <v>23</v>
      </c>
    </row>
    <row r="3041" spans="1:11" ht="42" customHeight="1">
      <c r="A3041" s="4" t="s">
        <v>7039</v>
      </c>
      <c r="B3041" s="5" t="s">
        <v>7039</v>
      </c>
      <c r="C3041" s="5" t="s">
        <v>32</v>
      </c>
      <c r="D3041" s="5" t="s">
        <v>33</v>
      </c>
      <c r="E3041" s="5" t="s">
        <v>105</v>
      </c>
      <c r="F3041" s="9">
        <v>44</v>
      </c>
      <c r="G3041" s="9">
        <v>542</v>
      </c>
      <c r="H3041" s="5" t="s">
        <v>21</v>
      </c>
      <c r="I3041" s="5" t="s">
        <v>7040</v>
      </c>
      <c r="J3041" s="12" t="str">
        <f>HYPERLINK("https://www.boe.es/gazeta/dias/1801/05/29/pdfs/GMD-1801-44.pdf#page=2","Abrir facsímil")</f>
        <v>Abrir facsímil</v>
      </c>
      <c r="K3041" s="15" t="s">
        <v>23</v>
      </c>
    </row>
    <row r="3042" spans="1:11" ht="42" customHeight="1">
      <c r="A3042" s="4" t="s">
        <v>7041</v>
      </c>
      <c r="B3042" s="5" t="s">
        <v>7041</v>
      </c>
      <c r="C3042" s="5" t="s">
        <v>75</v>
      </c>
      <c r="D3042" s="5" t="s">
        <v>76</v>
      </c>
      <c r="E3042" s="5" t="s">
        <v>702</v>
      </c>
      <c r="F3042" s="9">
        <v>69</v>
      </c>
      <c r="G3042" s="9">
        <v>760</v>
      </c>
      <c r="H3042" s="5" t="s">
        <v>21</v>
      </c>
      <c r="I3042" s="5" t="s">
        <v>7042</v>
      </c>
      <c r="J3042" s="12" t="str">
        <f>HYPERLINK("https://www.boe.es/gazeta/dias/1801/07/14/pdfs/GMD-1801-69.pdf#page=5","Abrir facsímil")</f>
        <v>Abrir facsímil</v>
      </c>
      <c r="K3042" s="15" t="s">
        <v>23</v>
      </c>
    </row>
    <row r="3043" spans="1:11" ht="42" customHeight="1">
      <c r="A3043" s="4" t="s">
        <v>7043</v>
      </c>
      <c r="B3043" s="5" t="s">
        <v>7043</v>
      </c>
      <c r="C3043" s="5" t="s">
        <v>75</v>
      </c>
      <c r="D3043" s="5" t="s">
        <v>76</v>
      </c>
      <c r="E3043" s="5" t="s">
        <v>62</v>
      </c>
      <c r="F3043" s="9">
        <v>6</v>
      </c>
      <c r="G3043" s="9">
        <v>67</v>
      </c>
      <c r="H3043" s="5" t="s">
        <v>21</v>
      </c>
      <c r="I3043" s="5" t="s">
        <v>7044</v>
      </c>
      <c r="J3043" s="12" t="str">
        <f>HYPERLINK("https://www.boe.es/gazeta/dias/1801/01/20/pdfs/GMD-1801-6.pdf#page=3","Abrir facsímil")</f>
        <v>Abrir facsímil</v>
      </c>
      <c r="K3043" s="15" t="s">
        <v>23</v>
      </c>
    </row>
    <row r="3044" spans="1:11" ht="42" customHeight="1">
      <c r="A3044" s="4" t="s">
        <v>7045</v>
      </c>
      <c r="B3044" s="5" t="s">
        <v>7045</v>
      </c>
      <c r="C3044" s="5" t="s">
        <v>75</v>
      </c>
      <c r="D3044" s="5" t="s">
        <v>76</v>
      </c>
      <c r="E3044" s="5" t="s">
        <v>735</v>
      </c>
      <c r="F3044" s="9">
        <v>97</v>
      </c>
      <c r="G3044" s="9">
        <v>1058</v>
      </c>
      <c r="H3044" s="5" t="s">
        <v>21</v>
      </c>
      <c r="I3044" s="5" t="s">
        <v>7046</v>
      </c>
      <c r="J3044" s="12" t="str">
        <f>HYPERLINK("https://www.boe.es/gazeta/dias/1801/10/13/pdfs/GMD-1801-97.pdf#page=2","Abrir facsímil")</f>
        <v>Abrir facsímil</v>
      </c>
      <c r="K3044" s="15" t="s">
        <v>23</v>
      </c>
    </row>
    <row r="3045" spans="1:11" ht="42" customHeight="1">
      <c r="A3045" s="4" t="s">
        <v>7045</v>
      </c>
      <c r="B3045" s="5" t="s">
        <v>7045</v>
      </c>
      <c r="C3045" s="5" t="s">
        <v>75</v>
      </c>
      <c r="D3045" s="5" t="s">
        <v>76</v>
      </c>
      <c r="E3045" s="5" t="s">
        <v>935</v>
      </c>
      <c r="F3045" s="9">
        <v>116</v>
      </c>
      <c r="G3045" s="9">
        <v>1260</v>
      </c>
      <c r="H3045" s="5" t="s">
        <v>21</v>
      </c>
      <c r="I3045" s="5" t="s">
        <v>7047</v>
      </c>
      <c r="J3045" s="12" t="str">
        <f>HYPERLINK("https://www.boe.es/gazeta/dias/1801/12/18/pdfs/GMD-1801-116.pdf#page=2","Abrir facsímil")</f>
        <v>Abrir facsímil</v>
      </c>
      <c r="K3045" s="15" t="s">
        <v>23</v>
      </c>
    </row>
    <row r="3046" spans="1:11" ht="42" customHeight="1">
      <c r="A3046" s="4" t="s">
        <v>7048</v>
      </c>
      <c r="B3046" s="5" t="s">
        <v>7048</v>
      </c>
      <c r="C3046" s="5" t="s">
        <v>75</v>
      </c>
      <c r="D3046" s="5" t="s">
        <v>76</v>
      </c>
      <c r="E3046" s="5" t="s">
        <v>266</v>
      </c>
      <c r="F3046" s="9">
        <v>119</v>
      </c>
      <c r="G3046" s="9">
        <v>1298</v>
      </c>
      <c r="H3046" s="5" t="s">
        <v>21</v>
      </c>
      <c r="I3046" s="5" t="s">
        <v>7049</v>
      </c>
      <c r="J3046" s="12" t="str">
        <f>HYPERLINK("https://www.boe.es/gazeta/dias/1801/12/29/pdfs/GMD-1801-119.pdf#page=2","Abrir facsímil")</f>
        <v>Abrir facsímil</v>
      </c>
      <c r="K3046" s="15" t="s">
        <v>23</v>
      </c>
    </row>
    <row r="3047" spans="1:11" ht="42" customHeight="1">
      <c r="A3047" s="4" t="s">
        <v>7050</v>
      </c>
      <c r="B3047" s="5" t="s">
        <v>7050</v>
      </c>
      <c r="C3047" s="5" t="s">
        <v>75</v>
      </c>
      <c r="D3047" s="5" t="s">
        <v>76</v>
      </c>
      <c r="E3047" s="5" t="s">
        <v>112</v>
      </c>
      <c r="F3047" s="9">
        <v>114</v>
      </c>
      <c r="G3047" s="9">
        <v>1241</v>
      </c>
      <c r="H3047" s="5" t="s">
        <v>21</v>
      </c>
      <c r="I3047" s="5" t="s">
        <v>7051</v>
      </c>
      <c r="J3047" s="12" t="str">
        <f>HYPERLINK("https://www.boe.es/gazeta/dias/1801/12/11/pdfs/GMD-1801-114.pdf#page=3","Abrir facsímil")</f>
        <v>Abrir facsímil</v>
      </c>
      <c r="K3047" s="15" t="s">
        <v>23</v>
      </c>
    </row>
    <row r="3048" spans="1:11" ht="42" customHeight="1">
      <c r="A3048" s="4" t="s">
        <v>7052</v>
      </c>
      <c r="B3048" s="5" t="s">
        <v>7052</v>
      </c>
      <c r="C3048" s="5" t="s">
        <v>75</v>
      </c>
      <c r="D3048" s="5" t="s">
        <v>76</v>
      </c>
      <c r="E3048" s="5" t="s">
        <v>20</v>
      </c>
      <c r="F3048" s="9">
        <v>37</v>
      </c>
      <c r="G3048" s="9">
        <v>473</v>
      </c>
      <c r="H3048" s="5" t="s">
        <v>21</v>
      </c>
      <c r="I3048" s="5" t="s">
        <v>7053</v>
      </c>
      <c r="J3048" s="12" t="str">
        <f>HYPERLINK("https://www.boe.es/gazeta/dias/1801/05/08/pdfs/GMD-1801-37.pdf#page=1","Abrir facsímil")</f>
        <v>Abrir facsímil</v>
      </c>
      <c r="K3048" s="15" t="s">
        <v>23</v>
      </c>
    </row>
    <row r="3049" spans="1:11" ht="42" customHeight="1">
      <c r="A3049" s="4" t="s">
        <v>7052</v>
      </c>
      <c r="B3049" s="5" t="s">
        <v>7052</v>
      </c>
      <c r="C3049" s="5" t="s">
        <v>75</v>
      </c>
      <c r="D3049" s="5" t="s">
        <v>76</v>
      </c>
      <c r="E3049" s="5" t="s">
        <v>151</v>
      </c>
      <c r="F3049" s="9">
        <v>45</v>
      </c>
      <c r="G3049" s="9">
        <v>553</v>
      </c>
      <c r="H3049" s="5" t="s">
        <v>21</v>
      </c>
      <c r="I3049" s="5" t="s">
        <v>7054</v>
      </c>
      <c r="J3049" s="12" t="str">
        <f>HYPERLINK("https://www.boe.es/gazeta/dias/1801/06/02/pdfs/GMD-1801-45.pdf#page=1","Abrir facsímil")</f>
        <v>Abrir facsímil</v>
      </c>
      <c r="K3049" s="15" t="s">
        <v>23</v>
      </c>
    </row>
    <row r="3050" spans="1:11" ht="42" customHeight="1">
      <c r="A3050" s="4" t="s">
        <v>7052</v>
      </c>
      <c r="B3050" s="5" t="s">
        <v>7052</v>
      </c>
      <c r="C3050" s="5" t="s">
        <v>75</v>
      </c>
      <c r="D3050" s="5" t="s">
        <v>76</v>
      </c>
      <c r="E3050" s="5" t="s">
        <v>2185</v>
      </c>
      <c r="F3050" s="9">
        <v>84</v>
      </c>
      <c r="G3050" s="9">
        <v>939</v>
      </c>
      <c r="H3050" s="5" t="s">
        <v>21</v>
      </c>
      <c r="I3050" s="5" t="s">
        <v>7055</v>
      </c>
      <c r="J3050" s="12" t="str">
        <f>HYPERLINK("https://www.boe.es/gazeta/dias/1801/09/04/pdfs/GMD-1801-84.pdf#page=2","Abrir facsímil")</f>
        <v>Abrir facsímil</v>
      </c>
      <c r="K3050" s="15" t="s">
        <v>23</v>
      </c>
    </row>
    <row r="3051" spans="1:11" ht="42" customHeight="1">
      <c r="A3051" s="4" t="s">
        <v>7052</v>
      </c>
      <c r="B3051" s="5" t="s">
        <v>7052</v>
      </c>
      <c r="C3051" s="5" t="s">
        <v>75</v>
      </c>
      <c r="D3051" s="5" t="s">
        <v>76</v>
      </c>
      <c r="E3051" s="5" t="s">
        <v>712</v>
      </c>
      <c r="F3051" s="9">
        <v>105</v>
      </c>
      <c r="G3051" s="9">
        <v>1149</v>
      </c>
      <c r="H3051" s="5" t="s">
        <v>21</v>
      </c>
      <c r="I3051" s="5" t="s">
        <v>7056</v>
      </c>
      <c r="J3051" s="12" t="str">
        <f>HYPERLINK("https://www.boe.es/gazeta/dias/1801/11/10/pdfs/GMD-1801-105.pdf#page=2","Abrir facsímil")</f>
        <v>Abrir facsímil</v>
      </c>
      <c r="K3051" s="15" t="s">
        <v>23</v>
      </c>
    </row>
    <row r="3052" spans="1:11" ht="42" customHeight="1">
      <c r="A3052" s="4" t="s">
        <v>7057</v>
      </c>
      <c r="B3052" s="5" t="s">
        <v>7057</v>
      </c>
      <c r="C3052" s="5" t="s">
        <v>38</v>
      </c>
      <c r="D3052" s="5" t="s">
        <v>39</v>
      </c>
      <c r="E3052" s="5" t="s">
        <v>194</v>
      </c>
      <c r="F3052" s="9">
        <v>92</v>
      </c>
      <c r="G3052" s="9">
        <v>1010</v>
      </c>
      <c r="H3052" s="5" t="s">
        <v>21</v>
      </c>
      <c r="I3052" s="5" t="s">
        <v>7058</v>
      </c>
      <c r="J3052" s="12" t="str">
        <f>HYPERLINK("https://www.boe.es/gazeta/dias/1801/09/25/pdfs/GMD-1801-92.pdf#page=5","Abrir facsímil")</f>
        <v>Abrir facsímil</v>
      </c>
      <c r="K3052" s="15" t="s">
        <v>23</v>
      </c>
    </row>
    <row r="3053" spans="1:11" ht="42" customHeight="1">
      <c r="A3053" s="4" t="s">
        <v>7059</v>
      </c>
      <c r="B3053" s="5" t="s">
        <v>7059</v>
      </c>
      <c r="C3053" s="5" t="s">
        <v>32</v>
      </c>
      <c r="D3053" s="5" t="s">
        <v>33</v>
      </c>
      <c r="E3053" s="5" t="s">
        <v>1436</v>
      </c>
      <c r="F3053" s="9">
        <v>95</v>
      </c>
      <c r="G3053" s="9">
        <v>1041</v>
      </c>
      <c r="H3053" s="5" t="s">
        <v>21</v>
      </c>
      <c r="I3053" s="5" t="s">
        <v>7060</v>
      </c>
      <c r="J3053" s="12" t="str">
        <f>HYPERLINK("https://www.boe.es/gazeta/dias/1801/10/06/pdfs/GMD-1801-95.pdf#page=5","Abrir facsímil")</f>
        <v>Abrir facsímil</v>
      </c>
      <c r="K3053" s="15" t="s">
        <v>23</v>
      </c>
    </row>
    <row r="3054" spans="1:11" ht="42" customHeight="1">
      <c r="A3054" s="4" t="s">
        <v>7061</v>
      </c>
      <c r="B3054" s="5" t="s">
        <v>7061</v>
      </c>
      <c r="C3054" s="5" t="s">
        <v>32</v>
      </c>
      <c r="D3054" s="5" t="s">
        <v>33</v>
      </c>
      <c r="E3054" s="5" t="s">
        <v>505</v>
      </c>
      <c r="F3054" s="9">
        <v>94</v>
      </c>
      <c r="G3054" s="9">
        <v>1030</v>
      </c>
      <c r="H3054" s="5" t="s">
        <v>21</v>
      </c>
      <c r="I3054" s="5" t="s">
        <v>7062</v>
      </c>
      <c r="J3054" s="12" t="str">
        <f>HYPERLINK("https://www.boe.es/gazeta/dias/1801/10/02/pdfs/GMD-1801-94.pdf#page=6","Abrir facsímil")</f>
        <v>Abrir facsímil</v>
      </c>
      <c r="K3054" s="15" t="s">
        <v>23</v>
      </c>
    </row>
    <row r="3055" spans="1:11" ht="42" customHeight="1">
      <c r="A3055" s="4" t="s">
        <v>7063</v>
      </c>
      <c r="B3055" s="5" t="s">
        <v>7063</v>
      </c>
      <c r="C3055" s="5" t="s">
        <v>38</v>
      </c>
      <c r="D3055" s="5" t="s">
        <v>39</v>
      </c>
      <c r="E3055" s="5" t="s">
        <v>151</v>
      </c>
      <c r="F3055" s="9">
        <v>45</v>
      </c>
      <c r="G3055" s="9">
        <v>562</v>
      </c>
      <c r="H3055" s="5" t="s">
        <v>21</v>
      </c>
      <c r="I3055" s="5" t="s">
        <v>7064</v>
      </c>
      <c r="J3055" s="12" t="str">
        <f>HYPERLINK("https://www.boe.es/gazeta/dias/1801/06/02/pdfs/GMD-1801-45.pdf#page=10","Abrir facsímil")</f>
        <v>Abrir facsímil</v>
      </c>
      <c r="K3055" s="15" t="s">
        <v>23</v>
      </c>
    </row>
    <row r="3056" spans="1:11" ht="42" customHeight="1">
      <c r="A3056" s="4" t="s">
        <v>7065</v>
      </c>
      <c r="B3056" s="5" t="s">
        <v>7065</v>
      </c>
      <c r="C3056" s="5" t="s">
        <v>75</v>
      </c>
      <c r="D3056" s="5" t="s">
        <v>76</v>
      </c>
      <c r="E3056" s="5" t="s">
        <v>359</v>
      </c>
      <c r="F3056" s="9">
        <v>101</v>
      </c>
      <c r="G3056" s="9">
        <v>1112</v>
      </c>
      <c r="H3056" s="5" t="s">
        <v>21</v>
      </c>
      <c r="I3056" s="5" t="s">
        <v>7066</v>
      </c>
      <c r="J3056" s="12" t="str">
        <f>HYPERLINK("https://www.boe.es/gazeta/dias/1801/10/27/pdfs/GMD-1801-101.pdf#page=5","Abrir facsímil")</f>
        <v>Abrir facsímil</v>
      </c>
      <c r="K3056" s="15" t="s">
        <v>23</v>
      </c>
    </row>
    <row r="3057" spans="1:11" ht="42" customHeight="1">
      <c r="A3057" s="4" t="s">
        <v>7067</v>
      </c>
      <c r="B3057" s="5" t="s">
        <v>7067</v>
      </c>
      <c r="C3057" s="5" t="s">
        <v>75</v>
      </c>
      <c r="D3057" s="5" t="s">
        <v>76</v>
      </c>
      <c r="E3057" s="5" t="s">
        <v>2237</v>
      </c>
      <c r="F3057" s="9">
        <v>82</v>
      </c>
      <c r="G3057" s="9">
        <v>915</v>
      </c>
      <c r="H3057" s="5" t="s">
        <v>21</v>
      </c>
      <c r="I3057" s="5" t="s">
        <v>7068</v>
      </c>
      <c r="J3057" s="12" t="str">
        <f>HYPERLINK("https://www.boe.es/gazeta/dias/1801/08/28/pdfs/GMD-1801-82.pdf#page=4","Abrir facsímil")</f>
        <v>Abrir facsímil</v>
      </c>
      <c r="K3057" s="15" t="s">
        <v>23</v>
      </c>
    </row>
    <row r="3058" spans="1:11" ht="42" customHeight="1">
      <c r="A3058" s="4" t="s">
        <v>7069</v>
      </c>
      <c r="B3058" s="5" t="s">
        <v>7069</v>
      </c>
      <c r="C3058" s="5" t="s">
        <v>38</v>
      </c>
      <c r="D3058" s="5" t="s">
        <v>39</v>
      </c>
      <c r="E3058" s="5" t="s">
        <v>219</v>
      </c>
      <c r="F3058" s="9">
        <v>26</v>
      </c>
      <c r="G3058" s="9">
        <v>343</v>
      </c>
      <c r="H3058" s="5" t="s">
        <v>21</v>
      </c>
      <c r="I3058" s="5" t="s">
        <v>7070</v>
      </c>
      <c r="J3058" s="12" t="str">
        <f>HYPERLINK("https://www.boe.es/gazeta/dias/1801/03/31/pdfs/GMD-1801-26.pdf#page=7","Abrir facsímil")</f>
        <v>Abrir facsímil</v>
      </c>
      <c r="K3058" s="15" t="s">
        <v>23</v>
      </c>
    </row>
    <row r="3059" spans="1:11" ht="42" customHeight="1">
      <c r="A3059" s="4" t="s">
        <v>7071</v>
      </c>
      <c r="B3059" s="5" t="s">
        <v>7071</v>
      </c>
      <c r="C3059" s="5" t="s">
        <v>75</v>
      </c>
      <c r="D3059" s="5" t="s">
        <v>76</v>
      </c>
      <c r="E3059" s="5" t="s">
        <v>94</v>
      </c>
      <c r="F3059" s="9">
        <v>19</v>
      </c>
      <c r="G3059" s="9">
        <v>238</v>
      </c>
      <c r="H3059" s="5" t="s">
        <v>21</v>
      </c>
      <c r="I3059" s="5" t="s">
        <v>7072</v>
      </c>
      <c r="J3059" s="12" t="str">
        <f>HYPERLINK("https://www.boe.es/gazeta/dias/1801/03/06/pdfs/GMD-1801-19.pdf#page=3","Abrir facsímil")</f>
        <v>Abrir facsímil</v>
      </c>
      <c r="K3059" s="15" t="s">
        <v>23</v>
      </c>
    </row>
    <row r="3060" spans="1:11" ht="42" customHeight="1">
      <c r="A3060" s="4" t="s">
        <v>7073</v>
      </c>
      <c r="B3060" s="5" t="s">
        <v>7073</v>
      </c>
      <c r="C3060" s="5" t="s">
        <v>75</v>
      </c>
      <c r="D3060" s="5" t="s">
        <v>76</v>
      </c>
      <c r="E3060" s="5" t="s">
        <v>94</v>
      </c>
      <c r="F3060" s="9">
        <v>19</v>
      </c>
      <c r="G3060" s="9">
        <v>236</v>
      </c>
      <c r="H3060" s="5" t="s">
        <v>21</v>
      </c>
      <c r="I3060" s="5" t="s">
        <v>7074</v>
      </c>
      <c r="J3060" s="12" t="str">
        <f>HYPERLINK("https://www.boe.es/gazeta/dias/1801/03/06/pdfs/GMD-1801-19.pdf#page=1","Abrir facsímil")</f>
        <v>Abrir facsímil</v>
      </c>
      <c r="K3060" s="15" t="s">
        <v>23</v>
      </c>
    </row>
    <row r="3061" spans="1:11" ht="42" customHeight="1">
      <c r="A3061" s="4" t="s">
        <v>7075</v>
      </c>
      <c r="B3061" s="5" t="s">
        <v>7075</v>
      </c>
      <c r="C3061" s="5" t="s">
        <v>75</v>
      </c>
      <c r="D3061" s="5" t="s">
        <v>76</v>
      </c>
      <c r="E3061" s="5" t="s">
        <v>108</v>
      </c>
      <c r="F3061" s="9">
        <v>61</v>
      </c>
      <c r="G3061" s="9">
        <v>693</v>
      </c>
      <c r="H3061" s="5" t="s">
        <v>21</v>
      </c>
      <c r="I3061" s="5" t="s">
        <v>7076</v>
      </c>
      <c r="J3061" s="12" t="str">
        <f>HYPERLINK("https://www.boe.es/gazeta/dias/1801/06/30/pdfs/GMD-1801-61.pdf#page=2","Abrir facsímil")</f>
        <v>Abrir facsímil</v>
      </c>
      <c r="K3061" s="15" t="s">
        <v>23</v>
      </c>
    </row>
    <row r="3062" spans="1:11" ht="42" customHeight="1">
      <c r="A3062" s="4" t="s">
        <v>7077</v>
      </c>
      <c r="B3062" s="5" t="s">
        <v>7077</v>
      </c>
      <c r="C3062" s="5" t="s">
        <v>75</v>
      </c>
      <c r="D3062" s="5" t="s">
        <v>76</v>
      </c>
      <c r="E3062" s="5" t="s">
        <v>201</v>
      </c>
      <c r="F3062" s="9">
        <v>79</v>
      </c>
      <c r="G3062" s="9">
        <v>885</v>
      </c>
      <c r="H3062" s="5" t="s">
        <v>21</v>
      </c>
      <c r="I3062" s="5" t="s">
        <v>7078</v>
      </c>
      <c r="J3062" s="12" t="str">
        <f>HYPERLINK("https://www.boe.es/gazeta/dias/1801/08/18/pdfs/GMD-1801-79.pdf#page=2","Abrir facsímil")</f>
        <v>Abrir facsímil</v>
      </c>
      <c r="K3062" s="15" t="s">
        <v>23</v>
      </c>
    </row>
    <row r="3063" spans="1:11" ht="42" customHeight="1">
      <c r="A3063" s="4" t="s">
        <v>7079</v>
      </c>
      <c r="B3063" s="5" t="s">
        <v>7079</v>
      </c>
      <c r="C3063" s="5" t="s">
        <v>38</v>
      </c>
      <c r="D3063" s="5" t="s">
        <v>39</v>
      </c>
      <c r="E3063" s="5" t="s">
        <v>501</v>
      </c>
      <c r="F3063" s="9">
        <v>115</v>
      </c>
      <c r="G3063" s="9">
        <v>1255</v>
      </c>
      <c r="H3063" s="5" t="s">
        <v>21</v>
      </c>
      <c r="I3063" s="5" t="s">
        <v>7080</v>
      </c>
      <c r="J3063" s="12" t="str">
        <f>HYPERLINK("https://www.boe.es/gazeta/dias/1801/12/15/pdfs/GMD-1801-115.pdf#page=5","Abrir facsímil")</f>
        <v>Abrir facsímil</v>
      </c>
      <c r="K3063" s="15" t="s">
        <v>23</v>
      </c>
    </row>
    <row r="3064" spans="1:11" ht="42" customHeight="1">
      <c r="A3064" s="4" t="s">
        <v>7081</v>
      </c>
      <c r="B3064" s="5" t="s">
        <v>7081</v>
      </c>
      <c r="C3064" s="5" t="s">
        <v>32</v>
      </c>
      <c r="D3064" s="5" t="s">
        <v>33</v>
      </c>
      <c r="E3064" s="5" t="s">
        <v>122</v>
      </c>
      <c r="F3064" s="9">
        <v>8</v>
      </c>
      <c r="G3064" s="9">
        <v>90</v>
      </c>
      <c r="H3064" s="5" t="s">
        <v>21</v>
      </c>
      <c r="I3064" s="5" t="s">
        <v>7082</v>
      </c>
      <c r="J3064" s="12" t="str">
        <f>HYPERLINK("https://www.boe.es/gazeta/dias/1801/01/27/pdfs/GMD-1801-8.pdf#page=2","Abrir facsímil")</f>
        <v>Abrir facsímil</v>
      </c>
      <c r="K3064" s="15" t="s">
        <v>23</v>
      </c>
    </row>
    <row r="3065" spans="1:11" ht="42" customHeight="1">
      <c r="A3065" s="4" t="s">
        <v>7083</v>
      </c>
      <c r="B3065" s="5" t="s">
        <v>7083</v>
      </c>
      <c r="C3065" s="5" t="s">
        <v>75</v>
      </c>
      <c r="D3065" s="5" t="s">
        <v>76</v>
      </c>
      <c r="E3065" s="5" t="s">
        <v>924</v>
      </c>
      <c r="F3065" s="9">
        <v>90</v>
      </c>
      <c r="G3065" s="9">
        <v>991</v>
      </c>
      <c r="H3065" s="5" t="s">
        <v>21</v>
      </c>
      <c r="I3065" s="5" t="s">
        <v>7084</v>
      </c>
      <c r="J3065" s="12" t="str">
        <f>HYPERLINK("https://www.boe.es/gazeta/dias/1801/09/18/pdfs/GMD-1801-90.pdf#page=6","Abrir facsímil")</f>
        <v>Abrir facsímil</v>
      </c>
      <c r="K3065" s="15" t="s">
        <v>23</v>
      </c>
    </row>
    <row r="3066" spans="1:11" ht="42" customHeight="1">
      <c r="A3066" s="4" t="s">
        <v>7085</v>
      </c>
      <c r="B3066" s="5" t="s">
        <v>7085</v>
      </c>
      <c r="C3066" s="5" t="s">
        <v>38</v>
      </c>
      <c r="D3066" s="5" t="s">
        <v>39</v>
      </c>
      <c r="E3066" s="5" t="s">
        <v>751</v>
      </c>
      <c r="F3066" s="9">
        <v>106</v>
      </c>
      <c r="G3066" s="9">
        <v>1160</v>
      </c>
      <c r="H3066" s="5" t="s">
        <v>21</v>
      </c>
      <c r="I3066" s="5" t="s">
        <v>7086</v>
      </c>
      <c r="J3066" s="12" t="str">
        <f>HYPERLINK("https://www.boe.es/gazeta/dias/1801/11/13/pdfs/GMD-1801-106.pdf#page=1","Abrir facsímil")</f>
        <v>Abrir facsímil</v>
      </c>
      <c r="K3066" s="15" t="s">
        <v>23</v>
      </c>
    </row>
    <row r="3067" spans="1:11" ht="42" customHeight="1">
      <c r="A3067" s="4" t="s">
        <v>7087</v>
      </c>
      <c r="B3067" s="5" t="s">
        <v>7087</v>
      </c>
      <c r="C3067" s="5" t="s">
        <v>32</v>
      </c>
      <c r="D3067" s="5" t="s">
        <v>33</v>
      </c>
      <c r="E3067" s="5" t="s">
        <v>99</v>
      </c>
      <c r="F3067" s="9">
        <v>32</v>
      </c>
      <c r="G3067" s="9">
        <v>406</v>
      </c>
      <c r="H3067" s="5" t="s">
        <v>21</v>
      </c>
      <c r="I3067" s="5" t="s">
        <v>7088</v>
      </c>
      <c r="J3067" s="12" t="str">
        <f>HYPERLINK("https://www.boe.es/gazeta/dias/1801/04/21/pdfs/GMD-1801-32.pdf#page=2","Abrir facsímil")</f>
        <v>Abrir facsímil</v>
      </c>
      <c r="K3067" s="15" t="s">
        <v>23</v>
      </c>
    </row>
    <row r="3068" spans="1:11" ht="42" customHeight="1">
      <c r="A3068" s="4" t="s">
        <v>7089</v>
      </c>
      <c r="B3068" s="5" t="s">
        <v>7089</v>
      </c>
      <c r="C3068" s="5" t="s">
        <v>32</v>
      </c>
      <c r="D3068" s="5" t="s">
        <v>33</v>
      </c>
      <c r="E3068" s="5" t="s">
        <v>62</v>
      </c>
      <c r="F3068" s="9">
        <v>6</v>
      </c>
      <c r="G3068" s="9">
        <v>65</v>
      </c>
      <c r="H3068" s="5" t="s">
        <v>21</v>
      </c>
      <c r="I3068" s="5" t="s">
        <v>7090</v>
      </c>
      <c r="J3068" s="12" t="str">
        <f>HYPERLINK("https://www.boe.es/gazeta/dias/1801/01/20/pdfs/GMD-1801-6.pdf#page=1","Abrir facsímil")</f>
        <v>Abrir facsímil</v>
      </c>
      <c r="K3068" s="15" t="s">
        <v>23</v>
      </c>
    </row>
    <row r="3069" spans="1:11" ht="42" customHeight="1">
      <c r="A3069" s="4" t="s">
        <v>7091</v>
      </c>
      <c r="B3069" s="5" t="s">
        <v>7091</v>
      </c>
      <c r="C3069" s="5" t="s">
        <v>26</v>
      </c>
      <c r="D3069" s="5" t="s">
        <v>27</v>
      </c>
      <c r="E3069" s="5" t="s">
        <v>99</v>
      </c>
      <c r="F3069" s="9">
        <v>32</v>
      </c>
      <c r="G3069" s="9">
        <v>409</v>
      </c>
      <c r="H3069" s="5" t="s">
        <v>21</v>
      </c>
      <c r="I3069" s="5" t="s">
        <v>7092</v>
      </c>
      <c r="J3069" s="12" t="str">
        <f>HYPERLINK("https://www.boe.es/gazeta/dias/1801/04/21/pdfs/GMD-1801-32.pdf#page=5","Abrir facsímil")</f>
        <v>Abrir facsímil</v>
      </c>
      <c r="K3069" s="15" t="s">
        <v>23</v>
      </c>
    </row>
    <row r="3070" spans="1:11" ht="42" customHeight="1">
      <c r="A3070" s="4" t="s">
        <v>7093</v>
      </c>
      <c r="B3070" s="5" t="s">
        <v>7093</v>
      </c>
      <c r="C3070" s="5" t="s">
        <v>32</v>
      </c>
      <c r="D3070" s="5" t="s">
        <v>33</v>
      </c>
      <c r="E3070" s="5" t="s">
        <v>128</v>
      </c>
      <c r="F3070" s="9">
        <v>17</v>
      </c>
      <c r="G3070" s="9">
        <v>206</v>
      </c>
      <c r="H3070" s="5" t="s">
        <v>21</v>
      </c>
      <c r="I3070" s="5" t="s">
        <v>7094</v>
      </c>
      <c r="J3070" s="12" t="str">
        <f>HYPERLINK("https://www.boe.es/gazeta/dias/1801/02/27/pdfs/GMD-1801-17.pdf#page=1","Abrir facsímil")</f>
        <v>Abrir facsímil</v>
      </c>
      <c r="K3070" s="15" t="s">
        <v>23</v>
      </c>
    </row>
    <row r="3071" spans="1:11" ht="42" customHeight="1">
      <c r="A3071" s="4" t="s">
        <v>7095</v>
      </c>
      <c r="B3071" s="5" t="s">
        <v>7095</v>
      </c>
      <c r="C3071" s="5" t="s">
        <v>75</v>
      </c>
      <c r="D3071" s="5" t="s">
        <v>76</v>
      </c>
      <c r="E3071" s="5" t="s">
        <v>70</v>
      </c>
      <c r="F3071" s="9">
        <v>2</v>
      </c>
      <c r="G3071" s="9">
        <v>14</v>
      </c>
      <c r="H3071" s="5" t="s">
        <v>21</v>
      </c>
      <c r="I3071" s="5" t="s">
        <v>7096</v>
      </c>
      <c r="J3071" s="12" t="str">
        <f>HYPERLINK("https://www.boe.es/gazeta/dias/1801/01/06/pdfs/GMD-1801-2.pdf#page=2","Abrir facsímil")</f>
        <v>Abrir facsímil</v>
      </c>
      <c r="K3071" s="15" t="s">
        <v>23</v>
      </c>
    </row>
    <row r="3072" spans="1:11" ht="42" customHeight="1">
      <c r="A3072" s="4" t="s">
        <v>7097</v>
      </c>
      <c r="B3072" s="5" t="s">
        <v>7097</v>
      </c>
      <c r="C3072" s="5" t="s">
        <v>75</v>
      </c>
      <c r="D3072" s="5" t="s">
        <v>76</v>
      </c>
      <c r="E3072" s="5" t="s">
        <v>289</v>
      </c>
      <c r="F3072" s="9">
        <v>40</v>
      </c>
      <c r="G3072" s="9">
        <v>512</v>
      </c>
      <c r="H3072" s="5" t="s">
        <v>21</v>
      </c>
      <c r="I3072" s="5" t="s">
        <v>7098</v>
      </c>
      <c r="J3072" s="12" t="str">
        <f>HYPERLINK("https://www.boe.es/gazeta/dias/1801/05/19/pdfs/GMD-1801-40.pdf#page=4","Abrir facsímil")</f>
        <v>Abrir facsímil</v>
      </c>
      <c r="K3072" s="15" t="s">
        <v>23</v>
      </c>
    </row>
    <row r="3073" spans="1:11" ht="42" customHeight="1">
      <c r="A3073" s="4" t="s">
        <v>7099</v>
      </c>
      <c r="B3073" s="5" t="s">
        <v>7099</v>
      </c>
      <c r="C3073" s="5" t="s">
        <v>75</v>
      </c>
      <c r="D3073" s="5" t="s">
        <v>76</v>
      </c>
      <c r="E3073" s="5" t="s">
        <v>262</v>
      </c>
      <c r="F3073" s="9">
        <v>109</v>
      </c>
      <c r="G3073" s="9">
        <v>1202</v>
      </c>
      <c r="H3073" s="5" t="s">
        <v>21</v>
      </c>
      <c r="I3073" s="5" t="s">
        <v>7100</v>
      </c>
      <c r="J3073" s="12" t="str">
        <f>HYPERLINK("https://www.boe.es/gazeta/dias/1801/11/24/pdfs/GMD-1801-109.pdf#page=7","Abrir facsímil")</f>
        <v>Abrir facsímil</v>
      </c>
      <c r="K3073" s="15" t="s">
        <v>23</v>
      </c>
    </row>
    <row r="3074" spans="1:11" ht="42" customHeight="1">
      <c r="A3074" s="4" t="s">
        <v>7101</v>
      </c>
      <c r="B3074" s="5" t="s">
        <v>7101</v>
      </c>
      <c r="C3074" s="5" t="s">
        <v>32</v>
      </c>
      <c r="D3074" s="5" t="s">
        <v>33</v>
      </c>
      <c r="E3074" s="5" t="s">
        <v>251</v>
      </c>
      <c r="F3074" s="9">
        <v>66</v>
      </c>
      <c r="G3074" s="9">
        <v>738</v>
      </c>
      <c r="H3074" s="5" t="s">
        <v>21</v>
      </c>
      <c r="I3074" s="5" t="s">
        <v>7102</v>
      </c>
      <c r="J3074" s="12" t="str">
        <f>HYPERLINK("https://www.boe.es/gazeta/dias/1801/07/10/pdfs/GMD-1801-66.pdf#page=3","Abrir facsímil")</f>
        <v>Abrir facsímil</v>
      </c>
      <c r="K3074" s="15" t="s">
        <v>23</v>
      </c>
    </row>
    <row r="3075" spans="1:11" ht="42" customHeight="1">
      <c r="A3075" s="4" t="s">
        <v>7103</v>
      </c>
      <c r="B3075" s="5" t="s">
        <v>7103</v>
      </c>
      <c r="C3075" s="5" t="s">
        <v>38</v>
      </c>
      <c r="D3075" s="5" t="s">
        <v>39</v>
      </c>
      <c r="E3075" s="5" t="s">
        <v>72</v>
      </c>
      <c r="F3075" s="9">
        <v>60</v>
      </c>
      <c r="G3075" s="9">
        <v>683</v>
      </c>
      <c r="H3075" s="5" t="s">
        <v>21</v>
      </c>
      <c r="I3075" s="5" t="s">
        <v>7104</v>
      </c>
      <c r="J3075" s="12" t="str">
        <f>HYPERLINK("https://www.boe.es/gazeta/dias/1801/06/26/pdfs/GMD-1801-60.pdf#page=4","Abrir facsímil")</f>
        <v>Abrir facsímil</v>
      </c>
      <c r="K3075" s="15" t="s">
        <v>23</v>
      </c>
    </row>
    <row r="3076" spans="1:11" ht="42" customHeight="1">
      <c r="A3076" s="4" t="s">
        <v>7105</v>
      </c>
      <c r="B3076" s="5" t="s">
        <v>7106</v>
      </c>
      <c r="C3076" s="5" t="s">
        <v>32</v>
      </c>
      <c r="D3076" s="5" t="s">
        <v>33</v>
      </c>
      <c r="E3076" s="5" t="s">
        <v>448</v>
      </c>
      <c r="F3076" s="9">
        <v>35</v>
      </c>
      <c r="G3076" s="9">
        <v>454</v>
      </c>
      <c r="H3076" s="5" t="s">
        <v>21</v>
      </c>
      <c r="I3076" s="5" t="s">
        <v>7107</v>
      </c>
      <c r="J3076" s="12" t="str">
        <f>HYPERLINK("https://www.boe.es/gazeta/dias/1801/05/01/pdfs/GMD-1801-35.pdf#page=10","Abrir facsímil")</f>
        <v>Abrir facsímil</v>
      </c>
      <c r="K3076" s="15" t="s">
        <v>23</v>
      </c>
    </row>
    <row r="3077" spans="1:11" ht="42" customHeight="1">
      <c r="A3077" s="4" t="s">
        <v>7108</v>
      </c>
      <c r="B3077" s="5" t="s">
        <v>7109</v>
      </c>
      <c r="C3077" s="5" t="s">
        <v>38</v>
      </c>
      <c r="D3077" s="5" t="s">
        <v>39</v>
      </c>
      <c r="E3077" s="5" t="s">
        <v>615</v>
      </c>
      <c r="F3077" s="9">
        <v>72</v>
      </c>
      <c r="G3077" s="9">
        <v>804</v>
      </c>
      <c r="H3077" s="5" t="s">
        <v>21</v>
      </c>
      <c r="I3077" s="5" t="s">
        <v>7110</v>
      </c>
      <c r="J3077" s="12" t="str">
        <f>HYPERLINK("https://www.boe.es/gazeta/dias/1801/07/24/pdfs/GMD-1801-72.pdf#page=9","Abrir facsímil")</f>
        <v>Abrir facsímil</v>
      </c>
      <c r="K3077" s="15" t="s">
        <v>23</v>
      </c>
    </row>
    <row r="3078" spans="1:11" ht="42" customHeight="1">
      <c r="A3078" s="4" t="s">
        <v>7111</v>
      </c>
      <c r="B3078" s="5" t="s">
        <v>7112</v>
      </c>
      <c r="C3078" s="5" t="s">
        <v>38</v>
      </c>
      <c r="D3078" s="5" t="s">
        <v>39</v>
      </c>
      <c r="E3078" s="5" t="s">
        <v>266</v>
      </c>
      <c r="F3078" s="9">
        <v>119</v>
      </c>
      <c r="G3078" s="9">
        <v>1303</v>
      </c>
      <c r="H3078" s="5" t="s">
        <v>21</v>
      </c>
      <c r="I3078" s="5" t="s">
        <v>7113</v>
      </c>
      <c r="J3078" s="12" t="str">
        <f>HYPERLINK("https://www.boe.es/gazeta/dias/1801/12/29/pdfs/GMD-1801-119.pdf#page=7","Abrir facsímil")</f>
        <v>Abrir facsímil</v>
      </c>
      <c r="K3078" s="15" t="s">
        <v>23</v>
      </c>
    </row>
    <row r="3079" spans="1:11" ht="42" customHeight="1">
      <c r="A3079" s="4" t="s">
        <v>7114</v>
      </c>
      <c r="B3079" s="5" t="s">
        <v>7115</v>
      </c>
      <c r="C3079" s="5" t="s">
        <v>75</v>
      </c>
      <c r="D3079" s="5" t="s">
        <v>76</v>
      </c>
      <c r="E3079" s="5" t="s">
        <v>70</v>
      </c>
      <c r="F3079" s="9">
        <v>2</v>
      </c>
      <c r="G3079" s="9">
        <v>18</v>
      </c>
      <c r="H3079" s="5" t="s">
        <v>21</v>
      </c>
      <c r="I3079" s="5" t="s">
        <v>7116</v>
      </c>
      <c r="J3079" s="12" t="str">
        <f>HYPERLINK("https://www.boe.es/gazeta/dias/1801/01/06/pdfs/GMD-1801-2.pdf#page=6","Abrir facsímil")</f>
        <v>Abrir facsímil</v>
      </c>
      <c r="K3079" s="15" t="s">
        <v>23</v>
      </c>
    </row>
    <row r="3080" spans="1:11" ht="42" customHeight="1">
      <c r="A3080" s="4" t="s">
        <v>7117</v>
      </c>
      <c r="B3080" s="5" t="s">
        <v>7118</v>
      </c>
      <c r="C3080" s="5" t="s">
        <v>32</v>
      </c>
      <c r="D3080" s="5" t="s">
        <v>33</v>
      </c>
      <c r="E3080" s="5" t="s">
        <v>124</v>
      </c>
      <c r="F3080" s="9">
        <v>12</v>
      </c>
      <c r="G3080" s="9">
        <v>145</v>
      </c>
      <c r="H3080" s="5" t="s">
        <v>21</v>
      </c>
      <c r="I3080" s="5" t="s">
        <v>7119</v>
      </c>
      <c r="J3080" s="12" t="str">
        <f>HYPERLINK("https://www.boe.es/gazeta/dias/1801/02/10/pdfs/GMD-1801-12.pdf#page=6","Abrir facsímil")</f>
        <v>Abrir facsímil</v>
      </c>
      <c r="K3080" s="15" t="s">
        <v>23</v>
      </c>
    </row>
    <row r="3081" spans="1:11" ht="42" customHeight="1">
      <c r="A3081" s="4" t="s">
        <v>7120</v>
      </c>
      <c r="B3081" s="5" t="s">
        <v>7121</v>
      </c>
      <c r="C3081" s="5" t="s">
        <v>32</v>
      </c>
      <c r="D3081" s="5" t="s">
        <v>33</v>
      </c>
      <c r="E3081" s="5" t="s">
        <v>275</v>
      </c>
      <c r="F3081" s="9">
        <v>9</v>
      </c>
      <c r="G3081" s="9">
        <v>109</v>
      </c>
      <c r="H3081" s="5" t="s">
        <v>21</v>
      </c>
      <c r="I3081" s="5" t="s">
        <v>7122</v>
      </c>
      <c r="J3081" s="12" t="str">
        <f>HYPERLINK("https://www.boe.es/gazeta/dias/1801/01/30/pdfs/GMD-1801-9.pdf#page=6","Abrir facsímil")</f>
        <v>Abrir facsímil</v>
      </c>
      <c r="K3081" s="15" t="s">
        <v>23</v>
      </c>
    </row>
    <row r="3082" spans="1:11" ht="42" customHeight="1">
      <c r="A3082" s="4" t="s">
        <v>7123</v>
      </c>
      <c r="B3082" s="5" t="s">
        <v>7124</v>
      </c>
      <c r="C3082" s="5" t="s">
        <v>75</v>
      </c>
      <c r="D3082" s="5" t="s">
        <v>76</v>
      </c>
      <c r="E3082" s="5" t="s">
        <v>465</v>
      </c>
      <c r="F3082" s="9">
        <v>4</v>
      </c>
      <c r="G3082" s="9">
        <v>42</v>
      </c>
      <c r="H3082" s="5" t="s">
        <v>21</v>
      </c>
      <c r="I3082" s="5" t="s">
        <v>7125</v>
      </c>
      <c r="J3082" s="12" t="str">
        <f>HYPERLINK("https://www.boe.es/gazeta/dias/1801/01/13/pdfs/GMD-1801-4.pdf#page=6","Abrir facsímil")</f>
        <v>Abrir facsímil</v>
      </c>
      <c r="K3082" s="15" t="s">
        <v>23</v>
      </c>
    </row>
    <row r="3083" spans="1:11" ht="42" customHeight="1">
      <c r="A3083" s="4" t="s">
        <v>7123</v>
      </c>
      <c r="B3083" s="5" t="s">
        <v>7124</v>
      </c>
      <c r="C3083" s="5" t="s">
        <v>38</v>
      </c>
      <c r="D3083" s="5" t="s">
        <v>39</v>
      </c>
      <c r="E3083" s="5" t="s">
        <v>781</v>
      </c>
      <c r="F3083" s="9">
        <v>14</v>
      </c>
      <c r="G3083" s="9">
        <v>172</v>
      </c>
      <c r="H3083" s="5" t="s">
        <v>21</v>
      </c>
      <c r="I3083" s="5" t="s">
        <v>7126</v>
      </c>
      <c r="J3083" s="12" t="str">
        <f>HYPERLINK("https://www.boe.es/gazeta/dias/1801/02/17/pdfs/GMD-1801-14.pdf#page=7","Abrir facsímil")</f>
        <v>Abrir facsímil</v>
      </c>
      <c r="K3083" s="15" t="s">
        <v>23</v>
      </c>
    </row>
    <row r="3084" spans="1:11" ht="42" customHeight="1">
      <c r="A3084" s="4" t="s">
        <v>7123</v>
      </c>
      <c r="B3084" s="5" t="s">
        <v>7124</v>
      </c>
      <c r="C3084" s="5" t="s">
        <v>75</v>
      </c>
      <c r="D3084" s="5" t="s">
        <v>76</v>
      </c>
      <c r="E3084" s="5" t="s">
        <v>94</v>
      </c>
      <c r="F3084" s="9">
        <v>19</v>
      </c>
      <c r="G3084" s="9">
        <v>241</v>
      </c>
      <c r="H3084" s="5" t="s">
        <v>21</v>
      </c>
      <c r="I3084" s="5" t="s">
        <v>7127</v>
      </c>
      <c r="J3084" s="12" t="str">
        <f>HYPERLINK("https://www.boe.es/gazeta/dias/1801/03/06/pdfs/GMD-1801-19.pdf#page=6","Abrir facsímil")</f>
        <v>Abrir facsímil</v>
      </c>
      <c r="K3084" s="15" t="s">
        <v>23</v>
      </c>
    </row>
    <row r="3085" spans="1:11" ht="42" customHeight="1">
      <c r="A3085" s="4" t="s">
        <v>7128</v>
      </c>
      <c r="B3085" s="5" t="s">
        <v>7129</v>
      </c>
      <c r="C3085" s="5" t="s">
        <v>32</v>
      </c>
      <c r="D3085" s="5" t="s">
        <v>33</v>
      </c>
      <c r="E3085" s="5" t="s">
        <v>62</v>
      </c>
      <c r="F3085" s="9">
        <v>6</v>
      </c>
      <c r="G3085" s="9">
        <v>69</v>
      </c>
      <c r="H3085" s="5" t="s">
        <v>21</v>
      </c>
      <c r="I3085" s="5" t="s">
        <v>7130</v>
      </c>
      <c r="J3085" s="12" t="str">
        <f>HYPERLINK("https://www.boe.es/gazeta/dias/1801/01/20/pdfs/GMD-1801-6.pdf#page=5","Abrir facsímil")</f>
        <v>Abrir facsímil</v>
      </c>
      <c r="K3085" s="15" t="s">
        <v>23</v>
      </c>
    </row>
    <row r="3086" spans="1:11" ht="42" customHeight="1">
      <c r="A3086" s="4" t="s">
        <v>7131</v>
      </c>
      <c r="B3086" s="5" t="s">
        <v>7132</v>
      </c>
      <c r="C3086" s="5" t="s">
        <v>75</v>
      </c>
      <c r="D3086" s="5" t="s">
        <v>76</v>
      </c>
      <c r="E3086" s="5" t="s">
        <v>101</v>
      </c>
      <c r="F3086" s="9">
        <v>41</v>
      </c>
      <c r="G3086" s="9">
        <v>520</v>
      </c>
      <c r="H3086" s="5" t="s">
        <v>21</v>
      </c>
      <c r="I3086" s="5" t="s">
        <v>7133</v>
      </c>
      <c r="J3086" s="12" t="str">
        <f>HYPERLINK("https://www.boe.es/gazeta/dias/1801/05/22/pdfs/GMD-1801-41.pdf#page=4","Abrir facsímil")</f>
        <v>Abrir facsímil</v>
      </c>
      <c r="K3086" s="15" t="s">
        <v>23</v>
      </c>
    </row>
    <row r="3087" spans="1:11" ht="42" customHeight="1">
      <c r="A3087" s="4" t="s">
        <v>7134</v>
      </c>
      <c r="B3087" s="5" t="s">
        <v>7135</v>
      </c>
      <c r="C3087" s="5" t="s">
        <v>75</v>
      </c>
      <c r="D3087" s="5" t="s">
        <v>76</v>
      </c>
      <c r="E3087" s="5" t="s">
        <v>105</v>
      </c>
      <c r="F3087" s="9">
        <v>44</v>
      </c>
      <c r="G3087" s="9">
        <v>546</v>
      </c>
      <c r="H3087" s="5" t="s">
        <v>21</v>
      </c>
      <c r="I3087" s="5" t="s">
        <v>7136</v>
      </c>
      <c r="J3087" s="12" t="str">
        <f>HYPERLINK("https://www.boe.es/gazeta/dias/1801/05/29/pdfs/GMD-1801-44.pdf#page=6","Abrir facsímil")</f>
        <v>Abrir facsímil</v>
      </c>
      <c r="K3087" s="15" t="s">
        <v>23</v>
      </c>
    </row>
    <row r="3088" spans="1:11" ht="42" customHeight="1">
      <c r="A3088" s="4" t="s">
        <v>7134</v>
      </c>
      <c r="B3088" s="5" t="s">
        <v>7135</v>
      </c>
      <c r="C3088" s="5" t="s">
        <v>75</v>
      </c>
      <c r="D3088" s="5" t="s">
        <v>76</v>
      </c>
      <c r="E3088" s="5" t="s">
        <v>211</v>
      </c>
      <c r="F3088" s="9">
        <v>87</v>
      </c>
      <c r="G3088" s="9">
        <v>963</v>
      </c>
      <c r="H3088" s="5" t="s">
        <v>21</v>
      </c>
      <c r="I3088" s="5" t="s">
        <v>7137</v>
      </c>
      <c r="J3088" s="12" t="str">
        <f>HYPERLINK("https://www.boe.es/gazeta/dias/1801/09/11/pdfs/GMD-1801-87.pdf#page=6","Abrir facsímil")</f>
        <v>Abrir facsímil</v>
      </c>
      <c r="K3088" s="15" t="s">
        <v>23</v>
      </c>
    </row>
    <row r="3089" spans="1:11" ht="42" customHeight="1">
      <c r="A3089" s="4" t="s">
        <v>7138</v>
      </c>
      <c r="B3089" s="5" t="s">
        <v>7139</v>
      </c>
      <c r="C3089" s="5" t="s">
        <v>75</v>
      </c>
      <c r="D3089" s="5" t="s">
        <v>76</v>
      </c>
      <c r="E3089" s="5" t="s">
        <v>935</v>
      </c>
      <c r="F3089" s="9">
        <v>116</v>
      </c>
      <c r="G3089" s="9">
        <v>1265</v>
      </c>
      <c r="H3089" s="5" t="s">
        <v>21</v>
      </c>
      <c r="I3089" s="5" t="s">
        <v>7140</v>
      </c>
      <c r="J3089" s="12" t="str">
        <f>HYPERLINK("https://www.boe.es/gazeta/dias/1801/12/18/pdfs/GMD-1801-116.pdf#page=7","Abrir facsímil")</f>
        <v>Abrir facsímil</v>
      </c>
      <c r="K3089" s="15" t="s">
        <v>23</v>
      </c>
    </row>
    <row r="3090" spans="1:11" ht="42" customHeight="1">
      <c r="A3090" s="4" t="s">
        <v>7141</v>
      </c>
      <c r="B3090" s="5" t="s">
        <v>7142</v>
      </c>
      <c r="C3090" s="5" t="s">
        <v>75</v>
      </c>
      <c r="D3090" s="5" t="s">
        <v>76</v>
      </c>
      <c r="E3090" s="5" t="s">
        <v>321</v>
      </c>
      <c r="F3090" s="9">
        <v>3</v>
      </c>
      <c r="G3090" s="9">
        <v>28</v>
      </c>
      <c r="H3090" s="5" t="s">
        <v>21</v>
      </c>
      <c r="I3090" s="5" t="s">
        <v>7143</v>
      </c>
      <c r="J3090" s="12" t="str">
        <f>HYPERLINK("https://www.boe.es/gazeta/dias/1801/01/09/pdfs/GMD-1801-3.pdf#page=4","Abrir facsímil")</f>
        <v>Abrir facsímil</v>
      </c>
      <c r="K3090" s="15" t="s">
        <v>23</v>
      </c>
    </row>
    <row r="3091" spans="1:11" ht="42" customHeight="1">
      <c r="A3091" s="4" t="s">
        <v>7144</v>
      </c>
      <c r="B3091" s="5" t="s">
        <v>7145</v>
      </c>
      <c r="C3091" s="5" t="s">
        <v>75</v>
      </c>
      <c r="D3091" s="5" t="s">
        <v>76</v>
      </c>
      <c r="E3091" s="5" t="s">
        <v>124</v>
      </c>
      <c r="F3091" s="9">
        <v>12</v>
      </c>
      <c r="G3091" s="9">
        <v>146</v>
      </c>
      <c r="H3091" s="5" t="s">
        <v>21</v>
      </c>
      <c r="I3091" s="5" t="s">
        <v>7146</v>
      </c>
      <c r="J3091" s="12" t="str">
        <f>HYPERLINK("https://www.boe.es/gazeta/dias/1801/02/10/pdfs/GMD-1801-12.pdf#page=7","Abrir facsímil")</f>
        <v>Abrir facsímil</v>
      </c>
      <c r="K3091" s="15" t="s">
        <v>23</v>
      </c>
    </row>
    <row r="3092" spans="1:11" ht="42" customHeight="1">
      <c r="A3092" s="4" t="s">
        <v>7144</v>
      </c>
      <c r="B3092" s="5" t="s">
        <v>7145</v>
      </c>
      <c r="C3092" s="5" t="s">
        <v>18</v>
      </c>
      <c r="D3092" s="5" t="s">
        <v>19</v>
      </c>
      <c r="E3092" s="5" t="s">
        <v>97</v>
      </c>
      <c r="F3092" s="9">
        <v>31</v>
      </c>
      <c r="G3092" s="9">
        <v>402</v>
      </c>
      <c r="H3092" s="5" t="s">
        <v>21</v>
      </c>
      <c r="I3092" s="5" t="s">
        <v>7147</v>
      </c>
      <c r="J3092" s="12" t="str">
        <f>HYPERLINK("https://www.boe.es/gazeta/dias/1801/04/17/pdfs/GMD-1801-31.pdf#page=6","Abrir facsímil")</f>
        <v>Abrir facsímil</v>
      </c>
      <c r="K3092" s="15" t="s">
        <v>23</v>
      </c>
    </row>
    <row r="3093" spans="1:11" ht="42" customHeight="1">
      <c r="A3093" s="4" t="s">
        <v>7144</v>
      </c>
      <c r="B3093" s="5" t="s">
        <v>7145</v>
      </c>
      <c r="C3093" s="5" t="s">
        <v>75</v>
      </c>
      <c r="D3093" s="5" t="s">
        <v>76</v>
      </c>
      <c r="E3093" s="5" t="s">
        <v>145</v>
      </c>
      <c r="F3093" s="9">
        <v>36</v>
      </c>
      <c r="G3093" s="9">
        <v>464</v>
      </c>
      <c r="H3093" s="5" t="s">
        <v>21</v>
      </c>
      <c r="I3093" s="5" t="s">
        <v>7148</v>
      </c>
      <c r="J3093" s="12" t="str">
        <f>HYPERLINK("https://www.boe.es/gazeta/dias/1801/05/05/pdfs/GMD-1801-36.pdf#page=8","Abrir facsímil")</f>
        <v>Abrir facsímil</v>
      </c>
      <c r="K3093" s="15" t="s">
        <v>23</v>
      </c>
    </row>
    <row r="3094" spans="1:11" ht="42" customHeight="1">
      <c r="A3094" s="4" t="s">
        <v>7144</v>
      </c>
      <c r="B3094" s="5" t="s">
        <v>7145</v>
      </c>
      <c r="C3094" s="5" t="s">
        <v>38</v>
      </c>
      <c r="D3094" s="5" t="s">
        <v>39</v>
      </c>
      <c r="E3094" s="5" t="s">
        <v>20</v>
      </c>
      <c r="F3094" s="9">
        <v>37</v>
      </c>
      <c r="G3094" s="9">
        <v>481</v>
      </c>
      <c r="H3094" s="5" t="s">
        <v>21</v>
      </c>
      <c r="I3094" s="5" t="s">
        <v>7149</v>
      </c>
      <c r="J3094" s="12" t="str">
        <f>HYPERLINK("https://www.boe.es/gazeta/dias/1801/05/08/pdfs/GMD-1801-37.pdf#page=9","Abrir facsímil")</f>
        <v>Abrir facsímil</v>
      </c>
      <c r="K3094" s="15" t="s">
        <v>23</v>
      </c>
    </row>
    <row r="3095" spans="1:11" ht="42" customHeight="1">
      <c r="A3095" s="4" t="s">
        <v>7144</v>
      </c>
      <c r="B3095" s="5" t="s">
        <v>7145</v>
      </c>
      <c r="C3095" s="5" t="s">
        <v>75</v>
      </c>
      <c r="D3095" s="5" t="s">
        <v>76</v>
      </c>
      <c r="E3095" s="5" t="s">
        <v>313</v>
      </c>
      <c r="F3095" s="9">
        <v>39</v>
      </c>
      <c r="G3095" s="9">
        <v>504</v>
      </c>
      <c r="H3095" s="5" t="s">
        <v>21</v>
      </c>
      <c r="I3095" s="5" t="s">
        <v>7150</v>
      </c>
      <c r="J3095" s="12" t="str">
        <f>HYPERLINK("https://www.boe.es/gazeta/dias/1801/05/15/pdfs/GMD-1801-39.pdf#page=8","Abrir facsímil")</f>
        <v>Abrir facsímil</v>
      </c>
      <c r="K3095" s="15" t="s">
        <v>23</v>
      </c>
    </row>
    <row r="3096" spans="1:11" ht="42" customHeight="1">
      <c r="A3096" s="4" t="s">
        <v>7144</v>
      </c>
      <c r="B3096" s="5" t="s">
        <v>7145</v>
      </c>
      <c r="C3096" s="5" t="s">
        <v>38</v>
      </c>
      <c r="D3096" s="5" t="s">
        <v>39</v>
      </c>
      <c r="E3096" s="5" t="s">
        <v>173</v>
      </c>
      <c r="F3096" s="9">
        <v>98</v>
      </c>
      <c r="G3096" s="9">
        <v>1073</v>
      </c>
      <c r="H3096" s="5" t="s">
        <v>21</v>
      </c>
      <c r="I3096" s="5" t="s">
        <v>7151</v>
      </c>
      <c r="J3096" s="12" t="str">
        <f>HYPERLINK("https://www.boe.es/gazeta/dias/1801/10/16/pdfs/GMD-1801-98.pdf#page=5","Abrir facsímil")</f>
        <v>Abrir facsímil</v>
      </c>
      <c r="K3096" s="15" t="s">
        <v>23</v>
      </c>
    </row>
    <row r="3097" spans="1:11" ht="42" customHeight="1">
      <c r="A3097" s="4" t="s">
        <v>7152</v>
      </c>
      <c r="B3097" s="5" t="s">
        <v>7153</v>
      </c>
      <c r="C3097" s="5" t="s">
        <v>75</v>
      </c>
      <c r="D3097" s="5" t="s">
        <v>76</v>
      </c>
      <c r="E3097" s="5" t="s">
        <v>90</v>
      </c>
      <c r="F3097" s="9">
        <v>1</v>
      </c>
      <c r="G3097" s="9">
        <v>5</v>
      </c>
      <c r="H3097" s="5" t="s">
        <v>21</v>
      </c>
      <c r="I3097" s="5" t="s">
        <v>7154</v>
      </c>
      <c r="J3097" s="12" t="str">
        <f>HYPERLINK("https://www.boe.es/gazeta/dias/1801/01/02/pdfs/GMD-1801-1.pdf#page=5","Abrir facsímil")</f>
        <v>Abrir facsímil</v>
      </c>
      <c r="K3097" s="15" t="s">
        <v>23</v>
      </c>
    </row>
    <row r="3098" spans="1:11" ht="42" customHeight="1">
      <c r="A3098" s="4" t="s">
        <v>7152</v>
      </c>
      <c r="B3098" s="5" t="s">
        <v>7153</v>
      </c>
      <c r="C3098" s="5" t="s">
        <v>75</v>
      </c>
      <c r="D3098" s="5" t="s">
        <v>76</v>
      </c>
      <c r="E3098" s="5" t="s">
        <v>1015</v>
      </c>
      <c r="F3098" s="9">
        <v>15</v>
      </c>
      <c r="G3098" s="9">
        <v>185</v>
      </c>
      <c r="H3098" s="5" t="s">
        <v>21</v>
      </c>
      <c r="I3098" s="5" t="s">
        <v>7155</v>
      </c>
      <c r="J3098" s="12" t="str">
        <f>HYPERLINK("https://www.boe.es/gazeta/dias/1801/02/20/pdfs/GMD-1801-15.pdf#page=4","Abrir facsímil")</f>
        <v>Abrir facsímil</v>
      </c>
      <c r="K3098" s="15" t="s">
        <v>23</v>
      </c>
    </row>
    <row r="3099" spans="1:11" ht="42" customHeight="1">
      <c r="A3099" s="4" t="s">
        <v>7152</v>
      </c>
      <c r="B3099" s="5" t="s">
        <v>7153</v>
      </c>
      <c r="C3099" s="5" t="s">
        <v>75</v>
      </c>
      <c r="D3099" s="5" t="s">
        <v>76</v>
      </c>
      <c r="E3099" s="5" t="s">
        <v>1015</v>
      </c>
      <c r="F3099" s="9">
        <v>15</v>
      </c>
      <c r="G3099" s="9">
        <v>187</v>
      </c>
      <c r="H3099" s="5" t="s">
        <v>21</v>
      </c>
      <c r="I3099" s="5" t="s">
        <v>7156</v>
      </c>
      <c r="J3099" s="12" t="str">
        <f>HYPERLINK("https://www.boe.es/gazeta/dias/1801/02/20/pdfs/GMD-1801-15.pdf#page=6","Abrir facsímil")</f>
        <v>Abrir facsímil</v>
      </c>
      <c r="K3099" s="15" t="s">
        <v>23</v>
      </c>
    </row>
    <row r="3100" spans="1:11" ht="42" customHeight="1">
      <c r="A3100" s="4" t="s">
        <v>7152</v>
      </c>
      <c r="B3100" s="5" t="s">
        <v>7153</v>
      </c>
      <c r="C3100" s="5" t="s">
        <v>75</v>
      </c>
      <c r="D3100" s="5" t="s">
        <v>76</v>
      </c>
      <c r="E3100" s="5" t="s">
        <v>221</v>
      </c>
      <c r="F3100" s="9">
        <v>28</v>
      </c>
      <c r="G3100" s="9">
        <v>366</v>
      </c>
      <c r="H3100" s="5" t="s">
        <v>21</v>
      </c>
      <c r="I3100" s="5" t="s">
        <v>7157</v>
      </c>
      <c r="J3100" s="12" t="str">
        <f>HYPERLINK("https://www.boe.es/gazeta/dias/1801/04/07/pdfs/GMD-1801-28.pdf#page=6","Abrir facsímil")</f>
        <v>Abrir facsímil</v>
      </c>
      <c r="K3100" s="15" t="s">
        <v>23</v>
      </c>
    </row>
    <row r="3101" spans="1:11" ht="42" customHeight="1">
      <c r="A3101" s="4" t="s">
        <v>7152</v>
      </c>
      <c r="B3101" s="5" t="s">
        <v>7153</v>
      </c>
      <c r="C3101" s="5" t="s">
        <v>38</v>
      </c>
      <c r="D3101" s="5" t="s">
        <v>39</v>
      </c>
      <c r="E3101" s="5" t="s">
        <v>155</v>
      </c>
      <c r="F3101" s="9">
        <v>50</v>
      </c>
      <c r="G3101" s="9">
        <v>595</v>
      </c>
      <c r="H3101" s="5" t="s">
        <v>21</v>
      </c>
      <c r="I3101" s="5" t="s">
        <v>7158</v>
      </c>
      <c r="J3101" s="12" t="str">
        <f>HYPERLINK("https://www.boe.es/gazeta/dias/1801/06/09/pdfs/GMD-1801-50.pdf#page=7","Abrir facsímil")</f>
        <v>Abrir facsímil</v>
      </c>
      <c r="K3101" s="15" t="s">
        <v>23</v>
      </c>
    </row>
    <row r="3102" spans="1:11" ht="42" customHeight="1">
      <c r="A3102" s="4" t="s">
        <v>7159</v>
      </c>
      <c r="B3102" s="5" t="s">
        <v>7160</v>
      </c>
      <c r="C3102" s="5" t="s">
        <v>75</v>
      </c>
      <c r="D3102" s="5" t="s">
        <v>76</v>
      </c>
      <c r="E3102" s="5" t="s">
        <v>122</v>
      </c>
      <c r="F3102" s="9">
        <v>8</v>
      </c>
      <c r="G3102" s="9">
        <v>93</v>
      </c>
      <c r="H3102" s="5" t="s">
        <v>21</v>
      </c>
      <c r="I3102" s="5" t="s">
        <v>7161</v>
      </c>
      <c r="J3102" s="12" t="str">
        <f>HYPERLINK("https://www.boe.es/gazeta/dias/1801/01/27/pdfs/GMD-1801-8.pdf#page=5","Abrir facsímil")</f>
        <v>Abrir facsímil</v>
      </c>
      <c r="K3102" s="15" t="s">
        <v>23</v>
      </c>
    </row>
    <row r="3103" spans="1:11" ht="42" customHeight="1">
      <c r="A3103" s="4" t="s">
        <v>7162</v>
      </c>
      <c r="B3103" s="5" t="s">
        <v>7163</v>
      </c>
      <c r="C3103" s="5" t="s">
        <v>75</v>
      </c>
      <c r="D3103" s="5" t="s">
        <v>76</v>
      </c>
      <c r="E3103" s="5" t="s">
        <v>145</v>
      </c>
      <c r="F3103" s="9">
        <v>36</v>
      </c>
      <c r="G3103" s="9">
        <v>462</v>
      </c>
      <c r="H3103" s="5" t="s">
        <v>21</v>
      </c>
      <c r="I3103" s="5" t="s">
        <v>7164</v>
      </c>
      <c r="J3103" s="12" t="str">
        <f>HYPERLINK("https://www.boe.es/gazeta/dias/1801/05/05/pdfs/GMD-1801-36.pdf#page=6","Abrir facsímil")</f>
        <v>Abrir facsímil</v>
      </c>
      <c r="K3103" s="15" t="s">
        <v>23</v>
      </c>
    </row>
    <row r="3104" spans="1:11" ht="42" customHeight="1">
      <c r="A3104" s="4" t="s">
        <v>7162</v>
      </c>
      <c r="B3104" s="5" t="s">
        <v>7163</v>
      </c>
      <c r="C3104" s="5" t="s">
        <v>38</v>
      </c>
      <c r="D3104" s="5" t="s">
        <v>39</v>
      </c>
      <c r="E3104" s="5" t="s">
        <v>417</v>
      </c>
      <c r="F3104" s="9">
        <v>64</v>
      </c>
      <c r="G3104" s="9">
        <v>725</v>
      </c>
      <c r="H3104" s="5" t="s">
        <v>21</v>
      </c>
      <c r="I3104" s="5" t="s">
        <v>7165</v>
      </c>
      <c r="J3104" s="12" t="str">
        <f>HYPERLINK("https://www.boe.es/gazeta/dias/1801/07/07/pdfs/GMD-1801-64.pdf#page=6","Abrir facsímil")</f>
        <v>Abrir facsímil</v>
      </c>
      <c r="K3104" s="15" t="s">
        <v>23</v>
      </c>
    </row>
    <row r="3105" spans="1:11" ht="42" customHeight="1">
      <c r="A3105" s="4" t="s">
        <v>7162</v>
      </c>
      <c r="B3105" s="5" t="s">
        <v>7163</v>
      </c>
      <c r="C3105" s="5" t="s">
        <v>75</v>
      </c>
      <c r="D3105" s="5" t="s">
        <v>76</v>
      </c>
      <c r="E3105" s="5" t="s">
        <v>28</v>
      </c>
      <c r="F3105" s="9">
        <v>77</v>
      </c>
      <c r="G3105" s="9">
        <v>862</v>
      </c>
      <c r="H3105" s="5" t="s">
        <v>21</v>
      </c>
      <c r="I3105" s="5" t="s">
        <v>7166</v>
      </c>
      <c r="J3105" s="12" t="str">
        <f>HYPERLINK("https://www.boe.es/gazeta/dias/1801/08/11/pdfs/GMD-1801-77.pdf#page=7","Abrir facsímil")</f>
        <v>Abrir facsímil</v>
      </c>
      <c r="K3105" s="15" t="s">
        <v>23</v>
      </c>
    </row>
    <row r="3106" spans="1:11" ht="42" customHeight="1">
      <c r="A3106" s="4" t="s">
        <v>7162</v>
      </c>
      <c r="B3106" s="5" t="s">
        <v>7163</v>
      </c>
      <c r="C3106" s="5" t="s">
        <v>75</v>
      </c>
      <c r="D3106" s="5" t="s">
        <v>76</v>
      </c>
      <c r="E3106" s="5" t="s">
        <v>256</v>
      </c>
      <c r="F3106" s="9">
        <v>78</v>
      </c>
      <c r="G3106" s="9">
        <v>876</v>
      </c>
      <c r="H3106" s="5" t="s">
        <v>21</v>
      </c>
      <c r="I3106" s="5" t="s">
        <v>7167</v>
      </c>
      <c r="J3106" s="12" t="str">
        <f>HYPERLINK("https://www.boe.es/gazeta/dias/1801/08/14/pdfs/GMD-1801-78.pdf#page=5","Abrir facsímil")</f>
        <v>Abrir facsímil</v>
      </c>
      <c r="K3106" s="15" t="s">
        <v>23</v>
      </c>
    </row>
    <row r="3107" spans="1:11" ht="42" customHeight="1">
      <c r="A3107" s="4" t="s">
        <v>7162</v>
      </c>
      <c r="B3107" s="5" t="s">
        <v>7163</v>
      </c>
      <c r="C3107" s="5" t="s">
        <v>32</v>
      </c>
      <c r="D3107" s="5" t="s">
        <v>33</v>
      </c>
      <c r="E3107" s="5" t="s">
        <v>2185</v>
      </c>
      <c r="F3107" s="9">
        <v>84</v>
      </c>
      <c r="G3107" s="9">
        <v>940</v>
      </c>
      <c r="H3107" s="5" t="s">
        <v>21</v>
      </c>
      <c r="I3107" s="5" t="s">
        <v>7168</v>
      </c>
      <c r="J3107" s="12" t="str">
        <f>HYPERLINK("https://www.boe.es/gazeta/dias/1801/09/04/pdfs/GMD-1801-84.pdf#page=3","Abrir facsímil")</f>
        <v>Abrir facsímil</v>
      </c>
      <c r="K3107" s="15" t="s">
        <v>23</v>
      </c>
    </row>
    <row r="3108" spans="1:11" ht="42" customHeight="1">
      <c r="A3108" s="4" t="s">
        <v>7162</v>
      </c>
      <c r="B3108" s="5" t="s">
        <v>7163</v>
      </c>
      <c r="C3108" s="5" t="s">
        <v>38</v>
      </c>
      <c r="D3108" s="5" t="s">
        <v>39</v>
      </c>
      <c r="E3108" s="5" t="s">
        <v>735</v>
      </c>
      <c r="F3108" s="9">
        <v>97</v>
      </c>
      <c r="G3108" s="9">
        <v>1061</v>
      </c>
      <c r="H3108" s="5" t="s">
        <v>21</v>
      </c>
      <c r="I3108" s="5" t="s">
        <v>7169</v>
      </c>
      <c r="J3108" s="12" t="str">
        <f>HYPERLINK("https://www.boe.es/gazeta/dias/1801/10/13/pdfs/GMD-1801-97.pdf#page=5","Abrir facsímil")</f>
        <v>Abrir facsímil</v>
      </c>
      <c r="K3108" s="15" t="s">
        <v>23</v>
      </c>
    </row>
    <row r="3109" spans="1:11" ht="42" customHeight="1">
      <c r="A3109" s="4" t="s">
        <v>7162</v>
      </c>
      <c r="B3109" s="5" t="s">
        <v>7163</v>
      </c>
      <c r="C3109" s="5" t="s">
        <v>75</v>
      </c>
      <c r="D3109" s="5" t="s">
        <v>76</v>
      </c>
      <c r="E3109" s="5" t="s">
        <v>44</v>
      </c>
      <c r="F3109" s="9">
        <v>117</v>
      </c>
      <c r="G3109" s="9">
        <v>1278</v>
      </c>
      <c r="H3109" s="5" t="s">
        <v>21</v>
      </c>
      <c r="I3109" s="5" t="s">
        <v>7170</v>
      </c>
      <c r="J3109" s="12" t="str">
        <f>HYPERLINK("https://www.boe.es/gazeta/dias/1801/12/22/pdfs/GMD-1801-117.pdf#page=5","Abrir facsímil")</f>
        <v>Abrir facsímil</v>
      </c>
      <c r="K3109" s="15" t="s">
        <v>23</v>
      </c>
    </row>
    <row r="3110" spans="1:11" ht="42" customHeight="1">
      <c r="A3110" s="4" t="s">
        <v>7171</v>
      </c>
      <c r="B3110" s="5" t="s">
        <v>7172</v>
      </c>
      <c r="C3110" s="5" t="s">
        <v>75</v>
      </c>
      <c r="D3110" s="5" t="s">
        <v>76</v>
      </c>
      <c r="E3110" s="5" t="s">
        <v>62</v>
      </c>
      <c r="F3110" s="9">
        <v>6</v>
      </c>
      <c r="G3110" s="9">
        <v>68</v>
      </c>
      <c r="H3110" s="5" t="s">
        <v>21</v>
      </c>
      <c r="I3110" s="5" t="s">
        <v>7173</v>
      </c>
      <c r="J3110" s="12" t="str">
        <f>HYPERLINK("https://www.boe.es/gazeta/dias/1801/01/20/pdfs/GMD-1801-6.pdf#page=4","Abrir facsímil")</f>
        <v>Abrir facsímil</v>
      </c>
      <c r="K3110" s="15" t="s">
        <v>23</v>
      </c>
    </row>
    <row r="3111" spans="1:11" ht="42" customHeight="1">
      <c r="A3111" s="4" t="s">
        <v>7174</v>
      </c>
      <c r="B3111" s="5" t="s">
        <v>7175</v>
      </c>
      <c r="C3111" s="5" t="s">
        <v>80</v>
      </c>
      <c r="D3111" s="5" t="s">
        <v>81</v>
      </c>
      <c r="E3111" s="5" t="s">
        <v>82</v>
      </c>
      <c r="F3111" s="9">
        <v>75</v>
      </c>
      <c r="G3111" s="9" t="s">
        <v>83</v>
      </c>
      <c r="H3111" s="5" t="s">
        <v>21</v>
      </c>
      <c r="I3111" s="5" t="s">
        <v>7176</v>
      </c>
      <c r="J3111" s="12" t="str">
        <f>HYPERLINK("https://www.boe.es/gazeta/dias/1801/08/04/pdfs/GMD-C-1801-75.pdf#page=2","Abrir facsímil")</f>
        <v>Abrir facsímil</v>
      </c>
      <c r="K3111" s="15" t="s">
        <v>23</v>
      </c>
    </row>
    <row r="3112" spans="1:11" ht="42" customHeight="1">
      <c r="A3112" s="4" t="s">
        <v>7177</v>
      </c>
      <c r="B3112" s="5" t="s">
        <v>7178</v>
      </c>
      <c r="C3112" s="5" t="s">
        <v>38</v>
      </c>
      <c r="D3112" s="5" t="s">
        <v>39</v>
      </c>
      <c r="E3112" s="5" t="s">
        <v>480</v>
      </c>
      <c r="F3112" s="9">
        <v>10</v>
      </c>
      <c r="G3112" s="9">
        <v>125</v>
      </c>
      <c r="H3112" s="5" t="s">
        <v>21</v>
      </c>
      <c r="I3112" s="5" t="s">
        <v>7179</v>
      </c>
      <c r="J3112" s="12" t="str">
        <f>HYPERLINK("https://www.boe.es/gazeta/dias/1801/02/03/pdfs/GMD-1801-10.pdf#page=10","Abrir facsímil")</f>
        <v>Abrir facsímil</v>
      </c>
      <c r="K3112" s="15" t="s">
        <v>23</v>
      </c>
    </row>
    <row r="3113" spans="1:11" ht="42" customHeight="1">
      <c r="A3113" s="4" t="s">
        <v>7180</v>
      </c>
      <c r="B3113" s="5" t="s">
        <v>7180</v>
      </c>
      <c r="C3113" s="5" t="s">
        <v>18</v>
      </c>
      <c r="D3113" s="5" t="s">
        <v>19</v>
      </c>
      <c r="E3113" s="5" t="s">
        <v>90</v>
      </c>
      <c r="F3113" s="9">
        <v>1</v>
      </c>
      <c r="G3113" s="9">
        <v>12</v>
      </c>
      <c r="H3113" s="5" t="s">
        <v>21</v>
      </c>
      <c r="I3113" s="5" t="s">
        <v>7181</v>
      </c>
      <c r="J3113" s="12" t="str">
        <f>HYPERLINK("https://www.boe.es/gazeta/dias/1801/01/02/pdfs/GMD-1801-1.pdf#page=12","Abrir facsímil")</f>
        <v>Abrir facsímil</v>
      </c>
      <c r="K3113" s="15" t="s">
        <v>23</v>
      </c>
    </row>
    <row r="3114" spans="1:11" ht="42" customHeight="1">
      <c r="A3114" s="4" t="s">
        <v>7182</v>
      </c>
      <c r="B3114" s="5" t="s">
        <v>7183</v>
      </c>
      <c r="C3114" s="5" t="s">
        <v>32</v>
      </c>
      <c r="D3114" s="5" t="s">
        <v>33</v>
      </c>
      <c r="E3114" s="5" t="s">
        <v>417</v>
      </c>
      <c r="F3114" s="9">
        <v>64</v>
      </c>
      <c r="G3114" s="9">
        <v>729</v>
      </c>
      <c r="H3114" s="5" t="s">
        <v>21</v>
      </c>
      <c r="I3114" s="5" t="s">
        <v>7184</v>
      </c>
      <c r="J3114" s="12" t="str">
        <f>HYPERLINK("https://www.boe.es/gazeta/dias/1801/07/07/pdfs/GMD-1801-64.pdf#page=10","Abrir facsímil")</f>
        <v>Abrir facsímil</v>
      </c>
      <c r="K3114" s="15" t="s">
        <v>23</v>
      </c>
    </row>
    <row r="3115" spans="1:11" ht="42" customHeight="1">
      <c r="A3115" s="4" t="s">
        <v>7185</v>
      </c>
      <c r="B3115" s="5" t="s">
        <v>7186</v>
      </c>
      <c r="C3115" s="5" t="s">
        <v>80</v>
      </c>
      <c r="D3115" s="5" t="s">
        <v>81</v>
      </c>
      <c r="E3115" s="5" t="s">
        <v>289</v>
      </c>
      <c r="F3115" s="9">
        <v>40</v>
      </c>
      <c r="G3115" s="9" t="s">
        <v>86</v>
      </c>
      <c r="H3115" s="5" t="s">
        <v>21</v>
      </c>
      <c r="I3115" s="5" t="s">
        <v>7187</v>
      </c>
      <c r="J3115" s="12" t="str">
        <f>HYPERLINK("https://www.boe.es/gazeta/dias/1801/05/19/pdfs/GMD-C-1801-40.pdf#page=3","Abrir facsímil")</f>
        <v>Abrir facsímil</v>
      </c>
      <c r="K3115" s="15" t="s">
        <v>23</v>
      </c>
    </row>
    <row r="3116" spans="1:11" ht="42" customHeight="1">
      <c r="A3116" s="4" t="s">
        <v>7188</v>
      </c>
      <c r="B3116" s="5" t="s">
        <v>7188</v>
      </c>
      <c r="C3116" s="5" t="s">
        <v>75</v>
      </c>
      <c r="D3116" s="5" t="s">
        <v>76</v>
      </c>
      <c r="E3116" s="5" t="s">
        <v>169</v>
      </c>
      <c r="F3116" s="9">
        <v>70</v>
      </c>
      <c r="G3116" s="9">
        <v>769</v>
      </c>
      <c r="H3116" s="5" t="s">
        <v>21</v>
      </c>
      <c r="I3116" s="5" t="s">
        <v>7189</v>
      </c>
      <c r="J3116" s="12" t="str">
        <f>HYPERLINK("https://www.boe.es/gazeta/dias/1801/07/17/pdfs/GMD-1801-70.pdf#page=2","Abrir facsímil")</f>
        <v>Abrir facsímil</v>
      </c>
      <c r="K3116" s="15" t="s">
        <v>23</v>
      </c>
    </row>
    <row r="3117" spans="1:11" ht="42" customHeight="1">
      <c r="A3117" s="4" t="s">
        <v>7190</v>
      </c>
      <c r="B3117" s="5" t="s">
        <v>7191</v>
      </c>
      <c r="C3117" s="5" t="s">
        <v>75</v>
      </c>
      <c r="D3117" s="5" t="s">
        <v>76</v>
      </c>
      <c r="E3117" s="5" t="s">
        <v>182</v>
      </c>
      <c r="F3117" s="9">
        <v>18</v>
      </c>
      <c r="G3117" s="9">
        <v>220</v>
      </c>
      <c r="H3117" s="5" t="s">
        <v>21</v>
      </c>
      <c r="I3117" s="5" t="s">
        <v>7192</v>
      </c>
      <c r="J3117" s="12" t="str">
        <f>HYPERLINK("https://www.boe.es/gazeta/dias/1801/03/03/pdfs/GMD-1801-18.pdf#page=1","Abrir facsímil")</f>
        <v>Abrir facsímil</v>
      </c>
      <c r="K3117" s="15" t="s">
        <v>23</v>
      </c>
    </row>
    <row r="3118" spans="1:11" ht="42" customHeight="1">
      <c r="A3118" s="4" t="s">
        <v>7193</v>
      </c>
      <c r="B3118" s="5" t="s">
        <v>7194</v>
      </c>
      <c r="C3118" s="5" t="s">
        <v>38</v>
      </c>
      <c r="D3118" s="5" t="s">
        <v>39</v>
      </c>
      <c r="E3118" s="5" t="s">
        <v>338</v>
      </c>
      <c r="F3118" s="9">
        <v>83</v>
      </c>
      <c r="G3118" s="9">
        <v>934</v>
      </c>
      <c r="H3118" s="5" t="s">
        <v>21</v>
      </c>
      <c r="I3118" s="5" t="s">
        <v>7195</v>
      </c>
      <c r="J3118" s="12" t="str">
        <f>HYPERLINK("https://www.boe.es/gazeta/dias/1801/09/01/pdfs/GMD-1801-83.pdf#page=9","Abrir facsímil")</f>
        <v>Abrir facsímil</v>
      </c>
      <c r="K3118" s="15" t="s">
        <v>23</v>
      </c>
    </row>
    <row r="3119" spans="1:11" ht="42" customHeight="1">
      <c r="A3119" s="4" t="s">
        <v>7196</v>
      </c>
      <c r="B3119" s="5" t="s">
        <v>7197</v>
      </c>
      <c r="C3119" s="5" t="s">
        <v>32</v>
      </c>
      <c r="D3119" s="5" t="s">
        <v>33</v>
      </c>
      <c r="E3119" s="5" t="s">
        <v>151</v>
      </c>
      <c r="F3119" s="9">
        <v>45</v>
      </c>
      <c r="G3119" s="9">
        <v>557</v>
      </c>
      <c r="H3119" s="5" t="s">
        <v>21</v>
      </c>
      <c r="I3119" s="5" t="s">
        <v>7198</v>
      </c>
      <c r="J3119" s="12" t="str">
        <f>HYPERLINK("https://www.boe.es/gazeta/dias/1801/06/02/pdfs/GMD-1801-45.pdf#page=5","Abrir facsímil")</f>
        <v>Abrir facsímil</v>
      </c>
      <c r="K3119" s="15" t="s">
        <v>23</v>
      </c>
    </row>
    <row r="3120" spans="1:11" ht="42" customHeight="1">
      <c r="A3120" s="4" t="s">
        <v>7199</v>
      </c>
      <c r="B3120" s="5" t="s">
        <v>7200</v>
      </c>
      <c r="C3120" s="5" t="s">
        <v>75</v>
      </c>
      <c r="D3120" s="5" t="s">
        <v>76</v>
      </c>
      <c r="E3120" s="5" t="s">
        <v>105</v>
      </c>
      <c r="F3120" s="9">
        <v>44</v>
      </c>
      <c r="G3120" s="9">
        <v>544</v>
      </c>
      <c r="H3120" s="5" t="s">
        <v>21</v>
      </c>
      <c r="I3120" s="5" t="s">
        <v>7201</v>
      </c>
      <c r="J3120" s="12" t="str">
        <f>HYPERLINK("https://www.boe.es/gazeta/dias/1801/05/29/pdfs/GMD-1801-44.pdf#page=4","Abrir facsímil")</f>
        <v>Abrir facsímil</v>
      </c>
      <c r="K3120" s="15" t="s">
        <v>23</v>
      </c>
    </row>
    <row r="3121" spans="1:11" ht="42" customHeight="1">
      <c r="A3121" s="4" t="s">
        <v>7202</v>
      </c>
      <c r="B3121" s="5" t="s">
        <v>7203</v>
      </c>
      <c r="C3121" s="5" t="s">
        <v>38</v>
      </c>
      <c r="D3121" s="5" t="s">
        <v>39</v>
      </c>
      <c r="E3121" s="5" t="s">
        <v>72</v>
      </c>
      <c r="F3121" s="9">
        <v>60</v>
      </c>
      <c r="G3121" s="9">
        <v>687</v>
      </c>
      <c r="H3121" s="5" t="s">
        <v>21</v>
      </c>
      <c r="I3121" s="5" t="s">
        <v>7204</v>
      </c>
      <c r="J3121" s="12" t="str">
        <f>HYPERLINK("https://www.boe.es/gazeta/dias/1801/06/26/pdfs/GMD-1801-60.pdf#page=8","Abrir facsímil")</f>
        <v>Abrir facsímil</v>
      </c>
      <c r="K3121" s="15" t="s">
        <v>23</v>
      </c>
    </row>
    <row r="3122" spans="1:11" ht="42" customHeight="1">
      <c r="A3122" s="4" t="s">
        <v>7205</v>
      </c>
      <c r="B3122" s="5" t="s">
        <v>7206</v>
      </c>
      <c r="C3122" s="5" t="s">
        <v>80</v>
      </c>
      <c r="D3122" s="5" t="s">
        <v>81</v>
      </c>
      <c r="E3122" s="5" t="s">
        <v>289</v>
      </c>
      <c r="F3122" s="9">
        <v>40</v>
      </c>
      <c r="G3122" s="9" t="s">
        <v>305</v>
      </c>
      <c r="H3122" s="5" t="s">
        <v>21</v>
      </c>
      <c r="I3122" s="5" t="s">
        <v>7207</v>
      </c>
      <c r="J3122" s="12" t="str">
        <f>HYPERLINK("https://www.boe.es/gazeta/dias/1801/05/19/pdfs/GMD-C-1801-40.pdf#page=4","Abrir facsímil")</f>
        <v>Abrir facsímil</v>
      </c>
      <c r="K3122" s="15" t="s">
        <v>23</v>
      </c>
    </row>
    <row r="3123" spans="1:11" ht="42" customHeight="1">
      <c r="A3123" s="4" t="s">
        <v>7208</v>
      </c>
      <c r="B3123" s="5" t="s">
        <v>7209</v>
      </c>
      <c r="C3123" s="5" t="s">
        <v>32</v>
      </c>
      <c r="D3123" s="5" t="s">
        <v>33</v>
      </c>
      <c r="E3123" s="5" t="s">
        <v>66</v>
      </c>
      <c r="F3123" s="9">
        <v>52</v>
      </c>
      <c r="G3123" s="9">
        <v>608</v>
      </c>
      <c r="H3123" s="5" t="s">
        <v>21</v>
      </c>
      <c r="I3123" s="5" t="s">
        <v>7210</v>
      </c>
      <c r="J3123" s="12" t="str">
        <f>HYPERLINK("https://www.boe.es/gazeta/dias/1801/06/12/pdfs/GMD-1801-52.pdf#page=7","Abrir facsímil")</f>
        <v>Abrir facsímil</v>
      </c>
      <c r="K3123" s="15" t="s">
        <v>23</v>
      </c>
    </row>
    <row r="3124" spans="1:11" ht="42" customHeight="1">
      <c r="A3124" s="4" t="s">
        <v>7211</v>
      </c>
      <c r="B3124" s="5" t="s">
        <v>7212</v>
      </c>
      <c r="C3124" s="5" t="s">
        <v>26</v>
      </c>
      <c r="D3124" s="5" t="s">
        <v>27</v>
      </c>
      <c r="E3124" s="5" t="s">
        <v>194</v>
      </c>
      <c r="F3124" s="9">
        <v>92</v>
      </c>
      <c r="G3124" s="9">
        <v>1013</v>
      </c>
      <c r="H3124" s="5" t="s">
        <v>21</v>
      </c>
      <c r="I3124" s="5" t="s">
        <v>7213</v>
      </c>
      <c r="J3124" s="12" t="str">
        <f>HYPERLINK("https://www.boe.es/gazeta/dias/1801/09/25/pdfs/GMD-1801-92.pdf#page=8","Abrir facsímil")</f>
        <v>Abrir facsímil</v>
      </c>
      <c r="K3124" s="15" t="s">
        <v>23</v>
      </c>
    </row>
    <row r="3125" spans="1:11" ht="42" customHeight="1">
      <c r="A3125" s="4" t="s">
        <v>7214</v>
      </c>
      <c r="B3125" s="5" t="s">
        <v>7215</v>
      </c>
      <c r="C3125" s="5" t="s">
        <v>32</v>
      </c>
      <c r="D3125" s="5" t="s">
        <v>33</v>
      </c>
      <c r="E3125" s="5" t="s">
        <v>501</v>
      </c>
      <c r="F3125" s="9">
        <v>115</v>
      </c>
      <c r="G3125" s="9" t="s">
        <v>517</v>
      </c>
      <c r="H3125" s="5" t="s">
        <v>21</v>
      </c>
      <c r="I3125" s="5" t="s">
        <v>7216</v>
      </c>
      <c r="J3125" s="12" t="str">
        <f>HYPERLINK("https://www.boe.es/gazeta/dias/1801/12/15/pdfs/GMD-C-1801-115.pdf#page=7","Abrir facsímil")</f>
        <v>Abrir facsímil</v>
      </c>
      <c r="K3125" s="15" t="s">
        <v>23</v>
      </c>
    </row>
    <row r="3126" spans="1:11" ht="42" customHeight="1">
      <c r="A3126" s="4" t="s">
        <v>7217</v>
      </c>
      <c r="B3126" s="5" t="s">
        <v>7218</v>
      </c>
      <c r="C3126" s="5" t="s">
        <v>80</v>
      </c>
      <c r="D3126" s="5" t="s">
        <v>81</v>
      </c>
      <c r="E3126" s="5" t="s">
        <v>289</v>
      </c>
      <c r="F3126" s="9">
        <v>40</v>
      </c>
      <c r="G3126" s="9" t="s">
        <v>502</v>
      </c>
      <c r="H3126" s="5" t="s">
        <v>21</v>
      </c>
      <c r="I3126" s="5" t="s">
        <v>7219</v>
      </c>
      <c r="J3126" s="12" t="str">
        <f>HYPERLINK("https://www.boe.es/gazeta/dias/1801/05/19/pdfs/GMD-C-1801-40.pdf#page=8","Abrir facsímil")</f>
        <v>Abrir facsímil</v>
      </c>
      <c r="K3126" s="15" t="s">
        <v>23</v>
      </c>
    </row>
    <row r="3127" spans="1:11" ht="42" customHeight="1">
      <c r="A3127" s="4" t="s">
        <v>7220</v>
      </c>
      <c r="B3127" s="5" t="s">
        <v>7221</v>
      </c>
      <c r="C3127" s="5" t="s">
        <v>32</v>
      </c>
      <c r="D3127" s="5" t="s">
        <v>33</v>
      </c>
      <c r="E3127" s="5" t="s">
        <v>48</v>
      </c>
      <c r="F3127" s="9">
        <v>20</v>
      </c>
      <c r="G3127" s="9">
        <v>265</v>
      </c>
      <c r="H3127" s="5" t="s">
        <v>21</v>
      </c>
      <c r="I3127" s="5" t="s">
        <v>7222</v>
      </c>
      <c r="J3127" s="12" t="str">
        <f>HYPERLINK("https://www.boe.es/gazeta/dias/1801/03/10/pdfs/GMD-1801-20.pdf#page=10","Abrir facsímil")</f>
        <v>Abrir facsímil</v>
      </c>
      <c r="K3127" s="15" t="s">
        <v>23</v>
      </c>
    </row>
    <row r="3128" spans="1:11" ht="42" customHeight="1">
      <c r="A3128" s="4" t="s">
        <v>7223</v>
      </c>
      <c r="B3128" s="5" t="s">
        <v>7224</v>
      </c>
      <c r="C3128" s="5" t="s">
        <v>38</v>
      </c>
      <c r="D3128" s="5" t="s">
        <v>39</v>
      </c>
      <c r="E3128" s="5" t="s">
        <v>702</v>
      </c>
      <c r="F3128" s="9">
        <v>69</v>
      </c>
      <c r="G3128" s="9">
        <v>764</v>
      </c>
      <c r="H3128" s="5" t="s">
        <v>21</v>
      </c>
      <c r="I3128" s="5" t="s">
        <v>7225</v>
      </c>
      <c r="J3128" s="12" t="str">
        <f>HYPERLINK("https://www.boe.es/gazeta/dias/1801/07/14/pdfs/GMD-1801-69.pdf#page=9","Abrir facsímil")</f>
        <v>Abrir facsímil</v>
      </c>
      <c r="K3128" s="15" t="s">
        <v>23</v>
      </c>
    </row>
    <row r="3129" spans="1:11" ht="42" customHeight="1">
      <c r="A3129" s="4" t="s">
        <v>7223</v>
      </c>
      <c r="B3129" s="5" t="s">
        <v>7224</v>
      </c>
      <c r="C3129" s="5" t="s">
        <v>75</v>
      </c>
      <c r="D3129" s="5" t="s">
        <v>76</v>
      </c>
      <c r="E3129" s="5" t="s">
        <v>169</v>
      </c>
      <c r="F3129" s="9">
        <v>70</v>
      </c>
      <c r="G3129" s="9">
        <v>776</v>
      </c>
      <c r="H3129" s="5" t="s">
        <v>21</v>
      </c>
      <c r="I3129" s="5" t="s">
        <v>7226</v>
      </c>
      <c r="J3129" s="12" t="str">
        <f>HYPERLINK("https://www.boe.es/gazeta/dias/1801/07/17/pdfs/GMD-1801-70.pdf#page=9","Abrir facsímil")</f>
        <v>Abrir facsímil</v>
      </c>
      <c r="K3129" s="15" t="s">
        <v>23</v>
      </c>
    </row>
    <row r="3130" spans="1:11" ht="42" customHeight="1">
      <c r="A3130" s="4" t="s">
        <v>7223</v>
      </c>
      <c r="B3130" s="5" t="s">
        <v>7224</v>
      </c>
      <c r="C3130" s="5" t="s">
        <v>38</v>
      </c>
      <c r="D3130" s="5" t="s">
        <v>39</v>
      </c>
      <c r="E3130" s="5" t="s">
        <v>215</v>
      </c>
      <c r="F3130" s="9">
        <v>71</v>
      </c>
      <c r="G3130" s="9">
        <v>788</v>
      </c>
      <c r="H3130" s="5" t="s">
        <v>21</v>
      </c>
      <c r="I3130" s="5" t="s">
        <v>7227</v>
      </c>
      <c r="J3130" s="12" t="str">
        <f>HYPERLINK("https://www.boe.es/gazeta/dias/1801/07/21/pdfs/GMD-1801-71.pdf#page=9","Abrir facsímil")</f>
        <v>Abrir facsímil</v>
      </c>
      <c r="K3130" s="15" t="s">
        <v>23</v>
      </c>
    </row>
    <row r="3131" spans="1:11" ht="42" customHeight="1">
      <c r="A3131" s="4" t="s">
        <v>7223</v>
      </c>
      <c r="B3131" s="5" t="s">
        <v>7224</v>
      </c>
      <c r="C3131" s="5" t="s">
        <v>515</v>
      </c>
      <c r="D3131" s="5" t="s">
        <v>516</v>
      </c>
      <c r="E3131" s="5" t="s">
        <v>751</v>
      </c>
      <c r="F3131" s="9">
        <v>106</v>
      </c>
      <c r="G3131" s="9">
        <v>1169</v>
      </c>
      <c r="H3131" s="5" t="s">
        <v>21</v>
      </c>
      <c r="I3131" s="5" t="s">
        <v>7228</v>
      </c>
      <c r="J3131" s="12" t="str">
        <f>HYPERLINK("https://www.boe.es/gazeta/dias/1801/11/13/pdfs/GMD-C-1801-106.pdf#page=2","Abrir facsímil")</f>
        <v>Abrir facsímil</v>
      </c>
      <c r="K3131" s="15" t="s">
        <v>23</v>
      </c>
    </row>
    <row r="3132" spans="1:11" ht="42" customHeight="1">
      <c r="A3132" s="4" t="s">
        <v>7223</v>
      </c>
      <c r="B3132" s="5" t="s">
        <v>7224</v>
      </c>
      <c r="C3132" s="5" t="s">
        <v>75</v>
      </c>
      <c r="D3132" s="5" t="s">
        <v>76</v>
      </c>
      <c r="E3132" s="5" t="s">
        <v>1939</v>
      </c>
      <c r="F3132" s="9">
        <v>107</v>
      </c>
      <c r="G3132" s="9">
        <v>1180</v>
      </c>
      <c r="H3132" s="5" t="s">
        <v>21</v>
      </c>
      <c r="I3132" s="5" t="s">
        <v>7229</v>
      </c>
      <c r="J3132" s="12" t="str">
        <f>HYPERLINK("https://www.boe.es/gazeta/dias/1801/11/17/pdfs/GMD-1801-107.pdf#page=9","Abrir facsímil")</f>
        <v>Abrir facsímil</v>
      </c>
      <c r="K3132" s="15" t="s">
        <v>23</v>
      </c>
    </row>
    <row r="3133" spans="1:11" ht="42" customHeight="1">
      <c r="A3133" s="4" t="s">
        <v>7230</v>
      </c>
      <c r="B3133" s="5" t="s">
        <v>7231</v>
      </c>
      <c r="C3133" s="5" t="s">
        <v>38</v>
      </c>
      <c r="D3133" s="5" t="s">
        <v>39</v>
      </c>
      <c r="E3133" s="5" t="s">
        <v>1058</v>
      </c>
      <c r="F3133" s="9">
        <v>108</v>
      </c>
      <c r="G3133" s="9">
        <v>1193</v>
      </c>
      <c r="H3133" s="5" t="s">
        <v>21</v>
      </c>
      <c r="I3133" s="5" t="s">
        <v>7232</v>
      </c>
      <c r="J3133" s="12" t="str">
        <f>HYPERLINK("https://www.boe.es/gazeta/dias/1801/11/20/pdfs/GMD-1801-108.pdf#page=10","Abrir facsímil")</f>
        <v>Abrir facsímil</v>
      </c>
      <c r="K3133" s="15" t="s">
        <v>23</v>
      </c>
    </row>
    <row r="3134" spans="1:11" ht="42" customHeight="1">
      <c r="A3134" s="4" t="s">
        <v>7233</v>
      </c>
      <c r="B3134" s="5" t="s">
        <v>7234</v>
      </c>
      <c r="C3134" s="5" t="s">
        <v>32</v>
      </c>
      <c r="D3134" s="5" t="s">
        <v>33</v>
      </c>
      <c r="E3134" s="5" t="s">
        <v>1058</v>
      </c>
      <c r="F3134" s="9">
        <v>108</v>
      </c>
      <c r="G3134" s="9">
        <v>1191</v>
      </c>
      <c r="H3134" s="5" t="s">
        <v>21</v>
      </c>
      <c r="I3134" s="5" t="s">
        <v>7235</v>
      </c>
      <c r="J3134" s="12" t="str">
        <f>HYPERLINK("https://www.boe.es/gazeta/dias/1801/11/20/pdfs/GMD-1801-108.pdf#page=8","Abrir facsímil")</f>
        <v>Abrir facsímil</v>
      </c>
      <c r="K3134" s="15" t="s">
        <v>23</v>
      </c>
    </row>
    <row r="3135" spans="1:11" ht="42" customHeight="1">
      <c r="A3135" s="4" t="s">
        <v>7236</v>
      </c>
      <c r="B3135" s="5" t="s">
        <v>7237</v>
      </c>
      <c r="C3135" s="5" t="s">
        <v>32</v>
      </c>
      <c r="D3135" s="5" t="s">
        <v>33</v>
      </c>
      <c r="E3135" s="5" t="s">
        <v>34</v>
      </c>
      <c r="F3135" s="9">
        <v>38</v>
      </c>
      <c r="G3135" s="9">
        <v>493</v>
      </c>
      <c r="H3135" s="5" t="s">
        <v>21</v>
      </c>
      <c r="I3135" s="5" t="s">
        <v>7238</v>
      </c>
      <c r="J3135" s="12" t="str">
        <f>HYPERLINK("https://www.boe.es/gazeta/dias/1801/05/12/pdfs/GMD-1801-38.pdf#page=9","Abrir facsímil")</f>
        <v>Abrir facsímil</v>
      </c>
      <c r="K3135" s="15" t="s">
        <v>23</v>
      </c>
    </row>
    <row r="3136" spans="1:11" ht="42" customHeight="1">
      <c r="A3136" s="4" t="s">
        <v>7239</v>
      </c>
      <c r="B3136" s="5" t="s">
        <v>7240</v>
      </c>
      <c r="C3136" s="5" t="s">
        <v>69</v>
      </c>
      <c r="D3136" s="5" t="s">
        <v>19</v>
      </c>
      <c r="E3136" s="5" t="s">
        <v>292</v>
      </c>
      <c r="F3136" s="9">
        <v>25</v>
      </c>
      <c r="G3136" s="9">
        <v>331</v>
      </c>
      <c r="H3136" s="5" t="s">
        <v>21</v>
      </c>
      <c r="I3136" s="5" t="s">
        <v>7241</v>
      </c>
      <c r="J3136" s="12" t="str">
        <f>HYPERLINK("https://www.boe.es/gazeta/dias/1801/03/27/pdfs/GMD-1801-25.pdf#page=10","Abrir facsímil")</f>
        <v>Abrir facsímil</v>
      </c>
      <c r="K3136" s="15" t="s">
        <v>23</v>
      </c>
    </row>
    <row r="3137" spans="1:11" ht="42" customHeight="1">
      <c r="A3137" s="4" t="s">
        <v>7242</v>
      </c>
      <c r="B3137" s="5" t="s">
        <v>7243</v>
      </c>
      <c r="C3137" s="5" t="s">
        <v>69</v>
      </c>
      <c r="D3137" s="5" t="s">
        <v>19</v>
      </c>
      <c r="E3137" s="5" t="s">
        <v>501</v>
      </c>
      <c r="F3137" s="9">
        <v>115</v>
      </c>
      <c r="G3137" s="9">
        <v>1256</v>
      </c>
      <c r="H3137" s="5" t="s">
        <v>21</v>
      </c>
      <c r="I3137" s="5" t="s">
        <v>7244</v>
      </c>
      <c r="J3137" s="12" t="str">
        <f>HYPERLINK("https://www.boe.es/gazeta/dias/1801/12/15/pdfs/GMD-1801-115.pdf#page=6","Abrir facsímil")</f>
        <v>Abrir facsímil</v>
      </c>
      <c r="K3137" s="15" t="s">
        <v>23</v>
      </c>
    </row>
    <row r="3138" spans="1:11" ht="42" customHeight="1">
      <c r="A3138" s="4" t="s">
        <v>7245</v>
      </c>
      <c r="B3138" s="5" t="s">
        <v>7246</v>
      </c>
      <c r="C3138" s="5" t="s">
        <v>38</v>
      </c>
      <c r="D3138" s="5" t="s">
        <v>39</v>
      </c>
      <c r="E3138" s="5" t="s">
        <v>108</v>
      </c>
      <c r="F3138" s="9">
        <v>61</v>
      </c>
      <c r="G3138" s="9">
        <v>697</v>
      </c>
      <c r="H3138" s="5" t="s">
        <v>21</v>
      </c>
      <c r="I3138" s="5" t="s">
        <v>7247</v>
      </c>
      <c r="J3138" s="12" t="str">
        <f>HYPERLINK("https://www.boe.es/gazeta/dias/1801/06/30/pdfs/GMD-1801-61.pdf#page=6","Abrir facsímil")</f>
        <v>Abrir facsímil</v>
      </c>
      <c r="K3138" s="15" t="s">
        <v>23</v>
      </c>
    </row>
    <row r="3139" spans="1:11" ht="42" customHeight="1">
      <c r="A3139" s="4" t="s">
        <v>7248</v>
      </c>
      <c r="B3139" s="5" t="s">
        <v>7249</v>
      </c>
      <c r="C3139" s="5" t="s">
        <v>26</v>
      </c>
      <c r="D3139" s="5" t="s">
        <v>27</v>
      </c>
      <c r="E3139" s="5" t="s">
        <v>124</v>
      </c>
      <c r="F3139" s="9">
        <v>12</v>
      </c>
      <c r="G3139" s="9">
        <v>150</v>
      </c>
      <c r="H3139" s="5" t="s">
        <v>21</v>
      </c>
      <c r="I3139" s="5" t="s">
        <v>7250</v>
      </c>
      <c r="J3139" s="12" t="str">
        <f>HYPERLINK("https://www.boe.es/gazeta/dias/1801/02/10/pdfs/GMD-1801-12.pdf#page=11","Abrir facsímil")</f>
        <v>Abrir facsímil</v>
      </c>
      <c r="K3139" s="15" t="s">
        <v>23</v>
      </c>
    </row>
    <row r="3140" spans="1:11" ht="42" customHeight="1">
      <c r="A3140" s="4" t="s">
        <v>7251</v>
      </c>
      <c r="B3140" s="5" t="s">
        <v>7252</v>
      </c>
      <c r="C3140" s="5" t="s">
        <v>38</v>
      </c>
      <c r="D3140" s="5" t="s">
        <v>39</v>
      </c>
      <c r="E3140" s="5" t="s">
        <v>124</v>
      </c>
      <c r="F3140" s="9">
        <v>12</v>
      </c>
      <c r="G3140" s="9">
        <v>150</v>
      </c>
      <c r="H3140" s="5" t="s">
        <v>21</v>
      </c>
      <c r="I3140" s="5" t="s">
        <v>7253</v>
      </c>
      <c r="J3140" s="12" t="str">
        <f>HYPERLINK("https://www.boe.es/gazeta/dias/1801/02/10/pdfs/GMD-1801-12.pdf#page=11","Abrir facsímil")</f>
        <v>Abrir facsímil</v>
      </c>
      <c r="K3140" s="15" t="s">
        <v>23</v>
      </c>
    </row>
    <row r="3141" spans="1:11" ht="42" customHeight="1">
      <c r="A3141" s="4" t="s">
        <v>7254</v>
      </c>
      <c r="B3141" s="5" t="s">
        <v>7255</v>
      </c>
      <c r="C3141" s="5" t="s">
        <v>32</v>
      </c>
      <c r="D3141" s="5" t="s">
        <v>33</v>
      </c>
      <c r="E3141" s="5" t="s">
        <v>145</v>
      </c>
      <c r="F3141" s="9">
        <v>36</v>
      </c>
      <c r="G3141" s="9">
        <v>468</v>
      </c>
      <c r="H3141" s="5" t="s">
        <v>21</v>
      </c>
      <c r="I3141" s="5" t="s">
        <v>7256</v>
      </c>
      <c r="J3141" s="12" t="str">
        <f>HYPERLINK("https://www.boe.es/gazeta/dias/1801/05/05/pdfs/GMD-1801-36.pdf#page=12","Abrir facsímil")</f>
        <v>Abrir facsímil</v>
      </c>
      <c r="K3141" s="15" t="s">
        <v>23</v>
      </c>
    </row>
    <row r="3142" spans="1:11" ht="42" customHeight="1">
      <c r="A3142" s="4" t="s">
        <v>7257</v>
      </c>
      <c r="B3142" s="5" t="s">
        <v>7258</v>
      </c>
      <c r="C3142" s="5" t="s">
        <v>32</v>
      </c>
      <c r="D3142" s="5" t="s">
        <v>33</v>
      </c>
      <c r="E3142" s="5" t="s">
        <v>171</v>
      </c>
      <c r="F3142" s="9">
        <v>76</v>
      </c>
      <c r="G3142" s="9">
        <v>853</v>
      </c>
      <c r="H3142" s="5" t="s">
        <v>21</v>
      </c>
      <c r="I3142" s="5" t="s">
        <v>7259</v>
      </c>
      <c r="J3142" s="12" t="str">
        <f>HYPERLINK("https://www.boe.es/gazeta/dias/1801/08/07/pdfs/GMD-1801-76.pdf#page=10","Abrir facsímil")</f>
        <v>Abrir facsímil</v>
      </c>
      <c r="K3142" s="15" t="s">
        <v>23</v>
      </c>
    </row>
    <row r="3143" spans="1:11" ht="42" customHeight="1">
      <c r="A3143" s="4" t="s">
        <v>7260</v>
      </c>
      <c r="B3143" s="5" t="s">
        <v>7260</v>
      </c>
      <c r="C3143" s="5" t="s">
        <v>32</v>
      </c>
      <c r="D3143" s="5" t="s">
        <v>33</v>
      </c>
      <c r="E3143" s="5" t="s">
        <v>99</v>
      </c>
      <c r="F3143" s="9">
        <v>32</v>
      </c>
      <c r="G3143" s="9">
        <v>414</v>
      </c>
      <c r="H3143" s="5" t="s">
        <v>21</v>
      </c>
      <c r="I3143" s="5" t="s">
        <v>7261</v>
      </c>
      <c r="J3143" s="12" t="str">
        <f>HYPERLINK("https://www.boe.es/gazeta/dias/1801/04/21/pdfs/GMD-1801-32.pdf#page=10","Abrir facsímil")</f>
        <v>Abrir facsímil</v>
      </c>
      <c r="K3143" s="15" t="s">
        <v>23</v>
      </c>
    </row>
    <row r="3144" spans="1:11" ht="42" customHeight="1">
      <c r="A3144" s="4" t="s">
        <v>7262</v>
      </c>
      <c r="B3144" s="5" t="s">
        <v>7263</v>
      </c>
      <c r="C3144" s="5" t="s">
        <v>26</v>
      </c>
      <c r="D3144" s="5" t="s">
        <v>27</v>
      </c>
      <c r="E3144" s="5" t="s">
        <v>501</v>
      </c>
      <c r="F3144" s="9">
        <v>115</v>
      </c>
      <c r="G3144" s="9" t="s">
        <v>996</v>
      </c>
      <c r="H3144" s="5" t="s">
        <v>21</v>
      </c>
      <c r="I3144" s="5" t="s">
        <v>7264</v>
      </c>
      <c r="J3144" s="12" t="str">
        <f>HYPERLINK("https://www.boe.es/gazeta/dias/1801/12/15/pdfs/GMD-C-1801-115.pdf#page=6","Abrir facsímil")</f>
        <v>Abrir facsímil</v>
      </c>
      <c r="K3144" s="15" t="s">
        <v>23</v>
      </c>
    </row>
    <row r="3145" spans="1:11" ht="42" customHeight="1">
      <c r="A3145" s="4" t="s">
        <v>7265</v>
      </c>
      <c r="B3145" s="5" t="s">
        <v>7266</v>
      </c>
      <c r="C3145" s="5" t="s">
        <v>32</v>
      </c>
      <c r="D3145" s="5" t="s">
        <v>33</v>
      </c>
      <c r="E3145" s="5" t="s">
        <v>453</v>
      </c>
      <c r="F3145" s="9">
        <v>100</v>
      </c>
      <c r="G3145" s="9">
        <v>1100</v>
      </c>
      <c r="H3145" s="5" t="s">
        <v>21</v>
      </c>
      <c r="I3145" s="5" t="s">
        <v>7267</v>
      </c>
      <c r="J3145" s="12" t="str">
        <f>HYPERLINK("https://www.boe.es/gazeta/dias/1801/10/23/pdfs/GMD-1801-100.pdf#page=9","Abrir facsímil")</f>
        <v>Abrir facsímil</v>
      </c>
      <c r="K3145" s="15" t="s">
        <v>23</v>
      </c>
    </row>
    <row r="3146" spans="1:11" ht="42" customHeight="1">
      <c r="A3146" s="4" t="s">
        <v>7268</v>
      </c>
      <c r="B3146" s="5" t="s">
        <v>7269</v>
      </c>
      <c r="C3146" s="5" t="s">
        <v>26</v>
      </c>
      <c r="D3146" s="5" t="s">
        <v>27</v>
      </c>
      <c r="E3146" s="5" t="s">
        <v>349</v>
      </c>
      <c r="F3146" s="9">
        <v>112</v>
      </c>
      <c r="G3146" s="9">
        <v>1227</v>
      </c>
      <c r="H3146" s="5" t="s">
        <v>21</v>
      </c>
      <c r="I3146" s="5" t="s">
        <v>7270</v>
      </c>
      <c r="J3146" s="12" t="str">
        <f>HYPERLINK("https://www.boe.es/gazeta/dias/1801/12/04/pdfs/GMD-1801-112.pdf#page=8","Abrir facsímil")</f>
        <v>Abrir facsímil</v>
      </c>
      <c r="K3146" s="15" t="s">
        <v>23</v>
      </c>
    </row>
    <row r="3147" spans="1:11" ht="42" customHeight="1">
      <c r="A3147" s="4" t="s">
        <v>7271</v>
      </c>
      <c r="B3147" s="5" t="s">
        <v>7272</v>
      </c>
      <c r="C3147" s="5" t="s">
        <v>38</v>
      </c>
      <c r="D3147" s="5" t="s">
        <v>39</v>
      </c>
      <c r="E3147" s="5" t="s">
        <v>48</v>
      </c>
      <c r="F3147" s="9">
        <v>20</v>
      </c>
      <c r="G3147" s="9">
        <v>265</v>
      </c>
      <c r="H3147" s="5" t="s">
        <v>21</v>
      </c>
      <c r="I3147" s="5" t="s">
        <v>7273</v>
      </c>
      <c r="J3147" s="12" t="str">
        <f>HYPERLINK("https://www.boe.es/gazeta/dias/1801/03/10/pdfs/GMD-1801-20.pdf#page=10","Abrir facsímil")</f>
        <v>Abrir facsímil</v>
      </c>
      <c r="K3147" s="15" t="s">
        <v>23</v>
      </c>
    </row>
    <row r="3148" spans="1:11" ht="42" customHeight="1">
      <c r="A3148" s="4" t="s">
        <v>7274</v>
      </c>
      <c r="B3148" s="5" t="s">
        <v>7275</v>
      </c>
      <c r="C3148" s="5" t="s">
        <v>32</v>
      </c>
      <c r="D3148" s="5" t="s">
        <v>33</v>
      </c>
      <c r="E3148" s="5" t="s">
        <v>1085</v>
      </c>
      <c r="F3148" s="9">
        <v>99</v>
      </c>
      <c r="G3148" s="9">
        <v>1089</v>
      </c>
      <c r="H3148" s="5" t="s">
        <v>21</v>
      </c>
      <c r="I3148" s="5" t="s">
        <v>7276</v>
      </c>
      <c r="J3148" s="12" t="str">
        <f>HYPERLINK("https://www.boe.es/gazeta/dias/1801/10/20/pdfs/GMD-1801-99.pdf#page=6","Abrir facsímil")</f>
        <v>Abrir facsímil</v>
      </c>
      <c r="K3148" s="15" t="s">
        <v>23</v>
      </c>
    </row>
    <row r="3149" spans="1:11" ht="42" customHeight="1">
      <c r="A3149" s="4" t="s">
        <v>7277</v>
      </c>
      <c r="B3149" s="5" t="s">
        <v>7278</v>
      </c>
      <c r="C3149" s="5" t="s">
        <v>80</v>
      </c>
      <c r="D3149" s="5" t="s">
        <v>81</v>
      </c>
      <c r="E3149" s="5" t="s">
        <v>289</v>
      </c>
      <c r="F3149" s="9">
        <v>40</v>
      </c>
      <c r="G3149" s="9" t="s">
        <v>668</v>
      </c>
      <c r="H3149" s="5" t="s">
        <v>21</v>
      </c>
      <c r="I3149" s="5" t="s">
        <v>7279</v>
      </c>
      <c r="J3149" s="12" t="str">
        <f>HYPERLINK("https://www.boe.es/gazeta/dias/1801/05/19/pdfs/GMD-C-1801-40.pdf#page=1","Abrir facsímil")</f>
        <v>Abrir facsímil</v>
      </c>
      <c r="K3149" s="15" t="s">
        <v>23</v>
      </c>
    </row>
    <row r="3150" spans="1:11" ht="42" customHeight="1">
      <c r="A3150" s="4" t="s">
        <v>7280</v>
      </c>
      <c r="B3150" s="5" t="s">
        <v>7281</v>
      </c>
      <c r="C3150" s="5" t="s">
        <v>32</v>
      </c>
      <c r="D3150" s="5" t="s">
        <v>33</v>
      </c>
      <c r="E3150" s="5" t="s">
        <v>112</v>
      </c>
      <c r="F3150" s="9">
        <v>114</v>
      </c>
      <c r="G3150" s="9">
        <v>1248</v>
      </c>
      <c r="H3150" s="5" t="s">
        <v>21</v>
      </c>
      <c r="I3150" s="5" t="s">
        <v>7282</v>
      </c>
      <c r="J3150" s="12" t="str">
        <f>HYPERLINK("https://www.boe.es/gazeta/dias/1801/12/11/pdfs/GMD-1801-114.pdf#page=10","Abrir facsímil")</f>
        <v>Abrir facsímil</v>
      </c>
      <c r="K3150" s="15" t="s">
        <v>23</v>
      </c>
    </row>
    <row r="3151" spans="1:11" ht="42" customHeight="1">
      <c r="A3151" s="4" t="s">
        <v>7283</v>
      </c>
      <c r="B3151" s="5" t="s">
        <v>7284</v>
      </c>
      <c r="C3151" s="5" t="s">
        <v>80</v>
      </c>
      <c r="D3151" s="5" t="s">
        <v>81</v>
      </c>
      <c r="E3151" s="5" t="s">
        <v>289</v>
      </c>
      <c r="F3151" s="9">
        <v>40</v>
      </c>
      <c r="G3151" s="9" t="s">
        <v>996</v>
      </c>
      <c r="H3151" s="5" t="s">
        <v>21</v>
      </c>
      <c r="I3151" s="5" t="s">
        <v>7285</v>
      </c>
      <c r="J3151" s="12" t="str">
        <f>HYPERLINK("https://www.boe.es/gazeta/dias/1801/05/19/pdfs/GMD-C-1801-40.pdf#page=6","Abrir facsímil")</f>
        <v>Abrir facsímil</v>
      </c>
      <c r="K3151" s="15" t="s">
        <v>23</v>
      </c>
    </row>
    <row r="3152" spans="1:11" ht="42" customHeight="1">
      <c r="A3152" s="4" t="s">
        <v>7286</v>
      </c>
      <c r="B3152" s="5" t="s">
        <v>7287</v>
      </c>
      <c r="C3152" s="5" t="s">
        <v>38</v>
      </c>
      <c r="D3152" s="5" t="s">
        <v>39</v>
      </c>
      <c r="E3152" s="5" t="s">
        <v>702</v>
      </c>
      <c r="F3152" s="9">
        <v>69</v>
      </c>
      <c r="G3152" s="9">
        <v>764</v>
      </c>
      <c r="H3152" s="5" t="s">
        <v>21</v>
      </c>
      <c r="I3152" s="5" t="s">
        <v>7288</v>
      </c>
      <c r="J3152" s="12" t="str">
        <f>HYPERLINK("https://www.boe.es/gazeta/dias/1801/07/14/pdfs/GMD-1801-69.pdf#page=9","Abrir facsímil")</f>
        <v>Abrir facsímil</v>
      </c>
      <c r="K3152" s="15" t="s">
        <v>23</v>
      </c>
    </row>
    <row r="3153" spans="1:11" ht="42" customHeight="1">
      <c r="A3153" s="4" t="s">
        <v>7286</v>
      </c>
      <c r="B3153" s="5" t="s">
        <v>7287</v>
      </c>
      <c r="C3153" s="5" t="s">
        <v>38</v>
      </c>
      <c r="D3153" s="5" t="s">
        <v>39</v>
      </c>
      <c r="E3153" s="5" t="s">
        <v>215</v>
      </c>
      <c r="F3153" s="9">
        <v>71</v>
      </c>
      <c r="G3153" s="9">
        <v>788</v>
      </c>
      <c r="H3153" s="5" t="s">
        <v>21</v>
      </c>
      <c r="I3153" s="5" t="s">
        <v>7289</v>
      </c>
      <c r="J3153" s="12" t="str">
        <f>HYPERLINK("https://www.boe.es/gazeta/dias/1801/07/21/pdfs/GMD-1801-71.pdf#page=9","Abrir facsímil")</f>
        <v>Abrir facsímil</v>
      </c>
      <c r="K3153" s="15" t="s">
        <v>23</v>
      </c>
    </row>
    <row r="3154" spans="1:11" ht="42" customHeight="1">
      <c r="A3154" s="4" t="s">
        <v>7286</v>
      </c>
      <c r="B3154" s="5" t="s">
        <v>7287</v>
      </c>
      <c r="C3154" s="5" t="s">
        <v>515</v>
      </c>
      <c r="D3154" s="5" t="s">
        <v>516</v>
      </c>
      <c r="E3154" s="5" t="s">
        <v>751</v>
      </c>
      <c r="F3154" s="9">
        <v>106</v>
      </c>
      <c r="G3154" s="9">
        <v>1169</v>
      </c>
      <c r="H3154" s="5" t="s">
        <v>21</v>
      </c>
      <c r="I3154" s="5" t="s">
        <v>7290</v>
      </c>
      <c r="J3154" s="12" t="str">
        <f>HYPERLINK("https://www.boe.es/gazeta/dias/1801/11/13/pdfs/GMD-C-1801-106.pdf#page=2","Abrir facsímil")</f>
        <v>Abrir facsímil</v>
      </c>
      <c r="K3154" s="15" t="s">
        <v>23</v>
      </c>
    </row>
    <row r="3155" spans="1:11" ht="42" customHeight="1">
      <c r="A3155" s="4" t="s">
        <v>7286</v>
      </c>
      <c r="B3155" s="5" t="s">
        <v>7287</v>
      </c>
      <c r="C3155" s="5" t="s">
        <v>75</v>
      </c>
      <c r="D3155" s="5" t="s">
        <v>76</v>
      </c>
      <c r="E3155" s="5" t="s">
        <v>1939</v>
      </c>
      <c r="F3155" s="9">
        <v>107</v>
      </c>
      <c r="G3155" s="9">
        <v>1180</v>
      </c>
      <c r="H3155" s="5" t="s">
        <v>21</v>
      </c>
      <c r="I3155" s="5" t="s">
        <v>7291</v>
      </c>
      <c r="J3155" s="12" t="str">
        <f>HYPERLINK("https://www.boe.es/gazeta/dias/1801/11/17/pdfs/GMD-1801-107.pdf#page=9","Abrir facsímil")</f>
        <v>Abrir facsímil</v>
      </c>
      <c r="K3155" s="15" t="s">
        <v>23</v>
      </c>
    </row>
    <row r="3156" spans="1:11" ht="42" customHeight="1">
      <c r="A3156" s="4" t="s">
        <v>7292</v>
      </c>
      <c r="B3156" s="5" t="s">
        <v>7293</v>
      </c>
      <c r="C3156" s="5" t="s">
        <v>32</v>
      </c>
      <c r="D3156" s="5" t="s">
        <v>33</v>
      </c>
      <c r="E3156" s="5" t="s">
        <v>359</v>
      </c>
      <c r="F3156" s="9">
        <v>101</v>
      </c>
      <c r="G3156" s="9">
        <v>1113</v>
      </c>
      <c r="H3156" s="5" t="s">
        <v>21</v>
      </c>
      <c r="I3156" s="5" t="s">
        <v>7294</v>
      </c>
      <c r="J3156" s="12" t="str">
        <f>HYPERLINK("https://www.boe.es/gazeta/dias/1801/10/27/pdfs/GMD-1801-101.pdf#page=6","Abrir facsímil")</f>
        <v>Abrir facsímil</v>
      </c>
      <c r="K3156" s="15" t="s">
        <v>23</v>
      </c>
    </row>
    <row r="3157" spans="1:11" ht="42" customHeight="1">
      <c r="A3157" s="4" t="s">
        <v>7295</v>
      </c>
      <c r="B3157" s="5" t="s">
        <v>7296</v>
      </c>
      <c r="C3157" s="5" t="s">
        <v>32</v>
      </c>
      <c r="D3157" s="5" t="s">
        <v>33</v>
      </c>
      <c r="E3157" s="5" t="s">
        <v>1487</v>
      </c>
      <c r="F3157" s="9" t="s">
        <v>1488</v>
      </c>
      <c r="G3157" s="9">
        <v>643</v>
      </c>
      <c r="H3157" s="5" t="s">
        <v>21</v>
      </c>
      <c r="I3157" s="5" t="s">
        <v>7297</v>
      </c>
      <c r="J3157" s="12" t="str">
        <f>HYPERLINK("https://www.boe.es/gazeta/dias/1801/06/17/pdfs/GMD-1801-56E.pdf#page=3","Abrir facsímil")</f>
        <v>Abrir facsímil</v>
      </c>
      <c r="K3157" s="15" t="s">
        <v>23</v>
      </c>
    </row>
    <row r="3158" spans="1:11" ht="42" customHeight="1">
      <c r="A3158" s="4" t="s">
        <v>7298</v>
      </c>
      <c r="B3158" s="5" t="s">
        <v>7299</v>
      </c>
      <c r="C3158" s="5" t="s">
        <v>26</v>
      </c>
      <c r="D3158" s="5" t="s">
        <v>27</v>
      </c>
      <c r="E3158" s="5" t="s">
        <v>62</v>
      </c>
      <c r="F3158" s="9">
        <v>6</v>
      </c>
      <c r="G3158" s="9">
        <v>76</v>
      </c>
      <c r="H3158" s="5" t="s">
        <v>21</v>
      </c>
      <c r="I3158" s="5" t="s">
        <v>7300</v>
      </c>
      <c r="J3158" s="12" t="str">
        <f>HYPERLINK("https://www.boe.es/gazeta/dias/1801/01/20/pdfs/GMD-1801-6.pdf#page=12","Abrir facsímil")</f>
        <v>Abrir facsímil</v>
      </c>
      <c r="K3158" s="15" t="s">
        <v>23</v>
      </c>
    </row>
    <row r="3159" spans="1:11" ht="42" customHeight="1">
      <c r="A3159" s="4" t="s">
        <v>7298</v>
      </c>
      <c r="B3159" s="5" t="s">
        <v>7299</v>
      </c>
      <c r="C3159" s="5" t="s">
        <v>26</v>
      </c>
      <c r="D3159" s="5" t="s">
        <v>27</v>
      </c>
      <c r="E3159" s="5" t="s">
        <v>480</v>
      </c>
      <c r="F3159" s="9">
        <v>10</v>
      </c>
      <c r="G3159" s="9">
        <v>127</v>
      </c>
      <c r="H3159" s="5" t="s">
        <v>21</v>
      </c>
      <c r="I3159" s="5" t="s">
        <v>7301</v>
      </c>
      <c r="J3159" s="12" t="str">
        <f>HYPERLINK("https://www.boe.es/gazeta/dias/1801/02/03/pdfs/GMD-1801-10.pdf#page=12","Abrir facsímil")</f>
        <v>Abrir facsímil</v>
      </c>
      <c r="K3159" s="15" t="s">
        <v>23</v>
      </c>
    </row>
    <row r="3160" spans="1:11" ht="42" customHeight="1">
      <c r="A3160" s="4" t="s">
        <v>7298</v>
      </c>
      <c r="B3160" s="5" t="s">
        <v>7299</v>
      </c>
      <c r="C3160" s="5" t="s">
        <v>26</v>
      </c>
      <c r="D3160" s="5" t="s">
        <v>27</v>
      </c>
      <c r="E3160" s="5" t="s">
        <v>781</v>
      </c>
      <c r="F3160" s="9">
        <v>14</v>
      </c>
      <c r="G3160" s="9">
        <v>177</v>
      </c>
      <c r="H3160" s="5" t="s">
        <v>21</v>
      </c>
      <c r="I3160" s="5" t="s">
        <v>7302</v>
      </c>
      <c r="J3160" s="12" t="str">
        <f>HYPERLINK("https://www.boe.es/gazeta/dias/1801/02/17/pdfs/GMD-1801-14.pdf#page=12","Abrir facsímil")</f>
        <v>Abrir facsímil</v>
      </c>
      <c r="K3160" s="15" t="s">
        <v>23</v>
      </c>
    </row>
    <row r="3161" spans="1:11" ht="42" customHeight="1">
      <c r="A3161" s="4" t="s">
        <v>7298</v>
      </c>
      <c r="B3161" s="5" t="s">
        <v>7299</v>
      </c>
      <c r="C3161" s="5" t="s">
        <v>26</v>
      </c>
      <c r="D3161" s="5" t="s">
        <v>27</v>
      </c>
      <c r="E3161" s="5" t="s">
        <v>182</v>
      </c>
      <c r="F3161" s="9">
        <v>18</v>
      </c>
      <c r="G3161" s="9">
        <v>231</v>
      </c>
      <c r="H3161" s="5" t="s">
        <v>21</v>
      </c>
      <c r="I3161" s="5" t="s">
        <v>7303</v>
      </c>
      <c r="J3161" s="12" t="str">
        <f>HYPERLINK("https://www.boe.es/gazeta/dias/1801/03/03/pdfs/GMD-1801-18.pdf#page=12","Abrir facsímil")</f>
        <v>Abrir facsímil</v>
      </c>
      <c r="K3161" s="15" t="s">
        <v>23</v>
      </c>
    </row>
    <row r="3162" spans="1:11" ht="42" customHeight="1">
      <c r="A3162" s="4" t="s">
        <v>7298</v>
      </c>
      <c r="B3162" s="5" t="s">
        <v>7299</v>
      </c>
      <c r="C3162" s="5" t="s">
        <v>26</v>
      </c>
      <c r="D3162" s="5" t="s">
        <v>27</v>
      </c>
      <c r="E3162" s="5" t="s">
        <v>131</v>
      </c>
      <c r="F3162" s="9">
        <v>22</v>
      </c>
      <c r="G3162" s="9">
        <v>295</v>
      </c>
      <c r="H3162" s="5" t="s">
        <v>21</v>
      </c>
      <c r="I3162" s="5" t="s">
        <v>7304</v>
      </c>
      <c r="J3162" s="12" t="str">
        <f>HYPERLINK("https://www.boe.es/gazeta/dias/1801/03/17/pdfs/GMD-1801-22.pdf#page=12","Abrir facsímil")</f>
        <v>Abrir facsímil</v>
      </c>
      <c r="K3162" s="15" t="s">
        <v>23</v>
      </c>
    </row>
    <row r="3163" spans="1:11" ht="42" customHeight="1">
      <c r="A3163" s="4" t="s">
        <v>7298</v>
      </c>
      <c r="B3163" s="5" t="s">
        <v>7299</v>
      </c>
      <c r="C3163" s="5" t="s">
        <v>26</v>
      </c>
      <c r="D3163" s="5" t="s">
        <v>27</v>
      </c>
      <c r="E3163" s="5" t="s">
        <v>292</v>
      </c>
      <c r="F3163" s="9">
        <v>25</v>
      </c>
      <c r="G3163" s="9">
        <v>333</v>
      </c>
      <c r="H3163" s="5" t="s">
        <v>21</v>
      </c>
      <c r="I3163" s="5" t="s">
        <v>7305</v>
      </c>
      <c r="J3163" s="12" t="str">
        <f>HYPERLINK("https://www.boe.es/gazeta/dias/1801/03/27/pdfs/GMD-1801-25.pdf#page=12","Abrir facsímil")</f>
        <v>Abrir facsímil</v>
      </c>
      <c r="K3163" s="15" t="s">
        <v>23</v>
      </c>
    </row>
    <row r="3164" spans="1:11" ht="42" customHeight="1">
      <c r="A3164" s="4" t="s">
        <v>7298</v>
      </c>
      <c r="B3164" s="5" t="s">
        <v>7299</v>
      </c>
      <c r="C3164" s="5" t="s">
        <v>26</v>
      </c>
      <c r="D3164" s="5" t="s">
        <v>27</v>
      </c>
      <c r="E3164" s="5" t="s">
        <v>221</v>
      </c>
      <c r="F3164" s="9">
        <v>28</v>
      </c>
      <c r="G3164" s="9">
        <v>371</v>
      </c>
      <c r="H3164" s="5" t="s">
        <v>21</v>
      </c>
      <c r="I3164" s="5" t="s">
        <v>7306</v>
      </c>
      <c r="J3164" s="12" t="str">
        <f>HYPERLINK("https://www.boe.es/gazeta/dias/1801/04/07/pdfs/GMD-1801-28.pdf#page=11","Abrir facsímil")</f>
        <v>Abrir facsímil</v>
      </c>
      <c r="K3164" s="15" t="s">
        <v>23</v>
      </c>
    </row>
    <row r="3165" spans="1:11" ht="42" customHeight="1">
      <c r="A3165" s="4" t="s">
        <v>7298</v>
      </c>
      <c r="B3165" s="5" t="s">
        <v>7299</v>
      </c>
      <c r="C3165" s="5" t="s">
        <v>26</v>
      </c>
      <c r="D3165" s="5" t="s">
        <v>27</v>
      </c>
      <c r="E3165" s="5" t="s">
        <v>99</v>
      </c>
      <c r="F3165" s="9">
        <v>32</v>
      </c>
      <c r="G3165" s="9">
        <v>416</v>
      </c>
      <c r="H3165" s="5" t="s">
        <v>21</v>
      </c>
      <c r="I3165" s="5" t="s">
        <v>7307</v>
      </c>
      <c r="J3165" s="12" t="str">
        <f>HYPERLINK("https://www.boe.es/gazeta/dias/1801/04/21/pdfs/GMD-1801-32.pdf#page=12","Abrir facsímil")</f>
        <v>Abrir facsímil</v>
      </c>
      <c r="K3165" s="15" t="s">
        <v>23</v>
      </c>
    </row>
    <row r="3166" spans="1:11" ht="42" customHeight="1">
      <c r="A3166" s="4" t="s">
        <v>7298</v>
      </c>
      <c r="B3166" s="5" t="s">
        <v>7299</v>
      </c>
      <c r="C3166" s="5" t="s">
        <v>26</v>
      </c>
      <c r="D3166" s="5" t="s">
        <v>27</v>
      </c>
      <c r="E3166" s="5" t="s">
        <v>145</v>
      </c>
      <c r="F3166" s="9">
        <v>36</v>
      </c>
      <c r="G3166" s="9">
        <v>472</v>
      </c>
      <c r="H3166" s="5" t="s">
        <v>21</v>
      </c>
      <c r="I3166" s="5" t="s">
        <v>7308</v>
      </c>
      <c r="J3166" s="12" t="str">
        <f>HYPERLINK("https://www.boe.es/gazeta/dias/1801/05/05/pdfs/GMD-1801-36.pdf#page=16","Abrir facsímil")</f>
        <v>Abrir facsímil</v>
      </c>
      <c r="K3166" s="15" t="s">
        <v>23</v>
      </c>
    </row>
    <row r="3167" spans="1:11" ht="42" customHeight="1">
      <c r="A3167" s="4" t="s">
        <v>7298</v>
      </c>
      <c r="B3167" s="5" t="s">
        <v>7299</v>
      </c>
      <c r="C3167" s="5" t="s">
        <v>26</v>
      </c>
      <c r="D3167" s="5" t="s">
        <v>27</v>
      </c>
      <c r="E3167" s="5" t="s">
        <v>352</v>
      </c>
      <c r="F3167" s="9">
        <v>43</v>
      </c>
      <c r="G3167" s="9">
        <v>540</v>
      </c>
      <c r="H3167" s="5" t="s">
        <v>21</v>
      </c>
      <c r="I3167" s="5" t="s">
        <v>7309</v>
      </c>
      <c r="J3167" s="12" t="str">
        <f>HYPERLINK("https://www.boe.es/gazeta/dias/1801/05/26/pdfs/GMD-1801-43.pdf#page=12","Abrir facsímil")</f>
        <v>Abrir facsímil</v>
      </c>
      <c r="K3167" s="15" t="s">
        <v>23</v>
      </c>
    </row>
    <row r="3168" spans="1:11" ht="42" customHeight="1">
      <c r="A3168" s="4" t="s">
        <v>7298</v>
      </c>
      <c r="B3168" s="5" t="s">
        <v>7299</v>
      </c>
      <c r="C3168" s="5" t="s">
        <v>26</v>
      </c>
      <c r="D3168" s="5" t="s">
        <v>27</v>
      </c>
      <c r="E3168" s="5" t="s">
        <v>155</v>
      </c>
      <c r="F3168" s="9">
        <v>50</v>
      </c>
      <c r="G3168" s="9">
        <v>600</v>
      </c>
      <c r="H3168" s="5" t="s">
        <v>21</v>
      </c>
      <c r="I3168" s="5" t="s">
        <v>7310</v>
      </c>
      <c r="J3168" s="12" t="str">
        <f>HYPERLINK("https://www.boe.es/gazeta/dias/1801/06/09/pdfs/GMD-1801-50.pdf#page=12","Abrir facsímil")</f>
        <v>Abrir facsímil</v>
      </c>
      <c r="K3168" s="15" t="s">
        <v>23</v>
      </c>
    </row>
    <row r="3169" spans="1:11" ht="42" customHeight="1">
      <c r="A3169" s="4" t="s">
        <v>7298</v>
      </c>
      <c r="B3169" s="5" t="s">
        <v>7299</v>
      </c>
      <c r="C3169" s="5" t="s">
        <v>26</v>
      </c>
      <c r="D3169" s="5" t="s">
        <v>27</v>
      </c>
      <c r="E3169" s="5" t="s">
        <v>165</v>
      </c>
      <c r="F3169" s="9">
        <v>59</v>
      </c>
      <c r="G3169" s="9">
        <v>679</v>
      </c>
      <c r="H3169" s="5" t="s">
        <v>21</v>
      </c>
      <c r="I3169" s="5" t="s">
        <v>7311</v>
      </c>
      <c r="J3169" s="12" t="str">
        <f>HYPERLINK("https://www.boe.es/gazeta/dias/1801/06/23/pdfs/GMD-1801-59.pdf#page=12","Abrir facsímil")</f>
        <v>Abrir facsímil</v>
      </c>
      <c r="K3169" s="15" t="s">
        <v>23</v>
      </c>
    </row>
    <row r="3170" spans="1:11" ht="42" customHeight="1">
      <c r="A3170" s="4" t="s">
        <v>7298</v>
      </c>
      <c r="B3170" s="5" t="s">
        <v>7299</v>
      </c>
      <c r="C3170" s="5" t="s">
        <v>26</v>
      </c>
      <c r="D3170" s="5" t="s">
        <v>27</v>
      </c>
      <c r="E3170" s="5" t="s">
        <v>417</v>
      </c>
      <c r="F3170" s="9">
        <v>64</v>
      </c>
      <c r="G3170" s="9">
        <v>731</v>
      </c>
      <c r="H3170" s="5" t="s">
        <v>21</v>
      </c>
      <c r="I3170" s="5" t="s">
        <v>7312</v>
      </c>
      <c r="J3170" s="12" t="str">
        <f>HYPERLINK("https://www.boe.es/gazeta/dias/1801/07/07/pdfs/GMD-1801-64.pdf#page=12","Abrir facsímil")</f>
        <v>Abrir facsímil</v>
      </c>
      <c r="K3170" s="15" t="s">
        <v>23</v>
      </c>
    </row>
    <row r="3171" spans="1:11" ht="42" customHeight="1">
      <c r="A3171" s="4" t="s">
        <v>7298</v>
      </c>
      <c r="B3171" s="5" t="s">
        <v>7299</v>
      </c>
      <c r="C3171" s="5" t="s">
        <v>26</v>
      </c>
      <c r="D3171" s="5" t="s">
        <v>27</v>
      </c>
      <c r="E3171" s="5" t="s">
        <v>223</v>
      </c>
      <c r="F3171" s="9">
        <v>74</v>
      </c>
      <c r="G3171" s="9">
        <v>831</v>
      </c>
      <c r="H3171" s="5" t="s">
        <v>21</v>
      </c>
      <c r="I3171" s="5" t="s">
        <v>7313</v>
      </c>
      <c r="J3171" s="12" t="str">
        <f>HYPERLINK("https://www.boe.es/gazeta/dias/1801/07/31/pdfs/GMD-1801-74.pdf#page=12","Abrir facsímil")</f>
        <v>Abrir facsímil</v>
      </c>
      <c r="K3171" s="15" t="s">
        <v>23</v>
      </c>
    </row>
    <row r="3172" spans="1:11" ht="42" customHeight="1">
      <c r="A3172" s="4" t="s">
        <v>7298</v>
      </c>
      <c r="B3172" s="5" t="s">
        <v>7299</v>
      </c>
      <c r="C3172" s="5" t="s">
        <v>26</v>
      </c>
      <c r="D3172" s="5" t="s">
        <v>27</v>
      </c>
      <c r="E3172" s="5" t="s">
        <v>338</v>
      </c>
      <c r="F3172" s="9">
        <v>83</v>
      </c>
      <c r="G3172" s="9">
        <v>937</v>
      </c>
      <c r="H3172" s="5" t="s">
        <v>21</v>
      </c>
      <c r="I3172" s="5" t="s">
        <v>7314</v>
      </c>
      <c r="J3172" s="12" t="str">
        <f>HYPERLINK("https://www.boe.es/gazeta/dias/1801/09/01/pdfs/GMD-1801-83.pdf#page=12","Abrir facsímil")</f>
        <v>Abrir facsímil</v>
      </c>
      <c r="K3172" s="15" t="s">
        <v>23</v>
      </c>
    </row>
    <row r="3173" spans="1:11" ht="42" customHeight="1">
      <c r="A3173" s="4" t="s">
        <v>7298</v>
      </c>
      <c r="B3173" s="5" t="s">
        <v>7299</v>
      </c>
      <c r="C3173" s="5" t="s">
        <v>26</v>
      </c>
      <c r="D3173" s="5" t="s">
        <v>27</v>
      </c>
      <c r="E3173" s="5" t="s">
        <v>328</v>
      </c>
      <c r="F3173" s="9">
        <v>89</v>
      </c>
      <c r="G3173" s="9">
        <v>985</v>
      </c>
      <c r="H3173" s="5" t="s">
        <v>21</v>
      </c>
      <c r="I3173" s="5" t="s">
        <v>7315</v>
      </c>
      <c r="J3173" s="12" t="str">
        <f>HYPERLINK("https://www.boe.es/gazeta/dias/1801/09/15/pdfs/GMD-1801-89.pdf#page=12","Abrir facsímil")</f>
        <v>Abrir facsímil</v>
      </c>
      <c r="K3173" s="15" t="s">
        <v>23</v>
      </c>
    </row>
    <row r="3174" spans="1:11" ht="42" customHeight="1">
      <c r="A3174" s="4" t="s">
        <v>7298</v>
      </c>
      <c r="B3174" s="5" t="s">
        <v>7299</v>
      </c>
      <c r="C3174" s="5" t="s">
        <v>26</v>
      </c>
      <c r="D3174" s="5" t="s">
        <v>27</v>
      </c>
      <c r="E3174" s="5" t="s">
        <v>505</v>
      </c>
      <c r="F3174" s="9">
        <v>94</v>
      </c>
      <c r="G3174" s="9">
        <v>1036</v>
      </c>
      <c r="H3174" s="5" t="s">
        <v>21</v>
      </c>
      <c r="I3174" s="5" t="s">
        <v>7316</v>
      </c>
      <c r="J3174" s="12" t="str">
        <f>HYPERLINK("https://www.boe.es/gazeta/dias/1801/10/02/pdfs/GMD-1801-94.pdf#page=12","Abrir facsímil")</f>
        <v>Abrir facsímil</v>
      </c>
      <c r="K3174" s="15" t="s">
        <v>23</v>
      </c>
    </row>
    <row r="3175" spans="1:11" ht="42" customHeight="1">
      <c r="A3175" s="4" t="s">
        <v>7298</v>
      </c>
      <c r="B3175" s="5" t="s">
        <v>7299</v>
      </c>
      <c r="C3175" s="5" t="s">
        <v>26</v>
      </c>
      <c r="D3175" s="5" t="s">
        <v>27</v>
      </c>
      <c r="E3175" s="5" t="s">
        <v>1085</v>
      </c>
      <c r="F3175" s="9">
        <v>99</v>
      </c>
      <c r="G3175" s="9">
        <v>1091</v>
      </c>
      <c r="H3175" s="5" t="s">
        <v>21</v>
      </c>
      <c r="I3175" s="5" t="s">
        <v>7317</v>
      </c>
      <c r="J3175" s="12" t="str">
        <f>HYPERLINK("https://www.boe.es/gazeta/dias/1801/10/20/pdfs/GMD-1801-99.pdf#page=8","Abrir facsímil")</f>
        <v>Abrir facsímil</v>
      </c>
      <c r="K3175" s="15" t="s">
        <v>23</v>
      </c>
    </row>
    <row r="3176" spans="1:11" ht="42" customHeight="1">
      <c r="A3176" s="4" t="s">
        <v>7298</v>
      </c>
      <c r="B3176" s="5" t="s">
        <v>7299</v>
      </c>
      <c r="C3176" s="5" t="s">
        <v>26</v>
      </c>
      <c r="D3176" s="5" t="s">
        <v>27</v>
      </c>
      <c r="E3176" s="5" t="s">
        <v>1058</v>
      </c>
      <c r="F3176" s="9">
        <v>108</v>
      </c>
      <c r="G3176" s="9">
        <v>1195</v>
      </c>
      <c r="H3176" s="5" t="s">
        <v>21</v>
      </c>
      <c r="I3176" s="5" t="s">
        <v>7318</v>
      </c>
      <c r="J3176" s="12" t="str">
        <f>HYPERLINK("https://www.boe.es/gazeta/dias/1801/11/20/pdfs/GMD-1801-108.pdf#page=12","Abrir facsímil")</f>
        <v>Abrir facsímil</v>
      </c>
      <c r="K3176" s="15" t="s">
        <v>23</v>
      </c>
    </row>
    <row r="3177" spans="1:11" ht="42" customHeight="1">
      <c r="A3177" s="4" t="s">
        <v>7319</v>
      </c>
      <c r="B3177" s="5" t="s">
        <v>7319</v>
      </c>
      <c r="C3177" s="5" t="s">
        <v>18</v>
      </c>
      <c r="D3177" s="5" t="s">
        <v>19</v>
      </c>
      <c r="E3177" s="5" t="s">
        <v>112</v>
      </c>
      <c r="F3177" s="9">
        <v>114</v>
      </c>
      <c r="G3177" s="9">
        <v>1249</v>
      </c>
      <c r="H3177" s="5" t="s">
        <v>21</v>
      </c>
      <c r="I3177" s="5" t="s">
        <v>7320</v>
      </c>
      <c r="J3177" s="12" t="str">
        <f>HYPERLINK("https://www.boe.es/gazeta/dias/1801/12/11/pdfs/GMD-1801-114.pdf#page=11","Abrir facsímil")</f>
        <v>Abrir facsímil</v>
      </c>
      <c r="K3177" s="15" t="s">
        <v>23</v>
      </c>
    </row>
    <row r="3178" spans="1:11" ht="42" customHeight="1">
      <c r="A3178" s="4" t="s">
        <v>7321</v>
      </c>
      <c r="B3178" s="5" t="s">
        <v>7322</v>
      </c>
      <c r="C3178" s="5" t="s">
        <v>32</v>
      </c>
      <c r="D3178" s="5" t="s">
        <v>33</v>
      </c>
      <c r="E3178" s="5" t="s">
        <v>194</v>
      </c>
      <c r="F3178" s="9">
        <v>92</v>
      </c>
      <c r="G3178" s="9">
        <v>1011</v>
      </c>
      <c r="H3178" s="5" t="s">
        <v>21</v>
      </c>
      <c r="I3178" s="5" t="s">
        <v>7323</v>
      </c>
      <c r="J3178" s="12" t="str">
        <f>HYPERLINK("https://www.boe.es/gazeta/dias/1801/09/25/pdfs/GMD-1801-92.pdf#page=6","Abrir facsímil")</f>
        <v>Abrir facsímil</v>
      </c>
      <c r="K3178" s="15" t="s">
        <v>23</v>
      </c>
    </row>
    <row r="3179" spans="1:11" ht="42" customHeight="1">
      <c r="A3179" s="4" t="s">
        <v>7324</v>
      </c>
      <c r="B3179" s="5" t="s">
        <v>7324</v>
      </c>
      <c r="C3179" s="5" t="s">
        <v>69</v>
      </c>
      <c r="D3179" s="5" t="s">
        <v>19</v>
      </c>
      <c r="E3179" s="5" t="s">
        <v>359</v>
      </c>
      <c r="F3179" s="9">
        <v>101</v>
      </c>
      <c r="G3179" s="9">
        <v>1113</v>
      </c>
      <c r="H3179" s="5" t="s">
        <v>21</v>
      </c>
      <c r="I3179" s="5" t="s">
        <v>7325</v>
      </c>
      <c r="J3179" s="12" t="str">
        <f>HYPERLINK("https://www.boe.es/gazeta/dias/1801/10/27/pdfs/GMD-1801-101.pdf#page=6","Abrir facsímil")</f>
        <v>Abrir facsímil</v>
      </c>
      <c r="K3179" s="15" t="s">
        <v>23</v>
      </c>
    </row>
    <row r="3180" spans="1:11" ht="42" customHeight="1">
      <c r="A3180" s="4" t="s">
        <v>7326</v>
      </c>
      <c r="B3180" s="5" t="s">
        <v>7327</v>
      </c>
      <c r="C3180" s="5" t="s">
        <v>18</v>
      </c>
      <c r="D3180" s="5" t="s">
        <v>19</v>
      </c>
      <c r="E3180" s="5" t="s">
        <v>131</v>
      </c>
      <c r="F3180" s="9">
        <v>22</v>
      </c>
      <c r="G3180" s="9">
        <v>293</v>
      </c>
      <c r="H3180" s="5" t="s">
        <v>21</v>
      </c>
      <c r="I3180" s="5" t="s">
        <v>7328</v>
      </c>
      <c r="J3180" s="12" t="str">
        <f>HYPERLINK("https://www.boe.es/gazeta/dias/1801/03/17/pdfs/GMD-1801-22.pdf#page=10","Abrir facsímil")</f>
        <v>Abrir facsímil</v>
      </c>
      <c r="K3180" s="15" t="s">
        <v>23</v>
      </c>
    </row>
    <row r="3181" spans="1:11" ht="42" customHeight="1">
      <c r="A3181" s="4" t="s">
        <v>7326</v>
      </c>
      <c r="B3181" s="5" t="s">
        <v>7327</v>
      </c>
      <c r="C3181" s="5" t="s">
        <v>32</v>
      </c>
      <c r="D3181" s="5" t="s">
        <v>33</v>
      </c>
      <c r="E3181" s="5" t="s">
        <v>153</v>
      </c>
      <c r="F3181" s="9">
        <v>48</v>
      </c>
      <c r="G3181" s="9">
        <v>585</v>
      </c>
      <c r="H3181" s="5" t="s">
        <v>21</v>
      </c>
      <c r="I3181" s="5" t="s">
        <v>7329</v>
      </c>
      <c r="J3181" s="12" t="str">
        <f>HYPERLINK("https://www.boe.es/gazeta/dias/1801/06/05/pdfs/GMD-1801-48.pdf#page=7","Abrir facsímil")</f>
        <v>Abrir facsímil</v>
      </c>
      <c r="K3181" s="15" t="s">
        <v>23</v>
      </c>
    </row>
    <row r="3182" spans="1:11" ht="42" customHeight="1">
      <c r="A3182" s="4" t="s">
        <v>7330</v>
      </c>
      <c r="B3182" s="5" t="s">
        <v>7331</v>
      </c>
      <c r="C3182" s="5" t="s">
        <v>32</v>
      </c>
      <c r="D3182" s="5" t="s">
        <v>33</v>
      </c>
      <c r="E3182" s="5" t="s">
        <v>201</v>
      </c>
      <c r="F3182" s="9">
        <v>79</v>
      </c>
      <c r="G3182" s="9">
        <v>889</v>
      </c>
      <c r="H3182" s="5" t="s">
        <v>21</v>
      </c>
      <c r="I3182" s="5" t="s">
        <v>7332</v>
      </c>
      <c r="J3182" s="12" t="str">
        <f>HYPERLINK("https://www.boe.es/gazeta/dias/1801/08/18/pdfs/GMD-1801-79.pdf#page=6","Abrir facsímil")</f>
        <v>Abrir facsímil</v>
      </c>
      <c r="K3182" s="15" t="s">
        <v>23</v>
      </c>
    </row>
    <row r="3183" spans="1:11" ht="42" customHeight="1">
      <c r="A3183" s="4" t="s">
        <v>7333</v>
      </c>
      <c r="B3183" s="5" t="s">
        <v>7334</v>
      </c>
      <c r="C3183" s="5" t="s">
        <v>38</v>
      </c>
      <c r="D3183" s="5" t="s">
        <v>39</v>
      </c>
      <c r="E3183" s="5" t="s">
        <v>328</v>
      </c>
      <c r="F3183" s="9">
        <v>89</v>
      </c>
      <c r="G3183" s="9">
        <v>981</v>
      </c>
      <c r="H3183" s="5" t="s">
        <v>21</v>
      </c>
      <c r="I3183" s="5" t="s">
        <v>7335</v>
      </c>
      <c r="J3183" s="12" t="str">
        <f>HYPERLINK("https://www.boe.es/gazeta/dias/1801/09/15/pdfs/GMD-1801-89.pdf#page=8","Abrir facsímil")</f>
        <v>Abrir facsímil</v>
      </c>
      <c r="K3183" s="15" t="s">
        <v>23</v>
      </c>
    </row>
    <row r="3184" spans="1:11" ht="42" customHeight="1">
      <c r="A3184" s="4" t="s">
        <v>7336</v>
      </c>
      <c r="B3184" s="5" t="s">
        <v>7336</v>
      </c>
      <c r="C3184" s="5" t="s">
        <v>69</v>
      </c>
      <c r="D3184" s="5" t="s">
        <v>19</v>
      </c>
      <c r="E3184" s="5" t="s">
        <v>182</v>
      </c>
      <c r="F3184" s="9">
        <v>18</v>
      </c>
      <c r="G3184" s="9">
        <v>229</v>
      </c>
      <c r="H3184" s="5" t="s">
        <v>21</v>
      </c>
      <c r="I3184" s="5" t="s">
        <v>7337</v>
      </c>
      <c r="J3184" s="12" t="str">
        <f>HYPERLINK("https://www.boe.es/gazeta/dias/1801/03/03/pdfs/GMD-1801-18.pdf#page=10","Abrir facsímil")</f>
        <v>Abrir facsímil</v>
      </c>
      <c r="K3184" s="15" t="s">
        <v>23</v>
      </c>
    </row>
    <row r="3185" spans="1:11" ht="42" customHeight="1">
      <c r="A3185" s="4" t="s">
        <v>7338</v>
      </c>
      <c r="B3185" s="5" t="s">
        <v>7338</v>
      </c>
      <c r="C3185" s="5" t="s">
        <v>26</v>
      </c>
      <c r="D3185" s="5" t="s">
        <v>27</v>
      </c>
      <c r="E3185" s="5" t="s">
        <v>262</v>
      </c>
      <c r="F3185" s="9">
        <v>109</v>
      </c>
      <c r="G3185" s="9">
        <v>1205</v>
      </c>
      <c r="H3185" s="5" t="s">
        <v>21</v>
      </c>
      <c r="I3185" s="5" t="s">
        <v>7339</v>
      </c>
      <c r="J3185" s="12" t="str">
        <f>HYPERLINK("https://www.boe.es/gazeta/dias/1801/11/24/pdfs/GMD-1801-109.pdf#page=10","Abrir facsímil")</f>
        <v>Abrir facsímil</v>
      </c>
      <c r="K3185" s="15" t="s">
        <v>23</v>
      </c>
    </row>
    <row r="3186" spans="1:11" ht="42" customHeight="1">
      <c r="A3186" s="4" t="s">
        <v>7340</v>
      </c>
      <c r="B3186" s="5" t="s">
        <v>7340</v>
      </c>
      <c r="C3186" s="5" t="s">
        <v>32</v>
      </c>
      <c r="D3186" s="5" t="s">
        <v>33</v>
      </c>
      <c r="E3186" s="5" t="s">
        <v>82</v>
      </c>
      <c r="F3186" s="9">
        <v>75</v>
      </c>
      <c r="G3186" s="9">
        <v>842</v>
      </c>
      <c r="H3186" s="5" t="s">
        <v>21</v>
      </c>
      <c r="I3186" s="5" t="s">
        <v>7341</v>
      </c>
      <c r="J3186" s="12" t="str">
        <f>HYPERLINK("https://www.boe.es/gazeta/dias/1801/08/04/pdfs/GMD-1801-75.pdf#page=11","Abrir facsímil")</f>
        <v>Abrir facsímil</v>
      </c>
      <c r="K3186" s="15" t="s">
        <v>23</v>
      </c>
    </row>
    <row r="3187" spans="1:11" ht="42" customHeight="1">
      <c r="A3187" s="4" t="s">
        <v>7342</v>
      </c>
      <c r="B3187" s="5" t="s">
        <v>7342</v>
      </c>
      <c r="C3187" s="5" t="s">
        <v>18</v>
      </c>
      <c r="D3187" s="5" t="s">
        <v>19</v>
      </c>
      <c r="E3187" s="5" t="s">
        <v>919</v>
      </c>
      <c r="F3187" s="9">
        <v>91</v>
      </c>
      <c r="G3187" s="9">
        <v>1004</v>
      </c>
      <c r="H3187" s="5" t="s">
        <v>21</v>
      </c>
      <c r="I3187" s="5" t="s">
        <v>7343</v>
      </c>
      <c r="J3187" s="12" t="str">
        <f>HYPERLINK("https://www.boe.es/gazeta/dias/1801/09/22/pdfs/GMD-1801-91.pdf#page=7","Abrir facsímil")</f>
        <v>Abrir facsímil</v>
      </c>
      <c r="K3187" s="15" t="s">
        <v>23</v>
      </c>
    </row>
    <row r="3188" spans="1:11" ht="42" customHeight="1">
      <c r="A3188" s="4" t="s">
        <v>7344</v>
      </c>
      <c r="B3188" s="5" t="s">
        <v>7344</v>
      </c>
      <c r="C3188" s="5" t="s">
        <v>32</v>
      </c>
      <c r="D3188" s="5" t="s">
        <v>33</v>
      </c>
      <c r="E3188" s="5" t="s">
        <v>262</v>
      </c>
      <c r="F3188" s="9">
        <v>109</v>
      </c>
      <c r="G3188" s="9">
        <v>1204</v>
      </c>
      <c r="H3188" s="5" t="s">
        <v>21</v>
      </c>
      <c r="I3188" s="5" t="s">
        <v>7345</v>
      </c>
      <c r="J3188" s="12" t="str">
        <f>HYPERLINK("https://www.boe.es/gazeta/dias/1801/11/24/pdfs/GMD-1801-109.pdf#page=9","Abrir facsímil")</f>
        <v>Abrir facsímil</v>
      </c>
      <c r="K3188" s="15" t="s">
        <v>23</v>
      </c>
    </row>
    <row r="3189" spans="1:11" ht="42" customHeight="1">
      <c r="A3189" s="4" t="s">
        <v>7346</v>
      </c>
      <c r="B3189" s="5" t="s">
        <v>7346</v>
      </c>
      <c r="C3189" s="5" t="s">
        <v>38</v>
      </c>
      <c r="D3189" s="5" t="s">
        <v>39</v>
      </c>
      <c r="E3189" s="5" t="s">
        <v>179</v>
      </c>
      <c r="F3189" s="9">
        <v>11</v>
      </c>
      <c r="G3189" s="9">
        <v>138</v>
      </c>
      <c r="H3189" s="5" t="s">
        <v>21</v>
      </c>
      <c r="I3189" s="5" t="s">
        <v>7347</v>
      </c>
      <c r="J3189" s="12" t="str">
        <f>HYPERLINK("https://www.boe.es/gazeta/dias/1801/02/06/pdfs/GMD-1801-11.pdf#page=11","Abrir facsímil")</f>
        <v>Abrir facsímil</v>
      </c>
      <c r="K3189" s="15" t="s">
        <v>23</v>
      </c>
    </row>
    <row r="3190" spans="1:11" ht="42" customHeight="1">
      <c r="A3190" s="4" t="s">
        <v>7346</v>
      </c>
      <c r="B3190" s="5" t="s">
        <v>7346</v>
      </c>
      <c r="C3190" s="5" t="s">
        <v>69</v>
      </c>
      <c r="D3190" s="5" t="s">
        <v>19</v>
      </c>
      <c r="E3190" s="5" t="s">
        <v>417</v>
      </c>
      <c r="F3190" s="9">
        <v>64</v>
      </c>
      <c r="G3190" s="9">
        <v>729</v>
      </c>
      <c r="H3190" s="5" t="s">
        <v>21</v>
      </c>
      <c r="I3190" s="5" t="s">
        <v>7348</v>
      </c>
      <c r="J3190" s="12" t="str">
        <f>HYPERLINK("https://www.boe.es/gazeta/dias/1801/07/07/pdfs/GMD-1801-64.pdf#page=10","Abrir facsímil")</f>
        <v>Abrir facsímil</v>
      </c>
      <c r="K3190" s="15" t="s">
        <v>23</v>
      </c>
    </row>
    <row r="3191" spans="1:11" ht="42" customHeight="1">
      <c r="A3191" s="4" t="s">
        <v>7349</v>
      </c>
      <c r="B3191" s="5" t="s">
        <v>7349</v>
      </c>
      <c r="C3191" s="5" t="s">
        <v>26</v>
      </c>
      <c r="D3191" s="5" t="s">
        <v>27</v>
      </c>
      <c r="E3191" s="5" t="s">
        <v>126</v>
      </c>
      <c r="F3191" s="9">
        <v>13</v>
      </c>
      <c r="G3191" s="9">
        <v>165</v>
      </c>
      <c r="H3191" s="5" t="s">
        <v>21</v>
      </c>
      <c r="I3191" s="5" t="s">
        <v>7350</v>
      </c>
      <c r="J3191" s="12" t="str">
        <f>HYPERLINK("https://www.boe.es/gazeta/dias/1801/02/13/pdfs/GMD-1801-13.pdf#page=12","Abrir facsímil")</f>
        <v>Abrir facsímil</v>
      </c>
      <c r="K3191" s="15" t="s">
        <v>23</v>
      </c>
    </row>
    <row r="3192" spans="1:11" ht="42" customHeight="1">
      <c r="A3192" s="4" t="s">
        <v>7351</v>
      </c>
      <c r="B3192" s="5" t="s">
        <v>7351</v>
      </c>
      <c r="C3192" s="5" t="s">
        <v>18</v>
      </c>
      <c r="D3192" s="5" t="s">
        <v>19</v>
      </c>
      <c r="E3192" s="5" t="s">
        <v>254</v>
      </c>
      <c r="F3192" s="9">
        <v>73</v>
      </c>
      <c r="G3192" s="9">
        <v>814</v>
      </c>
      <c r="H3192" s="5" t="s">
        <v>21</v>
      </c>
      <c r="I3192" s="5" t="s">
        <v>7352</v>
      </c>
      <c r="J3192" s="12" t="str">
        <f>HYPERLINK("https://www.boe.es/gazeta/dias/1801/07/28/pdfs/GMD-1801-73.pdf#page=7","Abrir facsímil")</f>
        <v>Abrir facsímil</v>
      </c>
      <c r="K3192" s="15" t="s">
        <v>23</v>
      </c>
    </row>
    <row r="3193" spans="1:11" ht="42" customHeight="1">
      <c r="A3193" s="4" t="s">
        <v>7353</v>
      </c>
      <c r="B3193" s="5" t="s">
        <v>7353</v>
      </c>
      <c r="C3193" s="5" t="s">
        <v>80</v>
      </c>
      <c r="D3193" s="5" t="s">
        <v>81</v>
      </c>
      <c r="E3193" s="5" t="s">
        <v>289</v>
      </c>
      <c r="F3193" s="9">
        <v>40</v>
      </c>
      <c r="G3193" s="9" t="s">
        <v>83</v>
      </c>
      <c r="H3193" s="5" t="s">
        <v>21</v>
      </c>
      <c r="I3193" s="5" t="s">
        <v>7354</v>
      </c>
      <c r="J3193" s="12" t="str">
        <f>HYPERLINK("https://www.boe.es/gazeta/dias/1801/05/19/pdfs/GMD-C-1801-40.pdf#page=2","Abrir facsímil")</f>
        <v>Abrir facsímil</v>
      </c>
      <c r="K3193" s="15" t="s">
        <v>23</v>
      </c>
    </row>
    <row r="3194" spans="1:11" ht="42" customHeight="1">
      <c r="A3194" s="4" t="s">
        <v>7355</v>
      </c>
      <c r="B3194" s="5" t="s">
        <v>7355</v>
      </c>
      <c r="C3194" s="5" t="s">
        <v>69</v>
      </c>
      <c r="D3194" s="5" t="s">
        <v>19</v>
      </c>
      <c r="E3194" s="5" t="s">
        <v>501</v>
      </c>
      <c r="F3194" s="9">
        <v>115</v>
      </c>
      <c r="G3194" s="9">
        <v>1256</v>
      </c>
      <c r="H3194" s="5" t="s">
        <v>21</v>
      </c>
      <c r="I3194" s="5" t="s">
        <v>7356</v>
      </c>
      <c r="J3194" s="12" t="str">
        <f>HYPERLINK("https://www.boe.es/gazeta/dias/1801/12/15/pdfs/GMD-1801-115.pdf#page=6","Abrir facsímil")</f>
        <v>Abrir facsímil</v>
      </c>
      <c r="K3194" s="15" t="s">
        <v>23</v>
      </c>
    </row>
    <row r="3195" spans="1:11" ht="42" customHeight="1">
      <c r="A3195" s="4" t="s">
        <v>7357</v>
      </c>
      <c r="B3195" s="5" t="s">
        <v>7357</v>
      </c>
      <c r="C3195" s="5" t="s">
        <v>69</v>
      </c>
      <c r="D3195" s="5" t="s">
        <v>19</v>
      </c>
      <c r="E3195" s="5" t="s">
        <v>171</v>
      </c>
      <c r="F3195" s="9">
        <v>76</v>
      </c>
      <c r="G3195" s="9">
        <v>852</v>
      </c>
      <c r="H3195" s="5" t="s">
        <v>21</v>
      </c>
      <c r="I3195" s="5" t="s">
        <v>7358</v>
      </c>
      <c r="J3195" s="12" t="str">
        <f>HYPERLINK("https://www.boe.es/gazeta/dias/1801/08/07/pdfs/GMD-1801-76.pdf#page=9","Abrir facsímil")</f>
        <v>Abrir facsímil</v>
      </c>
      <c r="K3195" s="15" t="s">
        <v>23</v>
      </c>
    </row>
    <row r="3196" spans="1:11" ht="42" customHeight="1">
      <c r="A3196" s="4" t="s">
        <v>7359</v>
      </c>
      <c r="B3196" s="5" t="s">
        <v>7359</v>
      </c>
      <c r="C3196" s="5" t="s">
        <v>32</v>
      </c>
      <c r="D3196" s="5" t="s">
        <v>33</v>
      </c>
      <c r="E3196" s="5" t="s">
        <v>141</v>
      </c>
      <c r="F3196" s="9">
        <v>33</v>
      </c>
      <c r="G3196" s="9">
        <v>425</v>
      </c>
      <c r="H3196" s="5" t="s">
        <v>21</v>
      </c>
      <c r="I3196" s="5" t="s">
        <v>7360</v>
      </c>
      <c r="J3196" s="12" t="str">
        <f>HYPERLINK("https://www.boe.es/gazeta/dias/1801/04/24/pdfs/GMD-1801-33.pdf#page=9","Abrir facsímil")</f>
        <v>Abrir facsímil</v>
      </c>
      <c r="K3196" s="15" t="s">
        <v>23</v>
      </c>
    </row>
    <row r="3197" spans="1:11" ht="42" customHeight="1">
      <c r="A3197" s="4" t="s">
        <v>7361</v>
      </c>
      <c r="B3197" s="5" t="s">
        <v>7361</v>
      </c>
      <c r="C3197" s="5" t="s">
        <v>38</v>
      </c>
      <c r="D3197" s="5" t="s">
        <v>39</v>
      </c>
      <c r="E3197" s="5" t="s">
        <v>55</v>
      </c>
      <c r="F3197" s="9">
        <v>104</v>
      </c>
      <c r="G3197" s="9">
        <v>1146</v>
      </c>
      <c r="H3197" s="5" t="s">
        <v>21</v>
      </c>
      <c r="I3197" s="5" t="s">
        <v>7362</v>
      </c>
      <c r="J3197" s="12" t="str">
        <f>HYPERLINK("https://www.boe.es/gazeta/dias/1801/11/06/pdfs/GMD-1801-104.pdf#page=7","Abrir facsímil")</f>
        <v>Abrir facsímil</v>
      </c>
      <c r="K3197" s="15" t="s">
        <v>23</v>
      </c>
    </row>
    <row r="3198" spans="1:11" ht="42" customHeight="1">
      <c r="A3198" s="4" t="s">
        <v>7363</v>
      </c>
      <c r="B3198" s="5" t="s">
        <v>7364</v>
      </c>
      <c r="C3198" s="5" t="s">
        <v>38</v>
      </c>
      <c r="D3198" s="5" t="s">
        <v>39</v>
      </c>
      <c r="E3198" s="5" t="s">
        <v>124</v>
      </c>
      <c r="F3198" s="9">
        <v>12</v>
      </c>
      <c r="G3198" s="9">
        <v>149</v>
      </c>
      <c r="H3198" s="5" t="s">
        <v>21</v>
      </c>
      <c r="I3198" s="5" t="s">
        <v>7365</v>
      </c>
      <c r="J3198" s="12" t="str">
        <f>HYPERLINK("https://www.boe.es/gazeta/dias/1801/02/10/pdfs/GMD-1801-12.pdf#page=10","Abrir facsímil")</f>
        <v>Abrir facsímil</v>
      </c>
      <c r="K3198" s="15" t="s">
        <v>23</v>
      </c>
    </row>
    <row r="3199" spans="1:11" ht="42" customHeight="1">
      <c r="A3199" s="4" t="s">
        <v>7363</v>
      </c>
      <c r="B3199" s="5" t="s">
        <v>7364</v>
      </c>
      <c r="C3199" s="5" t="s">
        <v>32</v>
      </c>
      <c r="D3199" s="5" t="s">
        <v>33</v>
      </c>
      <c r="E3199" s="5" t="s">
        <v>20</v>
      </c>
      <c r="F3199" s="9">
        <v>37</v>
      </c>
      <c r="G3199" s="9">
        <v>482</v>
      </c>
      <c r="H3199" s="5" t="s">
        <v>21</v>
      </c>
      <c r="I3199" s="5" t="s">
        <v>7366</v>
      </c>
      <c r="J3199" s="12" t="str">
        <f>HYPERLINK("https://www.boe.es/gazeta/dias/1801/05/08/pdfs/GMD-1801-37.pdf#page=10","Abrir facsímil")</f>
        <v>Abrir facsímil</v>
      </c>
      <c r="K3199" s="15" t="s">
        <v>23</v>
      </c>
    </row>
    <row r="3200" spans="1:11" ht="42" customHeight="1">
      <c r="A3200" s="4" t="s">
        <v>7367</v>
      </c>
      <c r="B3200" s="5" t="s">
        <v>7367</v>
      </c>
      <c r="C3200" s="5" t="s">
        <v>18</v>
      </c>
      <c r="D3200" s="5" t="s">
        <v>19</v>
      </c>
      <c r="E3200" s="5" t="s">
        <v>201</v>
      </c>
      <c r="F3200" s="9">
        <v>79</v>
      </c>
      <c r="G3200" s="9">
        <v>890</v>
      </c>
      <c r="H3200" s="5" t="s">
        <v>21</v>
      </c>
      <c r="I3200" s="5" t="s">
        <v>7368</v>
      </c>
      <c r="J3200" s="12" t="str">
        <f>HYPERLINK("https://www.boe.es/gazeta/dias/1801/08/18/pdfs/GMD-1801-79.pdf#page=7","Abrir facsímil")</f>
        <v>Abrir facsímil</v>
      </c>
      <c r="K3200" s="15" t="s">
        <v>23</v>
      </c>
    </row>
    <row r="3201" spans="1:11" ht="42" customHeight="1">
      <c r="A3201" s="4" t="s">
        <v>7369</v>
      </c>
      <c r="B3201" s="5" t="s">
        <v>7369</v>
      </c>
      <c r="C3201" s="5" t="s">
        <v>32</v>
      </c>
      <c r="D3201" s="5" t="s">
        <v>33</v>
      </c>
      <c r="E3201" s="5" t="s">
        <v>1058</v>
      </c>
      <c r="F3201" s="9">
        <v>108</v>
      </c>
      <c r="G3201" s="9">
        <v>1191</v>
      </c>
      <c r="H3201" s="5" t="s">
        <v>21</v>
      </c>
      <c r="I3201" s="5" t="s">
        <v>7370</v>
      </c>
      <c r="J3201" s="12" t="str">
        <f>HYPERLINK("https://www.boe.es/gazeta/dias/1801/11/20/pdfs/GMD-1801-108.pdf#page=8","Abrir facsímil")</f>
        <v>Abrir facsímil</v>
      </c>
      <c r="K3201" s="15" t="s">
        <v>23</v>
      </c>
    </row>
    <row r="3202" spans="1:11" ht="42" customHeight="1">
      <c r="A3202" s="4" t="s">
        <v>7371</v>
      </c>
      <c r="B3202" s="5" t="s">
        <v>7372</v>
      </c>
      <c r="C3202" s="5" t="s">
        <v>515</v>
      </c>
      <c r="D3202" s="5" t="s">
        <v>516</v>
      </c>
      <c r="E3202" s="5" t="s">
        <v>501</v>
      </c>
      <c r="F3202" s="9">
        <v>115</v>
      </c>
      <c r="G3202" s="9" t="s">
        <v>517</v>
      </c>
      <c r="H3202" s="5" t="s">
        <v>21</v>
      </c>
      <c r="I3202" s="5" t="s">
        <v>7373</v>
      </c>
      <c r="J3202" s="12" t="str">
        <f>HYPERLINK("https://www.boe.es/gazeta/dias/1801/12/15/pdfs/GMD-C-1801-115.pdf#page=7","Abrir facsímil")</f>
        <v>Abrir facsímil</v>
      </c>
      <c r="K3202" s="15" t="s">
        <v>23</v>
      </c>
    </row>
    <row r="3203" spans="1:11" ht="42" customHeight="1">
      <c r="A3203" s="4" t="s">
        <v>7374</v>
      </c>
      <c r="B3203" s="5" t="s">
        <v>7374</v>
      </c>
      <c r="C3203" s="5" t="s">
        <v>32</v>
      </c>
      <c r="D3203" s="5" t="s">
        <v>33</v>
      </c>
      <c r="E3203" s="5" t="s">
        <v>34</v>
      </c>
      <c r="F3203" s="9">
        <v>38</v>
      </c>
      <c r="G3203" s="9">
        <v>488</v>
      </c>
      <c r="H3203" s="5" t="s">
        <v>21</v>
      </c>
      <c r="I3203" s="5" t="s">
        <v>7375</v>
      </c>
      <c r="J3203" s="12" t="str">
        <f>HYPERLINK("https://www.boe.es/gazeta/dias/1801/05/12/pdfs/GMD-1801-38.pdf#page=4","Abrir facsímil")</f>
        <v>Abrir facsímil</v>
      </c>
      <c r="K3203" s="15" t="s">
        <v>23</v>
      </c>
    </row>
    <row r="3204" spans="1:11" ht="42" customHeight="1">
      <c r="A3204" s="4" t="s">
        <v>7376</v>
      </c>
      <c r="B3204" s="5" t="s">
        <v>7377</v>
      </c>
      <c r="C3204" s="5" t="s">
        <v>32</v>
      </c>
      <c r="D3204" s="5" t="s">
        <v>33</v>
      </c>
      <c r="E3204" s="5" t="s">
        <v>366</v>
      </c>
      <c r="F3204" s="9">
        <v>86</v>
      </c>
      <c r="G3204" s="9">
        <v>952</v>
      </c>
      <c r="H3204" s="5" t="s">
        <v>21</v>
      </c>
      <c r="I3204" s="5" t="s">
        <v>7378</v>
      </c>
      <c r="J3204" s="12" t="str">
        <f>HYPERLINK("https://www.boe.es/gazeta/dias/1801/09/08/pdfs/GMD-1801-86.pdf#page=3","Abrir facsímil")</f>
        <v>Abrir facsímil</v>
      </c>
      <c r="K3204" s="15" t="s">
        <v>23</v>
      </c>
    </row>
    <row r="3205" spans="1:11" ht="42" customHeight="1">
      <c r="A3205" s="4" t="s">
        <v>7379</v>
      </c>
      <c r="B3205" s="5" t="s">
        <v>7379</v>
      </c>
      <c r="C3205" s="5" t="s">
        <v>75</v>
      </c>
      <c r="D3205" s="5" t="s">
        <v>76</v>
      </c>
      <c r="E3205" s="5" t="s">
        <v>124</v>
      </c>
      <c r="F3205" s="9">
        <v>12</v>
      </c>
      <c r="G3205" s="9">
        <v>147</v>
      </c>
      <c r="H3205" s="5" t="s">
        <v>21</v>
      </c>
      <c r="I3205" s="5" t="s">
        <v>7380</v>
      </c>
      <c r="J3205" s="12" t="str">
        <f>HYPERLINK("https://www.boe.es/gazeta/dias/1801/02/10/pdfs/GMD-1801-12.pdf#page=8","Abrir facsímil")</f>
        <v>Abrir facsímil</v>
      </c>
      <c r="K3205" s="15" t="s">
        <v>23</v>
      </c>
    </row>
    <row r="3206" spans="1:11" ht="42" customHeight="1">
      <c r="A3206" s="4" t="s">
        <v>7381</v>
      </c>
      <c r="B3206" s="5" t="s">
        <v>7381</v>
      </c>
      <c r="C3206" s="5" t="s">
        <v>38</v>
      </c>
      <c r="D3206" s="5" t="s">
        <v>39</v>
      </c>
      <c r="E3206" s="5" t="s">
        <v>124</v>
      </c>
      <c r="F3206" s="9">
        <v>12</v>
      </c>
      <c r="G3206" s="9">
        <v>148</v>
      </c>
      <c r="H3206" s="5" t="s">
        <v>21</v>
      </c>
      <c r="I3206" s="5" t="s">
        <v>7382</v>
      </c>
      <c r="J3206" s="12" t="str">
        <f>HYPERLINK("https://www.boe.es/gazeta/dias/1801/02/10/pdfs/GMD-1801-12.pdf#page=9","Abrir facsímil")</f>
        <v>Abrir facsímil</v>
      </c>
      <c r="K3206" s="15" t="s">
        <v>23</v>
      </c>
    </row>
    <row r="3207" spans="1:11" ht="42" customHeight="1">
      <c r="A3207" s="4" t="s">
        <v>7383</v>
      </c>
      <c r="B3207" s="5" t="s">
        <v>7383</v>
      </c>
      <c r="C3207" s="5" t="s">
        <v>80</v>
      </c>
      <c r="D3207" s="5" t="s">
        <v>81</v>
      </c>
      <c r="E3207" s="5" t="s">
        <v>289</v>
      </c>
      <c r="F3207" s="9">
        <v>40</v>
      </c>
      <c r="G3207" s="9" t="s">
        <v>83</v>
      </c>
      <c r="H3207" s="5" t="s">
        <v>21</v>
      </c>
      <c r="I3207" s="5" t="s">
        <v>7384</v>
      </c>
      <c r="J3207" s="12" t="str">
        <f>HYPERLINK("https://www.boe.es/gazeta/dias/1801/05/19/pdfs/GMD-C-1801-40.pdf#page=2","Abrir facsímil")</f>
        <v>Abrir facsímil</v>
      </c>
      <c r="K3207" s="15" t="s">
        <v>23</v>
      </c>
    </row>
    <row r="3208" spans="1:11" ht="42" customHeight="1">
      <c r="A3208" s="4" t="s">
        <v>7385</v>
      </c>
      <c r="B3208" s="5" t="s">
        <v>7386</v>
      </c>
      <c r="C3208" s="5" t="s">
        <v>80</v>
      </c>
      <c r="D3208" s="5" t="s">
        <v>81</v>
      </c>
      <c r="E3208" s="5" t="s">
        <v>82</v>
      </c>
      <c r="F3208" s="9">
        <v>75</v>
      </c>
      <c r="G3208" s="9" t="s">
        <v>86</v>
      </c>
      <c r="H3208" s="5" t="s">
        <v>21</v>
      </c>
      <c r="I3208" s="5" t="s">
        <v>7387</v>
      </c>
      <c r="J3208" s="12" t="str">
        <f>HYPERLINK("https://www.boe.es/gazeta/dias/1801/08/04/pdfs/GMD-C-1801-75.pdf#page=3","Abrir facsímil")</f>
        <v>Abrir facsímil</v>
      </c>
      <c r="K3208" s="15" t="s">
        <v>23</v>
      </c>
    </row>
    <row r="3209" spans="1:11" ht="42" customHeight="1">
      <c r="A3209" s="4" t="s">
        <v>7388</v>
      </c>
      <c r="B3209" s="5" t="s">
        <v>7389</v>
      </c>
      <c r="C3209" s="5" t="s">
        <v>80</v>
      </c>
      <c r="D3209" s="5" t="s">
        <v>81</v>
      </c>
      <c r="E3209" s="5" t="s">
        <v>82</v>
      </c>
      <c r="F3209" s="9">
        <v>75</v>
      </c>
      <c r="G3209" s="9" t="s">
        <v>996</v>
      </c>
      <c r="H3209" s="5" t="s">
        <v>21</v>
      </c>
      <c r="I3209" s="5" t="s">
        <v>7390</v>
      </c>
      <c r="J3209" s="12" t="str">
        <f>HYPERLINK("https://www.boe.es/gazeta/dias/1801/08/04/pdfs/GMD-C-1801-75.pdf#page=6","Abrir facsímil")</f>
        <v>Abrir facsímil</v>
      </c>
      <c r="K3209" s="15" t="s">
        <v>23</v>
      </c>
    </row>
    <row r="3210" spans="1:11" ht="42" customHeight="1">
      <c r="A3210" s="4" t="s">
        <v>7391</v>
      </c>
      <c r="B3210" s="5" t="s">
        <v>7391</v>
      </c>
      <c r="C3210" s="5" t="s">
        <v>32</v>
      </c>
      <c r="D3210" s="5" t="s">
        <v>33</v>
      </c>
      <c r="E3210" s="5" t="s">
        <v>366</v>
      </c>
      <c r="F3210" s="9">
        <v>86</v>
      </c>
      <c r="G3210" s="9">
        <v>955</v>
      </c>
      <c r="H3210" s="5" t="s">
        <v>21</v>
      </c>
      <c r="I3210" s="5" t="s">
        <v>7392</v>
      </c>
      <c r="J3210" s="12" t="str">
        <f>HYPERLINK("https://www.boe.es/gazeta/dias/1801/09/08/pdfs/GMD-1801-86.pdf#page=6","Abrir facsímil")</f>
        <v>Abrir facsímil</v>
      </c>
      <c r="K3210" s="15" t="s">
        <v>23</v>
      </c>
    </row>
    <row r="3211" spans="1:11" ht="42" customHeight="1">
      <c r="A3211" s="4" t="s">
        <v>7393</v>
      </c>
      <c r="B3211" s="5" t="s">
        <v>7394</v>
      </c>
      <c r="C3211" s="5" t="s">
        <v>75</v>
      </c>
      <c r="D3211" s="5" t="s">
        <v>76</v>
      </c>
      <c r="E3211" s="5" t="s">
        <v>94</v>
      </c>
      <c r="F3211" s="9">
        <v>19</v>
      </c>
      <c r="G3211" s="9">
        <v>239</v>
      </c>
      <c r="H3211" s="5" t="s">
        <v>21</v>
      </c>
      <c r="I3211" s="5" t="s">
        <v>7395</v>
      </c>
      <c r="J3211" s="12" t="str">
        <f>HYPERLINK("https://www.boe.es/gazeta/dias/1801/03/06/pdfs/GMD-1801-19.pdf#page=4","Abrir facsímil")</f>
        <v>Abrir facsímil</v>
      </c>
      <c r="K3211" s="15" t="s">
        <v>23</v>
      </c>
    </row>
    <row r="3212" spans="1:11" ht="42" customHeight="1">
      <c r="A3212" s="4" t="s">
        <v>7396</v>
      </c>
      <c r="B3212" s="5" t="s">
        <v>7396</v>
      </c>
      <c r="C3212" s="5" t="s">
        <v>75</v>
      </c>
      <c r="D3212" s="5" t="s">
        <v>76</v>
      </c>
      <c r="E3212" s="5" t="s">
        <v>1085</v>
      </c>
      <c r="F3212" s="9">
        <v>99</v>
      </c>
      <c r="G3212" s="9">
        <v>1086</v>
      </c>
      <c r="H3212" s="5" t="s">
        <v>21</v>
      </c>
      <c r="I3212" s="5" t="s">
        <v>7397</v>
      </c>
      <c r="J3212" s="12" t="str">
        <f>HYPERLINK("https://www.boe.es/gazeta/dias/1801/10/20/pdfs/GMD-1801-99.pdf#page=3","Abrir facsímil")</f>
        <v>Abrir facsímil</v>
      </c>
      <c r="K3212" s="15" t="s">
        <v>23</v>
      </c>
    </row>
    <row r="3213" spans="1:11" ht="42" customHeight="1">
      <c r="A3213" s="4" t="s">
        <v>7398</v>
      </c>
      <c r="B3213" s="5" t="s">
        <v>7399</v>
      </c>
      <c r="C3213" s="5" t="s">
        <v>69</v>
      </c>
      <c r="D3213" s="5" t="s">
        <v>19</v>
      </c>
      <c r="E3213" s="5" t="s">
        <v>465</v>
      </c>
      <c r="F3213" s="9">
        <v>4</v>
      </c>
      <c r="G3213" s="9">
        <v>46</v>
      </c>
      <c r="H3213" s="5" t="s">
        <v>21</v>
      </c>
      <c r="I3213" s="5" t="s">
        <v>7400</v>
      </c>
      <c r="J3213" s="12" t="str">
        <f>HYPERLINK("https://www.boe.es/gazeta/dias/1801/01/13/pdfs/GMD-1801-4.pdf#page=10","Abrir facsímil")</f>
        <v>Abrir facsímil</v>
      </c>
      <c r="K3213" s="15" t="s">
        <v>23</v>
      </c>
    </row>
    <row r="3214" spans="1:11" ht="42" customHeight="1">
      <c r="A3214" s="4" t="s">
        <v>7401</v>
      </c>
      <c r="B3214" s="5" t="s">
        <v>7402</v>
      </c>
      <c r="C3214" s="5" t="s">
        <v>38</v>
      </c>
      <c r="D3214" s="5" t="s">
        <v>39</v>
      </c>
      <c r="E3214" s="5" t="s">
        <v>66</v>
      </c>
      <c r="F3214" s="9">
        <v>52</v>
      </c>
      <c r="G3214" s="9">
        <v>608</v>
      </c>
      <c r="H3214" s="5" t="s">
        <v>21</v>
      </c>
      <c r="I3214" s="5" t="s">
        <v>7403</v>
      </c>
      <c r="J3214" s="12" t="str">
        <f>HYPERLINK("https://www.boe.es/gazeta/dias/1801/06/12/pdfs/GMD-1801-52.pdf#page=7","Abrir facsímil")</f>
        <v>Abrir facsímil</v>
      </c>
      <c r="K3214" s="15" t="s">
        <v>23</v>
      </c>
    </row>
    <row r="3215" spans="1:11" ht="42" customHeight="1">
      <c r="A3215" s="4" t="s">
        <v>7404</v>
      </c>
      <c r="B3215" s="5" t="s">
        <v>7405</v>
      </c>
      <c r="C3215" s="5" t="s">
        <v>32</v>
      </c>
      <c r="D3215" s="5" t="s">
        <v>33</v>
      </c>
      <c r="E3215" s="5" t="s">
        <v>62</v>
      </c>
      <c r="F3215" s="9">
        <v>6</v>
      </c>
      <c r="G3215" s="9">
        <v>73</v>
      </c>
      <c r="H3215" s="5" t="s">
        <v>21</v>
      </c>
      <c r="I3215" s="5" t="s">
        <v>7406</v>
      </c>
      <c r="J3215" s="12" t="str">
        <f>HYPERLINK("https://www.boe.es/gazeta/dias/1801/01/20/pdfs/GMD-1801-6.pdf#page=9","Abrir facsímil")</f>
        <v>Abrir facsímil</v>
      </c>
      <c r="K3215" s="15" t="s">
        <v>23</v>
      </c>
    </row>
    <row r="3216" spans="1:11" ht="42" customHeight="1">
      <c r="A3216" s="4" t="s">
        <v>7407</v>
      </c>
      <c r="B3216" s="5" t="s">
        <v>7408</v>
      </c>
      <c r="C3216" s="5" t="s">
        <v>32</v>
      </c>
      <c r="D3216" s="5" t="s">
        <v>33</v>
      </c>
      <c r="E3216" s="5" t="s">
        <v>155</v>
      </c>
      <c r="F3216" s="9">
        <v>50</v>
      </c>
      <c r="G3216" s="9">
        <v>597</v>
      </c>
      <c r="H3216" s="5" t="s">
        <v>21</v>
      </c>
      <c r="I3216" s="5" t="s">
        <v>7409</v>
      </c>
      <c r="J3216" s="12" t="str">
        <f>HYPERLINK("https://www.boe.es/gazeta/dias/1801/06/09/pdfs/GMD-1801-50.pdf#page=9","Abrir facsímil")</f>
        <v>Abrir facsímil</v>
      </c>
      <c r="K3216" s="15" t="s">
        <v>23</v>
      </c>
    </row>
    <row r="3217" spans="1:11" ht="42" customHeight="1">
      <c r="A3217" s="4" t="s">
        <v>7410</v>
      </c>
      <c r="B3217" s="5" t="s">
        <v>7411</v>
      </c>
      <c r="C3217" s="5" t="s">
        <v>32</v>
      </c>
      <c r="D3217" s="5" t="s">
        <v>33</v>
      </c>
      <c r="E3217" s="5" t="s">
        <v>186</v>
      </c>
      <c r="F3217" s="9">
        <v>21</v>
      </c>
      <c r="G3217" s="9">
        <v>280</v>
      </c>
      <c r="H3217" s="5" t="s">
        <v>21</v>
      </c>
      <c r="I3217" s="5" t="s">
        <v>7412</v>
      </c>
      <c r="J3217" s="12" t="str">
        <f>HYPERLINK("https://www.boe.es/gazeta/dias/1801/03/13/pdfs/GMD-1801-21.pdf#page=9","Abrir facsímil")</f>
        <v>Abrir facsímil</v>
      </c>
      <c r="K3217" s="15" t="s">
        <v>23</v>
      </c>
    </row>
    <row r="3218" spans="1:11" ht="42" customHeight="1">
      <c r="A3218" s="4" t="s">
        <v>7413</v>
      </c>
      <c r="B3218" s="5" t="s">
        <v>7414</v>
      </c>
      <c r="C3218" s="5" t="s">
        <v>80</v>
      </c>
      <c r="D3218" s="5" t="s">
        <v>81</v>
      </c>
      <c r="E3218" s="5" t="s">
        <v>82</v>
      </c>
      <c r="F3218" s="9">
        <v>75</v>
      </c>
      <c r="G3218" s="9" t="s">
        <v>668</v>
      </c>
      <c r="H3218" s="5" t="s">
        <v>21</v>
      </c>
      <c r="I3218" s="5" t="s">
        <v>7415</v>
      </c>
      <c r="J3218" s="12" t="str">
        <f>HYPERLINK("https://www.boe.es/gazeta/dias/1801/08/04/pdfs/GMD-C-1801-75.pdf#page=1","Abrir facsímil")</f>
        <v>Abrir facsímil</v>
      </c>
      <c r="K3218" s="15" t="s">
        <v>23</v>
      </c>
    </row>
    <row r="3219" spans="1:11" ht="42" customHeight="1">
      <c r="A3219" s="4" t="s">
        <v>7416</v>
      </c>
      <c r="B3219" s="5" t="s">
        <v>7417</v>
      </c>
      <c r="C3219" s="5" t="s">
        <v>32</v>
      </c>
      <c r="D3219" s="5" t="s">
        <v>33</v>
      </c>
      <c r="E3219" s="5" t="s">
        <v>171</v>
      </c>
      <c r="F3219" s="9">
        <v>76</v>
      </c>
      <c r="G3219" s="9">
        <v>852</v>
      </c>
      <c r="H3219" s="5" t="s">
        <v>21</v>
      </c>
      <c r="I3219" s="5" t="s">
        <v>7418</v>
      </c>
      <c r="J3219" s="12" t="str">
        <f>HYPERLINK("https://www.boe.es/gazeta/dias/1801/08/07/pdfs/GMD-1801-76.pdf#page=9","Abrir facsímil")</f>
        <v>Abrir facsímil</v>
      </c>
      <c r="K3219" s="15" t="s">
        <v>23</v>
      </c>
    </row>
    <row r="3220" spans="1:11" ht="42" customHeight="1">
      <c r="A3220" s="4" t="s">
        <v>7419</v>
      </c>
      <c r="B3220" s="5" t="s">
        <v>7420</v>
      </c>
      <c r="C3220" s="5" t="s">
        <v>80</v>
      </c>
      <c r="D3220" s="5" t="s">
        <v>81</v>
      </c>
      <c r="E3220" s="5" t="s">
        <v>82</v>
      </c>
      <c r="F3220" s="9">
        <v>75</v>
      </c>
      <c r="G3220" s="9" t="s">
        <v>996</v>
      </c>
      <c r="H3220" s="5" t="s">
        <v>21</v>
      </c>
      <c r="I3220" s="5" t="s">
        <v>7421</v>
      </c>
      <c r="J3220" s="12" t="str">
        <f>HYPERLINK("https://www.boe.es/gazeta/dias/1801/08/04/pdfs/GMD-C-1801-75.pdf#page=6","Abrir facsímil")</f>
        <v>Abrir facsímil</v>
      </c>
      <c r="K3220" s="15" t="s">
        <v>23</v>
      </c>
    </row>
    <row r="3221" spans="1:11" ht="42" customHeight="1">
      <c r="A3221" s="4" t="s">
        <v>7422</v>
      </c>
      <c r="B3221" s="5" t="s">
        <v>7423</v>
      </c>
      <c r="C3221" s="5" t="s">
        <v>80</v>
      </c>
      <c r="D3221" s="5" t="s">
        <v>81</v>
      </c>
      <c r="E3221" s="5" t="s">
        <v>82</v>
      </c>
      <c r="F3221" s="9">
        <v>75</v>
      </c>
      <c r="G3221" s="9" t="s">
        <v>996</v>
      </c>
      <c r="H3221" s="5" t="s">
        <v>21</v>
      </c>
      <c r="I3221" s="5" t="s">
        <v>7424</v>
      </c>
      <c r="J3221" s="12" t="str">
        <f>HYPERLINK("https://www.boe.es/gazeta/dias/1801/08/04/pdfs/GMD-C-1801-75.pdf#page=6","Abrir facsímil")</f>
        <v>Abrir facsímil</v>
      </c>
      <c r="K3221" s="15" t="s">
        <v>23</v>
      </c>
    </row>
    <row r="3222" spans="1:11" ht="42" customHeight="1">
      <c r="A3222" s="4" t="s">
        <v>7425</v>
      </c>
      <c r="B3222" s="5" t="s">
        <v>7426</v>
      </c>
      <c r="C3222" s="5" t="s">
        <v>32</v>
      </c>
      <c r="D3222" s="5" t="s">
        <v>33</v>
      </c>
      <c r="E3222" s="5" t="s">
        <v>55</v>
      </c>
      <c r="F3222" s="9">
        <v>104</v>
      </c>
      <c r="G3222" s="9">
        <v>1146</v>
      </c>
      <c r="H3222" s="5" t="s">
        <v>21</v>
      </c>
      <c r="I3222" s="5" t="s">
        <v>7427</v>
      </c>
      <c r="J3222" s="12" t="str">
        <f>HYPERLINK("https://www.boe.es/gazeta/dias/1801/11/06/pdfs/GMD-1801-104.pdf#page=7","Abrir facsímil")</f>
        <v>Abrir facsímil</v>
      </c>
      <c r="K3222" s="15" t="s">
        <v>23</v>
      </c>
    </row>
    <row r="3223" spans="1:11" ht="42" customHeight="1">
      <c r="A3223" s="4" t="s">
        <v>7428</v>
      </c>
      <c r="B3223" s="5" t="s">
        <v>7429</v>
      </c>
      <c r="C3223" s="5" t="s">
        <v>32</v>
      </c>
      <c r="D3223" s="5" t="s">
        <v>33</v>
      </c>
      <c r="E3223" s="5" t="s">
        <v>313</v>
      </c>
      <c r="F3223" s="9">
        <v>39</v>
      </c>
      <c r="G3223" s="9">
        <v>506</v>
      </c>
      <c r="H3223" s="5" t="s">
        <v>21</v>
      </c>
      <c r="I3223" s="5" t="s">
        <v>7430</v>
      </c>
      <c r="J3223" s="12" t="str">
        <f>HYPERLINK("https://www.boe.es/gazeta/dias/1801/05/15/pdfs/GMD-1801-39.pdf#page=10","Abrir facsímil")</f>
        <v>Abrir facsímil</v>
      </c>
      <c r="K3223" s="15" t="s">
        <v>23</v>
      </c>
    </row>
    <row r="3224" spans="1:11" ht="42" customHeight="1">
      <c r="A3224" s="4" t="s">
        <v>7431</v>
      </c>
      <c r="B3224" s="5" t="s">
        <v>7431</v>
      </c>
      <c r="C3224" s="5" t="s">
        <v>69</v>
      </c>
      <c r="D3224" s="5" t="s">
        <v>19</v>
      </c>
      <c r="E3224" s="5" t="s">
        <v>186</v>
      </c>
      <c r="F3224" s="9">
        <v>21</v>
      </c>
      <c r="G3224" s="9">
        <v>279</v>
      </c>
      <c r="H3224" s="5" t="s">
        <v>21</v>
      </c>
      <c r="I3224" s="5" t="s">
        <v>7432</v>
      </c>
      <c r="J3224" s="12" t="str">
        <f>HYPERLINK("https://www.boe.es/gazeta/dias/1801/03/13/pdfs/GMD-1801-21.pdf#page=8","Abrir facsímil")</f>
        <v>Abrir facsímil</v>
      </c>
      <c r="K3224" s="15" t="s">
        <v>23</v>
      </c>
    </row>
    <row r="3225" spans="1:11" ht="42" customHeight="1">
      <c r="A3225" s="4" t="s">
        <v>7433</v>
      </c>
      <c r="B3225" s="5" t="s">
        <v>7433</v>
      </c>
      <c r="C3225" s="5" t="s">
        <v>32</v>
      </c>
      <c r="D3225" s="5" t="s">
        <v>33</v>
      </c>
      <c r="E3225" s="5" t="s">
        <v>122</v>
      </c>
      <c r="F3225" s="9">
        <v>8</v>
      </c>
      <c r="G3225" s="9">
        <v>97</v>
      </c>
      <c r="H3225" s="5" t="s">
        <v>21</v>
      </c>
      <c r="I3225" s="5" t="s">
        <v>7434</v>
      </c>
      <c r="J3225" s="12" t="str">
        <f>HYPERLINK("https://www.boe.es/gazeta/dias/1801/01/27/pdfs/GMD-1801-8.pdf#page=9","Abrir facsímil")</f>
        <v>Abrir facsímil</v>
      </c>
      <c r="K3225" s="15" t="s">
        <v>23</v>
      </c>
    </row>
    <row r="3226" spans="1:11" ht="42" customHeight="1">
      <c r="A3226" s="4" t="s">
        <v>7435</v>
      </c>
      <c r="B3226" s="5" t="s">
        <v>7435</v>
      </c>
      <c r="C3226" s="5" t="s">
        <v>38</v>
      </c>
      <c r="D3226" s="5" t="s">
        <v>39</v>
      </c>
      <c r="E3226" s="5" t="s">
        <v>615</v>
      </c>
      <c r="F3226" s="9">
        <v>72</v>
      </c>
      <c r="G3226" s="9">
        <v>803</v>
      </c>
      <c r="H3226" s="5" t="s">
        <v>21</v>
      </c>
      <c r="I3226" s="5" t="s">
        <v>7436</v>
      </c>
      <c r="J3226" s="12" t="str">
        <f>HYPERLINK("https://www.boe.es/gazeta/dias/1801/07/24/pdfs/GMD-1801-72.pdf#page=8","Abrir facsímil")</f>
        <v>Abrir facsímil</v>
      </c>
      <c r="K3226" s="15" t="s">
        <v>23</v>
      </c>
    </row>
    <row r="3227" spans="1:11" ht="42" customHeight="1">
      <c r="A3227" s="4" t="s">
        <v>7437</v>
      </c>
      <c r="B3227" s="5" t="s">
        <v>7437</v>
      </c>
      <c r="C3227" s="5" t="s">
        <v>38</v>
      </c>
      <c r="D3227" s="5" t="s">
        <v>39</v>
      </c>
      <c r="E3227" s="5" t="s">
        <v>453</v>
      </c>
      <c r="F3227" s="9">
        <v>100</v>
      </c>
      <c r="G3227" s="9">
        <v>1099</v>
      </c>
      <c r="H3227" s="5" t="s">
        <v>21</v>
      </c>
      <c r="I3227" s="5" t="s">
        <v>7438</v>
      </c>
      <c r="J3227" s="12" t="str">
        <f>HYPERLINK("https://www.boe.es/gazeta/dias/1801/10/23/pdfs/GMD-1801-100.pdf#page=8","Abrir facsímil")</f>
        <v>Abrir facsímil</v>
      </c>
      <c r="K3227" s="15" t="s">
        <v>23</v>
      </c>
    </row>
    <row r="3228" spans="1:11" ht="42" customHeight="1">
      <c r="A3228" s="4" t="s">
        <v>7439</v>
      </c>
      <c r="B3228" s="5" t="s">
        <v>7440</v>
      </c>
      <c r="C3228" s="5" t="s">
        <v>515</v>
      </c>
      <c r="D3228" s="5" t="s">
        <v>516</v>
      </c>
      <c r="E3228" s="5" t="s">
        <v>275</v>
      </c>
      <c r="F3228" s="9">
        <v>9</v>
      </c>
      <c r="G3228" s="9" t="s">
        <v>668</v>
      </c>
      <c r="H3228" s="5" t="s">
        <v>21</v>
      </c>
      <c r="I3228" s="5" t="s">
        <v>7441</v>
      </c>
      <c r="J3228" s="12" t="str">
        <f>HYPERLINK("https://www.boe.es/gazeta/dias/1801/01/30/pdfs/GMD-C-1801-9.pdf#page=1","Abrir facsímil")</f>
        <v>Abrir facsímil</v>
      </c>
      <c r="K3228" s="15" t="s">
        <v>23</v>
      </c>
    </row>
    <row r="3229" spans="1:11" ht="42" customHeight="1">
      <c r="A3229" s="4" t="s">
        <v>7442</v>
      </c>
      <c r="B3229" s="5" t="s">
        <v>7443</v>
      </c>
      <c r="C3229" s="5" t="s">
        <v>26</v>
      </c>
      <c r="D3229" s="5" t="s">
        <v>27</v>
      </c>
      <c r="E3229" s="5" t="s">
        <v>453</v>
      </c>
      <c r="F3229" s="9">
        <v>100</v>
      </c>
      <c r="G3229" s="9">
        <v>1102</v>
      </c>
      <c r="H3229" s="5" t="s">
        <v>21</v>
      </c>
      <c r="I3229" s="5" t="s">
        <v>7444</v>
      </c>
      <c r="J3229" s="12" t="str">
        <f>HYPERLINK("https://www.boe.es/gazeta/dias/1801/10/23/pdfs/GMD-1801-100.pdf#page=11","Abrir facsímil")</f>
        <v>Abrir facsímil</v>
      </c>
      <c r="K3229" s="15" t="s">
        <v>23</v>
      </c>
    </row>
    <row r="3230" spans="1:11" ht="42" customHeight="1">
      <c r="A3230" s="4" t="s">
        <v>7445</v>
      </c>
      <c r="B3230" s="5" t="s">
        <v>7446</v>
      </c>
      <c r="C3230" s="5" t="s">
        <v>32</v>
      </c>
      <c r="D3230" s="5" t="s">
        <v>33</v>
      </c>
      <c r="E3230" s="5" t="s">
        <v>120</v>
      </c>
      <c r="F3230" s="9">
        <v>7</v>
      </c>
      <c r="G3230" s="9">
        <v>84</v>
      </c>
      <c r="H3230" s="5" t="s">
        <v>21</v>
      </c>
      <c r="I3230" s="5" t="s">
        <v>7447</v>
      </c>
      <c r="J3230" s="12" t="str">
        <f>HYPERLINK("https://www.boe.es/gazeta/dias/1801/01/23/pdfs/GMD-1801-7.pdf#page=8","Abrir facsímil")</f>
        <v>Abrir facsímil</v>
      </c>
      <c r="K3230" s="15" t="s">
        <v>23</v>
      </c>
    </row>
    <row r="3231" spans="1:11" ht="42" customHeight="1">
      <c r="A3231" s="4" t="s">
        <v>7448</v>
      </c>
      <c r="B3231" s="5" t="s">
        <v>7449</v>
      </c>
      <c r="C3231" s="5" t="s">
        <v>32</v>
      </c>
      <c r="D3231" s="5" t="s">
        <v>33</v>
      </c>
      <c r="E3231" s="5" t="s">
        <v>34</v>
      </c>
      <c r="F3231" s="9">
        <v>38</v>
      </c>
      <c r="G3231" s="9">
        <v>487</v>
      </c>
      <c r="H3231" s="5" t="s">
        <v>21</v>
      </c>
      <c r="I3231" s="5" t="s">
        <v>7450</v>
      </c>
      <c r="J3231" s="12" t="str">
        <f>HYPERLINK("https://www.boe.es/gazeta/dias/1801/05/12/pdfs/GMD-1801-38.pdf#page=3","Abrir facsímil")</f>
        <v>Abrir facsímil</v>
      </c>
      <c r="K3231" s="15" t="s">
        <v>23</v>
      </c>
    </row>
    <row r="3232" spans="1:11" ht="42" customHeight="1">
      <c r="A3232" s="4" t="s">
        <v>7451</v>
      </c>
      <c r="B3232" s="5" t="s">
        <v>7451</v>
      </c>
      <c r="C3232" s="5" t="s">
        <v>32</v>
      </c>
      <c r="D3232" s="5" t="s">
        <v>33</v>
      </c>
      <c r="E3232" s="5" t="s">
        <v>328</v>
      </c>
      <c r="F3232" s="9">
        <v>89</v>
      </c>
      <c r="G3232" s="9">
        <v>983</v>
      </c>
      <c r="H3232" s="5" t="s">
        <v>21</v>
      </c>
      <c r="I3232" s="5" t="s">
        <v>7452</v>
      </c>
      <c r="J3232" s="12" t="str">
        <f>HYPERLINK("https://www.boe.es/gazeta/dias/1801/09/15/pdfs/GMD-1801-89.pdf#page=10","Abrir facsímil")</f>
        <v>Abrir facsímil</v>
      </c>
      <c r="K3232" s="15" t="s">
        <v>23</v>
      </c>
    </row>
    <row r="3233" spans="1:11" ht="42" customHeight="1">
      <c r="A3233" s="4" t="s">
        <v>7453</v>
      </c>
      <c r="B3233" s="5" t="s">
        <v>7454</v>
      </c>
      <c r="C3233" s="5" t="s">
        <v>32</v>
      </c>
      <c r="D3233" s="5" t="s">
        <v>33</v>
      </c>
      <c r="E3233" s="5" t="s">
        <v>417</v>
      </c>
      <c r="F3233" s="9">
        <v>64</v>
      </c>
      <c r="G3233" s="9">
        <v>724</v>
      </c>
      <c r="H3233" s="5" t="s">
        <v>21</v>
      </c>
      <c r="I3233" s="5" t="s">
        <v>7455</v>
      </c>
      <c r="J3233" s="12" t="str">
        <f>HYPERLINK("https://www.boe.es/gazeta/dias/1801/07/07/pdfs/GMD-1801-64.pdf#page=5","Abrir facsímil")</f>
        <v>Abrir facsímil</v>
      </c>
      <c r="K3233" s="15" t="s">
        <v>23</v>
      </c>
    </row>
    <row r="3234" spans="1:11" ht="42" customHeight="1">
      <c r="A3234" s="4" t="s">
        <v>7456</v>
      </c>
      <c r="B3234" s="5" t="s">
        <v>7456</v>
      </c>
      <c r="C3234" s="5" t="s">
        <v>38</v>
      </c>
      <c r="D3234" s="5" t="s">
        <v>39</v>
      </c>
      <c r="E3234" s="5" t="s">
        <v>173</v>
      </c>
      <c r="F3234" s="9">
        <v>98</v>
      </c>
      <c r="G3234" s="9">
        <v>1080</v>
      </c>
      <c r="H3234" s="5" t="s">
        <v>21</v>
      </c>
      <c r="I3234" s="5" t="s">
        <v>7457</v>
      </c>
      <c r="J3234" s="12" t="str">
        <f>HYPERLINK("https://www.boe.es/gazeta/dias/1801/10/16/pdfs/GMD-1801-98.pdf#page=12","Abrir facsímil")</f>
        <v>Abrir facsímil</v>
      </c>
      <c r="K3234" s="15" t="s">
        <v>23</v>
      </c>
    </row>
    <row r="3235" spans="1:11" ht="42" customHeight="1">
      <c r="A3235" s="4" t="s">
        <v>7458</v>
      </c>
      <c r="B3235" s="5" t="s">
        <v>7459</v>
      </c>
      <c r="C3235" s="5" t="s">
        <v>69</v>
      </c>
      <c r="D3235" s="5" t="s">
        <v>19</v>
      </c>
      <c r="E3235" s="5" t="s">
        <v>2430</v>
      </c>
      <c r="F3235" s="9">
        <v>27</v>
      </c>
      <c r="G3235" s="9">
        <v>356</v>
      </c>
      <c r="H3235" s="5" t="s">
        <v>21</v>
      </c>
      <c r="I3235" s="5" t="s">
        <v>7460</v>
      </c>
      <c r="J3235" s="12" t="str">
        <f>HYPERLINK("https://www.boe.es/gazeta/dias/1801/04/03/pdfs/GMD-1801-27.pdf#page=8","Abrir facsímil")</f>
        <v>Abrir facsímil</v>
      </c>
      <c r="K3235" s="15" t="s">
        <v>23</v>
      </c>
    </row>
    <row r="3236" spans="1:11" ht="42" customHeight="1">
      <c r="A3236" s="4" t="s">
        <v>7461</v>
      </c>
      <c r="B3236" s="5" t="s">
        <v>7462</v>
      </c>
      <c r="C3236" s="5" t="s">
        <v>69</v>
      </c>
      <c r="D3236" s="5" t="s">
        <v>19</v>
      </c>
      <c r="E3236" s="5" t="s">
        <v>505</v>
      </c>
      <c r="F3236" s="9">
        <v>94</v>
      </c>
      <c r="G3236" s="9">
        <v>1027</v>
      </c>
      <c r="H3236" s="5" t="s">
        <v>21</v>
      </c>
      <c r="I3236" s="5" t="s">
        <v>7463</v>
      </c>
      <c r="J3236" s="12" t="str">
        <f>HYPERLINK("https://www.boe.es/gazeta/dias/1801/10/02/pdfs/GMD-1801-94.pdf#page=3","Abrir facsímil")</f>
        <v>Abrir facsímil</v>
      </c>
      <c r="K3236" s="15" t="s">
        <v>23</v>
      </c>
    </row>
    <row r="3237" spans="1:11" ht="42" customHeight="1">
      <c r="A3237" s="4" t="s">
        <v>7464</v>
      </c>
      <c r="B3237" s="5" t="s">
        <v>7464</v>
      </c>
      <c r="C3237" s="5" t="s">
        <v>515</v>
      </c>
      <c r="D3237" s="5" t="s">
        <v>516</v>
      </c>
      <c r="E3237" s="5" t="s">
        <v>94</v>
      </c>
      <c r="F3237" s="9">
        <v>19</v>
      </c>
      <c r="G3237" s="9">
        <v>252</v>
      </c>
      <c r="H3237" s="5" t="s">
        <v>21</v>
      </c>
      <c r="I3237" s="5" t="s">
        <v>7465</v>
      </c>
      <c r="J3237" s="12" t="str">
        <f>HYPERLINK("https://www.boe.es/gazeta/dias/1801/03/06/pdfs/GMD-C-1801-19.pdf#page=5","Abrir facsímil")</f>
        <v>Abrir facsímil</v>
      </c>
      <c r="K3237" s="15" t="s">
        <v>23</v>
      </c>
    </row>
    <row r="3238" spans="1:11" ht="42" customHeight="1">
      <c r="A3238" s="4" t="s">
        <v>7466</v>
      </c>
      <c r="B3238" s="5" t="s">
        <v>7467</v>
      </c>
      <c r="C3238" s="5" t="s">
        <v>75</v>
      </c>
      <c r="D3238" s="5" t="s">
        <v>76</v>
      </c>
      <c r="E3238" s="5" t="s">
        <v>94</v>
      </c>
      <c r="F3238" s="9">
        <v>19</v>
      </c>
      <c r="G3238" s="9">
        <v>237</v>
      </c>
      <c r="H3238" s="5" t="s">
        <v>21</v>
      </c>
      <c r="I3238" s="5" t="s">
        <v>7468</v>
      </c>
      <c r="J3238" s="12" t="str">
        <f>HYPERLINK("https://www.boe.es/gazeta/dias/1801/03/06/pdfs/GMD-1801-19.pdf#page=2","Abrir facsímil")</f>
        <v>Abrir facsímil</v>
      </c>
      <c r="K3238" s="15" t="s">
        <v>23</v>
      </c>
    </row>
    <row r="3239" spans="1:11" ht="42" customHeight="1">
      <c r="A3239" s="4" t="s">
        <v>7469</v>
      </c>
      <c r="B3239" s="5" t="s">
        <v>7470</v>
      </c>
      <c r="C3239" s="5" t="s">
        <v>32</v>
      </c>
      <c r="D3239" s="5" t="s">
        <v>33</v>
      </c>
      <c r="E3239" s="5" t="s">
        <v>165</v>
      </c>
      <c r="F3239" s="9">
        <v>59</v>
      </c>
      <c r="G3239" s="9">
        <v>668</v>
      </c>
      <c r="H3239" s="5" t="s">
        <v>21</v>
      </c>
      <c r="I3239" s="5" t="s">
        <v>7471</v>
      </c>
      <c r="J3239" s="12" t="str">
        <f>HYPERLINK("https://www.boe.es/gazeta/dias/1801/06/23/pdfs/GMD-1801-59.pdf#page=1","Abrir facsímil")</f>
        <v>Abrir facsímil</v>
      </c>
      <c r="K3239" s="15" t="s">
        <v>23</v>
      </c>
    </row>
    <row r="3240" spans="1:11" ht="42" customHeight="1">
      <c r="A3240" s="4" t="s">
        <v>7472</v>
      </c>
      <c r="B3240" s="5" t="s">
        <v>7473</v>
      </c>
      <c r="C3240" s="5" t="s">
        <v>69</v>
      </c>
      <c r="D3240" s="5" t="s">
        <v>19</v>
      </c>
      <c r="E3240" s="5" t="s">
        <v>77</v>
      </c>
      <c r="F3240" s="9">
        <v>93</v>
      </c>
      <c r="G3240" s="9">
        <v>1014</v>
      </c>
      <c r="H3240" s="5" t="s">
        <v>21</v>
      </c>
      <c r="I3240" s="5" t="s">
        <v>7474</v>
      </c>
      <c r="J3240" s="12" t="str">
        <f>HYPERLINK("https://www.boe.es/gazeta/dias/1801/09/29/pdfs/GMD-1801-93.pdf#page=1","Abrir facsímil")</f>
        <v>Abrir facsímil</v>
      </c>
      <c r="K3240" s="15" t="s">
        <v>23</v>
      </c>
    </row>
    <row r="3241" spans="1:11" ht="42" customHeight="1">
      <c r="A3241" s="4" t="s">
        <v>7475</v>
      </c>
      <c r="B3241" s="5" t="s">
        <v>7475</v>
      </c>
      <c r="C3241" s="5" t="s">
        <v>32</v>
      </c>
      <c r="D3241" s="5" t="s">
        <v>33</v>
      </c>
      <c r="E3241" s="5" t="s">
        <v>201</v>
      </c>
      <c r="F3241" s="9">
        <v>79</v>
      </c>
      <c r="G3241" s="9">
        <v>889</v>
      </c>
      <c r="H3241" s="5" t="s">
        <v>21</v>
      </c>
      <c r="I3241" s="5" t="s">
        <v>7476</v>
      </c>
      <c r="J3241" s="12" t="str">
        <f>HYPERLINK("https://www.boe.es/gazeta/dias/1801/08/18/pdfs/GMD-1801-79.pdf#page=6","Abrir facsímil")</f>
        <v>Abrir facsímil</v>
      </c>
      <c r="K3241" s="15" t="s">
        <v>23</v>
      </c>
    </row>
    <row r="3242" spans="1:11" ht="42" customHeight="1">
      <c r="A3242" s="4" t="s">
        <v>7477</v>
      </c>
      <c r="B3242" s="5" t="s">
        <v>7477</v>
      </c>
      <c r="C3242" s="5" t="s">
        <v>32</v>
      </c>
      <c r="D3242" s="5" t="s">
        <v>33</v>
      </c>
      <c r="E3242" s="5" t="s">
        <v>48</v>
      </c>
      <c r="F3242" s="9">
        <v>20</v>
      </c>
      <c r="G3242" s="9">
        <v>266</v>
      </c>
      <c r="H3242" s="5" t="s">
        <v>21</v>
      </c>
      <c r="I3242" s="5" t="s">
        <v>7478</v>
      </c>
      <c r="J3242" s="12" t="str">
        <f>HYPERLINK("https://www.boe.es/gazeta/dias/1801/03/10/pdfs/GMD-1801-20.pdf#page=11","Abrir facsímil")</f>
        <v>Abrir facsímil</v>
      </c>
      <c r="K3242" s="15" t="s">
        <v>23</v>
      </c>
    </row>
    <row r="3243" spans="1:11" ht="42" customHeight="1">
      <c r="A3243" s="4" t="s">
        <v>7479</v>
      </c>
      <c r="B3243" s="5" t="s">
        <v>7480</v>
      </c>
      <c r="C3243" s="5" t="s">
        <v>18</v>
      </c>
      <c r="D3243" s="5" t="s">
        <v>19</v>
      </c>
      <c r="E3243" s="5" t="s">
        <v>155</v>
      </c>
      <c r="F3243" s="9">
        <v>50</v>
      </c>
      <c r="G3243" s="9">
        <v>594</v>
      </c>
      <c r="H3243" s="5" t="s">
        <v>21</v>
      </c>
      <c r="I3243" s="5" t="s">
        <v>7481</v>
      </c>
      <c r="J3243" s="12" t="str">
        <f>HYPERLINK("https://www.boe.es/gazeta/dias/1801/06/09/pdfs/GMD-1801-50.pdf#page=6","Abrir facsímil")</f>
        <v>Abrir facsímil</v>
      </c>
      <c r="K3243" s="15" t="s">
        <v>23</v>
      </c>
    </row>
    <row r="3244" spans="1:11" ht="42" customHeight="1">
      <c r="A3244" s="4" t="s">
        <v>7479</v>
      </c>
      <c r="B3244" s="5" t="s">
        <v>7480</v>
      </c>
      <c r="C3244" s="5" t="s">
        <v>38</v>
      </c>
      <c r="D3244" s="5" t="s">
        <v>39</v>
      </c>
      <c r="E3244" s="5" t="s">
        <v>72</v>
      </c>
      <c r="F3244" s="9">
        <v>60</v>
      </c>
      <c r="G3244" s="9">
        <v>686</v>
      </c>
      <c r="H3244" s="5" t="s">
        <v>21</v>
      </c>
      <c r="I3244" s="5" t="s">
        <v>7482</v>
      </c>
      <c r="J3244" s="12" t="str">
        <f>HYPERLINK("https://www.boe.es/gazeta/dias/1801/06/26/pdfs/GMD-1801-60.pdf#page=7","Abrir facsímil")</f>
        <v>Abrir facsímil</v>
      </c>
      <c r="K3244" s="15" t="s">
        <v>23</v>
      </c>
    </row>
    <row r="3245" spans="1:11" ht="42" customHeight="1">
      <c r="A3245" s="4" t="s">
        <v>7479</v>
      </c>
      <c r="B3245" s="5" t="s">
        <v>7480</v>
      </c>
      <c r="C3245" s="5" t="s">
        <v>38</v>
      </c>
      <c r="D3245" s="5" t="s">
        <v>39</v>
      </c>
      <c r="E3245" s="5" t="s">
        <v>108</v>
      </c>
      <c r="F3245" s="9">
        <v>61</v>
      </c>
      <c r="G3245" s="9">
        <v>696</v>
      </c>
      <c r="H3245" s="5" t="s">
        <v>21</v>
      </c>
      <c r="I3245" s="5" t="s">
        <v>7483</v>
      </c>
      <c r="J3245" s="12" t="str">
        <f>HYPERLINK("https://www.boe.es/gazeta/dias/1801/06/30/pdfs/GMD-1801-61.pdf#page=5","Abrir facsímil")</f>
        <v>Abrir facsímil</v>
      </c>
      <c r="K3245" s="15" t="s">
        <v>23</v>
      </c>
    </row>
    <row r="3246" spans="1:11" ht="42" customHeight="1">
      <c r="A3246" s="4" t="s">
        <v>7479</v>
      </c>
      <c r="B3246" s="5" t="s">
        <v>7480</v>
      </c>
      <c r="C3246" s="5" t="s">
        <v>38</v>
      </c>
      <c r="D3246" s="5" t="s">
        <v>39</v>
      </c>
      <c r="E3246" s="5" t="s">
        <v>417</v>
      </c>
      <c r="F3246" s="9">
        <v>64</v>
      </c>
      <c r="G3246" s="9">
        <v>725</v>
      </c>
      <c r="H3246" s="5" t="s">
        <v>21</v>
      </c>
      <c r="I3246" s="5" t="s">
        <v>7484</v>
      </c>
      <c r="J3246" s="12" t="str">
        <f>HYPERLINK("https://www.boe.es/gazeta/dias/1801/07/07/pdfs/GMD-1801-64.pdf#page=6","Abrir facsímil")</f>
        <v>Abrir facsímil</v>
      </c>
      <c r="K3246" s="15" t="s">
        <v>23</v>
      </c>
    </row>
    <row r="3247" spans="1:11" ht="42" customHeight="1">
      <c r="A3247" s="4" t="s">
        <v>7485</v>
      </c>
      <c r="B3247" s="5" t="s">
        <v>7485</v>
      </c>
      <c r="C3247" s="5" t="s">
        <v>38</v>
      </c>
      <c r="D3247" s="5" t="s">
        <v>39</v>
      </c>
      <c r="E3247" s="5" t="s">
        <v>615</v>
      </c>
      <c r="F3247" s="9">
        <v>72</v>
      </c>
      <c r="G3247" s="9">
        <v>802</v>
      </c>
      <c r="H3247" s="5" t="s">
        <v>21</v>
      </c>
      <c r="I3247" s="5" t="s">
        <v>7486</v>
      </c>
      <c r="J3247" s="12" t="str">
        <f>HYPERLINK("https://www.boe.es/gazeta/dias/1801/07/24/pdfs/GMD-1801-72.pdf#page=7","Abrir facsímil")</f>
        <v>Abrir facsímil</v>
      </c>
      <c r="K3247" s="15" t="s">
        <v>23</v>
      </c>
    </row>
    <row r="3248" spans="1:11" ht="42" customHeight="1">
      <c r="A3248" s="4" t="s">
        <v>7487</v>
      </c>
      <c r="B3248" s="5" t="s">
        <v>7488</v>
      </c>
      <c r="C3248" s="5" t="s">
        <v>38</v>
      </c>
      <c r="D3248" s="5" t="s">
        <v>39</v>
      </c>
      <c r="E3248" s="5" t="s">
        <v>82</v>
      </c>
      <c r="F3248" s="9">
        <v>75</v>
      </c>
      <c r="G3248" s="9">
        <v>834</v>
      </c>
      <c r="H3248" s="5" t="s">
        <v>21</v>
      </c>
      <c r="I3248" s="5" t="s">
        <v>7489</v>
      </c>
      <c r="J3248" s="12" t="str">
        <f>HYPERLINK("https://www.boe.es/gazeta/dias/1801/08/04/pdfs/GMD-1801-75.pdf#page=3","Abrir facsímil")</f>
        <v>Abrir facsímil</v>
      </c>
      <c r="K3248" s="15" t="s">
        <v>23</v>
      </c>
    </row>
    <row r="3249" spans="1:11" ht="42" customHeight="1">
      <c r="A3249" s="4" t="s">
        <v>7490</v>
      </c>
      <c r="B3249" s="5" t="s">
        <v>7491</v>
      </c>
      <c r="C3249" s="5" t="s">
        <v>80</v>
      </c>
      <c r="D3249" s="5" t="s">
        <v>81</v>
      </c>
      <c r="E3249" s="5" t="s">
        <v>82</v>
      </c>
      <c r="F3249" s="9">
        <v>75</v>
      </c>
      <c r="G3249" s="9" t="s">
        <v>83</v>
      </c>
      <c r="H3249" s="5" t="s">
        <v>21</v>
      </c>
      <c r="I3249" s="5" t="s">
        <v>7492</v>
      </c>
      <c r="J3249" s="12" t="str">
        <f>HYPERLINK("https://www.boe.es/gazeta/dias/1801/08/04/pdfs/GMD-C-1801-75.pdf#page=2","Abrir facsímil")</f>
        <v>Abrir facsímil</v>
      </c>
      <c r="K3249" s="15" t="s">
        <v>23</v>
      </c>
    </row>
    <row r="3250" spans="1:11" ht="42" customHeight="1">
      <c r="A3250" s="4" t="s">
        <v>7493</v>
      </c>
      <c r="B3250" s="5" t="s">
        <v>7493</v>
      </c>
      <c r="C3250" s="5" t="s">
        <v>32</v>
      </c>
      <c r="D3250" s="5" t="s">
        <v>33</v>
      </c>
      <c r="E3250" s="5" t="s">
        <v>221</v>
      </c>
      <c r="F3250" s="9">
        <v>28</v>
      </c>
      <c r="G3250" s="9">
        <v>370</v>
      </c>
      <c r="H3250" s="5" t="s">
        <v>21</v>
      </c>
      <c r="I3250" s="5" t="s">
        <v>7494</v>
      </c>
      <c r="J3250" s="12" t="str">
        <f>HYPERLINK("https://www.boe.es/gazeta/dias/1801/04/07/pdfs/GMD-1801-28.pdf#page=10","Abrir facsímil")</f>
        <v>Abrir facsímil</v>
      </c>
      <c r="K3250" s="15" t="s">
        <v>23</v>
      </c>
    </row>
    <row r="3251" spans="1:11" ht="42" customHeight="1">
      <c r="A3251" s="4" t="s">
        <v>7495</v>
      </c>
      <c r="B3251" s="5" t="s">
        <v>7495</v>
      </c>
      <c r="C3251" s="5" t="s">
        <v>38</v>
      </c>
      <c r="D3251" s="5" t="s">
        <v>39</v>
      </c>
      <c r="E3251" s="5" t="s">
        <v>190</v>
      </c>
      <c r="F3251" s="9">
        <v>16</v>
      </c>
      <c r="G3251" s="9">
        <v>201</v>
      </c>
      <c r="H3251" s="5" t="s">
        <v>21</v>
      </c>
      <c r="I3251" s="5" t="s">
        <v>7496</v>
      </c>
      <c r="J3251" s="12" t="str">
        <f>HYPERLINK("https://www.boe.es/gazeta/dias/1801/02/24/pdfs/GMD-1801-16.pdf#page=8","Abrir facsímil")</f>
        <v>Abrir facsímil</v>
      </c>
      <c r="K3251" s="15" t="s">
        <v>23</v>
      </c>
    </row>
    <row r="3252" spans="1:11" ht="42" customHeight="1">
      <c r="A3252" s="4" t="s">
        <v>7497</v>
      </c>
      <c r="B3252" s="5" t="s">
        <v>7497</v>
      </c>
      <c r="C3252" s="5" t="s">
        <v>80</v>
      </c>
      <c r="D3252" s="5" t="s">
        <v>81</v>
      </c>
      <c r="E3252" s="5" t="s">
        <v>289</v>
      </c>
      <c r="F3252" s="9">
        <v>40</v>
      </c>
      <c r="G3252" s="9" t="s">
        <v>86</v>
      </c>
      <c r="H3252" s="5" t="s">
        <v>21</v>
      </c>
      <c r="I3252" s="5" t="s">
        <v>7498</v>
      </c>
      <c r="J3252" s="12" t="str">
        <f>HYPERLINK("https://www.boe.es/gazeta/dias/1801/05/19/pdfs/GMD-C-1801-40.pdf#page=3","Abrir facsímil")</f>
        <v>Abrir facsímil</v>
      </c>
      <c r="K3252" s="15" t="s">
        <v>23</v>
      </c>
    </row>
    <row r="3253" spans="1:11" ht="42" customHeight="1">
      <c r="A3253" s="4" t="s">
        <v>7499</v>
      </c>
      <c r="B3253" s="5" t="s">
        <v>7500</v>
      </c>
      <c r="C3253" s="5" t="s">
        <v>26</v>
      </c>
      <c r="D3253" s="5" t="s">
        <v>27</v>
      </c>
      <c r="E3253" s="5" t="s">
        <v>417</v>
      </c>
      <c r="F3253" s="9">
        <v>64</v>
      </c>
      <c r="G3253" s="9">
        <v>731</v>
      </c>
      <c r="H3253" s="5" t="s">
        <v>21</v>
      </c>
      <c r="I3253" s="5" t="s">
        <v>7501</v>
      </c>
      <c r="J3253" s="12" t="str">
        <f>HYPERLINK("https://www.boe.es/gazeta/dias/1801/07/07/pdfs/GMD-1801-64.pdf#page=12","Abrir facsímil")</f>
        <v>Abrir facsímil</v>
      </c>
      <c r="K3253" s="15" t="s">
        <v>23</v>
      </c>
    </row>
    <row r="3254" spans="1:11" ht="42" customHeight="1">
      <c r="A3254" s="4" t="s">
        <v>7502</v>
      </c>
      <c r="B3254" s="5" t="s">
        <v>7503</v>
      </c>
      <c r="C3254" s="5" t="s">
        <v>32</v>
      </c>
      <c r="D3254" s="5" t="s">
        <v>33</v>
      </c>
      <c r="E3254" s="5" t="s">
        <v>781</v>
      </c>
      <c r="F3254" s="9">
        <v>14</v>
      </c>
      <c r="G3254" s="9">
        <v>174</v>
      </c>
      <c r="H3254" s="5" t="s">
        <v>21</v>
      </c>
      <c r="I3254" s="5" t="s">
        <v>7504</v>
      </c>
      <c r="J3254" s="12" t="str">
        <f>HYPERLINK("https://www.boe.es/gazeta/dias/1801/02/17/pdfs/GMD-1801-14.pdf#page=9","Abrir facsímil")</f>
        <v>Abrir facsímil</v>
      </c>
      <c r="K3254" s="15" t="s">
        <v>23</v>
      </c>
    </row>
    <row r="3255" spans="1:11" ht="42" customHeight="1">
      <c r="A3255" s="4" t="s">
        <v>7505</v>
      </c>
      <c r="B3255" s="5" t="s">
        <v>7505</v>
      </c>
      <c r="C3255" s="5" t="s">
        <v>69</v>
      </c>
      <c r="D3255" s="5" t="s">
        <v>19</v>
      </c>
      <c r="E3255" s="5" t="s">
        <v>171</v>
      </c>
      <c r="F3255" s="9">
        <v>76</v>
      </c>
      <c r="G3255" s="9">
        <v>853</v>
      </c>
      <c r="H3255" s="5" t="s">
        <v>21</v>
      </c>
      <c r="I3255" s="5" t="s">
        <v>7506</v>
      </c>
      <c r="J3255" s="12" t="str">
        <f>HYPERLINK("https://www.boe.es/gazeta/dias/1801/08/07/pdfs/GMD-1801-76.pdf#page=10","Abrir facsímil")</f>
        <v>Abrir facsímil</v>
      </c>
      <c r="K3255" s="15" t="s">
        <v>23</v>
      </c>
    </row>
    <row r="3256" spans="1:11" ht="42" customHeight="1">
      <c r="A3256" s="4" t="s">
        <v>7507</v>
      </c>
      <c r="B3256" s="5" t="s">
        <v>7508</v>
      </c>
      <c r="C3256" s="5" t="s">
        <v>38</v>
      </c>
      <c r="D3256" s="5" t="s">
        <v>39</v>
      </c>
      <c r="E3256" s="5" t="s">
        <v>2237</v>
      </c>
      <c r="F3256" s="9">
        <v>82</v>
      </c>
      <c r="G3256" s="9">
        <v>917</v>
      </c>
      <c r="H3256" s="5" t="s">
        <v>21</v>
      </c>
      <c r="I3256" s="5" t="s">
        <v>7509</v>
      </c>
      <c r="J3256" s="12" t="str">
        <f>HYPERLINK("https://www.boe.es/gazeta/dias/1801/08/28/pdfs/GMD-1801-82.pdf#page=6","Abrir facsímil")</f>
        <v>Abrir facsímil</v>
      </c>
      <c r="K3256" s="15" t="s">
        <v>23</v>
      </c>
    </row>
    <row r="3257" spans="1:11" ht="42" customHeight="1">
      <c r="A3257" s="4" t="s">
        <v>7510</v>
      </c>
      <c r="B3257" s="5" t="s">
        <v>7510</v>
      </c>
      <c r="C3257" s="5" t="s">
        <v>515</v>
      </c>
      <c r="D3257" s="5" t="s">
        <v>516</v>
      </c>
      <c r="E3257" s="5" t="s">
        <v>751</v>
      </c>
      <c r="F3257" s="9">
        <v>106</v>
      </c>
      <c r="G3257" s="9">
        <v>1169</v>
      </c>
      <c r="H3257" s="5" t="s">
        <v>21</v>
      </c>
      <c r="I3257" s="5" t="s">
        <v>7511</v>
      </c>
      <c r="J3257" s="12" t="str">
        <f>HYPERLINK("https://www.boe.es/gazeta/dias/1801/11/13/pdfs/GMD-C-1801-106.pdf#page=2","Abrir facsímil")</f>
        <v>Abrir facsímil</v>
      </c>
      <c r="K3257" s="15" t="s">
        <v>23</v>
      </c>
    </row>
    <row r="3258" spans="1:11" ht="42" customHeight="1">
      <c r="A3258" s="4" t="s">
        <v>7512</v>
      </c>
      <c r="B3258" s="5" t="s">
        <v>7513</v>
      </c>
      <c r="C3258" s="5" t="s">
        <v>32</v>
      </c>
      <c r="D3258" s="5" t="s">
        <v>33</v>
      </c>
      <c r="E3258" s="5" t="s">
        <v>712</v>
      </c>
      <c r="F3258" s="9">
        <v>105</v>
      </c>
      <c r="G3258" s="9">
        <v>1155</v>
      </c>
      <c r="H3258" s="5" t="s">
        <v>21</v>
      </c>
      <c r="I3258" s="5" t="s">
        <v>7514</v>
      </c>
      <c r="J3258" s="12" t="str">
        <f>HYPERLINK("https://www.boe.es/gazeta/dias/1801/11/10/pdfs/GMD-1801-105.pdf#page=8","Abrir facsímil")</f>
        <v>Abrir facsímil</v>
      </c>
      <c r="K3258" s="15" t="s">
        <v>23</v>
      </c>
    </row>
    <row r="3259" spans="1:11" ht="42" customHeight="1">
      <c r="A3259" s="4" t="s">
        <v>7515</v>
      </c>
      <c r="B3259" s="5" t="s">
        <v>7516</v>
      </c>
      <c r="C3259" s="5" t="s">
        <v>32</v>
      </c>
      <c r="D3259" s="5" t="s">
        <v>33</v>
      </c>
      <c r="E3259" s="5" t="s">
        <v>251</v>
      </c>
      <c r="F3259" s="9">
        <v>66</v>
      </c>
      <c r="G3259" s="9">
        <v>743</v>
      </c>
      <c r="H3259" s="5" t="s">
        <v>21</v>
      </c>
      <c r="I3259" s="5" t="s">
        <v>7517</v>
      </c>
      <c r="J3259" s="12" t="str">
        <f>HYPERLINK("https://www.boe.es/gazeta/dias/1801/07/10/pdfs/GMD-1801-66.pdf#page=8","Abrir facsímil")</f>
        <v>Abrir facsímil</v>
      </c>
      <c r="K3259" s="15" t="s">
        <v>23</v>
      </c>
    </row>
    <row r="3260" spans="1:11" ht="42" customHeight="1">
      <c r="A3260" s="4" t="s">
        <v>7518</v>
      </c>
      <c r="B3260" s="5" t="s">
        <v>7519</v>
      </c>
      <c r="C3260" s="5" t="s">
        <v>75</v>
      </c>
      <c r="D3260" s="5" t="s">
        <v>76</v>
      </c>
      <c r="E3260" s="5" t="s">
        <v>145</v>
      </c>
      <c r="F3260" s="9">
        <v>36</v>
      </c>
      <c r="G3260" s="9">
        <v>468</v>
      </c>
      <c r="H3260" s="5" t="s">
        <v>21</v>
      </c>
      <c r="I3260" s="5" t="s">
        <v>7520</v>
      </c>
      <c r="J3260" s="12" t="str">
        <f>HYPERLINK("https://www.boe.es/gazeta/dias/1801/05/05/pdfs/GMD-1801-36.pdf#page=12","Abrir facsímil")</f>
        <v>Abrir facsímil</v>
      </c>
      <c r="K3260" s="15" t="s">
        <v>23</v>
      </c>
    </row>
    <row r="3261" spans="1:11" ht="42" customHeight="1">
      <c r="A3261" s="4" t="s">
        <v>7521</v>
      </c>
      <c r="B3261" s="5" t="s">
        <v>7522</v>
      </c>
      <c r="C3261" s="5" t="s">
        <v>32</v>
      </c>
      <c r="D3261" s="5" t="s">
        <v>33</v>
      </c>
      <c r="E3261" s="5" t="s">
        <v>338</v>
      </c>
      <c r="F3261" s="9">
        <v>83</v>
      </c>
      <c r="G3261" s="9">
        <v>934</v>
      </c>
      <c r="H3261" s="5" t="s">
        <v>21</v>
      </c>
      <c r="I3261" s="5" t="s">
        <v>7523</v>
      </c>
      <c r="J3261" s="12" t="str">
        <f>HYPERLINK("https://www.boe.es/gazeta/dias/1801/09/01/pdfs/GMD-1801-83.pdf#page=9","Abrir facsímil")</f>
        <v>Abrir facsímil</v>
      </c>
      <c r="K3261" s="15" t="s">
        <v>23</v>
      </c>
    </row>
    <row r="3262" spans="1:11" ht="42" customHeight="1">
      <c r="A3262" s="4" t="s">
        <v>7524</v>
      </c>
      <c r="B3262" s="5" t="s">
        <v>7525</v>
      </c>
      <c r="C3262" s="5" t="s">
        <v>32</v>
      </c>
      <c r="D3262" s="5" t="s">
        <v>33</v>
      </c>
      <c r="E3262" s="5" t="s">
        <v>751</v>
      </c>
      <c r="F3262" s="9">
        <v>106</v>
      </c>
      <c r="G3262" s="9">
        <v>1165</v>
      </c>
      <c r="H3262" s="5" t="s">
        <v>21</v>
      </c>
      <c r="I3262" s="5" t="s">
        <v>7526</v>
      </c>
      <c r="J3262" s="12" t="str">
        <f>HYPERLINK("https://www.boe.es/gazeta/dias/1801/11/13/pdfs/GMD-1801-106.pdf#page=6","Abrir facsímil")</f>
        <v>Abrir facsímil</v>
      </c>
      <c r="K3262" s="15" t="s">
        <v>23</v>
      </c>
    </row>
    <row r="3263" spans="1:11" ht="42" customHeight="1">
      <c r="A3263" s="4" t="s">
        <v>7527</v>
      </c>
      <c r="B3263" s="5" t="s">
        <v>7528</v>
      </c>
      <c r="C3263" s="5" t="s">
        <v>38</v>
      </c>
      <c r="D3263" s="5" t="s">
        <v>39</v>
      </c>
      <c r="E3263" s="5" t="s">
        <v>366</v>
      </c>
      <c r="F3263" s="9">
        <v>86</v>
      </c>
      <c r="G3263" s="9">
        <v>957</v>
      </c>
      <c r="H3263" s="5" t="s">
        <v>21</v>
      </c>
      <c r="I3263" s="5" t="s">
        <v>7529</v>
      </c>
      <c r="J3263" s="12" t="str">
        <f>HYPERLINK("https://www.boe.es/gazeta/dias/1801/09/08/pdfs/GMD-1801-86.pdf#page=8","Abrir facsímil")</f>
        <v>Abrir facsímil</v>
      </c>
      <c r="K3263" s="15" t="s">
        <v>23</v>
      </c>
    </row>
    <row r="3264" spans="1:11" ht="42" customHeight="1">
      <c r="A3264" s="4" t="s">
        <v>7530</v>
      </c>
      <c r="B3264" s="5" t="s">
        <v>7531</v>
      </c>
      <c r="C3264" s="5" t="s">
        <v>32</v>
      </c>
      <c r="D3264" s="5" t="s">
        <v>33</v>
      </c>
      <c r="E3264" s="5" t="s">
        <v>275</v>
      </c>
      <c r="F3264" s="9">
        <v>9</v>
      </c>
      <c r="G3264" s="9">
        <v>112</v>
      </c>
      <c r="H3264" s="5" t="s">
        <v>21</v>
      </c>
      <c r="I3264" s="5" t="s">
        <v>7532</v>
      </c>
      <c r="J3264" s="12" t="str">
        <f>HYPERLINK("https://www.boe.es/gazeta/dias/1801/01/30/pdfs/GMD-1801-9.pdf#page=9","Abrir facsímil")</f>
        <v>Abrir facsímil</v>
      </c>
      <c r="K3264" s="15" t="s">
        <v>23</v>
      </c>
    </row>
    <row r="3265" spans="1:11" ht="42" customHeight="1">
      <c r="A3265" s="4" t="s">
        <v>7533</v>
      </c>
      <c r="B3265" s="5" t="s">
        <v>7534</v>
      </c>
      <c r="C3265" s="5" t="s">
        <v>32</v>
      </c>
      <c r="D3265" s="5" t="s">
        <v>33</v>
      </c>
      <c r="E3265" s="5" t="s">
        <v>417</v>
      </c>
      <c r="F3265" s="9">
        <v>64</v>
      </c>
      <c r="G3265" s="9">
        <v>729</v>
      </c>
      <c r="H3265" s="5" t="s">
        <v>21</v>
      </c>
      <c r="I3265" s="5" t="s">
        <v>7535</v>
      </c>
      <c r="J3265" s="12" t="str">
        <f>HYPERLINK("https://www.boe.es/gazeta/dias/1801/07/07/pdfs/GMD-1801-64.pdf#page=10","Abrir facsímil")</f>
        <v>Abrir facsímil</v>
      </c>
      <c r="K3265" s="15" t="s">
        <v>23</v>
      </c>
    </row>
    <row r="3266" spans="1:11" ht="42" customHeight="1">
      <c r="A3266" s="4" t="s">
        <v>7536</v>
      </c>
      <c r="B3266" s="5" t="s">
        <v>7537</v>
      </c>
      <c r="C3266" s="5" t="s">
        <v>515</v>
      </c>
      <c r="D3266" s="5" t="s">
        <v>516</v>
      </c>
      <c r="E3266" s="5" t="s">
        <v>501</v>
      </c>
      <c r="F3266" s="9">
        <v>115</v>
      </c>
      <c r="G3266" s="9" t="s">
        <v>517</v>
      </c>
      <c r="H3266" s="5" t="s">
        <v>21</v>
      </c>
      <c r="I3266" s="5" t="s">
        <v>7538</v>
      </c>
      <c r="J3266" s="12" t="str">
        <f>HYPERLINK("https://www.boe.es/gazeta/dias/1801/12/15/pdfs/GMD-C-1801-115.pdf#page=7","Abrir facsímil")</f>
        <v>Abrir facsímil</v>
      </c>
      <c r="K3266" s="15" t="s">
        <v>23</v>
      </c>
    </row>
    <row r="3267" spans="1:11" ht="42" customHeight="1">
      <c r="A3267" s="4" t="s">
        <v>7539</v>
      </c>
      <c r="B3267" s="5" t="s">
        <v>7540</v>
      </c>
      <c r="C3267" s="5" t="s">
        <v>18</v>
      </c>
      <c r="D3267" s="5" t="s">
        <v>19</v>
      </c>
      <c r="E3267" s="5" t="s">
        <v>417</v>
      </c>
      <c r="F3267" s="9">
        <v>64</v>
      </c>
      <c r="G3267" s="9">
        <v>729</v>
      </c>
      <c r="H3267" s="5" t="s">
        <v>21</v>
      </c>
      <c r="I3267" s="5" t="s">
        <v>7541</v>
      </c>
      <c r="J3267" s="12" t="str">
        <f>HYPERLINK("https://www.boe.es/gazeta/dias/1801/07/07/pdfs/GMD-1801-64.pdf#page=10","Abrir facsímil")</f>
        <v>Abrir facsímil</v>
      </c>
      <c r="K3267" s="15" t="s">
        <v>23</v>
      </c>
    </row>
    <row r="3268" spans="1:11" ht="42" customHeight="1">
      <c r="A3268" s="4" t="s">
        <v>7542</v>
      </c>
      <c r="B3268" s="5" t="s">
        <v>7543</v>
      </c>
      <c r="C3268" s="5" t="s">
        <v>18</v>
      </c>
      <c r="D3268" s="5" t="s">
        <v>19</v>
      </c>
      <c r="E3268" s="5" t="s">
        <v>120</v>
      </c>
      <c r="F3268" s="9">
        <v>7</v>
      </c>
      <c r="G3268" s="9">
        <v>87</v>
      </c>
      <c r="H3268" s="5" t="s">
        <v>21</v>
      </c>
      <c r="I3268" s="5" t="s">
        <v>7544</v>
      </c>
      <c r="J3268" s="12" t="str">
        <f>HYPERLINK("https://www.boe.es/gazeta/dias/1801/01/23/pdfs/GMD-1801-7.pdf#page=11","Abrir facsímil")</f>
        <v>Abrir facsímil</v>
      </c>
      <c r="K3268" s="15" t="s">
        <v>23</v>
      </c>
    </row>
    <row r="3269" spans="1:11" ht="42" customHeight="1">
      <c r="A3269" s="4" t="s">
        <v>7545</v>
      </c>
      <c r="B3269" s="5" t="s">
        <v>7546</v>
      </c>
      <c r="C3269" s="5" t="s">
        <v>32</v>
      </c>
      <c r="D3269" s="5" t="s">
        <v>33</v>
      </c>
      <c r="E3269" s="5" t="s">
        <v>55</v>
      </c>
      <c r="F3269" s="9">
        <v>104</v>
      </c>
      <c r="G3269" s="9">
        <v>1146</v>
      </c>
      <c r="H3269" s="5" t="s">
        <v>21</v>
      </c>
      <c r="I3269" s="5" t="s">
        <v>7547</v>
      </c>
      <c r="J3269" s="12" t="str">
        <f>HYPERLINK("https://www.boe.es/gazeta/dias/1801/11/06/pdfs/GMD-1801-104.pdf#page=7","Abrir facsímil")</f>
        <v>Abrir facsímil</v>
      </c>
      <c r="K3269" s="15" t="s">
        <v>23</v>
      </c>
    </row>
    <row r="3270" spans="1:11" ht="42" customHeight="1">
      <c r="A3270" s="4" t="s">
        <v>7548</v>
      </c>
      <c r="B3270" s="5" t="s">
        <v>7549</v>
      </c>
      <c r="C3270" s="5" t="s">
        <v>18</v>
      </c>
      <c r="D3270" s="5" t="s">
        <v>19</v>
      </c>
      <c r="E3270" s="5" t="s">
        <v>615</v>
      </c>
      <c r="F3270" s="9">
        <v>72</v>
      </c>
      <c r="G3270" s="9">
        <v>806</v>
      </c>
      <c r="H3270" s="5" t="s">
        <v>21</v>
      </c>
      <c r="I3270" s="5" t="s">
        <v>7550</v>
      </c>
      <c r="J3270" s="12" t="str">
        <f>HYPERLINK("https://www.boe.es/gazeta/dias/1801/07/24/pdfs/GMD-1801-72.pdf#page=11","Abrir facsímil")</f>
        <v>Abrir facsímil</v>
      </c>
      <c r="K3270" s="15" t="s">
        <v>23</v>
      </c>
    </row>
    <row r="3271" spans="1:11" ht="42" customHeight="1">
      <c r="A3271" s="4" t="s">
        <v>7548</v>
      </c>
      <c r="B3271" s="5" t="s">
        <v>7549</v>
      </c>
      <c r="C3271" s="5" t="s">
        <v>69</v>
      </c>
      <c r="D3271" s="5" t="s">
        <v>19</v>
      </c>
      <c r="E3271" s="5" t="s">
        <v>764</v>
      </c>
      <c r="F3271" s="9">
        <v>80</v>
      </c>
      <c r="G3271" s="9">
        <v>898</v>
      </c>
      <c r="H3271" s="5" t="s">
        <v>21</v>
      </c>
      <c r="I3271" s="5" t="s">
        <v>7551</v>
      </c>
      <c r="J3271" s="12" t="str">
        <f>HYPERLINK("https://www.boe.es/gazeta/dias/1801/08/21/pdfs/GMD-1801-80.pdf#page=7","Abrir facsímil")</f>
        <v>Abrir facsímil</v>
      </c>
      <c r="K3271" s="15" t="s">
        <v>23</v>
      </c>
    </row>
    <row r="3272" spans="1:11" ht="42" customHeight="1">
      <c r="A3272" s="4" t="s">
        <v>7548</v>
      </c>
      <c r="B3272" s="5" t="s">
        <v>7549</v>
      </c>
      <c r="C3272" s="5" t="s">
        <v>18</v>
      </c>
      <c r="D3272" s="5" t="s">
        <v>19</v>
      </c>
      <c r="E3272" s="5" t="s">
        <v>924</v>
      </c>
      <c r="F3272" s="9">
        <v>90</v>
      </c>
      <c r="G3272" s="9">
        <v>993</v>
      </c>
      <c r="H3272" s="5" t="s">
        <v>21</v>
      </c>
      <c r="I3272" s="5" t="s">
        <v>7552</v>
      </c>
      <c r="J3272" s="12" t="str">
        <f>HYPERLINK("https://www.boe.es/gazeta/dias/1801/09/18/pdfs/GMD-1801-90.pdf#page=8","Abrir facsímil")</f>
        <v>Abrir facsímil</v>
      </c>
      <c r="K3272" s="15" t="s">
        <v>23</v>
      </c>
    </row>
    <row r="3273" spans="1:11" ht="42" customHeight="1">
      <c r="A3273" s="4" t="s">
        <v>7553</v>
      </c>
      <c r="B3273" s="5" t="s">
        <v>7554</v>
      </c>
      <c r="C3273" s="5" t="s">
        <v>26</v>
      </c>
      <c r="D3273" s="5" t="s">
        <v>27</v>
      </c>
      <c r="E3273" s="5" t="s">
        <v>141</v>
      </c>
      <c r="F3273" s="9">
        <v>33</v>
      </c>
      <c r="G3273" s="9">
        <v>428</v>
      </c>
      <c r="H3273" s="5" t="s">
        <v>21</v>
      </c>
      <c r="I3273" s="5" t="s">
        <v>7555</v>
      </c>
      <c r="J3273" s="12" t="str">
        <f>HYPERLINK("https://www.boe.es/gazeta/dias/1801/04/24/pdfs/GMD-1801-33.pdf#page=12","Abrir facsímil")</f>
        <v>Abrir facsímil</v>
      </c>
      <c r="K3273" s="15" t="s">
        <v>23</v>
      </c>
    </row>
    <row r="3274" spans="1:11" ht="42" customHeight="1">
      <c r="A3274" s="4" t="s">
        <v>7556</v>
      </c>
      <c r="B3274" s="5" t="s">
        <v>7557</v>
      </c>
      <c r="C3274" s="5" t="s">
        <v>38</v>
      </c>
      <c r="D3274" s="5" t="s">
        <v>39</v>
      </c>
      <c r="E3274" s="5" t="s">
        <v>352</v>
      </c>
      <c r="F3274" s="9">
        <v>43</v>
      </c>
      <c r="G3274" s="9">
        <v>538</v>
      </c>
      <c r="H3274" s="5" t="s">
        <v>21</v>
      </c>
      <c r="I3274" s="5" t="s">
        <v>7558</v>
      </c>
      <c r="J3274" s="12" t="str">
        <f>HYPERLINK("https://www.boe.es/gazeta/dias/1801/05/26/pdfs/GMD-1801-43.pdf#page=10","Abrir facsímil")</f>
        <v>Abrir facsímil</v>
      </c>
      <c r="K3274" s="15" t="s">
        <v>23</v>
      </c>
    </row>
    <row r="3275" spans="1:11" ht="42" customHeight="1">
      <c r="A3275" s="4" t="s">
        <v>7559</v>
      </c>
      <c r="B3275" s="5" t="s">
        <v>7560</v>
      </c>
      <c r="C3275" s="5" t="s">
        <v>26</v>
      </c>
      <c r="D3275" s="5" t="s">
        <v>27</v>
      </c>
      <c r="E3275" s="5" t="s">
        <v>313</v>
      </c>
      <c r="F3275" s="9">
        <v>39</v>
      </c>
      <c r="G3275" s="9">
        <v>508</v>
      </c>
      <c r="H3275" s="5" t="s">
        <v>21</v>
      </c>
      <c r="I3275" s="5" t="s">
        <v>7561</v>
      </c>
      <c r="J3275" s="12" t="str">
        <f>HYPERLINK("https://www.boe.es/gazeta/dias/1801/05/15/pdfs/GMD-1801-39.pdf#page=12","Abrir facsímil")</f>
        <v>Abrir facsímil</v>
      </c>
      <c r="K3275" s="15" t="s">
        <v>23</v>
      </c>
    </row>
    <row r="3276" spans="1:11" ht="42" customHeight="1">
      <c r="A3276" s="4" t="s">
        <v>7562</v>
      </c>
      <c r="B3276" s="5" t="s">
        <v>7563</v>
      </c>
      <c r="C3276" s="5" t="s">
        <v>32</v>
      </c>
      <c r="D3276" s="5" t="s">
        <v>33</v>
      </c>
      <c r="E3276" s="5" t="s">
        <v>266</v>
      </c>
      <c r="F3276" s="9">
        <v>119</v>
      </c>
      <c r="G3276" s="9">
        <v>1304</v>
      </c>
      <c r="H3276" s="5" t="s">
        <v>21</v>
      </c>
      <c r="I3276" s="5" t="s">
        <v>7564</v>
      </c>
      <c r="J3276" s="12" t="str">
        <f>HYPERLINK("https://www.boe.es/gazeta/dias/1801/12/29/pdfs/GMD-1801-119.pdf#page=8","Abrir facsímil")</f>
        <v>Abrir facsímil</v>
      </c>
      <c r="K3276" s="15" t="s">
        <v>23</v>
      </c>
    </row>
    <row r="3277" spans="1:11" ht="42" customHeight="1">
      <c r="A3277" s="4" t="s">
        <v>7565</v>
      </c>
      <c r="B3277" s="5" t="s">
        <v>7566</v>
      </c>
      <c r="C3277" s="5" t="s">
        <v>32</v>
      </c>
      <c r="D3277" s="5" t="s">
        <v>33</v>
      </c>
      <c r="E3277" s="5" t="s">
        <v>66</v>
      </c>
      <c r="F3277" s="9">
        <v>52</v>
      </c>
      <c r="G3277" s="9">
        <v>607</v>
      </c>
      <c r="H3277" s="5" t="s">
        <v>21</v>
      </c>
      <c r="I3277" s="5" t="s">
        <v>7567</v>
      </c>
      <c r="J3277" s="12" t="str">
        <f>HYPERLINK("https://www.boe.es/gazeta/dias/1801/06/12/pdfs/GMD-1801-52.pdf#page=6","Abrir facsímil")</f>
        <v>Abrir facsímil</v>
      </c>
      <c r="K3277" s="15" t="s">
        <v>23</v>
      </c>
    </row>
    <row r="3278" spans="1:11" ht="42" customHeight="1">
      <c r="A3278" s="4" t="s">
        <v>7568</v>
      </c>
      <c r="B3278" s="5" t="s">
        <v>7569</v>
      </c>
      <c r="C3278" s="5" t="s">
        <v>69</v>
      </c>
      <c r="D3278" s="5" t="s">
        <v>19</v>
      </c>
      <c r="E3278" s="5" t="s">
        <v>137</v>
      </c>
      <c r="F3278" s="9">
        <v>30</v>
      </c>
      <c r="G3278" s="9">
        <v>394</v>
      </c>
      <c r="H3278" s="5" t="s">
        <v>21</v>
      </c>
      <c r="I3278" s="5" t="s">
        <v>7570</v>
      </c>
      <c r="J3278" s="12" t="str">
        <f>HYPERLINK("https://www.boe.es/gazeta/dias/1801/04/14/pdfs/GMD-1801-30.pdf#page=10","Abrir facsímil")</f>
        <v>Abrir facsímil</v>
      </c>
      <c r="K3278" s="15" t="s">
        <v>23</v>
      </c>
    </row>
    <row r="3279" spans="1:11" ht="42" customHeight="1">
      <c r="A3279" s="4" t="s">
        <v>7571</v>
      </c>
      <c r="B3279" s="5" t="s">
        <v>7572</v>
      </c>
      <c r="C3279" s="5" t="s">
        <v>18</v>
      </c>
      <c r="D3279" s="5" t="s">
        <v>19</v>
      </c>
      <c r="E3279" s="5" t="s">
        <v>313</v>
      </c>
      <c r="F3279" s="9">
        <v>39</v>
      </c>
      <c r="G3279" s="9">
        <v>506</v>
      </c>
      <c r="H3279" s="5" t="s">
        <v>21</v>
      </c>
      <c r="I3279" s="5" t="s">
        <v>7573</v>
      </c>
      <c r="J3279" s="12" t="str">
        <f>HYPERLINK("https://www.boe.es/gazeta/dias/1801/05/15/pdfs/GMD-1801-39.pdf#page=10","Abrir facsímil")</f>
        <v>Abrir facsímil</v>
      </c>
      <c r="K3279" s="15" t="s">
        <v>23</v>
      </c>
    </row>
    <row r="3280" spans="1:11" ht="42" customHeight="1">
      <c r="A3280" s="4" t="s">
        <v>7574</v>
      </c>
      <c r="B3280" s="5" t="s">
        <v>7575</v>
      </c>
      <c r="C3280" s="5" t="s">
        <v>18</v>
      </c>
      <c r="D3280" s="5" t="s">
        <v>19</v>
      </c>
      <c r="E3280" s="5" t="s">
        <v>182</v>
      </c>
      <c r="F3280" s="9">
        <v>18</v>
      </c>
      <c r="G3280" s="9">
        <v>232</v>
      </c>
      <c r="H3280" s="5" t="s">
        <v>21</v>
      </c>
      <c r="I3280" s="5" t="s">
        <v>7576</v>
      </c>
      <c r="J3280" s="12" t="str">
        <f>HYPERLINK("https://www.boe.es/gazeta/dias/1801/03/03/pdfs/GMD-C-1801-18.pdf#page=1","Abrir facsímil")</f>
        <v>Abrir facsímil</v>
      </c>
      <c r="K3280" s="15" t="s">
        <v>23</v>
      </c>
    </row>
    <row r="3281" spans="1:11" ht="42" customHeight="1">
      <c r="A3281" s="4" t="s">
        <v>7574</v>
      </c>
      <c r="B3281" s="5" t="s">
        <v>7575</v>
      </c>
      <c r="C3281" s="5" t="s">
        <v>18</v>
      </c>
      <c r="D3281" s="5" t="s">
        <v>19</v>
      </c>
      <c r="E3281" s="5" t="s">
        <v>131</v>
      </c>
      <c r="F3281" s="9">
        <v>22</v>
      </c>
      <c r="G3281" s="9">
        <v>293</v>
      </c>
      <c r="H3281" s="5" t="s">
        <v>21</v>
      </c>
      <c r="I3281" s="5" t="s">
        <v>7577</v>
      </c>
      <c r="J3281" s="12" t="str">
        <f>HYPERLINK("https://www.boe.es/gazeta/dias/1801/03/17/pdfs/GMD-1801-22.pdf#page=10","Abrir facsímil")</f>
        <v>Abrir facsímil</v>
      </c>
      <c r="K3281" s="15" t="s">
        <v>23</v>
      </c>
    </row>
    <row r="3282" spans="1:11" ht="42" customHeight="1">
      <c r="A3282" s="4" t="s">
        <v>7574</v>
      </c>
      <c r="B3282" s="5" t="s">
        <v>7575</v>
      </c>
      <c r="C3282" s="5" t="s">
        <v>32</v>
      </c>
      <c r="D3282" s="5" t="s">
        <v>33</v>
      </c>
      <c r="E3282" s="5" t="s">
        <v>2430</v>
      </c>
      <c r="F3282" s="9">
        <v>27</v>
      </c>
      <c r="G3282" s="9">
        <v>356</v>
      </c>
      <c r="H3282" s="5" t="s">
        <v>21</v>
      </c>
      <c r="I3282" s="5" t="s">
        <v>7578</v>
      </c>
      <c r="J3282" s="12" t="str">
        <f>HYPERLINK("https://www.boe.es/gazeta/dias/1801/04/03/pdfs/GMD-1801-27.pdf#page=8","Abrir facsímil")</f>
        <v>Abrir facsímil</v>
      </c>
      <c r="K3282" s="15" t="s">
        <v>23</v>
      </c>
    </row>
    <row r="3283" spans="1:11" ht="42" customHeight="1">
      <c r="A3283" s="4" t="s">
        <v>7574</v>
      </c>
      <c r="B3283" s="5" t="s">
        <v>7575</v>
      </c>
      <c r="C3283" s="5" t="s">
        <v>18</v>
      </c>
      <c r="D3283" s="5" t="s">
        <v>19</v>
      </c>
      <c r="E3283" s="5" t="s">
        <v>97</v>
      </c>
      <c r="F3283" s="9">
        <v>31</v>
      </c>
      <c r="G3283" s="9">
        <v>404</v>
      </c>
      <c r="H3283" s="5" t="s">
        <v>21</v>
      </c>
      <c r="I3283" s="5" t="s">
        <v>7579</v>
      </c>
      <c r="J3283" s="12" t="str">
        <f>HYPERLINK("https://www.boe.es/gazeta/dias/1801/04/17/pdfs/GMD-1801-31.pdf#page=8","Abrir facsímil")</f>
        <v>Abrir facsímil</v>
      </c>
      <c r="K3283" s="15" t="s">
        <v>23</v>
      </c>
    </row>
    <row r="3284" spans="1:11" ht="42" customHeight="1">
      <c r="A3284" s="4" t="s">
        <v>7574</v>
      </c>
      <c r="B3284" s="5" t="s">
        <v>7575</v>
      </c>
      <c r="C3284" s="5" t="s">
        <v>32</v>
      </c>
      <c r="D3284" s="5" t="s">
        <v>33</v>
      </c>
      <c r="E3284" s="5" t="s">
        <v>352</v>
      </c>
      <c r="F3284" s="9">
        <v>43</v>
      </c>
      <c r="G3284" s="9">
        <v>539</v>
      </c>
      <c r="H3284" s="5" t="s">
        <v>21</v>
      </c>
      <c r="I3284" s="5" t="s">
        <v>7580</v>
      </c>
      <c r="J3284" s="12" t="str">
        <f>HYPERLINK("https://www.boe.es/gazeta/dias/1801/05/26/pdfs/GMD-1801-43.pdf#page=11","Abrir facsímil")</f>
        <v>Abrir facsímil</v>
      </c>
      <c r="K3284" s="15" t="s">
        <v>23</v>
      </c>
    </row>
    <row r="3285" spans="1:11" ht="42" customHeight="1">
      <c r="A3285" s="4" t="s">
        <v>7574</v>
      </c>
      <c r="B3285" s="5" t="s">
        <v>7575</v>
      </c>
      <c r="C3285" s="5" t="s">
        <v>69</v>
      </c>
      <c r="D3285" s="5" t="s">
        <v>19</v>
      </c>
      <c r="E3285" s="5" t="s">
        <v>165</v>
      </c>
      <c r="F3285" s="9">
        <v>59</v>
      </c>
      <c r="G3285" s="9">
        <v>678</v>
      </c>
      <c r="H3285" s="5" t="s">
        <v>21</v>
      </c>
      <c r="I3285" s="5" t="s">
        <v>7581</v>
      </c>
      <c r="J3285" s="12" t="str">
        <f>HYPERLINK("https://www.boe.es/gazeta/dias/1801/06/23/pdfs/GMD-1801-59.pdf#page=11","Abrir facsímil")</f>
        <v>Abrir facsímil</v>
      </c>
      <c r="K3285" s="15" t="s">
        <v>23</v>
      </c>
    </row>
    <row r="3286" spans="1:11" ht="42" customHeight="1">
      <c r="A3286" s="4" t="s">
        <v>7574</v>
      </c>
      <c r="B3286" s="5" t="s">
        <v>7575</v>
      </c>
      <c r="C3286" s="5" t="s">
        <v>32</v>
      </c>
      <c r="D3286" s="5" t="s">
        <v>33</v>
      </c>
      <c r="E3286" s="5" t="s">
        <v>40</v>
      </c>
      <c r="F3286" s="9">
        <v>63</v>
      </c>
      <c r="G3286" s="9">
        <v>714</v>
      </c>
      <c r="H3286" s="5" t="s">
        <v>21</v>
      </c>
      <c r="I3286" s="5" t="s">
        <v>7582</v>
      </c>
      <c r="J3286" s="12" t="str">
        <f>HYPERLINK("https://www.boe.es/gazeta/dias/1801/07/03/pdfs/GMD-1801-63.pdf#page=11","Abrir facsímil")</f>
        <v>Abrir facsímil</v>
      </c>
      <c r="K3286" s="15" t="s">
        <v>23</v>
      </c>
    </row>
    <row r="3287" spans="1:11" ht="42" customHeight="1">
      <c r="A3287" s="4" t="s">
        <v>7574</v>
      </c>
      <c r="B3287" s="5" t="s">
        <v>7575</v>
      </c>
      <c r="C3287" s="5" t="s">
        <v>32</v>
      </c>
      <c r="D3287" s="5" t="s">
        <v>33</v>
      </c>
      <c r="E3287" s="5" t="s">
        <v>223</v>
      </c>
      <c r="F3287" s="9">
        <v>74</v>
      </c>
      <c r="G3287" s="9">
        <v>829</v>
      </c>
      <c r="H3287" s="5" t="s">
        <v>21</v>
      </c>
      <c r="I3287" s="5" t="s">
        <v>7583</v>
      </c>
      <c r="J3287" s="12" t="str">
        <f>HYPERLINK("https://www.boe.es/gazeta/dias/1801/07/31/pdfs/GMD-1801-74.pdf#page=10","Abrir facsímil")</f>
        <v>Abrir facsímil</v>
      </c>
      <c r="K3287" s="15" t="s">
        <v>23</v>
      </c>
    </row>
    <row r="3288" spans="1:11" ht="42" customHeight="1">
      <c r="A3288" s="4" t="s">
        <v>7574</v>
      </c>
      <c r="B3288" s="5" t="s">
        <v>7575</v>
      </c>
      <c r="C3288" s="5" t="s">
        <v>18</v>
      </c>
      <c r="D3288" s="5" t="s">
        <v>19</v>
      </c>
      <c r="E3288" s="5" t="s">
        <v>640</v>
      </c>
      <c r="F3288" s="9">
        <v>81</v>
      </c>
      <c r="G3288" s="9">
        <v>911</v>
      </c>
      <c r="H3288" s="5" t="s">
        <v>21</v>
      </c>
      <c r="I3288" s="5" t="s">
        <v>7584</v>
      </c>
      <c r="J3288" s="12" t="str">
        <f>HYPERLINK("https://www.boe.es/gazeta/dias/1801/08/25/pdfs/GMD-1801-81.pdf#page=8","Abrir facsímil")</f>
        <v>Abrir facsímil</v>
      </c>
      <c r="K3288" s="15" t="s">
        <v>23</v>
      </c>
    </row>
    <row r="3289" spans="1:11" ht="42" customHeight="1">
      <c r="A3289" s="4" t="s">
        <v>7574</v>
      </c>
      <c r="B3289" s="5" t="s">
        <v>7575</v>
      </c>
      <c r="C3289" s="5" t="s">
        <v>18</v>
      </c>
      <c r="D3289" s="5" t="s">
        <v>19</v>
      </c>
      <c r="E3289" s="5" t="s">
        <v>888</v>
      </c>
      <c r="F3289" s="9">
        <v>103</v>
      </c>
      <c r="G3289" s="9">
        <v>1137</v>
      </c>
      <c r="H3289" s="5" t="s">
        <v>21</v>
      </c>
      <c r="I3289" s="5" t="s">
        <v>7585</v>
      </c>
      <c r="J3289" s="12" t="str">
        <f>HYPERLINK("https://www.boe.es/gazeta/dias/1801/11/03/pdfs/GMD-1801-103.pdf#page=10","Abrir facsímil")</f>
        <v>Abrir facsímil</v>
      </c>
      <c r="K3289" s="15" t="s">
        <v>23</v>
      </c>
    </row>
    <row r="3290" spans="1:11" ht="42" customHeight="1">
      <c r="A3290" s="4" t="s">
        <v>7574</v>
      </c>
      <c r="B3290" s="5" t="s">
        <v>7575</v>
      </c>
      <c r="C3290" s="5" t="s">
        <v>32</v>
      </c>
      <c r="D3290" s="5" t="s">
        <v>33</v>
      </c>
      <c r="E3290" s="5" t="s">
        <v>112</v>
      </c>
      <c r="F3290" s="9">
        <v>114</v>
      </c>
      <c r="G3290" s="9">
        <v>1249</v>
      </c>
      <c r="H3290" s="5" t="s">
        <v>21</v>
      </c>
      <c r="I3290" s="5" t="s">
        <v>7586</v>
      </c>
      <c r="J3290" s="12" t="str">
        <f>HYPERLINK("https://www.boe.es/gazeta/dias/1801/12/11/pdfs/GMD-1801-114.pdf#page=11","Abrir facsímil")</f>
        <v>Abrir facsímil</v>
      </c>
      <c r="K3290" s="15" t="s">
        <v>23</v>
      </c>
    </row>
    <row r="3291" spans="1:11" ht="42" customHeight="1">
      <c r="A3291" s="4" t="s">
        <v>7574</v>
      </c>
      <c r="B3291" s="5" t="s">
        <v>7575</v>
      </c>
      <c r="C3291" s="5" t="s">
        <v>18</v>
      </c>
      <c r="D3291" s="5" t="s">
        <v>19</v>
      </c>
      <c r="E3291" s="5" t="s">
        <v>266</v>
      </c>
      <c r="F3291" s="9">
        <v>119</v>
      </c>
      <c r="G3291" s="9">
        <v>1304</v>
      </c>
      <c r="H3291" s="5" t="s">
        <v>21</v>
      </c>
      <c r="I3291" s="5" t="s">
        <v>7587</v>
      </c>
      <c r="J3291" s="12" t="str">
        <f>HYPERLINK("https://www.boe.es/gazeta/dias/1801/12/29/pdfs/GMD-1801-119.pdf#page=8","Abrir facsímil")</f>
        <v>Abrir facsímil</v>
      </c>
      <c r="K3291" s="15" t="s">
        <v>23</v>
      </c>
    </row>
    <row r="3292" spans="1:11" ht="42" customHeight="1">
      <c r="A3292" s="4" t="s">
        <v>7588</v>
      </c>
      <c r="B3292" s="5" t="s">
        <v>7589</v>
      </c>
      <c r="C3292" s="5" t="s">
        <v>18</v>
      </c>
      <c r="D3292" s="5" t="s">
        <v>19</v>
      </c>
      <c r="E3292" s="5" t="s">
        <v>448</v>
      </c>
      <c r="F3292" s="9">
        <v>35</v>
      </c>
      <c r="G3292" s="9">
        <v>455</v>
      </c>
      <c r="H3292" s="5" t="s">
        <v>21</v>
      </c>
      <c r="I3292" s="5" t="s">
        <v>7590</v>
      </c>
      <c r="J3292" s="12" t="str">
        <f>HYPERLINK("https://www.boe.es/gazeta/dias/1801/05/01/pdfs/GMD-1801-35.pdf#page=11","Abrir facsímil")</f>
        <v>Abrir facsímil</v>
      </c>
      <c r="K3292" s="15" t="s">
        <v>23</v>
      </c>
    </row>
    <row r="3293" spans="1:11" ht="42" customHeight="1">
      <c r="A3293" s="4" t="s">
        <v>7591</v>
      </c>
      <c r="B3293" s="5" t="s">
        <v>7592</v>
      </c>
      <c r="C3293" s="5" t="s">
        <v>32</v>
      </c>
      <c r="D3293" s="5" t="s">
        <v>33</v>
      </c>
      <c r="E3293" s="5" t="s">
        <v>48</v>
      </c>
      <c r="F3293" s="9">
        <v>20</v>
      </c>
      <c r="G3293" s="9">
        <v>265</v>
      </c>
      <c r="H3293" s="5" t="s">
        <v>21</v>
      </c>
      <c r="I3293" s="5" t="s">
        <v>7593</v>
      </c>
      <c r="J3293" s="12" t="str">
        <f>HYPERLINK("https://www.boe.es/gazeta/dias/1801/03/10/pdfs/GMD-1801-20.pdf#page=10","Abrir facsímil")</f>
        <v>Abrir facsímil</v>
      </c>
      <c r="K3293" s="15" t="s">
        <v>23</v>
      </c>
    </row>
    <row r="3294" spans="1:11" ht="42" customHeight="1">
      <c r="A3294" s="4" t="s">
        <v>7591</v>
      </c>
      <c r="B3294" s="5" t="s">
        <v>7592</v>
      </c>
      <c r="C3294" s="5" t="s">
        <v>32</v>
      </c>
      <c r="D3294" s="5" t="s">
        <v>33</v>
      </c>
      <c r="E3294" s="5" t="s">
        <v>171</v>
      </c>
      <c r="F3294" s="9">
        <v>76</v>
      </c>
      <c r="G3294" s="9">
        <v>852</v>
      </c>
      <c r="H3294" s="5" t="s">
        <v>21</v>
      </c>
      <c r="I3294" s="5" t="s">
        <v>7594</v>
      </c>
      <c r="J3294" s="12" t="str">
        <f>HYPERLINK("https://www.boe.es/gazeta/dias/1801/08/07/pdfs/GMD-1801-76.pdf#page=9","Abrir facsímil")</f>
        <v>Abrir facsímil</v>
      </c>
      <c r="K3294" s="15" t="s">
        <v>23</v>
      </c>
    </row>
    <row r="3295" spans="1:11" ht="42" customHeight="1">
      <c r="A3295" s="4" t="s">
        <v>7591</v>
      </c>
      <c r="B3295" s="5" t="s">
        <v>7592</v>
      </c>
      <c r="C3295" s="5" t="s">
        <v>32</v>
      </c>
      <c r="D3295" s="5" t="s">
        <v>33</v>
      </c>
      <c r="E3295" s="5" t="s">
        <v>44</v>
      </c>
      <c r="F3295" s="9">
        <v>117</v>
      </c>
      <c r="G3295" s="9">
        <v>1281</v>
      </c>
      <c r="H3295" s="5" t="s">
        <v>21</v>
      </c>
      <c r="I3295" s="5" t="s">
        <v>7595</v>
      </c>
      <c r="J3295" s="12" t="str">
        <f>HYPERLINK("https://www.boe.es/gazeta/dias/1801/12/22/pdfs/GMD-1801-117.pdf#page=8","Abrir facsímil")</f>
        <v>Abrir facsímil</v>
      </c>
      <c r="K3295" s="15" t="s">
        <v>23</v>
      </c>
    </row>
    <row r="3296" spans="1:11" ht="42" customHeight="1">
      <c r="A3296" s="4" t="s">
        <v>7596</v>
      </c>
      <c r="B3296" s="5" t="s">
        <v>7597</v>
      </c>
      <c r="C3296" s="5" t="s">
        <v>32</v>
      </c>
      <c r="D3296" s="5" t="s">
        <v>33</v>
      </c>
      <c r="E3296" s="5" t="s">
        <v>145</v>
      </c>
      <c r="F3296" s="9">
        <v>36</v>
      </c>
      <c r="G3296" s="9">
        <v>468</v>
      </c>
      <c r="H3296" s="5" t="s">
        <v>21</v>
      </c>
      <c r="I3296" s="5" t="s">
        <v>7598</v>
      </c>
      <c r="J3296" s="12" t="str">
        <f>HYPERLINK("https://www.boe.es/gazeta/dias/1801/05/05/pdfs/GMD-1801-36.pdf#page=12","Abrir facsímil")</f>
        <v>Abrir facsímil</v>
      </c>
      <c r="K3296" s="15" t="s">
        <v>23</v>
      </c>
    </row>
    <row r="3297" spans="1:11" ht="42" customHeight="1">
      <c r="A3297" s="4" t="s">
        <v>7599</v>
      </c>
      <c r="B3297" s="5" t="s">
        <v>7600</v>
      </c>
      <c r="C3297" s="5" t="s">
        <v>32</v>
      </c>
      <c r="D3297" s="5" t="s">
        <v>33</v>
      </c>
      <c r="E3297" s="5" t="s">
        <v>90</v>
      </c>
      <c r="F3297" s="9">
        <v>1</v>
      </c>
      <c r="G3297" s="9">
        <v>8</v>
      </c>
      <c r="H3297" s="5" t="s">
        <v>21</v>
      </c>
      <c r="I3297" s="5" t="s">
        <v>7601</v>
      </c>
      <c r="J3297" s="12" t="str">
        <f>HYPERLINK("https://www.boe.es/gazeta/dias/1801/01/02/pdfs/GMD-1801-1.pdf#page=8","Abrir facsímil")</f>
        <v>Abrir facsímil</v>
      </c>
      <c r="K3297" s="15" t="s">
        <v>23</v>
      </c>
    </row>
    <row r="3298" spans="1:11" ht="42" customHeight="1">
      <c r="A3298" s="4" t="s">
        <v>7599</v>
      </c>
      <c r="B3298" s="5" t="s">
        <v>7600</v>
      </c>
      <c r="C3298" s="5" t="s">
        <v>32</v>
      </c>
      <c r="D3298" s="5" t="s">
        <v>33</v>
      </c>
      <c r="E3298" s="5" t="s">
        <v>366</v>
      </c>
      <c r="F3298" s="9">
        <v>86</v>
      </c>
      <c r="G3298" s="9">
        <v>955</v>
      </c>
      <c r="H3298" s="5" t="s">
        <v>21</v>
      </c>
      <c r="I3298" s="5" t="s">
        <v>7602</v>
      </c>
      <c r="J3298" s="12" t="str">
        <f>HYPERLINK("https://www.boe.es/gazeta/dias/1801/09/08/pdfs/GMD-1801-86.pdf#page=6","Abrir facsímil")</f>
        <v>Abrir facsímil</v>
      </c>
      <c r="K3298" s="15" t="s">
        <v>23</v>
      </c>
    </row>
    <row r="3299" spans="1:11" ht="42" customHeight="1">
      <c r="A3299" s="4" t="s">
        <v>7603</v>
      </c>
      <c r="B3299" s="5" t="s">
        <v>7604</v>
      </c>
      <c r="C3299" s="5" t="s">
        <v>80</v>
      </c>
      <c r="D3299" s="5" t="s">
        <v>81</v>
      </c>
      <c r="E3299" s="5" t="s">
        <v>289</v>
      </c>
      <c r="F3299" s="9">
        <v>40</v>
      </c>
      <c r="G3299" s="9" t="s">
        <v>83</v>
      </c>
      <c r="H3299" s="5" t="s">
        <v>21</v>
      </c>
      <c r="I3299" s="5" t="s">
        <v>7605</v>
      </c>
      <c r="J3299" s="12" t="str">
        <f>HYPERLINK("https://www.boe.es/gazeta/dias/1801/05/19/pdfs/GMD-C-1801-40.pdf#page=2","Abrir facsímil")</f>
        <v>Abrir facsímil</v>
      </c>
      <c r="K3299" s="15" t="s">
        <v>23</v>
      </c>
    </row>
    <row r="3300" spans="1:11" ht="42" customHeight="1">
      <c r="A3300" s="4" t="s">
        <v>7606</v>
      </c>
      <c r="B3300" s="5" t="s">
        <v>7607</v>
      </c>
      <c r="C3300" s="5" t="s">
        <v>32</v>
      </c>
      <c r="D3300" s="5" t="s">
        <v>33</v>
      </c>
      <c r="E3300" s="5" t="s">
        <v>275</v>
      </c>
      <c r="F3300" s="9">
        <v>9</v>
      </c>
      <c r="G3300" s="9">
        <v>113</v>
      </c>
      <c r="H3300" s="5" t="s">
        <v>21</v>
      </c>
      <c r="I3300" s="5" t="s">
        <v>7608</v>
      </c>
      <c r="J3300" s="12" t="str">
        <f>HYPERLINK("https://www.boe.es/gazeta/dias/1801/01/30/pdfs/GMD-1801-9.pdf#page=10","Abrir facsímil")</f>
        <v>Abrir facsímil</v>
      </c>
      <c r="K3300" s="15" t="s">
        <v>23</v>
      </c>
    </row>
    <row r="3301" spans="1:11" ht="42" customHeight="1">
      <c r="A3301" s="4" t="s">
        <v>7609</v>
      </c>
      <c r="B3301" s="5" t="s">
        <v>7610</v>
      </c>
      <c r="C3301" s="5" t="s">
        <v>32</v>
      </c>
      <c r="D3301" s="5" t="s">
        <v>33</v>
      </c>
      <c r="E3301" s="5" t="s">
        <v>90</v>
      </c>
      <c r="F3301" s="9">
        <v>1</v>
      </c>
      <c r="G3301" s="9">
        <v>9</v>
      </c>
      <c r="H3301" s="5" t="s">
        <v>21</v>
      </c>
      <c r="I3301" s="5" t="s">
        <v>7611</v>
      </c>
      <c r="J3301" s="12" t="str">
        <f>HYPERLINK("https://www.boe.es/gazeta/dias/1801/01/02/pdfs/GMD-1801-1.pdf#page=9","Abrir facsímil")</f>
        <v>Abrir facsímil</v>
      </c>
      <c r="K3301" s="15" t="s">
        <v>23</v>
      </c>
    </row>
    <row r="3302" spans="1:11" ht="42" customHeight="1">
      <c r="A3302" s="4" t="s">
        <v>7612</v>
      </c>
      <c r="B3302" s="5" t="s">
        <v>7613</v>
      </c>
      <c r="C3302" s="5" t="s">
        <v>32</v>
      </c>
      <c r="D3302" s="5" t="s">
        <v>33</v>
      </c>
      <c r="E3302" s="5" t="s">
        <v>378</v>
      </c>
      <c r="F3302" s="9">
        <v>23</v>
      </c>
      <c r="G3302" s="9">
        <v>306</v>
      </c>
      <c r="H3302" s="5" t="s">
        <v>21</v>
      </c>
      <c r="I3302" s="5" t="s">
        <v>7614</v>
      </c>
      <c r="J3302" s="12" t="str">
        <f>HYPERLINK("https://www.boe.es/gazeta/dias/1801/03/20/pdfs/GMD-1801-23.pdf#page=9","Abrir facsímil")</f>
        <v>Abrir facsímil</v>
      </c>
      <c r="K3302" s="15" t="s">
        <v>23</v>
      </c>
    </row>
    <row r="3303" spans="1:11" ht="42" customHeight="1">
      <c r="A3303" s="4" t="s">
        <v>7615</v>
      </c>
      <c r="B3303" s="5" t="s">
        <v>7616</v>
      </c>
      <c r="C3303" s="5" t="s">
        <v>26</v>
      </c>
      <c r="D3303" s="5" t="s">
        <v>27</v>
      </c>
      <c r="E3303" s="5" t="s">
        <v>99</v>
      </c>
      <c r="F3303" s="9">
        <v>32</v>
      </c>
      <c r="G3303" s="9">
        <v>416</v>
      </c>
      <c r="H3303" s="5" t="s">
        <v>21</v>
      </c>
      <c r="I3303" s="5" t="s">
        <v>7617</v>
      </c>
      <c r="J3303" s="12" t="str">
        <f>HYPERLINK("https://www.boe.es/gazeta/dias/1801/04/21/pdfs/GMD-1801-32.pdf#page=12","Abrir facsímil")</f>
        <v>Abrir facsímil</v>
      </c>
      <c r="K3303" s="15" t="s">
        <v>23</v>
      </c>
    </row>
    <row r="3304" spans="1:11" ht="42" customHeight="1">
      <c r="A3304" s="4" t="s">
        <v>7615</v>
      </c>
      <c r="B3304" s="5" t="s">
        <v>7616</v>
      </c>
      <c r="C3304" s="5" t="s">
        <v>26</v>
      </c>
      <c r="D3304" s="5" t="s">
        <v>27</v>
      </c>
      <c r="E3304" s="5" t="s">
        <v>448</v>
      </c>
      <c r="F3304" s="9">
        <v>35</v>
      </c>
      <c r="G3304" s="9">
        <v>456</v>
      </c>
      <c r="H3304" s="5" t="s">
        <v>21</v>
      </c>
      <c r="I3304" s="5" t="s">
        <v>7618</v>
      </c>
      <c r="J3304" s="12" t="str">
        <f>HYPERLINK("https://www.boe.es/gazeta/dias/1801/05/01/pdfs/GMD-1801-35.pdf#page=12","Abrir facsímil")</f>
        <v>Abrir facsímil</v>
      </c>
      <c r="K3304" s="15" t="s">
        <v>23</v>
      </c>
    </row>
    <row r="3305" spans="1:11" ht="42" customHeight="1">
      <c r="A3305" s="4" t="s">
        <v>7615</v>
      </c>
      <c r="B3305" s="5" t="s">
        <v>7616</v>
      </c>
      <c r="C3305" s="5" t="s">
        <v>26</v>
      </c>
      <c r="D3305" s="5" t="s">
        <v>27</v>
      </c>
      <c r="E3305" s="5" t="s">
        <v>34</v>
      </c>
      <c r="F3305" s="9">
        <v>38</v>
      </c>
      <c r="G3305" s="9">
        <v>495</v>
      </c>
      <c r="H3305" s="5" t="s">
        <v>21</v>
      </c>
      <c r="I3305" s="5" t="s">
        <v>7619</v>
      </c>
      <c r="J3305" s="12" t="str">
        <f>HYPERLINK("https://www.boe.es/gazeta/dias/1801/05/12/pdfs/GMD-1801-38.pdf#page=11","Abrir facsímil")</f>
        <v>Abrir facsímil</v>
      </c>
      <c r="K3305" s="15" t="s">
        <v>23</v>
      </c>
    </row>
    <row r="3306" spans="1:11" ht="42" customHeight="1">
      <c r="A3306" s="4" t="s">
        <v>7620</v>
      </c>
      <c r="B3306" s="5" t="s">
        <v>7621</v>
      </c>
      <c r="C3306" s="5" t="s">
        <v>75</v>
      </c>
      <c r="D3306" s="5" t="s">
        <v>76</v>
      </c>
      <c r="E3306" s="5" t="s">
        <v>764</v>
      </c>
      <c r="F3306" s="9">
        <v>80</v>
      </c>
      <c r="G3306" s="9">
        <v>896</v>
      </c>
      <c r="H3306" s="5" t="s">
        <v>21</v>
      </c>
      <c r="I3306" s="5" t="s">
        <v>7622</v>
      </c>
      <c r="J3306" s="12" t="str">
        <f>HYPERLINK("https://www.boe.es/gazeta/dias/1801/08/21/pdfs/GMD-1801-80.pdf#page=5","Abrir facsímil")</f>
        <v>Abrir facsímil</v>
      </c>
      <c r="K3306" s="15" t="s">
        <v>23</v>
      </c>
    </row>
    <row r="3307" spans="1:11" ht="42" customHeight="1">
      <c r="A3307" s="4" t="s">
        <v>7623</v>
      </c>
      <c r="B3307" s="5" t="s">
        <v>7624</v>
      </c>
      <c r="C3307" s="5" t="s">
        <v>75</v>
      </c>
      <c r="D3307" s="5" t="s">
        <v>76</v>
      </c>
      <c r="E3307" s="5" t="s">
        <v>151</v>
      </c>
      <c r="F3307" s="9">
        <v>45</v>
      </c>
      <c r="G3307" s="9">
        <v>556</v>
      </c>
      <c r="H3307" s="5" t="s">
        <v>21</v>
      </c>
      <c r="I3307" s="5" t="s">
        <v>7625</v>
      </c>
      <c r="J3307" s="12" t="str">
        <f>HYPERLINK("https://www.boe.es/gazeta/dias/1801/06/02/pdfs/GMD-1801-45.pdf#page=4","Abrir facsímil")</f>
        <v>Abrir facsímil</v>
      </c>
      <c r="K3307" s="15" t="s">
        <v>23</v>
      </c>
    </row>
    <row r="3308" spans="1:11" ht="42" customHeight="1">
      <c r="A3308" s="4" t="s">
        <v>7623</v>
      </c>
      <c r="B3308" s="5" t="s">
        <v>7624</v>
      </c>
      <c r="C3308" s="5" t="s">
        <v>32</v>
      </c>
      <c r="D3308" s="5" t="s">
        <v>33</v>
      </c>
      <c r="E3308" s="5" t="s">
        <v>155</v>
      </c>
      <c r="F3308" s="9">
        <v>50</v>
      </c>
      <c r="G3308" s="9">
        <v>591</v>
      </c>
      <c r="H3308" s="5" t="s">
        <v>21</v>
      </c>
      <c r="I3308" s="5" t="s">
        <v>7626</v>
      </c>
      <c r="J3308" s="12" t="str">
        <f>HYPERLINK("https://www.boe.es/gazeta/dias/1801/06/09/pdfs/GMD-1801-50.pdf#page=3","Abrir facsímil")</f>
        <v>Abrir facsímil</v>
      </c>
      <c r="K3308" s="15" t="s">
        <v>23</v>
      </c>
    </row>
    <row r="3309" spans="1:11" ht="42" customHeight="1">
      <c r="A3309" s="4" t="s">
        <v>7623</v>
      </c>
      <c r="B3309" s="5" t="s">
        <v>7624</v>
      </c>
      <c r="C3309" s="5" t="s">
        <v>75</v>
      </c>
      <c r="D3309" s="5" t="s">
        <v>76</v>
      </c>
      <c r="E3309" s="5" t="s">
        <v>702</v>
      </c>
      <c r="F3309" s="9">
        <v>69</v>
      </c>
      <c r="G3309" s="9">
        <v>758</v>
      </c>
      <c r="H3309" s="5" t="s">
        <v>21</v>
      </c>
      <c r="I3309" s="5" t="s">
        <v>7627</v>
      </c>
      <c r="J3309" s="12" t="str">
        <f>HYPERLINK("https://www.boe.es/gazeta/dias/1801/07/14/pdfs/GMD-1801-69.pdf#page=3","Abrir facsímil")</f>
        <v>Abrir facsímil</v>
      </c>
      <c r="K3309" s="15" t="s">
        <v>23</v>
      </c>
    </row>
    <row r="3310" spans="1:11" ht="42" customHeight="1">
      <c r="A3310" s="4" t="s">
        <v>7623</v>
      </c>
      <c r="B3310" s="5" t="s">
        <v>7624</v>
      </c>
      <c r="C3310" s="5" t="s">
        <v>75</v>
      </c>
      <c r="D3310" s="5" t="s">
        <v>76</v>
      </c>
      <c r="E3310" s="5" t="s">
        <v>338</v>
      </c>
      <c r="F3310" s="9">
        <v>83</v>
      </c>
      <c r="G3310" s="9">
        <v>927</v>
      </c>
      <c r="H3310" s="5" t="s">
        <v>21</v>
      </c>
      <c r="I3310" s="5" t="s">
        <v>7628</v>
      </c>
      <c r="J3310" s="12" t="str">
        <f>HYPERLINK("https://www.boe.es/gazeta/dias/1801/09/01/pdfs/GMD-1801-83.pdf#page=2","Abrir facsímil")</f>
        <v>Abrir facsímil</v>
      </c>
      <c r="K3310" s="15" t="s">
        <v>23</v>
      </c>
    </row>
    <row r="3311" spans="1:11" ht="42" customHeight="1">
      <c r="A3311" s="4" t="s">
        <v>7623</v>
      </c>
      <c r="B3311" s="5" t="s">
        <v>7624</v>
      </c>
      <c r="C3311" s="5" t="s">
        <v>75</v>
      </c>
      <c r="D3311" s="5" t="s">
        <v>76</v>
      </c>
      <c r="E3311" s="5" t="s">
        <v>919</v>
      </c>
      <c r="F3311" s="9">
        <v>91</v>
      </c>
      <c r="G3311" s="9">
        <v>999</v>
      </c>
      <c r="H3311" s="5" t="s">
        <v>21</v>
      </c>
      <c r="I3311" s="5" t="s">
        <v>7629</v>
      </c>
      <c r="J3311" s="12" t="str">
        <f>HYPERLINK("https://www.boe.es/gazeta/dias/1801/09/22/pdfs/GMD-1801-91.pdf#page=2","Abrir facsímil")</f>
        <v>Abrir facsímil</v>
      </c>
      <c r="K3311" s="15" t="s">
        <v>23</v>
      </c>
    </row>
    <row r="3312" spans="1:11" ht="42" customHeight="1">
      <c r="A3312" s="4" t="s">
        <v>7623</v>
      </c>
      <c r="B3312" s="5" t="s">
        <v>7624</v>
      </c>
      <c r="C3312" s="5" t="s">
        <v>75</v>
      </c>
      <c r="D3312" s="5" t="s">
        <v>76</v>
      </c>
      <c r="E3312" s="5" t="s">
        <v>888</v>
      </c>
      <c r="F3312" s="9">
        <v>103</v>
      </c>
      <c r="G3312" s="9">
        <v>1129</v>
      </c>
      <c r="H3312" s="5" t="s">
        <v>21</v>
      </c>
      <c r="I3312" s="5" t="s">
        <v>7630</v>
      </c>
      <c r="J3312" s="12" t="str">
        <f>HYPERLINK("https://www.boe.es/gazeta/dias/1801/11/03/pdfs/GMD-1801-103.pdf#page=2","Abrir facsímil")</f>
        <v>Abrir facsímil</v>
      </c>
      <c r="K3312" s="15" t="s">
        <v>23</v>
      </c>
    </row>
    <row r="3313" spans="1:11" ht="42" customHeight="1">
      <c r="A3313" s="4" t="s">
        <v>7623</v>
      </c>
      <c r="B3313" s="5" t="s">
        <v>7624</v>
      </c>
      <c r="C3313" s="5" t="s">
        <v>32</v>
      </c>
      <c r="D3313" s="5" t="s">
        <v>33</v>
      </c>
      <c r="E3313" s="5" t="s">
        <v>712</v>
      </c>
      <c r="F3313" s="9">
        <v>105</v>
      </c>
      <c r="G3313" s="9">
        <v>1149</v>
      </c>
      <c r="H3313" s="5" t="s">
        <v>21</v>
      </c>
      <c r="I3313" s="5" t="s">
        <v>7631</v>
      </c>
      <c r="J3313" s="12" t="str">
        <f>HYPERLINK("https://www.boe.es/gazeta/dias/1801/11/10/pdfs/GMD-1801-105.pdf#page=2","Abrir facsímil")</f>
        <v>Abrir facsímil</v>
      </c>
      <c r="K3313" s="15" t="s">
        <v>23</v>
      </c>
    </row>
    <row r="3314" spans="1:11" ht="42" customHeight="1">
      <c r="A3314" s="4" t="s">
        <v>7623</v>
      </c>
      <c r="B3314" s="5" t="s">
        <v>7624</v>
      </c>
      <c r="C3314" s="5" t="s">
        <v>75</v>
      </c>
      <c r="D3314" s="5" t="s">
        <v>76</v>
      </c>
      <c r="E3314" s="5" t="s">
        <v>262</v>
      </c>
      <c r="F3314" s="9">
        <v>109</v>
      </c>
      <c r="G3314" s="9">
        <v>1202</v>
      </c>
      <c r="H3314" s="5" t="s">
        <v>21</v>
      </c>
      <c r="I3314" s="5" t="s">
        <v>7632</v>
      </c>
      <c r="J3314" s="12" t="str">
        <f>HYPERLINK("https://www.boe.es/gazeta/dias/1801/11/24/pdfs/GMD-1801-109.pdf#page=7","Abrir facsímil")</f>
        <v>Abrir facsímil</v>
      </c>
      <c r="K3314" s="15" t="s">
        <v>23</v>
      </c>
    </row>
    <row r="3315" spans="1:11" ht="42" customHeight="1">
      <c r="A3315" s="4" t="s">
        <v>7633</v>
      </c>
      <c r="B3315" s="5" t="s">
        <v>7634</v>
      </c>
      <c r="C3315" s="5" t="s">
        <v>75</v>
      </c>
      <c r="D3315" s="5" t="s">
        <v>76</v>
      </c>
      <c r="E3315" s="5" t="s">
        <v>254</v>
      </c>
      <c r="F3315" s="9">
        <v>73</v>
      </c>
      <c r="G3315" s="9">
        <v>809</v>
      </c>
      <c r="H3315" s="5" t="s">
        <v>21</v>
      </c>
      <c r="I3315" s="5" t="s">
        <v>7635</v>
      </c>
      <c r="J3315" s="12" t="str">
        <f>HYPERLINK("https://www.boe.es/gazeta/dias/1801/07/28/pdfs/GMD-1801-73.pdf#page=2","Abrir facsímil")</f>
        <v>Abrir facsímil</v>
      </c>
      <c r="K3315" s="15" t="s">
        <v>23</v>
      </c>
    </row>
    <row r="3316" spans="1:11" ht="42" customHeight="1">
      <c r="A3316" s="4" t="s">
        <v>7633</v>
      </c>
      <c r="B3316" s="5" t="s">
        <v>7634</v>
      </c>
      <c r="C3316" s="5" t="s">
        <v>32</v>
      </c>
      <c r="D3316" s="5" t="s">
        <v>33</v>
      </c>
      <c r="E3316" s="5" t="s">
        <v>82</v>
      </c>
      <c r="F3316" s="9">
        <v>75</v>
      </c>
      <c r="G3316" s="9">
        <v>839</v>
      </c>
      <c r="H3316" s="5" t="s">
        <v>21</v>
      </c>
      <c r="I3316" s="5" t="s">
        <v>7636</v>
      </c>
      <c r="J3316" s="12" t="str">
        <f>HYPERLINK("https://www.boe.es/gazeta/dias/1801/08/04/pdfs/GMD-1801-75.pdf#page=8","Abrir facsímil")</f>
        <v>Abrir facsímil</v>
      </c>
      <c r="K3316" s="15" t="s">
        <v>23</v>
      </c>
    </row>
    <row r="3317" spans="1:11" ht="42" customHeight="1">
      <c r="A3317" s="4" t="s">
        <v>7637</v>
      </c>
      <c r="B3317" s="5" t="s">
        <v>7638</v>
      </c>
      <c r="C3317" s="5" t="s">
        <v>38</v>
      </c>
      <c r="D3317" s="5" t="s">
        <v>39</v>
      </c>
      <c r="E3317" s="5" t="s">
        <v>82</v>
      </c>
      <c r="F3317" s="9">
        <v>75</v>
      </c>
      <c r="G3317" s="9">
        <v>839</v>
      </c>
      <c r="H3317" s="5" t="s">
        <v>21</v>
      </c>
      <c r="I3317" s="5" t="s">
        <v>7639</v>
      </c>
      <c r="J3317" s="12" t="str">
        <f>HYPERLINK("https://www.boe.es/gazeta/dias/1801/08/04/pdfs/GMD-1801-75.pdf#page=8","Abrir facsímil")</f>
        <v>Abrir facsímil</v>
      </c>
      <c r="K3317" s="15" t="s">
        <v>23</v>
      </c>
    </row>
    <row r="3318" spans="1:11" ht="42" customHeight="1">
      <c r="A3318" s="4" t="s">
        <v>7637</v>
      </c>
      <c r="B3318" s="5" t="s">
        <v>7638</v>
      </c>
      <c r="C3318" s="5" t="s">
        <v>38</v>
      </c>
      <c r="D3318" s="5" t="s">
        <v>39</v>
      </c>
      <c r="E3318" s="5" t="s">
        <v>201</v>
      </c>
      <c r="F3318" s="9">
        <v>79</v>
      </c>
      <c r="G3318" s="9">
        <v>888</v>
      </c>
      <c r="H3318" s="5" t="s">
        <v>21</v>
      </c>
      <c r="I3318" s="5" t="s">
        <v>7640</v>
      </c>
      <c r="J3318" s="12" t="str">
        <f>HYPERLINK("https://www.boe.es/gazeta/dias/1801/08/18/pdfs/GMD-1801-79.pdf#page=5","Abrir facsímil")</f>
        <v>Abrir facsímil</v>
      </c>
      <c r="K3318" s="15" t="s">
        <v>23</v>
      </c>
    </row>
    <row r="3319" spans="1:11" ht="42" customHeight="1">
      <c r="A3319" s="4" t="s">
        <v>7641</v>
      </c>
      <c r="B3319" s="5" t="s">
        <v>7641</v>
      </c>
      <c r="C3319" s="5" t="s">
        <v>32</v>
      </c>
      <c r="D3319" s="5" t="s">
        <v>33</v>
      </c>
      <c r="E3319" s="5" t="s">
        <v>505</v>
      </c>
      <c r="F3319" s="9">
        <v>94</v>
      </c>
      <c r="G3319" s="9">
        <v>1033</v>
      </c>
      <c r="H3319" s="5" t="s">
        <v>21</v>
      </c>
      <c r="I3319" s="5" t="s">
        <v>7642</v>
      </c>
      <c r="J3319" s="12" t="str">
        <f>HYPERLINK("https://www.boe.es/gazeta/dias/1801/10/02/pdfs/GMD-1801-94.pdf#page=9","Abrir facsímil")</f>
        <v>Abrir facsímil</v>
      </c>
      <c r="K3319" s="15" t="s">
        <v>23</v>
      </c>
    </row>
    <row r="3320" spans="1:11" ht="42" customHeight="1">
      <c r="A3320" s="4" t="s">
        <v>7643</v>
      </c>
      <c r="B3320" s="5" t="s">
        <v>7644</v>
      </c>
      <c r="C3320" s="5" t="s">
        <v>75</v>
      </c>
      <c r="D3320" s="5" t="s">
        <v>76</v>
      </c>
      <c r="E3320" s="5" t="s">
        <v>640</v>
      </c>
      <c r="F3320" s="9">
        <v>81</v>
      </c>
      <c r="G3320" s="9">
        <v>908</v>
      </c>
      <c r="H3320" s="5" t="s">
        <v>21</v>
      </c>
      <c r="I3320" s="5" t="s">
        <v>7645</v>
      </c>
      <c r="J3320" s="12" t="str">
        <f>HYPERLINK("https://www.boe.es/gazeta/dias/1801/08/25/pdfs/GMD-1801-81.pdf#page=5","Abrir facsímil")</f>
        <v>Abrir facsímil</v>
      </c>
      <c r="K3320" s="15" t="s">
        <v>23</v>
      </c>
    </row>
    <row r="3321" spans="1:11" ht="42" customHeight="1">
      <c r="A3321" s="4" t="s">
        <v>7646</v>
      </c>
      <c r="B3321" s="5" t="s">
        <v>7647</v>
      </c>
      <c r="C3321" s="5" t="s">
        <v>32</v>
      </c>
      <c r="D3321" s="5" t="s">
        <v>33</v>
      </c>
      <c r="E3321" s="5" t="s">
        <v>99</v>
      </c>
      <c r="F3321" s="9">
        <v>32</v>
      </c>
      <c r="G3321" s="9">
        <v>414</v>
      </c>
      <c r="H3321" s="5" t="s">
        <v>21</v>
      </c>
      <c r="I3321" s="5" t="s">
        <v>7648</v>
      </c>
      <c r="J3321" s="12" t="str">
        <f>HYPERLINK("https://www.boe.es/gazeta/dias/1801/04/21/pdfs/GMD-1801-32.pdf#page=10","Abrir facsímil")</f>
        <v>Abrir facsímil</v>
      </c>
      <c r="K3321" s="15" t="s">
        <v>23</v>
      </c>
    </row>
    <row r="3322" spans="1:11" ht="42" customHeight="1">
      <c r="A3322" s="4" t="s">
        <v>7649</v>
      </c>
      <c r="B3322" s="5" t="s">
        <v>7650</v>
      </c>
      <c r="C3322" s="5" t="s">
        <v>32</v>
      </c>
      <c r="D3322" s="5" t="s">
        <v>33</v>
      </c>
      <c r="E3322" s="5" t="s">
        <v>338</v>
      </c>
      <c r="F3322" s="9">
        <v>83</v>
      </c>
      <c r="G3322" s="9">
        <v>936</v>
      </c>
      <c r="H3322" s="5" t="s">
        <v>21</v>
      </c>
      <c r="I3322" s="5" t="s">
        <v>7651</v>
      </c>
      <c r="J3322" s="12" t="str">
        <f>HYPERLINK("https://www.boe.es/gazeta/dias/1801/09/01/pdfs/GMD-1801-83.pdf#page=11","Abrir facsímil")</f>
        <v>Abrir facsímil</v>
      </c>
      <c r="K3322" s="15" t="s">
        <v>23</v>
      </c>
    </row>
    <row r="3323" spans="1:11" ht="42" customHeight="1">
      <c r="A3323" s="4" t="s">
        <v>7652</v>
      </c>
      <c r="B3323" s="5" t="s">
        <v>7653</v>
      </c>
      <c r="C3323" s="5" t="s">
        <v>32</v>
      </c>
      <c r="D3323" s="5" t="s">
        <v>33</v>
      </c>
      <c r="E3323" s="5" t="s">
        <v>321</v>
      </c>
      <c r="F3323" s="9">
        <v>3</v>
      </c>
      <c r="G3323" s="9">
        <v>33</v>
      </c>
      <c r="H3323" s="5" t="s">
        <v>21</v>
      </c>
      <c r="I3323" s="5" t="s">
        <v>7654</v>
      </c>
      <c r="J3323" s="12" t="str">
        <f>HYPERLINK("https://www.boe.es/gazeta/dias/1801/01/09/pdfs/GMD-1801-3.pdf#page=9","Abrir facsímil")</f>
        <v>Abrir facsímil</v>
      </c>
      <c r="K3323" s="15" t="s">
        <v>23</v>
      </c>
    </row>
    <row r="3324" spans="1:11" ht="42" customHeight="1">
      <c r="A3324" s="4" t="s">
        <v>7655</v>
      </c>
      <c r="B3324" s="5" t="s">
        <v>7656</v>
      </c>
      <c r="C3324" s="5" t="s">
        <v>32</v>
      </c>
      <c r="D3324" s="5" t="s">
        <v>33</v>
      </c>
      <c r="E3324" s="5" t="s">
        <v>122</v>
      </c>
      <c r="F3324" s="9">
        <v>8</v>
      </c>
      <c r="G3324" s="9">
        <v>97</v>
      </c>
      <c r="H3324" s="5" t="s">
        <v>21</v>
      </c>
      <c r="I3324" s="5" t="s">
        <v>7657</v>
      </c>
      <c r="J3324" s="12" t="str">
        <f>HYPERLINK("https://www.boe.es/gazeta/dias/1801/01/27/pdfs/GMD-1801-8.pdf#page=9","Abrir facsímil")</f>
        <v>Abrir facsímil</v>
      </c>
      <c r="K3324" s="15" t="s">
        <v>23</v>
      </c>
    </row>
    <row r="3325" spans="1:11" ht="42" customHeight="1">
      <c r="A3325" s="4" t="s">
        <v>7658</v>
      </c>
      <c r="B3325" s="5" t="s">
        <v>7659</v>
      </c>
      <c r="C3325" s="5" t="s">
        <v>32</v>
      </c>
      <c r="D3325" s="5" t="s">
        <v>33</v>
      </c>
      <c r="E3325" s="5" t="s">
        <v>145</v>
      </c>
      <c r="F3325" s="9">
        <v>36</v>
      </c>
      <c r="G3325" s="9">
        <v>468</v>
      </c>
      <c r="H3325" s="5" t="s">
        <v>21</v>
      </c>
      <c r="I3325" s="5" t="s">
        <v>7660</v>
      </c>
      <c r="J3325" s="12" t="str">
        <f>HYPERLINK("https://www.boe.es/gazeta/dias/1801/05/05/pdfs/GMD-1801-36.pdf#page=12","Abrir facsímil")</f>
        <v>Abrir facsímil</v>
      </c>
      <c r="K3325" s="15" t="s">
        <v>23</v>
      </c>
    </row>
    <row r="3326" spans="1:11" ht="42" customHeight="1">
      <c r="A3326" s="4" t="s">
        <v>7661</v>
      </c>
      <c r="B3326" s="5" t="s">
        <v>7662</v>
      </c>
      <c r="C3326" s="5" t="s">
        <v>32</v>
      </c>
      <c r="D3326" s="5" t="s">
        <v>33</v>
      </c>
      <c r="E3326" s="5" t="s">
        <v>131</v>
      </c>
      <c r="F3326" s="9">
        <v>22</v>
      </c>
      <c r="G3326" s="9">
        <v>290</v>
      </c>
      <c r="H3326" s="5" t="s">
        <v>21</v>
      </c>
      <c r="I3326" s="5" t="s">
        <v>7663</v>
      </c>
      <c r="J3326" s="12" t="str">
        <f>HYPERLINK("https://www.boe.es/gazeta/dias/1801/03/17/pdfs/GMD-1801-22.pdf#page=7","Abrir facsímil")</f>
        <v>Abrir facsímil</v>
      </c>
      <c r="K3326" s="15" t="s">
        <v>23</v>
      </c>
    </row>
    <row r="3327" spans="1:11" ht="42" customHeight="1">
      <c r="A3327" s="4" t="s">
        <v>7664</v>
      </c>
      <c r="B3327" s="5" t="s">
        <v>7665</v>
      </c>
      <c r="C3327" s="5" t="s">
        <v>80</v>
      </c>
      <c r="D3327" s="5" t="s">
        <v>81</v>
      </c>
      <c r="E3327" s="5" t="s">
        <v>289</v>
      </c>
      <c r="F3327" s="9">
        <v>40</v>
      </c>
      <c r="G3327" s="9" t="s">
        <v>299</v>
      </c>
      <c r="H3327" s="5" t="s">
        <v>21</v>
      </c>
      <c r="I3327" s="5" t="s">
        <v>7666</v>
      </c>
      <c r="J3327" s="12" t="str">
        <f>HYPERLINK("https://www.boe.es/gazeta/dias/1801/05/19/pdfs/GMD-C-1801-40.pdf#page=5","Abrir facsímil")</f>
        <v>Abrir facsímil</v>
      </c>
      <c r="K3327" s="15" t="s">
        <v>23</v>
      </c>
    </row>
    <row r="3328" spans="1:11" ht="42" customHeight="1">
      <c r="A3328" s="4" t="s">
        <v>7667</v>
      </c>
      <c r="B3328" s="5" t="s">
        <v>7668</v>
      </c>
      <c r="C3328" s="5" t="s">
        <v>32</v>
      </c>
      <c r="D3328" s="5" t="s">
        <v>33</v>
      </c>
      <c r="E3328" s="5" t="s">
        <v>120</v>
      </c>
      <c r="F3328" s="9">
        <v>7</v>
      </c>
      <c r="G3328" s="9">
        <v>84</v>
      </c>
      <c r="H3328" s="5" t="s">
        <v>21</v>
      </c>
      <c r="I3328" s="5" t="s">
        <v>7669</v>
      </c>
      <c r="J3328" s="12" t="str">
        <f>HYPERLINK("https://www.boe.es/gazeta/dias/1801/01/23/pdfs/GMD-1801-7.pdf#page=8","Abrir facsímil")</f>
        <v>Abrir facsímil</v>
      </c>
      <c r="K3328" s="15" t="s">
        <v>23</v>
      </c>
    </row>
    <row r="3329" spans="1:11" ht="42" customHeight="1">
      <c r="A3329" s="4" t="s">
        <v>7670</v>
      </c>
      <c r="B3329" s="5" t="s">
        <v>7670</v>
      </c>
      <c r="C3329" s="5" t="s">
        <v>32</v>
      </c>
      <c r="D3329" s="5" t="s">
        <v>33</v>
      </c>
      <c r="E3329" s="5" t="s">
        <v>1436</v>
      </c>
      <c r="F3329" s="9">
        <v>95</v>
      </c>
      <c r="G3329" s="9">
        <v>1039</v>
      </c>
      <c r="H3329" s="5" t="s">
        <v>21</v>
      </c>
      <c r="I3329" s="5" t="s">
        <v>7671</v>
      </c>
      <c r="J3329" s="12" t="str">
        <f>HYPERLINK("https://www.boe.es/gazeta/dias/1801/10/06/pdfs/GMD-1801-95.pdf#page=3","Abrir facsímil")</f>
        <v>Abrir facsímil</v>
      </c>
      <c r="K3329" s="15" t="s">
        <v>23</v>
      </c>
    </row>
    <row r="3330" spans="1:11" ht="42" customHeight="1">
      <c r="A3330" s="4" t="s">
        <v>7672</v>
      </c>
      <c r="B3330" s="5" t="s">
        <v>7673</v>
      </c>
      <c r="C3330" s="5" t="s">
        <v>38</v>
      </c>
      <c r="D3330" s="5" t="s">
        <v>39</v>
      </c>
      <c r="E3330" s="5" t="s">
        <v>1436</v>
      </c>
      <c r="F3330" s="9">
        <v>95</v>
      </c>
      <c r="G3330" s="9">
        <v>1039</v>
      </c>
      <c r="H3330" s="5" t="s">
        <v>21</v>
      </c>
      <c r="I3330" s="5" t="s">
        <v>7674</v>
      </c>
      <c r="J3330" s="12" t="str">
        <f>HYPERLINK("https://www.boe.es/gazeta/dias/1801/10/06/pdfs/GMD-1801-95.pdf#page=3","Abrir facsímil")</f>
        <v>Abrir facsímil</v>
      </c>
      <c r="K3330" s="15" t="s">
        <v>23</v>
      </c>
    </row>
    <row r="3331" spans="1:11" ht="42" customHeight="1">
      <c r="A3331" s="4" t="s">
        <v>7675</v>
      </c>
      <c r="B3331" s="5" t="s">
        <v>7676</v>
      </c>
      <c r="C3331" s="5" t="s">
        <v>26</v>
      </c>
      <c r="D3331" s="5" t="s">
        <v>27</v>
      </c>
      <c r="E3331" s="5" t="s">
        <v>328</v>
      </c>
      <c r="F3331" s="9">
        <v>89</v>
      </c>
      <c r="G3331" s="9">
        <v>981</v>
      </c>
      <c r="H3331" s="5" t="s">
        <v>21</v>
      </c>
      <c r="I3331" s="5" t="s">
        <v>7677</v>
      </c>
      <c r="J3331" s="12" t="str">
        <f>HYPERLINK("https://www.boe.es/gazeta/dias/1801/09/15/pdfs/GMD-1801-89.pdf#page=8","Abrir facsímil")</f>
        <v>Abrir facsímil</v>
      </c>
      <c r="K3331" s="15" t="s">
        <v>23</v>
      </c>
    </row>
    <row r="3332" spans="1:11" ht="42" customHeight="1">
      <c r="A3332" s="4" t="s">
        <v>7678</v>
      </c>
      <c r="B3332" s="5" t="s">
        <v>7678</v>
      </c>
      <c r="C3332" s="5" t="s">
        <v>32</v>
      </c>
      <c r="D3332" s="5" t="s">
        <v>33</v>
      </c>
      <c r="E3332" s="5" t="s">
        <v>266</v>
      </c>
      <c r="F3332" s="9">
        <v>119</v>
      </c>
      <c r="G3332" s="9">
        <v>1300</v>
      </c>
      <c r="H3332" s="5" t="s">
        <v>21</v>
      </c>
      <c r="I3332" s="5" t="s">
        <v>7679</v>
      </c>
      <c r="J3332" s="12" t="str">
        <f>HYPERLINK("https://www.boe.es/gazeta/dias/1801/12/29/pdfs/GMD-1801-119.pdf#page=4","Abrir facsímil")</f>
        <v>Abrir facsímil</v>
      </c>
      <c r="K3332" s="15" t="s">
        <v>23</v>
      </c>
    </row>
    <row r="3333" spans="1:11" ht="42" customHeight="1">
      <c r="A3333" s="4" t="s">
        <v>7680</v>
      </c>
      <c r="B3333" s="5" t="s">
        <v>7680</v>
      </c>
      <c r="C3333" s="5" t="s">
        <v>38</v>
      </c>
      <c r="D3333" s="5" t="s">
        <v>39</v>
      </c>
      <c r="E3333" s="5" t="s">
        <v>194</v>
      </c>
      <c r="F3333" s="9">
        <v>92</v>
      </c>
      <c r="G3333" s="9">
        <v>1012</v>
      </c>
      <c r="H3333" s="5" t="s">
        <v>21</v>
      </c>
      <c r="I3333" s="5" t="s">
        <v>7681</v>
      </c>
      <c r="J3333" s="12" t="str">
        <f>HYPERLINK("https://www.boe.es/gazeta/dias/1801/09/25/pdfs/GMD-1801-92.pdf#page=7","Abrir facsímil")</f>
        <v>Abrir facsímil</v>
      </c>
      <c r="K3333" s="15" t="s">
        <v>23</v>
      </c>
    </row>
    <row r="3334" spans="1:11" ht="42" customHeight="1">
      <c r="A3334" s="4" t="s">
        <v>7682</v>
      </c>
      <c r="B3334" s="5" t="s">
        <v>7682</v>
      </c>
      <c r="C3334" s="5" t="s">
        <v>75</v>
      </c>
      <c r="D3334" s="5" t="s">
        <v>76</v>
      </c>
      <c r="E3334" s="5" t="s">
        <v>888</v>
      </c>
      <c r="F3334" s="9">
        <v>103</v>
      </c>
      <c r="G3334" s="9">
        <v>1135</v>
      </c>
      <c r="H3334" s="5" t="s">
        <v>21</v>
      </c>
      <c r="I3334" s="5" t="s">
        <v>7683</v>
      </c>
      <c r="J3334" s="12" t="str">
        <f>HYPERLINK("https://www.boe.es/gazeta/dias/1801/11/03/pdfs/GMD-1801-103.pdf#page=8","Abrir facsímil")</f>
        <v>Abrir facsímil</v>
      </c>
      <c r="K3334" s="15" t="s">
        <v>23</v>
      </c>
    </row>
    <row r="3335" spans="1:11" ht="42" customHeight="1">
      <c r="A3335" s="4" t="s">
        <v>7684</v>
      </c>
      <c r="B3335" s="5" t="s">
        <v>7685</v>
      </c>
      <c r="C3335" s="5" t="s">
        <v>18</v>
      </c>
      <c r="D3335" s="5" t="s">
        <v>19</v>
      </c>
      <c r="E3335" s="5" t="s">
        <v>434</v>
      </c>
      <c r="F3335" s="9" t="s">
        <v>435</v>
      </c>
      <c r="G3335" s="9">
        <v>652</v>
      </c>
      <c r="H3335" s="5" t="s">
        <v>21</v>
      </c>
      <c r="I3335" s="5" t="s">
        <v>7686</v>
      </c>
      <c r="J3335" s="12" t="str">
        <f>HYPERLINK("https://www.boe.es/gazeta/dias/1801/06/18/pdfs/GMD-1801-57E.pdf#page=4","Abrir facsímil")</f>
        <v>Abrir facsímil</v>
      </c>
      <c r="K3335" s="15" t="s">
        <v>23</v>
      </c>
    </row>
    <row r="3336" spans="1:11" ht="42" customHeight="1">
      <c r="A3336" s="4" t="s">
        <v>7687</v>
      </c>
      <c r="B3336" s="5" t="s">
        <v>7688</v>
      </c>
      <c r="C3336" s="5" t="s">
        <v>32</v>
      </c>
      <c r="D3336" s="5" t="s">
        <v>33</v>
      </c>
      <c r="E3336" s="5" t="s">
        <v>122</v>
      </c>
      <c r="F3336" s="9">
        <v>8</v>
      </c>
      <c r="G3336" s="9">
        <v>97</v>
      </c>
      <c r="H3336" s="5" t="s">
        <v>21</v>
      </c>
      <c r="I3336" s="5" t="s">
        <v>7689</v>
      </c>
      <c r="J3336" s="12" t="str">
        <f>HYPERLINK("https://www.boe.es/gazeta/dias/1801/01/27/pdfs/GMD-1801-8.pdf#page=9","Abrir facsímil")</f>
        <v>Abrir facsímil</v>
      </c>
      <c r="K3336" s="15" t="s">
        <v>23</v>
      </c>
    </row>
    <row r="3337" spans="1:11" ht="42" customHeight="1">
      <c r="A3337" s="4" t="s">
        <v>7690</v>
      </c>
      <c r="B3337" s="5" t="s">
        <v>7690</v>
      </c>
      <c r="C3337" s="5" t="s">
        <v>69</v>
      </c>
      <c r="D3337" s="5" t="s">
        <v>19</v>
      </c>
      <c r="E3337" s="5" t="s">
        <v>2430</v>
      </c>
      <c r="F3337" s="9">
        <v>27</v>
      </c>
      <c r="G3337" s="9">
        <v>351</v>
      </c>
      <c r="H3337" s="5" t="s">
        <v>21</v>
      </c>
      <c r="I3337" s="5" t="s">
        <v>7691</v>
      </c>
      <c r="J3337" s="12" t="str">
        <f>HYPERLINK("https://www.boe.es/gazeta/dias/1801/04/03/pdfs/GMD-1801-27.pdf#page=3","Abrir facsímil")</f>
        <v>Abrir facsímil</v>
      </c>
      <c r="K3337" s="15" t="s">
        <v>23</v>
      </c>
    </row>
    <row r="3338" spans="1:11" ht="42" customHeight="1">
      <c r="A3338" s="4" t="s">
        <v>7692</v>
      </c>
      <c r="B3338" s="5" t="s">
        <v>7693</v>
      </c>
      <c r="C3338" s="5" t="s">
        <v>32</v>
      </c>
      <c r="D3338" s="5" t="s">
        <v>33</v>
      </c>
      <c r="E3338" s="5" t="s">
        <v>66</v>
      </c>
      <c r="F3338" s="9">
        <v>52</v>
      </c>
      <c r="G3338" s="9">
        <v>608</v>
      </c>
      <c r="H3338" s="5" t="s">
        <v>21</v>
      </c>
      <c r="I3338" s="5" t="s">
        <v>7694</v>
      </c>
      <c r="J3338" s="12" t="str">
        <f>HYPERLINK("https://www.boe.es/gazeta/dias/1801/06/12/pdfs/GMD-1801-52.pdf#page=7","Abrir facsímil")</f>
        <v>Abrir facsímil</v>
      </c>
      <c r="K3338" s="15" t="s">
        <v>23</v>
      </c>
    </row>
    <row r="3339" spans="1:11" ht="42" customHeight="1">
      <c r="A3339" s="4" t="s">
        <v>7695</v>
      </c>
      <c r="B3339" s="5" t="s">
        <v>7695</v>
      </c>
      <c r="C3339" s="5" t="s">
        <v>32</v>
      </c>
      <c r="D3339" s="5" t="s">
        <v>33</v>
      </c>
      <c r="E3339" s="5" t="s">
        <v>72</v>
      </c>
      <c r="F3339" s="9">
        <v>60</v>
      </c>
      <c r="G3339" s="9">
        <v>681</v>
      </c>
      <c r="H3339" s="5" t="s">
        <v>21</v>
      </c>
      <c r="I3339" s="5" t="s">
        <v>7696</v>
      </c>
      <c r="J3339" s="12" t="str">
        <f>HYPERLINK("https://www.boe.es/gazeta/dias/1801/06/26/pdfs/GMD-1801-60.pdf#page=2","Abrir facsímil")</f>
        <v>Abrir facsímil</v>
      </c>
      <c r="K3339" s="15" t="s">
        <v>23</v>
      </c>
    </row>
    <row r="3340" spans="1:11" ht="42" customHeight="1">
      <c r="A3340" s="4" t="s">
        <v>7697</v>
      </c>
      <c r="B3340" s="5" t="s">
        <v>7698</v>
      </c>
      <c r="C3340" s="5" t="s">
        <v>75</v>
      </c>
      <c r="D3340" s="5" t="s">
        <v>76</v>
      </c>
      <c r="E3340" s="5" t="s">
        <v>182</v>
      </c>
      <c r="F3340" s="9">
        <v>18</v>
      </c>
      <c r="G3340" s="9">
        <v>222</v>
      </c>
      <c r="H3340" s="5" t="s">
        <v>21</v>
      </c>
      <c r="I3340" s="5" t="s">
        <v>7699</v>
      </c>
      <c r="J3340" s="12" t="str">
        <f>HYPERLINK("https://www.boe.es/gazeta/dias/1801/03/03/pdfs/GMD-1801-18.pdf#page=3","Abrir facsímil")</f>
        <v>Abrir facsímil</v>
      </c>
      <c r="K3340" s="15" t="s">
        <v>23</v>
      </c>
    </row>
    <row r="3341" spans="1:11" ht="42" customHeight="1">
      <c r="A3341" s="4" t="s">
        <v>7700</v>
      </c>
      <c r="B3341" s="5" t="s">
        <v>7701</v>
      </c>
      <c r="C3341" s="5" t="s">
        <v>32</v>
      </c>
      <c r="D3341" s="5" t="s">
        <v>33</v>
      </c>
      <c r="E3341" s="5" t="s">
        <v>131</v>
      </c>
      <c r="F3341" s="9">
        <v>22</v>
      </c>
      <c r="G3341" s="9">
        <v>289</v>
      </c>
      <c r="H3341" s="5" t="s">
        <v>21</v>
      </c>
      <c r="I3341" s="5" t="s">
        <v>7702</v>
      </c>
      <c r="J3341" s="12" t="str">
        <f>HYPERLINK("https://www.boe.es/gazeta/dias/1801/03/17/pdfs/GMD-1801-22.pdf#page=6","Abrir facsímil")</f>
        <v>Abrir facsímil</v>
      </c>
      <c r="K3341" s="15" t="s">
        <v>23</v>
      </c>
    </row>
    <row r="3342" spans="1:11" ht="42" customHeight="1">
      <c r="A3342" s="4" t="s">
        <v>7703</v>
      </c>
      <c r="B3342" s="5" t="s">
        <v>7704</v>
      </c>
      <c r="C3342" s="5" t="s">
        <v>32</v>
      </c>
      <c r="D3342" s="5" t="s">
        <v>33</v>
      </c>
      <c r="E3342" s="5" t="s">
        <v>165</v>
      </c>
      <c r="F3342" s="9">
        <v>59</v>
      </c>
      <c r="G3342" s="9">
        <v>676</v>
      </c>
      <c r="H3342" s="5" t="s">
        <v>21</v>
      </c>
      <c r="I3342" s="5" t="s">
        <v>7705</v>
      </c>
      <c r="J3342" s="12" t="str">
        <f>HYPERLINK("https://www.boe.es/gazeta/dias/1801/06/23/pdfs/GMD-1801-59.pdf#page=9","Abrir facsímil")</f>
        <v>Abrir facsímil</v>
      </c>
      <c r="K3342" s="15" t="s">
        <v>23</v>
      </c>
    </row>
    <row r="3343" spans="1:11" ht="42" customHeight="1">
      <c r="A3343" s="4" t="s">
        <v>7706</v>
      </c>
      <c r="B3343" s="5" t="s">
        <v>7706</v>
      </c>
      <c r="C3343" s="5" t="s">
        <v>18</v>
      </c>
      <c r="D3343" s="5" t="s">
        <v>19</v>
      </c>
      <c r="E3343" s="5" t="s">
        <v>34</v>
      </c>
      <c r="F3343" s="9">
        <v>38</v>
      </c>
      <c r="G3343" s="9">
        <v>495</v>
      </c>
      <c r="H3343" s="5" t="s">
        <v>21</v>
      </c>
      <c r="I3343" s="5" t="s">
        <v>7707</v>
      </c>
      <c r="J3343" s="12" t="str">
        <f>HYPERLINK("https://www.boe.es/gazeta/dias/1801/05/12/pdfs/GMD-1801-38.pdf#page=11","Abrir facsímil")</f>
        <v>Abrir facsímil</v>
      </c>
      <c r="K3343" s="15" t="s">
        <v>23</v>
      </c>
    </row>
    <row r="3344" spans="1:11" ht="42" customHeight="1">
      <c r="A3344" s="4" t="s">
        <v>7708</v>
      </c>
      <c r="B3344" s="5" t="s">
        <v>7708</v>
      </c>
      <c r="C3344" s="5" t="s">
        <v>32</v>
      </c>
      <c r="D3344" s="5" t="s">
        <v>33</v>
      </c>
      <c r="E3344" s="5" t="s">
        <v>505</v>
      </c>
      <c r="F3344" s="9">
        <v>94</v>
      </c>
      <c r="G3344" s="9">
        <v>1033</v>
      </c>
      <c r="H3344" s="5" t="s">
        <v>21</v>
      </c>
      <c r="I3344" s="5" t="s">
        <v>7709</v>
      </c>
      <c r="J3344" s="12" t="str">
        <f>HYPERLINK("https://www.boe.es/gazeta/dias/1801/10/02/pdfs/GMD-1801-94.pdf#page=9","Abrir facsímil")</f>
        <v>Abrir facsímil</v>
      </c>
      <c r="K3344" s="15" t="s">
        <v>23</v>
      </c>
    </row>
    <row r="3345" spans="1:11" ht="42" customHeight="1">
      <c r="A3345" s="4" t="s">
        <v>7710</v>
      </c>
      <c r="B3345" s="5" t="s">
        <v>7711</v>
      </c>
      <c r="C3345" s="5" t="s">
        <v>32</v>
      </c>
      <c r="D3345" s="5" t="s">
        <v>33</v>
      </c>
      <c r="E3345" s="5" t="s">
        <v>201</v>
      </c>
      <c r="F3345" s="9">
        <v>79</v>
      </c>
      <c r="G3345" s="9">
        <v>889</v>
      </c>
      <c r="H3345" s="5" t="s">
        <v>21</v>
      </c>
      <c r="I3345" s="5" t="s">
        <v>7712</v>
      </c>
      <c r="J3345" s="12" t="str">
        <f>HYPERLINK("https://www.boe.es/gazeta/dias/1801/08/18/pdfs/GMD-1801-79.pdf#page=6","Abrir facsímil")</f>
        <v>Abrir facsímil</v>
      </c>
      <c r="K3345" s="15" t="s">
        <v>23</v>
      </c>
    </row>
    <row r="3346" spans="1:11" ht="42" customHeight="1">
      <c r="A3346" s="4" t="s">
        <v>7713</v>
      </c>
      <c r="B3346" s="5" t="s">
        <v>7714</v>
      </c>
      <c r="C3346" s="5" t="s">
        <v>32</v>
      </c>
      <c r="D3346" s="5" t="s">
        <v>33</v>
      </c>
      <c r="E3346" s="5" t="s">
        <v>313</v>
      </c>
      <c r="F3346" s="9">
        <v>39</v>
      </c>
      <c r="G3346" s="9">
        <v>505</v>
      </c>
      <c r="H3346" s="5" t="s">
        <v>21</v>
      </c>
      <c r="I3346" s="5" t="s">
        <v>7715</v>
      </c>
      <c r="J3346" s="12" t="str">
        <f>HYPERLINK("https://www.boe.es/gazeta/dias/1801/05/15/pdfs/GMD-1801-39.pdf#page=9","Abrir facsímil")</f>
        <v>Abrir facsímil</v>
      </c>
      <c r="K3346" s="15" t="s">
        <v>23</v>
      </c>
    </row>
    <row r="3347" spans="1:11" ht="42" customHeight="1">
      <c r="A3347" s="4" t="s">
        <v>7713</v>
      </c>
      <c r="B3347" s="5" t="s">
        <v>7714</v>
      </c>
      <c r="C3347" s="5" t="s">
        <v>69</v>
      </c>
      <c r="D3347" s="5" t="s">
        <v>19</v>
      </c>
      <c r="E3347" s="5" t="s">
        <v>349</v>
      </c>
      <c r="F3347" s="9">
        <v>112</v>
      </c>
      <c r="G3347" s="9">
        <v>1226</v>
      </c>
      <c r="H3347" s="5" t="s">
        <v>21</v>
      </c>
      <c r="I3347" s="5" t="s">
        <v>7716</v>
      </c>
      <c r="J3347" s="12" t="str">
        <f>HYPERLINK("https://www.boe.es/gazeta/dias/1801/12/04/pdfs/GMD-1801-112.pdf#page=7","Abrir facsímil")</f>
        <v>Abrir facsímil</v>
      </c>
      <c r="K3347" s="15" t="s">
        <v>23</v>
      </c>
    </row>
    <row r="3348" spans="1:11" ht="42" customHeight="1">
      <c r="A3348" s="4" t="s">
        <v>7717</v>
      </c>
      <c r="B3348" s="5" t="s">
        <v>7718</v>
      </c>
      <c r="C3348" s="5" t="s">
        <v>26</v>
      </c>
      <c r="D3348" s="5" t="s">
        <v>27</v>
      </c>
      <c r="E3348" s="5" t="s">
        <v>735</v>
      </c>
      <c r="F3348" s="9">
        <v>97</v>
      </c>
      <c r="G3348" s="9">
        <v>1067</v>
      </c>
      <c r="H3348" s="5" t="s">
        <v>21</v>
      </c>
      <c r="I3348" s="5" t="s">
        <v>7719</v>
      </c>
      <c r="J3348" s="12" t="str">
        <f>HYPERLINK("https://www.boe.es/gazeta/dias/1801/10/13/pdfs/GMD-1801-97.pdf#page=11","Abrir facsímil")</f>
        <v>Abrir facsímil</v>
      </c>
      <c r="K3348" s="15" t="s">
        <v>23</v>
      </c>
    </row>
    <row r="3349" spans="1:11" ht="42" customHeight="1">
      <c r="A3349" s="4" t="s">
        <v>7720</v>
      </c>
      <c r="B3349" s="5" t="s">
        <v>7721</v>
      </c>
      <c r="C3349" s="5" t="s">
        <v>18</v>
      </c>
      <c r="D3349" s="5" t="s">
        <v>19</v>
      </c>
      <c r="E3349" s="5" t="s">
        <v>70</v>
      </c>
      <c r="F3349" s="9">
        <v>2</v>
      </c>
      <c r="G3349" s="9">
        <v>20</v>
      </c>
      <c r="H3349" s="5" t="s">
        <v>21</v>
      </c>
      <c r="I3349" s="5" t="s">
        <v>7722</v>
      </c>
      <c r="J3349" s="12" t="str">
        <f>HYPERLINK("https://www.boe.es/gazeta/dias/1801/01/06/pdfs/GMD-1801-2.pdf#page=8","Abrir facsímil")</f>
        <v>Abrir facsímil</v>
      </c>
      <c r="K3349" s="15" t="s">
        <v>23</v>
      </c>
    </row>
    <row r="3350" spans="1:11" ht="42" customHeight="1">
      <c r="A3350" s="4" t="s">
        <v>7723</v>
      </c>
      <c r="B3350" s="5" t="s">
        <v>7724</v>
      </c>
      <c r="C3350" s="5" t="s">
        <v>75</v>
      </c>
      <c r="D3350" s="5" t="s">
        <v>76</v>
      </c>
      <c r="E3350" s="5" t="s">
        <v>70</v>
      </c>
      <c r="F3350" s="9">
        <v>2</v>
      </c>
      <c r="G3350" s="9">
        <v>20</v>
      </c>
      <c r="H3350" s="5" t="s">
        <v>21</v>
      </c>
      <c r="I3350" s="5" t="s">
        <v>7725</v>
      </c>
      <c r="J3350" s="12" t="str">
        <f>HYPERLINK("https://www.boe.es/gazeta/dias/1801/01/06/pdfs/GMD-1801-2.pdf#page=8","Abrir facsímil")</f>
        <v>Abrir facsímil</v>
      </c>
      <c r="K3350" s="15" t="s">
        <v>23</v>
      </c>
    </row>
    <row r="3351" spans="1:11" ht="42" customHeight="1">
      <c r="A3351" s="4" t="s">
        <v>7726</v>
      </c>
      <c r="B3351" s="5" t="s">
        <v>7727</v>
      </c>
      <c r="C3351" s="5" t="s">
        <v>32</v>
      </c>
      <c r="D3351" s="5" t="s">
        <v>33</v>
      </c>
      <c r="E3351" s="5" t="s">
        <v>313</v>
      </c>
      <c r="F3351" s="9">
        <v>39</v>
      </c>
      <c r="G3351" s="9">
        <v>505</v>
      </c>
      <c r="H3351" s="5" t="s">
        <v>21</v>
      </c>
      <c r="I3351" s="5" t="s">
        <v>7728</v>
      </c>
      <c r="J3351" s="12" t="str">
        <f>HYPERLINK("https://www.boe.es/gazeta/dias/1801/05/15/pdfs/GMD-1801-39.pdf#page=9","Abrir facsímil")</f>
        <v>Abrir facsímil</v>
      </c>
      <c r="K3351" s="15" t="s">
        <v>23</v>
      </c>
    </row>
    <row r="3352" spans="1:11" ht="42" customHeight="1">
      <c r="A3352" s="4" t="s">
        <v>7729</v>
      </c>
      <c r="B3352" s="5" t="s">
        <v>7730</v>
      </c>
      <c r="C3352" s="5" t="s">
        <v>38</v>
      </c>
      <c r="D3352" s="5" t="s">
        <v>39</v>
      </c>
      <c r="E3352" s="5" t="s">
        <v>1939</v>
      </c>
      <c r="F3352" s="9">
        <v>107</v>
      </c>
      <c r="G3352" s="9">
        <v>1183</v>
      </c>
      <c r="H3352" s="5" t="s">
        <v>21</v>
      </c>
      <c r="I3352" s="5" t="s">
        <v>7731</v>
      </c>
      <c r="J3352" s="12" t="str">
        <f>HYPERLINK("https://www.boe.es/gazeta/dias/1801/11/17/pdfs/GMD-1801-107.pdf#page=12","Abrir facsímil")</f>
        <v>Abrir facsímil</v>
      </c>
      <c r="K3352" s="15" t="s">
        <v>23</v>
      </c>
    </row>
    <row r="3353" spans="1:11" ht="42" customHeight="1">
      <c r="A3353" s="4" t="s">
        <v>7732</v>
      </c>
      <c r="B3353" s="5" t="s">
        <v>7732</v>
      </c>
      <c r="C3353" s="5" t="s">
        <v>69</v>
      </c>
      <c r="D3353" s="5" t="s">
        <v>19</v>
      </c>
      <c r="E3353" s="5" t="s">
        <v>44</v>
      </c>
      <c r="F3353" s="9">
        <v>117</v>
      </c>
      <c r="G3353" s="9">
        <v>1276</v>
      </c>
      <c r="H3353" s="5" t="s">
        <v>21</v>
      </c>
      <c r="I3353" s="5" t="s">
        <v>7733</v>
      </c>
      <c r="J3353" s="12" t="str">
        <f>HYPERLINK("https://www.boe.es/gazeta/dias/1801/12/22/pdfs/GMD-1801-117.pdf#page=3","Abrir facsímil")</f>
        <v>Abrir facsímil</v>
      </c>
      <c r="K3353" s="15" t="s">
        <v>23</v>
      </c>
    </row>
    <row r="3354" spans="1:11" ht="42" customHeight="1">
      <c r="A3354" s="4" t="s">
        <v>7734</v>
      </c>
      <c r="B3354" s="5" t="s">
        <v>7735</v>
      </c>
      <c r="C3354" s="5" t="s">
        <v>32</v>
      </c>
      <c r="D3354" s="5" t="s">
        <v>33</v>
      </c>
      <c r="E3354" s="5" t="s">
        <v>171</v>
      </c>
      <c r="F3354" s="9">
        <v>76</v>
      </c>
      <c r="G3354" s="9">
        <v>853</v>
      </c>
      <c r="H3354" s="5" t="s">
        <v>21</v>
      </c>
      <c r="I3354" s="5" t="s">
        <v>7736</v>
      </c>
      <c r="J3354" s="12" t="str">
        <f>HYPERLINK("https://www.boe.es/gazeta/dias/1801/08/07/pdfs/GMD-1801-76.pdf#page=10","Abrir facsímil")</f>
        <v>Abrir facsímil</v>
      </c>
      <c r="K3354" s="15" t="s">
        <v>23</v>
      </c>
    </row>
    <row r="3355" spans="1:11" ht="42" customHeight="1">
      <c r="A3355" s="4" t="s">
        <v>7737</v>
      </c>
      <c r="B3355" s="5" t="s">
        <v>7738</v>
      </c>
      <c r="C3355" s="5" t="s">
        <v>32</v>
      </c>
      <c r="D3355" s="5" t="s">
        <v>33</v>
      </c>
      <c r="E3355" s="5" t="s">
        <v>378</v>
      </c>
      <c r="F3355" s="9">
        <v>23</v>
      </c>
      <c r="G3355" s="9">
        <v>306</v>
      </c>
      <c r="H3355" s="5" t="s">
        <v>21</v>
      </c>
      <c r="I3355" s="5" t="s">
        <v>7739</v>
      </c>
      <c r="J3355" s="12" t="str">
        <f>HYPERLINK("https://www.boe.es/gazeta/dias/1801/03/20/pdfs/GMD-1801-23.pdf#page=9","Abrir facsímil")</f>
        <v>Abrir facsímil</v>
      </c>
      <c r="K3355" s="15" t="s">
        <v>23</v>
      </c>
    </row>
    <row r="3356" spans="1:11" ht="42" customHeight="1">
      <c r="A3356" s="4" t="s">
        <v>7740</v>
      </c>
      <c r="B3356" s="5" t="s">
        <v>7740</v>
      </c>
      <c r="C3356" s="5" t="s">
        <v>75</v>
      </c>
      <c r="D3356" s="5" t="s">
        <v>76</v>
      </c>
      <c r="E3356" s="5" t="s">
        <v>48</v>
      </c>
      <c r="F3356" s="9">
        <v>20</v>
      </c>
      <c r="G3356" s="9">
        <v>259</v>
      </c>
      <c r="H3356" s="5" t="s">
        <v>21</v>
      </c>
      <c r="I3356" s="5" t="s">
        <v>7741</v>
      </c>
      <c r="J3356" s="12" t="str">
        <f>HYPERLINK("https://www.boe.es/gazeta/dias/1801/03/10/pdfs/GMD-1801-20.pdf#page=4","Abrir facsímil")</f>
        <v>Abrir facsímil</v>
      </c>
      <c r="K3356" s="15" t="s">
        <v>23</v>
      </c>
    </row>
    <row r="3357" spans="1:11" ht="42" customHeight="1">
      <c r="A3357" s="4" t="s">
        <v>7740</v>
      </c>
      <c r="B3357" s="5" t="s">
        <v>7740</v>
      </c>
      <c r="C3357" s="5" t="s">
        <v>75</v>
      </c>
      <c r="D3357" s="5" t="s">
        <v>76</v>
      </c>
      <c r="E3357" s="5" t="s">
        <v>153</v>
      </c>
      <c r="F3357" s="9">
        <v>48</v>
      </c>
      <c r="G3357" s="9">
        <v>582</v>
      </c>
      <c r="H3357" s="5" t="s">
        <v>21</v>
      </c>
      <c r="I3357" s="5" t="s">
        <v>7742</v>
      </c>
      <c r="J3357" s="12" t="str">
        <f>HYPERLINK("https://www.boe.es/gazeta/dias/1801/06/05/pdfs/GMD-1801-48.pdf#page=4","Abrir facsímil")</f>
        <v>Abrir facsímil</v>
      </c>
      <c r="K3357" s="15" t="s">
        <v>23</v>
      </c>
    </row>
    <row r="3358" spans="1:11" ht="42" customHeight="1">
      <c r="A3358" s="4" t="s">
        <v>7740</v>
      </c>
      <c r="B3358" s="5" t="s">
        <v>7740</v>
      </c>
      <c r="C3358" s="5" t="s">
        <v>38</v>
      </c>
      <c r="D3358" s="5" t="s">
        <v>39</v>
      </c>
      <c r="E3358" s="5" t="s">
        <v>264</v>
      </c>
      <c r="F3358" s="9">
        <v>111</v>
      </c>
      <c r="G3358" s="9">
        <v>1215</v>
      </c>
      <c r="H3358" s="5" t="s">
        <v>21</v>
      </c>
      <c r="I3358" s="5" t="s">
        <v>7743</v>
      </c>
      <c r="J3358" s="12" t="str">
        <f>HYPERLINK("https://www.boe.es/gazeta/dias/1801/12/01/pdfs/GMD-1801-111.pdf#page=4","Abrir facsímil")</f>
        <v>Abrir facsímil</v>
      </c>
      <c r="K3358" s="15" t="s">
        <v>23</v>
      </c>
    </row>
    <row r="3359" spans="1:11" ht="42" customHeight="1">
      <c r="A3359" s="4" t="s">
        <v>7744</v>
      </c>
      <c r="B3359" s="5" t="s">
        <v>7744</v>
      </c>
      <c r="C3359" s="5" t="s">
        <v>38</v>
      </c>
      <c r="D3359" s="5" t="s">
        <v>39</v>
      </c>
      <c r="E3359" s="5" t="s">
        <v>171</v>
      </c>
      <c r="F3359" s="9">
        <v>76</v>
      </c>
      <c r="G3359" s="9">
        <v>852</v>
      </c>
      <c r="H3359" s="5" t="s">
        <v>21</v>
      </c>
      <c r="I3359" s="5" t="s">
        <v>7745</v>
      </c>
      <c r="J3359" s="12" t="str">
        <f>HYPERLINK("https://www.boe.es/gazeta/dias/1801/08/07/pdfs/GMD-1801-76.pdf#page=9","Abrir facsímil")</f>
        <v>Abrir facsímil</v>
      </c>
      <c r="K3359" s="15" t="s">
        <v>23</v>
      </c>
    </row>
    <row r="3360" spans="1:11" ht="42" customHeight="1">
      <c r="A3360" s="4" t="s">
        <v>7746</v>
      </c>
      <c r="B3360" s="5" t="s">
        <v>7747</v>
      </c>
      <c r="C3360" s="5" t="s">
        <v>32</v>
      </c>
      <c r="D3360" s="5" t="s">
        <v>33</v>
      </c>
      <c r="E3360" s="5" t="s">
        <v>62</v>
      </c>
      <c r="F3360" s="9">
        <v>6</v>
      </c>
      <c r="G3360" s="9">
        <v>74</v>
      </c>
      <c r="H3360" s="5" t="s">
        <v>21</v>
      </c>
      <c r="I3360" s="5" t="s">
        <v>7748</v>
      </c>
      <c r="J3360" s="12" t="str">
        <f>HYPERLINK("https://www.boe.es/gazeta/dias/1801/01/20/pdfs/GMD-1801-6.pdf#page=10","Abrir facsímil")</f>
        <v>Abrir facsímil</v>
      </c>
      <c r="K3360" s="15" t="s">
        <v>23</v>
      </c>
    </row>
    <row r="3361" spans="1:11" ht="42" customHeight="1">
      <c r="A3361" s="4" t="s">
        <v>7749</v>
      </c>
      <c r="B3361" s="5" t="s">
        <v>7750</v>
      </c>
      <c r="C3361" s="5" t="s">
        <v>38</v>
      </c>
      <c r="D3361" s="5" t="s">
        <v>39</v>
      </c>
      <c r="E3361" s="5" t="s">
        <v>165</v>
      </c>
      <c r="F3361" s="9">
        <v>59</v>
      </c>
      <c r="G3361" s="9">
        <v>677</v>
      </c>
      <c r="H3361" s="5" t="s">
        <v>21</v>
      </c>
      <c r="I3361" s="5" t="s">
        <v>7751</v>
      </c>
      <c r="J3361" s="12" t="str">
        <f>HYPERLINK("https://www.boe.es/gazeta/dias/1801/06/23/pdfs/GMD-1801-59.pdf#page=10","Abrir facsímil")</f>
        <v>Abrir facsímil</v>
      </c>
      <c r="K3361" s="15" t="s">
        <v>23</v>
      </c>
    </row>
    <row r="3362" spans="1:11" ht="42" customHeight="1">
      <c r="A3362" s="4" t="s">
        <v>7752</v>
      </c>
      <c r="B3362" s="5" t="s">
        <v>7752</v>
      </c>
      <c r="C3362" s="5" t="s">
        <v>18</v>
      </c>
      <c r="D3362" s="5" t="s">
        <v>19</v>
      </c>
      <c r="E3362" s="5" t="s">
        <v>82</v>
      </c>
      <c r="F3362" s="9">
        <v>75</v>
      </c>
      <c r="G3362" s="9">
        <v>836</v>
      </c>
      <c r="H3362" s="5" t="s">
        <v>21</v>
      </c>
      <c r="I3362" s="5" t="s">
        <v>7753</v>
      </c>
      <c r="J3362" s="12" t="str">
        <f>HYPERLINK("https://www.boe.es/gazeta/dias/1801/08/04/pdfs/GMD-1801-75.pdf#page=5","Abrir facsímil")</f>
        <v>Abrir facsímil</v>
      </c>
      <c r="K3362" s="15" t="s">
        <v>23</v>
      </c>
    </row>
    <row r="3363" spans="1:11" ht="42" customHeight="1">
      <c r="A3363" s="4" t="s">
        <v>7754</v>
      </c>
      <c r="B3363" s="5" t="s">
        <v>7754</v>
      </c>
      <c r="C3363" s="5" t="s">
        <v>515</v>
      </c>
      <c r="D3363" s="5" t="s">
        <v>516</v>
      </c>
      <c r="E3363" s="5" t="s">
        <v>501</v>
      </c>
      <c r="F3363" s="9">
        <v>115</v>
      </c>
      <c r="G3363" s="9" t="s">
        <v>517</v>
      </c>
      <c r="H3363" s="5" t="s">
        <v>21</v>
      </c>
      <c r="I3363" s="5" t="s">
        <v>7755</v>
      </c>
      <c r="J3363" s="12" t="str">
        <f>HYPERLINK("https://www.boe.es/gazeta/dias/1801/12/15/pdfs/GMD-C-1801-115.pdf#page=7","Abrir facsímil")</f>
        <v>Abrir facsímil</v>
      </c>
      <c r="K3363" s="15" t="s">
        <v>23</v>
      </c>
    </row>
    <row r="3364" spans="1:11" ht="42" customHeight="1">
      <c r="A3364" s="4" t="s">
        <v>7756</v>
      </c>
      <c r="B3364" s="5" t="s">
        <v>7756</v>
      </c>
      <c r="C3364" s="5" t="s">
        <v>26</v>
      </c>
      <c r="D3364" s="5" t="s">
        <v>27</v>
      </c>
      <c r="E3364" s="5" t="s">
        <v>501</v>
      </c>
      <c r="F3364" s="9">
        <v>115</v>
      </c>
      <c r="G3364" s="9" t="s">
        <v>86</v>
      </c>
      <c r="H3364" s="5" t="s">
        <v>21</v>
      </c>
      <c r="I3364" s="5" t="s">
        <v>7757</v>
      </c>
      <c r="J3364" s="12" t="str">
        <f>HYPERLINK("https://www.boe.es/gazeta/dias/1801/12/15/pdfs/GMD-C-1801-115.pdf#page=3","Abrir facsímil")</f>
        <v>Abrir facsímil</v>
      </c>
      <c r="K3364" s="15" t="s">
        <v>23</v>
      </c>
    </row>
    <row r="3365" spans="1:11" ht="42" customHeight="1">
      <c r="A3365" s="4" t="s">
        <v>7758</v>
      </c>
      <c r="B3365" s="5" t="s">
        <v>7758</v>
      </c>
      <c r="C3365" s="5" t="s">
        <v>32</v>
      </c>
      <c r="D3365" s="5" t="s">
        <v>33</v>
      </c>
      <c r="E3365" s="5" t="s">
        <v>62</v>
      </c>
      <c r="F3365" s="9">
        <v>6</v>
      </c>
      <c r="G3365" s="9">
        <v>74</v>
      </c>
      <c r="H3365" s="5" t="s">
        <v>21</v>
      </c>
      <c r="I3365" s="5" t="s">
        <v>7759</v>
      </c>
      <c r="J3365" s="12" t="str">
        <f>HYPERLINK("https://www.boe.es/gazeta/dias/1801/01/20/pdfs/GMD-1801-6.pdf#page=10","Abrir facsímil")</f>
        <v>Abrir facsímil</v>
      </c>
      <c r="K3365" s="15" t="s">
        <v>23</v>
      </c>
    </row>
    <row r="3366" spans="1:11" ht="42" customHeight="1">
      <c r="A3366" s="4" t="s">
        <v>7760</v>
      </c>
      <c r="B3366" s="5" t="s">
        <v>7760</v>
      </c>
      <c r="C3366" s="5" t="s">
        <v>32</v>
      </c>
      <c r="D3366" s="5" t="s">
        <v>33</v>
      </c>
      <c r="E3366" s="5" t="s">
        <v>615</v>
      </c>
      <c r="F3366" s="9">
        <v>72</v>
      </c>
      <c r="G3366" s="9">
        <v>804</v>
      </c>
      <c r="H3366" s="5" t="s">
        <v>21</v>
      </c>
      <c r="I3366" s="5" t="s">
        <v>7761</v>
      </c>
      <c r="J3366" s="12" t="str">
        <f>HYPERLINK("https://www.boe.es/gazeta/dias/1801/07/24/pdfs/GMD-1801-72.pdf#page=9","Abrir facsímil")</f>
        <v>Abrir facsímil</v>
      </c>
      <c r="K3366" s="15" t="s">
        <v>23</v>
      </c>
    </row>
    <row r="3367" spans="1:11" ht="42" customHeight="1">
      <c r="A3367" s="4" t="s">
        <v>7762</v>
      </c>
      <c r="B3367" s="5" t="s">
        <v>7763</v>
      </c>
      <c r="C3367" s="5" t="s">
        <v>75</v>
      </c>
      <c r="D3367" s="5" t="s">
        <v>76</v>
      </c>
      <c r="E3367" s="5" t="s">
        <v>321</v>
      </c>
      <c r="F3367" s="9">
        <v>3</v>
      </c>
      <c r="G3367" s="9">
        <v>29</v>
      </c>
      <c r="H3367" s="5" t="s">
        <v>21</v>
      </c>
      <c r="I3367" s="5" t="s">
        <v>7764</v>
      </c>
      <c r="J3367" s="12" t="str">
        <f>HYPERLINK("https://www.boe.es/gazeta/dias/1801/01/09/pdfs/GMD-1801-3.pdf#page=5","Abrir facsímil")</f>
        <v>Abrir facsímil</v>
      </c>
      <c r="K3367" s="15" t="s">
        <v>23</v>
      </c>
    </row>
    <row r="3368" spans="1:11" ht="42" customHeight="1">
      <c r="A3368" s="4" t="s">
        <v>7765</v>
      </c>
      <c r="B3368" s="5" t="s">
        <v>7765</v>
      </c>
      <c r="C3368" s="5" t="s">
        <v>32</v>
      </c>
      <c r="D3368" s="5" t="s">
        <v>33</v>
      </c>
      <c r="E3368" s="5" t="s">
        <v>97</v>
      </c>
      <c r="F3368" s="9">
        <v>31</v>
      </c>
      <c r="G3368" s="9">
        <v>402</v>
      </c>
      <c r="H3368" s="5" t="s">
        <v>21</v>
      </c>
      <c r="I3368" s="5" t="s">
        <v>7766</v>
      </c>
      <c r="J3368" s="12" t="str">
        <f>HYPERLINK("https://www.boe.es/gazeta/dias/1801/04/17/pdfs/GMD-1801-31.pdf#page=6","Abrir facsímil")</f>
        <v>Abrir facsímil</v>
      </c>
      <c r="K3368" s="15" t="s">
        <v>23</v>
      </c>
    </row>
    <row r="3369" spans="1:11" ht="42" customHeight="1">
      <c r="A3369" s="4" t="s">
        <v>7767</v>
      </c>
      <c r="B3369" s="5" t="s">
        <v>7767</v>
      </c>
      <c r="C3369" s="5" t="s">
        <v>26</v>
      </c>
      <c r="D3369" s="5" t="s">
        <v>27</v>
      </c>
      <c r="E3369" s="5" t="s">
        <v>48</v>
      </c>
      <c r="F3369" s="9">
        <v>20</v>
      </c>
      <c r="G3369" s="9">
        <v>270</v>
      </c>
      <c r="H3369" s="5" t="s">
        <v>21</v>
      </c>
      <c r="I3369" s="5" t="s">
        <v>7768</v>
      </c>
      <c r="J3369" s="12" t="str">
        <f>HYPERLINK("https://www.boe.es/gazeta/dias/1801/03/10/pdfs/GMD-1801-20.pdf#page=15","Abrir facsímil")</f>
        <v>Abrir facsímil</v>
      </c>
      <c r="K3369" s="15" t="s">
        <v>23</v>
      </c>
    </row>
    <row r="3370" spans="1:11" ht="42" customHeight="1">
      <c r="A3370" s="4" t="s">
        <v>7769</v>
      </c>
      <c r="B3370" s="5" t="s">
        <v>7769</v>
      </c>
      <c r="C3370" s="5" t="s">
        <v>38</v>
      </c>
      <c r="D3370" s="5" t="s">
        <v>39</v>
      </c>
      <c r="E3370" s="5" t="s">
        <v>352</v>
      </c>
      <c r="F3370" s="9">
        <v>43</v>
      </c>
      <c r="G3370" s="9">
        <v>540</v>
      </c>
      <c r="H3370" s="5" t="s">
        <v>21</v>
      </c>
      <c r="I3370" s="5" t="s">
        <v>7770</v>
      </c>
      <c r="J3370" s="12" t="str">
        <f>HYPERLINK("https://www.boe.es/gazeta/dias/1801/05/26/pdfs/GMD-1801-43.pdf#page=12","Abrir facsímil")</f>
        <v>Abrir facsímil</v>
      </c>
      <c r="K3370" s="15" t="s">
        <v>23</v>
      </c>
    </row>
    <row r="3371" spans="1:11" ht="42" customHeight="1">
      <c r="A3371" s="4" t="s">
        <v>7771</v>
      </c>
      <c r="B3371" s="5" t="s">
        <v>7771</v>
      </c>
      <c r="C3371" s="5" t="s">
        <v>32</v>
      </c>
      <c r="D3371" s="5" t="s">
        <v>33</v>
      </c>
      <c r="E3371" s="5" t="s">
        <v>55</v>
      </c>
      <c r="F3371" s="9">
        <v>104</v>
      </c>
      <c r="G3371" s="9">
        <v>1146</v>
      </c>
      <c r="H3371" s="5" t="s">
        <v>21</v>
      </c>
      <c r="I3371" s="5" t="s">
        <v>7772</v>
      </c>
      <c r="J3371" s="12" t="str">
        <f>HYPERLINK("https://www.boe.es/gazeta/dias/1801/11/06/pdfs/GMD-1801-104.pdf#page=7","Abrir facsímil")</f>
        <v>Abrir facsímil</v>
      </c>
      <c r="K3371" s="15" t="s">
        <v>23</v>
      </c>
    </row>
    <row r="3372" spans="1:11" ht="42" customHeight="1">
      <c r="A3372" s="4" t="s">
        <v>7773</v>
      </c>
      <c r="B3372" s="5" t="s">
        <v>7773</v>
      </c>
      <c r="C3372" s="5" t="s">
        <v>69</v>
      </c>
      <c r="D3372" s="5" t="s">
        <v>19</v>
      </c>
      <c r="E3372" s="5" t="s">
        <v>448</v>
      </c>
      <c r="F3372" s="9">
        <v>35</v>
      </c>
      <c r="G3372" s="9">
        <v>454</v>
      </c>
      <c r="H3372" s="5" t="s">
        <v>21</v>
      </c>
      <c r="I3372" s="5" t="s">
        <v>7774</v>
      </c>
      <c r="J3372" s="12" t="str">
        <f>HYPERLINK("https://www.boe.es/gazeta/dias/1801/05/01/pdfs/GMD-1801-35.pdf#page=10","Abrir facsímil")</f>
        <v>Abrir facsímil</v>
      </c>
      <c r="K3372" s="15" t="s">
        <v>23</v>
      </c>
    </row>
    <row r="3373" spans="1:11" ht="42" customHeight="1">
      <c r="A3373" s="4" t="s">
        <v>7775</v>
      </c>
      <c r="B3373" s="5" t="s">
        <v>7775</v>
      </c>
      <c r="C3373" s="5" t="s">
        <v>26</v>
      </c>
      <c r="D3373" s="5" t="s">
        <v>27</v>
      </c>
      <c r="E3373" s="5" t="s">
        <v>505</v>
      </c>
      <c r="F3373" s="9">
        <v>94</v>
      </c>
      <c r="G3373" s="9">
        <v>1035</v>
      </c>
      <c r="H3373" s="5" t="s">
        <v>21</v>
      </c>
      <c r="I3373" s="5" t="s">
        <v>7776</v>
      </c>
      <c r="J3373" s="12" t="str">
        <f>HYPERLINK("https://www.boe.es/gazeta/dias/1801/10/02/pdfs/GMD-1801-94.pdf#page=11","Abrir facsímil")</f>
        <v>Abrir facsímil</v>
      </c>
      <c r="K3373" s="15" t="s">
        <v>23</v>
      </c>
    </row>
    <row r="3374" spans="1:11" ht="42" customHeight="1">
      <c r="A3374" s="4" t="s">
        <v>7777</v>
      </c>
      <c r="B3374" s="5" t="s">
        <v>7777</v>
      </c>
      <c r="C3374" s="5" t="s">
        <v>69</v>
      </c>
      <c r="D3374" s="5" t="s">
        <v>19</v>
      </c>
      <c r="E3374" s="5" t="s">
        <v>275</v>
      </c>
      <c r="F3374" s="9">
        <v>9</v>
      </c>
      <c r="G3374" s="9">
        <v>113</v>
      </c>
      <c r="H3374" s="5" t="s">
        <v>21</v>
      </c>
      <c r="I3374" s="5" t="s">
        <v>7778</v>
      </c>
      <c r="J3374" s="12" t="str">
        <f>HYPERLINK("https://www.boe.es/gazeta/dias/1801/01/30/pdfs/GMD-1801-9.pdf#page=10","Abrir facsímil")</f>
        <v>Abrir facsímil</v>
      </c>
      <c r="K3374" s="15" t="s">
        <v>23</v>
      </c>
    </row>
    <row r="3375" spans="1:11" ht="42" customHeight="1">
      <c r="A3375" s="4" t="s">
        <v>7777</v>
      </c>
      <c r="B3375" s="5" t="s">
        <v>7777</v>
      </c>
      <c r="C3375" s="5" t="s">
        <v>32</v>
      </c>
      <c r="D3375" s="5" t="s">
        <v>33</v>
      </c>
      <c r="E3375" s="5" t="s">
        <v>48</v>
      </c>
      <c r="F3375" s="9">
        <v>20</v>
      </c>
      <c r="G3375" s="9">
        <v>264</v>
      </c>
      <c r="H3375" s="5" t="s">
        <v>21</v>
      </c>
      <c r="I3375" s="5" t="s">
        <v>7779</v>
      </c>
      <c r="J3375" s="12" t="str">
        <f>HYPERLINK("https://www.boe.es/gazeta/dias/1801/03/10/pdfs/GMD-1801-20.pdf#page=9","Abrir facsímil")</f>
        <v>Abrir facsímil</v>
      </c>
      <c r="K3375" s="15" t="s">
        <v>23</v>
      </c>
    </row>
    <row r="3376" spans="1:11" ht="42" customHeight="1">
      <c r="A3376" s="4" t="s">
        <v>7780</v>
      </c>
      <c r="B3376" s="5" t="s">
        <v>7780</v>
      </c>
      <c r="C3376" s="5" t="s">
        <v>32</v>
      </c>
      <c r="D3376" s="5" t="s">
        <v>33</v>
      </c>
      <c r="E3376" s="5" t="s">
        <v>712</v>
      </c>
      <c r="F3376" s="9">
        <v>105</v>
      </c>
      <c r="G3376" s="9">
        <v>1155</v>
      </c>
      <c r="H3376" s="5" t="s">
        <v>21</v>
      </c>
      <c r="I3376" s="5" t="s">
        <v>7781</v>
      </c>
      <c r="J3376" s="12" t="str">
        <f>HYPERLINK("https://www.boe.es/gazeta/dias/1801/11/10/pdfs/GMD-1801-105.pdf#page=8","Abrir facsímil")</f>
        <v>Abrir facsímil</v>
      </c>
      <c r="K3376" s="15" t="s">
        <v>23</v>
      </c>
    </row>
    <row r="3377" spans="1:11" ht="42" customHeight="1">
      <c r="A3377" s="4" t="s">
        <v>7782</v>
      </c>
      <c r="B3377" s="5" t="s">
        <v>7782</v>
      </c>
      <c r="C3377" s="5" t="s">
        <v>32</v>
      </c>
      <c r="D3377" s="5" t="s">
        <v>33</v>
      </c>
      <c r="E3377" s="5" t="s">
        <v>338</v>
      </c>
      <c r="F3377" s="9">
        <v>83</v>
      </c>
      <c r="G3377" s="9">
        <v>933</v>
      </c>
      <c r="H3377" s="5" t="s">
        <v>21</v>
      </c>
      <c r="I3377" s="5" t="s">
        <v>7783</v>
      </c>
      <c r="J3377" s="12" t="str">
        <f>HYPERLINK("https://www.boe.es/gazeta/dias/1801/09/01/pdfs/GMD-1801-83.pdf#page=8","Abrir facsímil")</f>
        <v>Abrir facsímil</v>
      </c>
      <c r="K3377" s="15" t="s">
        <v>23</v>
      </c>
    </row>
    <row r="3378" spans="1:11" ht="42" customHeight="1">
      <c r="A3378" s="4" t="s">
        <v>7784</v>
      </c>
      <c r="B3378" s="5" t="s">
        <v>7784</v>
      </c>
      <c r="C3378" s="5" t="s">
        <v>80</v>
      </c>
      <c r="D3378" s="5" t="s">
        <v>81</v>
      </c>
      <c r="E3378" s="5" t="s">
        <v>289</v>
      </c>
      <c r="F3378" s="9">
        <v>40</v>
      </c>
      <c r="G3378" s="9" t="s">
        <v>83</v>
      </c>
      <c r="H3378" s="5" t="s">
        <v>21</v>
      </c>
      <c r="I3378" s="5" t="s">
        <v>7785</v>
      </c>
      <c r="J3378" s="12" t="str">
        <f>HYPERLINK("https://www.boe.es/gazeta/dias/1801/05/19/pdfs/GMD-C-1801-40.pdf#page=2","Abrir facsímil")</f>
        <v>Abrir facsímil</v>
      </c>
      <c r="K3378" s="15" t="s">
        <v>23</v>
      </c>
    </row>
    <row r="3379" spans="1:11" ht="42" customHeight="1">
      <c r="A3379" s="4" t="s">
        <v>7786</v>
      </c>
      <c r="B3379" s="5" t="s">
        <v>7787</v>
      </c>
      <c r="C3379" s="5" t="s">
        <v>38</v>
      </c>
      <c r="D3379" s="5" t="s">
        <v>39</v>
      </c>
      <c r="E3379" s="5" t="s">
        <v>328</v>
      </c>
      <c r="F3379" s="9">
        <v>89</v>
      </c>
      <c r="G3379" s="9">
        <v>981</v>
      </c>
      <c r="H3379" s="5" t="s">
        <v>21</v>
      </c>
      <c r="I3379" s="5" t="s">
        <v>7788</v>
      </c>
      <c r="J3379" s="12" t="str">
        <f>HYPERLINK("https://www.boe.es/gazeta/dias/1801/09/15/pdfs/GMD-1801-89.pdf#page=8","Abrir facsímil")</f>
        <v>Abrir facsímil</v>
      </c>
      <c r="K3379" s="15" t="s">
        <v>23</v>
      </c>
    </row>
    <row r="3380" spans="1:11" ht="42" customHeight="1">
      <c r="A3380" s="4" t="s">
        <v>7789</v>
      </c>
      <c r="B3380" s="5" t="s">
        <v>7790</v>
      </c>
      <c r="C3380" s="5" t="s">
        <v>18</v>
      </c>
      <c r="D3380" s="5" t="s">
        <v>19</v>
      </c>
      <c r="E3380" s="5" t="s">
        <v>321</v>
      </c>
      <c r="F3380" s="9">
        <v>3</v>
      </c>
      <c r="G3380" s="9">
        <v>32</v>
      </c>
      <c r="H3380" s="5" t="s">
        <v>21</v>
      </c>
      <c r="I3380" s="5" t="s">
        <v>7791</v>
      </c>
      <c r="J3380" s="12" t="str">
        <f>HYPERLINK("https://www.boe.es/gazeta/dias/1801/01/09/pdfs/GMD-1801-3.pdf#page=8","Abrir facsímil")</f>
        <v>Abrir facsímil</v>
      </c>
      <c r="K3380" s="15" t="s">
        <v>23</v>
      </c>
    </row>
    <row r="3381" spans="1:11" ht="42" customHeight="1">
      <c r="A3381" s="4" t="s">
        <v>7792</v>
      </c>
      <c r="B3381" s="5" t="s">
        <v>7793</v>
      </c>
      <c r="C3381" s="5" t="s">
        <v>32</v>
      </c>
      <c r="D3381" s="5" t="s">
        <v>33</v>
      </c>
      <c r="E3381" s="5" t="s">
        <v>112</v>
      </c>
      <c r="F3381" s="9">
        <v>114</v>
      </c>
      <c r="G3381" s="9">
        <v>1247</v>
      </c>
      <c r="H3381" s="5" t="s">
        <v>21</v>
      </c>
      <c r="I3381" s="5" t="s">
        <v>7794</v>
      </c>
      <c r="J3381" s="12" t="str">
        <f>HYPERLINK("https://www.boe.es/gazeta/dias/1801/12/11/pdfs/GMD-1801-114.pdf#page=9","Abrir facsímil")</f>
        <v>Abrir facsímil</v>
      </c>
      <c r="K3381" s="15" t="s">
        <v>23</v>
      </c>
    </row>
    <row r="3382" spans="1:11" ht="42" customHeight="1">
      <c r="A3382" s="4" t="s">
        <v>7795</v>
      </c>
      <c r="B3382" s="5" t="s">
        <v>7795</v>
      </c>
      <c r="C3382" s="5" t="s">
        <v>515</v>
      </c>
      <c r="D3382" s="5" t="s">
        <v>516</v>
      </c>
      <c r="E3382" s="5" t="s">
        <v>501</v>
      </c>
      <c r="F3382" s="9">
        <v>115</v>
      </c>
      <c r="G3382" s="9" t="s">
        <v>517</v>
      </c>
      <c r="H3382" s="5" t="s">
        <v>21</v>
      </c>
      <c r="I3382" s="5" t="s">
        <v>7796</v>
      </c>
      <c r="J3382" s="12" t="str">
        <f>HYPERLINK("https://www.boe.es/gazeta/dias/1801/12/15/pdfs/GMD-C-1801-115.pdf#page=7","Abrir facsímil")</f>
        <v>Abrir facsímil</v>
      </c>
      <c r="K3382" s="15" t="s">
        <v>23</v>
      </c>
    </row>
    <row r="3383" spans="1:11" ht="42" customHeight="1">
      <c r="A3383" s="4" t="s">
        <v>7797</v>
      </c>
      <c r="B3383" s="5" t="s">
        <v>7797</v>
      </c>
      <c r="C3383" s="5" t="s">
        <v>32</v>
      </c>
      <c r="D3383" s="5" t="s">
        <v>33</v>
      </c>
      <c r="E3383" s="5" t="s">
        <v>505</v>
      </c>
      <c r="F3383" s="9">
        <v>94</v>
      </c>
      <c r="G3383" s="9">
        <v>1033</v>
      </c>
      <c r="H3383" s="5" t="s">
        <v>21</v>
      </c>
      <c r="I3383" s="5" t="s">
        <v>7798</v>
      </c>
      <c r="J3383" s="12" t="str">
        <f>HYPERLINK("https://www.boe.es/gazeta/dias/1801/10/02/pdfs/GMD-1801-94.pdf#page=9","Abrir facsímil")</f>
        <v>Abrir facsímil</v>
      </c>
      <c r="K3383" s="15" t="s">
        <v>23</v>
      </c>
    </row>
    <row r="3384" spans="1:11" ht="42" customHeight="1">
      <c r="A3384" s="4" t="s">
        <v>7799</v>
      </c>
      <c r="B3384" s="5" t="s">
        <v>7800</v>
      </c>
      <c r="C3384" s="5" t="s">
        <v>515</v>
      </c>
      <c r="D3384" s="5" t="s">
        <v>516</v>
      </c>
      <c r="E3384" s="5" t="s">
        <v>751</v>
      </c>
      <c r="F3384" s="9">
        <v>106</v>
      </c>
      <c r="G3384" s="9">
        <v>1169</v>
      </c>
      <c r="H3384" s="5" t="s">
        <v>21</v>
      </c>
      <c r="I3384" s="5" t="s">
        <v>7801</v>
      </c>
      <c r="J3384" s="12" t="str">
        <f>HYPERLINK("https://www.boe.es/gazeta/dias/1801/11/13/pdfs/GMD-C-1801-106.pdf#page=2","Abrir facsímil")</f>
        <v>Abrir facsímil</v>
      </c>
      <c r="K3384" s="15" t="s">
        <v>23</v>
      </c>
    </row>
    <row r="3385" spans="1:11" ht="42" customHeight="1">
      <c r="A3385" s="4" t="s">
        <v>7799</v>
      </c>
      <c r="B3385" s="5" t="s">
        <v>7800</v>
      </c>
      <c r="C3385" s="5" t="s">
        <v>38</v>
      </c>
      <c r="D3385" s="5" t="s">
        <v>39</v>
      </c>
      <c r="E3385" s="5" t="s">
        <v>1058</v>
      </c>
      <c r="F3385" s="9">
        <v>108</v>
      </c>
      <c r="G3385" s="9">
        <v>1193</v>
      </c>
      <c r="H3385" s="5" t="s">
        <v>21</v>
      </c>
      <c r="I3385" s="5" t="s">
        <v>7802</v>
      </c>
      <c r="J3385" s="12" t="str">
        <f>HYPERLINK("https://www.boe.es/gazeta/dias/1801/11/20/pdfs/GMD-1801-108.pdf#page=10","Abrir facsímil")</f>
        <v>Abrir facsímil</v>
      </c>
      <c r="K3385" s="15" t="s">
        <v>23</v>
      </c>
    </row>
    <row r="3386" spans="1:11" ht="42" customHeight="1">
      <c r="A3386" s="4" t="s">
        <v>7803</v>
      </c>
      <c r="B3386" s="5" t="s">
        <v>7804</v>
      </c>
      <c r="C3386" s="5" t="s">
        <v>38</v>
      </c>
      <c r="D3386" s="5" t="s">
        <v>39</v>
      </c>
      <c r="E3386" s="5" t="s">
        <v>702</v>
      </c>
      <c r="F3386" s="9">
        <v>69</v>
      </c>
      <c r="G3386" s="9">
        <v>764</v>
      </c>
      <c r="H3386" s="5" t="s">
        <v>21</v>
      </c>
      <c r="I3386" s="5" t="s">
        <v>7805</v>
      </c>
      <c r="J3386" s="12" t="str">
        <f>HYPERLINK("https://www.boe.es/gazeta/dias/1801/07/14/pdfs/GMD-1801-69.pdf#page=9","Abrir facsímil")</f>
        <v>Abrir facsímil</v>
      </c>
      <c r="K3386" s="15" t="s">
        <v>23</v>
      </c>
    </row>
    <row r="3387" spans="1:11" ht="42" customHeight="1">
      <c r="A3387" s="4" t="s">
        <v>7803</v>
      </c>
      <c r="B3387" s="5" t="s">
        <v>7804</v>
      </c>
      <c r="C3387" s="5" t="s">
        <v>38</v>
      </c>
      <c r="D3387" s="5" t="s">
        <v>39</v>
      </c>
      <c r="E3387" s="5" t="s">
        <v>215</v>
      </c>
      <c r="F3387" s="9">
        <v>71</v>
      </c>
      <c r="G3387" s="9">
        <v>788</v>
      </c>
      <c r="H3387" s="5" t="s">
        <v>21</v>
      </c>
      <c r="I3387" s="5" t="s">
        <v>7806</v>
      </c>
      <c r="J3387" s="12" t="str">
        <f>HYPERLINK("https://www.boe.es/gazeta/dias/1801/07/21/pdfs/GMD-1801-71.pdf#page=9","Abrir facsímil")</f>
        <v>Abrir facsímil</v>
      </c>
      <c r="K3387" s="15" t="s">
        <v>23</v>
      </c>
    </row>
    <row r="3388" spans="1:11" ht="42" customHeight="1">
      <c r="A3388" s="4" t="s">
        <v>7807</v>
      </c>
      <c r="B3388" s="5" t="s">
        <v>7808</v>
      </c>
      <c r="C3388" s="5" t="s">
        <v>75</v>
      </c>
      <c r="D3388" s="5" t="s">
        <v>76</v>
      </c>
      <c r="E3388" s="5" t="s">
        <v>1085</v>
      </c>
      <c r="F3388" s="9">
        <v>99</v>
      </c>
      <c r="G3388" s="9">
        <v>1086</v>
      </c>
      <c r="H3388" s="5" t="s">
        <v>21</v>
      </c>
      <c r="I3388" s="5" t="s">
        <v>7809</v>
      </c>
      <c r="J3388" s="12" t="str">
        <f>HYPERLINK("https://www.boe.es/gazeta/dias/1801/10/20/pdfs/GMD-1801-99.pdf#page=3","Abrir facsímil")</f>
        <v>Abrir facsímil</v>
      </c>
      <c r="K3388" s="15" t="s">
        <v>23</v>
      </c>
    </row>
    <row r="3389" spans="1:11" ht="42" customHeight="1">
      <c r="A3389" s="4" t="s">
        <v>7810</v>
      </c>
      <c r="B3389" s="5" t="s">
        <v>7811</v>
      </c>
      <c r="C3389" s="5" t="s">
        <v>75</v>
      </c>
      <c r="D3389" s="5" t="s">
        <v>76</v>
      </c>
      <c r="E3389" s="5" t="s">
        <v>40</v>
      </c>
      <c r="F3389" s="9">
        <v>63</v>
      </c>
      <c r="G3389" s="9">
        <v>708</v>
      </c>
      <c r="H3389" s="5" t="s">
        <v>21</v>
      </c>
      <c r="I3389" s="5" t="s">
        <v>7812</v>
      </c>
      <c r="J3389" s="12" t="str">
        <f>HYPERLINK("https://www.boe.es/gazeta/dias/1801/07/03/pdfs/GMD-1801-63.pdf#page=5","Abrir facsímil")</f>
        <v>Abrir facsímil</v>
      </c>
      <c r="K3389" s="15" t="s">
        <v>23</v>
      </c>
    </row>
    <row r="3390" spans="1:11" ht="42" customHeight="1">
      <c r="A3390" s="4" t="s">
        <v>7813</v>
      </c>
      <c r="B3390" s="5" t="s">
        <v>7814</v>
      </c>
      <c r="C3390" s="5" t="s">
        <v>32</v>
      </c>
      <c r="D3390" s="5" t="s">
        <v>33</v>
      </c>
      <c r="E3390" s="5" t="s">
        <v>1436</v>
      </c>
      <c r="F3390" s="9">
        <v>95</v>
      </c>
      <c r="G3390" s="9">
        <v>1039</v>
      </c>
      <c r="H3390" s="5" t="s">
        <v>21</v>
      </c>
      <c r="I3390" s="5" t="s">
        <v>7815</v>
      </c>
      <c r="J3390" s="12" t="str">
        <f>HYPERLINK("https://www.boe.es/gazeta/dias/1801/10/06/pdfs/GMD-1801-95.pdf#page=3","Abrir facsímil")</f>
        <v>Abrir facsímil</v>
      </c>
      <c r="K3390" s="15" t="s">
        <v>23</v>
      </c>
    </row>
    <row r="3391" spans="1:11" ht="42" customHeight="1">
      <c r="A3391" s="4" t="s">
        <v>7816</v>
      </c>
      <c r="B3391" s="5" t="s">
        <v>7816</v>
      </c>
      <c r="C3391" s="5" t="s">
        <v>26</v>
      </c>
      <c r="D3391" s="5" t="s">
        <v>27</v>
      </c>
      <c r="E3391" s="5" t="s">
        <v>173</v>
      </c>
      <c r="F3391" s="9">
        <v>98</v>
      </c>
      <c r="G3391" s="9">
        <v>1080</v>
      </c>
      <c r="H3391" s="5" t="s">
        <v>21</v>
      </c>
      <c r="I3391" s="5" t="s">
        <v>7817</v>
      </c>
      <c r="J3391" s="12" t="str">
        <f>HYPERLINK("https://www.boe.es/gazeta/dias/1801/10/16/pdfs/GMD-1801-98.pdf#page=12","Abrir facsímil")</f>
        <v>Abrir facsímil</v>
      </c>
      <c r="K3391" s="15" t="s">
        <v>23</v>
      </c>
    </row>
    <row r="3392" spans="1:11" ht="42" customHeight="1">
      <c r="A3392" s="4" t="s">
        <v>7818</v>
      </c>
      <c r="B3392" s="5" t="s">
        <v>7819</v>
      </c>
      <c r="C3392" s="5" t="s">
        <v>32</v>
      </c>
      <c r="D3392" s="5" t="s">
        <v>33</v>
      </c>
      <c r="E3392" s="5" t="s">
        <v>99</v>
      </c>
      <c r="F3392" s="9">
        <v>32</v>
      </c>
      <c r="G3392" s="9">
        <v>414</v>
      </c>
      <c r="H3392" s="5" t="s">
        <v>21</v>
      </c>
      <c r="I3392" s="5" t="s">
        <v>7820</v>
      </c>
      <c r="J3392" s="12" t="str">
        <f>HYPERLINK("https://www.boe.es/gazeta/dias/1801/04/21/pdfs/GMD-1801-32.pdf#page=10","Abrir facsímil")</f>
        <v>Abrir facsímil</v>
      </c>
      <c r="K3392" s="15" t="s">
        <v>23</v>
      </c>
    </row>
    <row r="3393" spans="1:11" ht="42" customHeight="1">
      <c r="A3393" s="4" t="s">
        <v>7821</v>
      </c>
      <c r="B3393" s="5" t="s">
        <v>7822</v>
      </c>
      <c r="C3393" s="5" t="s">
        <v>32</v>
      </c>
      <c r="D3393" s="5" t="s">
        <v>33</v>
      </c>
      <c r="E3393" s="5" t="s">
        <v>2237</v>
      </c>
      <c r="F3393" s="9">
        <v>82</v>
      </c>
      <c r="G3393" s="9">
        <v>917</v>
      </c>
      <c r="H3393" s="5" t="s">
        <v>21</v>
      </c>
      <c r="I3393" s="5" t="s">
        <v>7823</v>
      </c>
      <c r="J3393" s="12" t="str">
        <f>HYPERLINK("https://www.boe.es/gazeta/dias/1801/08/28/pdfs/GMD-1801-82.pdf#page=6","Abrir facsímil")</f>
        <v>Abrir facsímil</v>
      </c>
      <c r="K3393" s="15" t="s">
        <v>23</v>
      </c>
    </row>
    <row r="3394" spans="1:11" ht="42" customHeight="1">
      <c r="A3394" s="4" t="s">
        <v>7824</v>
      </c>
      <c r="B3394" s="5" t="s">
        <v>7825</v>
      </c>
      <c r="C3394" s="5" t="s">
        <v>32</v>
      </c>
      <c r="D3394" s="5" t="s">
        <v>33</v>
      </c>
      <c r="E3394" s="5" t="s">
        <v>137</v>
      </c>
      <c r="F3394" s="9">
        <v>30</v>
      </c>
      <c r="G3394" s="9">
        <v>393</v>
      </c>
      <c r="H3394" s="5" t="s">
        <v>21</v>
      </c>
      <c r="I3394" s="5" t="s">
        <v>7826</v>
      </c>
      <c r="J3394" s="12" t="str">
        <f>HYPERLINK("https://www.boe.es/gazeta/dias/1801/04/14/pdfs/GMD-1801-30.pdf#page=9","Abrir facsímil")</f>
        <v>Abrir facsímil</v>
      </c>
      <c r="K3394" s="15" t="s">
        <v>23</v>
      </c>
    </row>
    <row r="3395" spans="1:11" ht="42" customHeight="1">
      <c r="A3395" s="4" t="s">
        <v>7824</v>
      </c>
      <c r="B3395" s="5" t="s">
        <v>7825</v>
      </c>
      <c r="C3395" s="5" t="s">
        <v>32</v>
      </c>
      <c r="D3395" s="5" t="s">
        <v>33</v>
      </c>
      <c r="E3395" s="5" t="s">
        <v>34</v>
      </c>
      <c r="F3395" s="9">
        <v>38</v>
      </c>
      <c r="G3395" s="9">
        <v>492</v>
      </c>
      <c r="H3395" s="5" t="s">
        <v>21</v>
      </c>
      <c r="I3395" s="5" t="s">
        <v>7827</v>
      </c>
      <c r="J3395" s="12" t="str">
        <f>HYPERLINK("https://www.boe.es/gazeta/dias/1801/05/12/pdfs/GMD-1801-38.pdf#page=8","Abrir facsímil")</f>
        <v>Abrir facsímil</v>
      </c>
      <c r="K3395" s="15" t="s">
        <v>23</v>
      </c>
    </row>
    <row r="3396" spans="1:11" ht="42" customHeight="1">
      <c r="A3396" s="4" t="s">
        <v>7824</v>
      </c>
      <c r="B3396" s="5" t="s">
        <v>7825</v>
      </c>
      <c r="C3396" s="5" t="s">
        <v>75</v>
      </c>
      <c r="D3396" s="5" t="s">
        <v>76</v>
      </c>
      <c r="E3396" s="5" t="s">
        <v>313</v>
      </c>
      <c r="F3396" s="9">
        <v>39</v>
      </c>
      <c r="G3396" s="9">
        <v>504</v>
      </c>
      <c r="H3396" s="5" t="s">
        <v>21</v>
      </c>
      <c r="I3396" s="5" t="s">
        <v>7828</v>
      </c>
      <c r="J3396" s="12" t="str">
        <f>HYPERLINK("https://www.boe.es/gazeta/dias/1801/05/15/pdfs/GMD-1801-39.pdf#page=8","Abrir facsímil")</f>
        <v>Abrir facsímil</v>
      </c>
      <c r="K3396" s="15" t="s">
        <v>23</v>
      </c>
    </row>
    <row r="3397" spans="1:11" ht="42" customHeight="1">
      <c r="A3397" s="4" t="s">
        <v>7829</v>
      </c>
      <c r="B3397" s="5" t="s">
        <v>7829</v>
      </c>
      <c r="C3397" s="5" t="s">
        <v>32</v>
      </c>
      <c r="D3397" s="5" t="s">
        <v>33</v>
      </c>
      <c r="E3397" s="5" t="s">
        <v>221</v>
      </c>
      <c r="F3397" s="9">
        <v>28</v>
      </c>
      <c r="G3397" s="9">
        <v>363</v>
      </c>
      <c r="H3397" s="5" t="s">
        <v>21</v>
      </c>
      <c r="I3397" s="5" t="s">
        <v>7830</v>
      </c>
      <c r="J3397" s="12" t="str">
        <f>HYPERLINK("https://www.boe.es/gazeta/dias/1801/04/07/pdfs/GMD-1801-28.pdf#page=3","Abrir facsímil")</f>
        <v>Abrir facsímil</v>
      </c>
      <c r="K3397" s="15" t="s">
        <v>23</v>
      </c>
    </row>
    <row r="3398" spans="1:11" ht="42" customHeight="1">
      <c r="A3398" s="4" t="s">
        <v>7831</v>
      </c>
      <c r="B3398" s="5" t="s">
        <v>7831</v>
      </c>
      <c r="C3398" s="5" t="s">
        <v>69</v>
      </c>
      <c r="D3398" s="5" t="s">
        <v>19</v>
      </c>
      <c r="E3398" s="5" t="s">
        <v>165</v>
      </c>
      <c r="F3398" s="9">
        <v>59</v>
      </c>
      <c r="G3398" s="9">
        <v>678</v>
      </c>
      <c r="H3398" s="5" t="s">
        <v>21</v>
      </c>
      <c r="I3398" s="5" t="s">
        <v>7832</v>
      </c>
      <c r="J3398" s="12" t="str">
        <f>HYPERLINK("https://www.boe.es/gazeta/dias/1801/06/23/pdfs/GMD-1801-59.pdf#page=11","Abrir facsímil")</f>
        <v>Abrir facsímil</v>
      </c>
      <c r="K3398" s="15" t="s">
        <v>23</v>
      </c>
    </row>
    <row r="3399" spans="1:11" ht="42" customHeight="1">
      <c r="A3399" s="4" t="s">
        <v>7833</v>
      </c>
      <c r="B3399" s="5" t="s">
        <v>7833</v>
      </c>
      <c r="C3399" s="5" t="s">
        <v>80</v>
      </c>
      <c r="D3399" s="5" t="s">
        <v>81</v>
      </c>
      <c r="E3399" s="5" t="s">
        <v>289</v>
      </c>
      <c r="F3399" s="9">
        <v>40</v>
      </c>
      <c r="G3399" s="9" t="s">
        <v>299</v>
      </c>
      <c r="H3399" s="5" t="s">
        <v>21</v>
      </c>
      <c r="I3399" s="5" t="s">
        <v>7834</v>
      </c>
      <c r="J3399" s="12" t="str">
        <f>HYPERLINK("https://www.boe.es/gazeta/dias/1801/05/19/pdfs/GMD-C-1801-40.pdf#page=5","Abrir facsímil")</f>
        <v>Abrir facsímil</v>
      </c>
      <c r="K3399" s="15" t="s">
        <v>23</v>
      </c>
    </row>
    <row r="3400" spans="1:11" ht="42" customHeight="1">
      <c r="A3400" s="4" t="s">
        <v>7835</v>
      </c>
      <c r="B3400" s="5" t="s">
        <v>7836</v>
      </c>
      <c r="C3400" s="5" t="s">
        <v>38</v>
      </c>
      <c r="D3400" s="5" t="s">
        <v>39</v>
      </c>
      <c r="E3400" s="5" t="s">
        <v>215</v>
      </c>
      <c r="F3400" s="9">
        <v>71</v>
      </c>
      <c r="G3400" s="9">
        <v>789</v>
      </c>
      <c r="H3400" s="5" t="s">
        <v>21</v>
      </c>
      <c r="I3400" s="5" t="s">
        <v>7837</v>
      </c>
      <c r="J3400" s="12" t="str">
        <f>HYPERLINK("https://www.boe.es/gazeta/dias/1801/07/21/pdfs/GMD-1801-71.pdf#page=10","Abrir facsímil")</f>
        <v>Abrir facsímil</v>
      </c>
      <c r="K3400" s="15" t="s">
        <v>23</v>
      </c>
    </row>
    <row r="3401" spans="1:11" ht="42" customHeight="1">
      <c r="A3401" s="4" t="s">
        <v>7838</v>
      </c>
      <c r="B3401" s="5" t="s">
        <v>7839</v>
      </c>
      <c r="C3401" s="5" t="s">
        <v>80</v>
      </c>
      <c r="D3401" s="5" t="s">
        <v>81</v>
      </c>
      <c r="E3401" s="5" t="s">
        <v>289</v>
      </c>
      <c r="F3401" s="9">
        <v>40</v>
      </c>
      <c r="G3401" s="9" t="s">
        <v>86</v>
      </c>
      <c r="H3401" s="5" t="s">
        <v>21</v>
      </c>
      <c r="I3401" s="5" t="s">
        <v>7840</v>
      </c>
      <c r="J3401" s="12" t="str">
        <f>HYPERLINK("https://www.boe.es/gazeta/dias/1801/05/19/pdfs/GMD-C-1801-40.pdf#page=3","Abrir facsímil")</f>
        <v>Abrir facsímil</v>
      </c>
      <c r="K3401" s="15" t="s">
        <v>23</v>
      </c>
    </row>
    <row r="3402" spans="1:11" ht="42" customHeight="1">
      <c r="A3402" s="4" t="s">
        <v>7841</v>
      </c>
      <c r="B3402" s="5" t="s">
        <v>7842</v>
      </c>
      <c r="C3402" s="5" t="s">
        <v>75</v>
      </c>
      <c r="D3402" s="5" t="s">
        <v>76</v>
      </c>
      <c r="E3402" s="5" t="s">
        <v>40</v>
      </c>
      <c r="F3402" s="9">
        <v>63</v>
      </c>
      <c r="G3402" s="9">
        <v>708</v>
      </c>
      <c r="H3402" s="5" t="s">
        <v>21</v>
      </c>
      <c r="I3402" s="5" t="s">
        <v>7843</v>
      </c>
      <c r="J3402" s="12" t="str">
        <f>HYPERLINK("https://www.boe.es/gazeta/dias/1801/07/03/pdfs/GMD-1801-63.pdf#page=5","Abrir facsímil")</f>
        <v>Abrir facsímil</v>
      </c>
      <c r="K3402" s="15" t="s">
        <v>23</v>
      </c>
    </row>
    <row r="3403" spans="1:11" ht="42" customHeight="1">
      <c r="A3403" s="4" t="s">
        <v>7844</v>
      </c>
      <c r="B3403" s="5" t="s">
        <v>7844</v>
      </c>
      <c r="C3403" s="5" t="s">
        <v>80</v>
      </c>
      <c r="D3403" s="5" t="s">
        <v>81</v>
      </c>
      <c r="E3403" s="5" t="s">
        <v>289</v>
      </c>
      <c r="F3403" s="9">
        <v>40</v>
      </c>
      <c r="G3403" s="9" t="s">
        <v>83</v>
      </c>
      <c r="H3403" s="5" t="s">
        <v>21</v>
      </c>
      <c r="I3403" s="5" t="s">
        <v>7845</v>
      </c>
      <c r="J3403" s="12" t="str">
        <f>HYPERLINK("https://www.boe.es/gazeta/dias/1801/05/19/pdfs/GMD-C-1801-40.pdf#page=2","Abrir facsímil")</f>
        <v>Abrir facsímil</v>
      </c>
      <c r="K3403" s="15" t="s">
        <v>23</v>
      </c>
    </row>
    <row r="3404" spans="1:11" ht="42" customHeight="1">
      <c r="A3404" s="4" t="s">
        <v>7846</v>
      </c>
      <c r="B3404" s="5" t="s">
        <v>7847</v>
      </c>
      <c r="C3404" s="5" t="s">
        <v>75</v>
      </c>
      <c r="D3404" s="5" t="s">
        <v>76</v>
      </c>
      <c r="E3404" s="5" t="s">
        <v>120</v>
      </c>
      <c r="F3404" s="9">
        <v>7</v>
      </c>
      <c r="G3404" s="9">
        <v>80</v>
      </c>
      <c r="H3404" s="5" t="s">
        <v>21</v>
      </c>
      <c r="I3404" s="5" t="s">
        <v>7848</v>
      </c>
      <c r="J3404" s="12" t="str">
        <f>HYPERLINK("https://www.boe.es/gazeta/dias/1801/01/23/pdfs/GMD-1801-7.pdf#page=4","Abrir facsímil")</f>
        <v>Abrir facsímil</v>
      </c>
      <c r="K3404" s="15" t="s">
        <v>23</v>
      </c>
    </row>
    <row r="3405" spans="1:11" ht="42" customHeight="1">
      <c r="A3405" s="4" t="s">
        <v>7849</v>
      </c>
      <c r="B3405" s="5" t="s">
        <v>7850</v>
      </c>
      <c r="C3405" s="5" t="s">
        <v>32</v>
      </c>
      <c r="D3405" s="5" t="s">
        <v>33</v>
      </c>
      <c r="E3405" s="5" t="s">
        <v>120</v>
      </c>
      <c r="F3405" s="9">
        <v>7</v>
      </c>
      <c r="G3405" s="9">
        <v>84</v>
      </c>
      <c r="H3405" s="5" t="s">
        <v>21</v>
      </c>
      <c r="I3405" s="5" t="s">
        <v>7851</v>
      </c>
      <c r="J3405" s="12" t="str">
        <f>HYPERLINK("https://www.boe.es/gazeta/dias/1801/01/23/pdfs/GMD-1801-7.pdf#page=8","Abrir facsímil")</f>
        <v>Abrir facsímil</v>
      </c>
      <c r="K3405" s="15" t="s">
        <v>23</v>
      </c>
    </row>
    <row r="3406" spans="1:11" ht="42" customHeight="1">
      <c r="A3406" s="4" t="s">
        <v>7852</v>
      </c>
      <c r="B3406" s="5" t="s">
        <v>7852</v>
      </c>
      <c r="C3406" s="5" t="s">
        <v>75</v>
      </c>
      <c r="D3406" s="5" t="s">
        <v>76</v>
      </c>
      <c r="E3406" s="5" t="s">
        <v>258</v>
      </c>
      <c r="F3406" s="9">
        <v>96</v>
      </c>
      <c r="G3406" s="9">
        <v>1046</v>
      </c>
      <c r="H3406" s="5" t="s">
        <v>21</v>
      </c>
      <c r="I3406" s="5" t="s">
        <v>7853</v>
      </c>
      <c r="J3406" s="12" t="str">
        <f>HYPERLINK("https://www.boe.es/gazeta/dias/1801/10/09/pdfs/GMD-1801-96.pdf#page=2","Abrir facsímil")</f>
        <v>Abrir facsímil</v>
      </c>
      <c r="K3406" s="15" t="s">
        <v>23</v>
      </c>
    </row>
    <row r="3407" spans="1:11" ht="42" customHeight="1">
      <c r="A3407" s="4" t="s">
        <v>7854</v>
      </c>
      <c r="B3407" s="5" t="s">
        <v>7855</v>
      </c>
      <c r="C3407" s="5" t="s">
        <v>80</v>
      </c>
      <c r="D3407" s="5" t="s">
        <v>81</v>
      </c>
      <c r="E3407" s="5" t="s">
        <v>82</v>
      </c>
      <c r="F3407" s="9">
        <v>75</v>
      </c>
      <c r="G3407" s="9" t="s">
        <v>996</v>
      </c>
      <c r="H3407" s="5" t="s">
        <v>21</v>
      </c>
      <c r="I3407" s="5" t="s">
        <v>7856</v>
      </c>
      <c r="J3407" s="12" t="str">
        <f>HYPERLINK("https://www.boe.es/gazeta/dias/1801/08/04/pdfs/GMD-C-1801-75.pdf#page=6","Abrir facsímil")</f>
        <v>Abrir facsímil</v>
      </c>
      <c r="K3407" s="15" t="s">
        <v>23</v>
      </c>
    </row>
    <row r="3408" spans="1:11" ht="42" customHeight="1">
      <c r="A3408" s="4" t="s">
        <v>7857</v>
      </c>
      <c r="B3408" s="5" t="s">
        <v>7858</v>
      </c>
      <c r="C3408" s="5" t="s">
        <v>32</v>
      </c>
      <c r="D3408" s="5" t="s">
        <v>33</v>
      </c>
      <c r="E3408" s="5" t="s">
        <v>317</v>
      </c>
      <c r="F3408" s="9">
        <v>102</v>
      </c>
      <c r="G3408" s="9">
        <v>1121</v>
      </c>
      <c r="H3408" s="5" t="s">
        <v>21</v>
      </c>
      <c r="I3408" s="5" t="s">
        <v>7859</v>
      </c>
      <c r="J3408" s="12" t="str">
        <f>HYPERLINK("https://www.boe.es/gazeta/dias/1801/10/30/pdfs/GMD-1801-102.pdf#page=6","Abrir facsímil")</f>
        <v>Abrir facsímil</v>
      </c>
      <c r="K3408" s="15" t="s">
        <v>23</v>
      </c>
    </row>
    <row r="3409" spans="1:11" ht="42" customHeight="1">
      <c r="A3409" s="4" t="s">
        <v>7860</v>
      </c>
      <c r="B3409" s="5" t="s">
        <v>7861</v>
      </c>
      <c r="C3409" s="5" t="s">
        <v>26</v>
      </c>
      <c r="D3409" s="5" t="s">
        <v>27</v>
      </c>
      <c r="E3409" s="5" t="s">
        <v>1939</v>
      </c>
      <c r="F3409" s="9">
        <v>107</v>
      </c>
      <c r="G3409" s="9">
        <v>1177</v>
      </c>
      <c r="H3409" s="5" t="s">
        <v>21</v>
      </c>
      <c r="I3409" s="5" t="s">
        <v>7862</v>
      </c>
      <c r="J3409" s="12" t="str">
        <f>HYPERLINK("https://www.boe.es/gazeta/dias/1801/11/17/pdfs/GMD-1801-107.pdf#page=6","Abrir facsímil")</f>
        <v>Abrir facsímil</v>
      </c>
      <c r="K3409" s="15" t="s">
        <v>23</v>
      </c>
    </row>
    <row r="3410" spans="1:11" ht="42" customHeight="1">
      <c r="A3410" s="4" t="s">
        <v>7863</v>
      </c>
      <c r="B3410" s="5" t="s">
        <v>7864</v>
      </c>
      <c r="C3410" s="5" t="s">
        <v>32</v>
      </c>
      <c r="D3410" s="5" t="s">
        <v>33</v>
      </c>
      <c r="E3410" s="5" t="s">
        <v>151</v>
      </c>
      <c r="F3410" s="9">
        <v>45</v>
      </c>
      <c r="G3410" s="9">
        <v>561</v>
      </c>
      <c r="H3410" s="5" t="s">
        <v>21</v>
      </c>
      <c r="I3410" s="5" t="s">
        <v>7865</v>
      </c>
      <c r="J3410" s="12" t="str">
        <f>HYPERLINK("https://www.boe.es/gazeta/dias/1801/06/02/pdfs/GMD-1801-45.pdf#page=9","Abrir facsímil")</f>
        <v>Abrir facsímil</v>
      </c>
      <c r="K3410" s="15" t="s">
        <v>23</v>
      </c>
    </row>
    <row r="3411" spans="1:11" ht="42" customHeight="1">
      <c r="A3411" s="4" t="s">
        <v>7866</v>
      </c>
      <c r="B3411" s="5" t="s">
        <v>7867</v>
      </c>
      <c r="C3411" s="5" t="s">
        <v>80</v>
      </c>
      <c r="D3411" s="5" t="s">
        <v>81</v>
      </c>
      <c r="E3411" s="5" t="s">
        <v>82</v>
      </c>
      <c r="F3411" s="9">
        <v>75</v>
      </c>
      <c r="G3411" s="9" t="s">
        <v>299</v>
      </c>
      <c r="H3411" s="5" t="s">
        <v>21</v>
      </c>
      <c r="I3411" s="5" t="s">
        <v>7868</v>
      </c>
      <c r="J3411" s="12" t="str">
        <f>HYPERLINK("https://www.boe.es/gazeta/dias/1801/08/04/pdfs/GMD-C-1801-75.pdf#page=5","Abrir facsímil")</f>
        <v>Abrir facsímil</v>
      </c>
      <c r="K3411" s="15" t="s">
        <v>23</v>
      </c>
    </row>
    <row r="3412" spans="1:11" ht="42" customHeight="1">
      <c r="A3412" s="4" t="s">
        <v>7869</v>
      </c>
      <c r="B3412" s="5" t="s">
        <v>7870</v>
      </c>
      <c r="C3412" s="5" t="s">
        <v>32</v>
      </c>
      <c r="D3412" s="5" t="s">
        <v>33</v>
      </c>
      <c r="E3412" s="5" t="s">
        <v>505</v>
      </c>
      <c r="F3412" s="9">
        <v>94</v>
      </c>
      <c r="G3412" s="9">
        <v>1033</v>
      </c>
      <c r="H3412" s="5" t="s">
        <v>21</v>
      </c>
      <c r="I3412" s="5" t="s">
        <v>7871</v>
      </c>
      <c r="J3412" s="12" t="str">
        <f>HYPERLINK("https://www.boe.es/gazeta/dias/1801/10/02/pdfs/GMD-1801-94.pdf#page=9","Abrir facsímil")</f>
        <v>Abrir facsímil</v>
      </c>
      <c r="K3412" s="15" t="s">
        <v>23</v>
      </c>
    </row>
    <row r="3413" spans="1:11" ht="42" customHeight="1">
      <c r="A3413" s="4" t="s">
        <v>7872</v>
      </c>
      <c r="B3413" s="5" t="s">
        <v>7873</v>
      </c>
      <c r="C3413" s="5" t="s">
        <v>75</v>
      </c>
      <c r="D3413" s="5" t="s">
        <v>76</v>
      </c>
      <c r="E3413" s="5" t="s">
        <v>40</v>
      </c>
      <c r="F3413" s="9">
        <v>63</v>
      </c>
      <c r="G3413" s="9">
        <v>705</v>
      </c>
      <c r="H3413" s="5" t="s">
        <v>21</v>
      </c>
      <c r="I3413" s="5" t="s">
        <v>7874</v>
      </c>
      <c r="J3413" s="12" t="str">
        <f>HYPERLINK("https://www.boe.es/gazeta/dias/1801/07/03/pdfs/GMD-1801-63.pdf#page=2","Abrir facsímil")</f>
        <v>Abrir facsímil</v>
      </c>
      <c r="K3413" s="15" t="s">
        <v>23</v>
      </c>
    </row>
    <row r="3414" spans="1:11" ht="42" customHeight="1">
      <c r="A3414" s="4" t="s">
        <v>7872</v>
      </c>
      <c r="B3414" s="5" t="s">
        <v>7873</v>
      </c>
      <c r="C3414" s="5" t="s">
        <v>32</v>
      </c>
      <c r="D3414" s="5" t="s">
        <v>33</v>
      </c>
      <c r="E3414" s="5" t="s">
        <v>1939</v>
      </c>
      <c r="F3414" s="9">
        <v>107</v>
      </c>
      <c r="G3414" s="9">
        <v>1172</v>
      </c>
      <c r="H3414" s="5" t="s">
        <v>21</v>
      </c>
      <c r="I3414" s="5" t="s">
        <v>7875</v>
      </c>
      <c r="J3414" s="12" t="str">
        <f>HYPERLINK("https://www.boe.es/gazeta/dias/1801/11/17/pdfs/GMD-1801-107.pdf#page=1","Abrir facsímil")</f>
        <v>Abrir facsímil</v>
      </c>
      <c r="K3414" s="15" t="s">
        <v>23</v>
      </c>
    </row>
    <row r="3415" spans="1:11" ht="42" customHeight="1">
      <c r="A3415" s="4" t="s">
        <v>7872</v>
      </c>
      <c r="B3415" s="5" t="s">
        <v>7873</v>
      </c>
      <c r="C3415" s="5" t="s">
        <v>32</v>
      </c>
      <c r="D3415" s="5" t="s">
        <v>33</v>
      </c>
      <c r="E3415" s="5" t="s">
        <v>935</v>
      </c>
      <c r="F3415" s="9">
        <v>116</v>
      </c>
      <c r="G3415" s="9">
        <v>1260</v>
      </c>
      <c r="H3415" s="5" t="s">
        <v>21</v>
      </c>
      <c r="I3415" s="5" t="s">
        <v>7876</v>
      </c>
      <c r="J3415" s="12" t="str">
        <f>HYPERLINK("https://www.boe.es/gazeta/dias/1801/12/18/pdfs/GMD-1801-116.pdf#page=2","Abrir facsímil")</f>
        <v>Abrir facsímil</v>
      </c>
      <c r="K3415" s="15" t="s">
        <v>23</v>
      </c>
    </row>
    <row r="3416" spans="1:11" ht="42" customHeight="1">
      <c r="A3416" s="4" t="s">
        <v>7877</v>
      </c>
      <c r="B3416" s="5" t="s">
        <v>7878</v>
      </c>
      <c r="C3416" s="5" t="s">
        <v>32</v>
      </c>
      <c r="D3416" s="5" t="s">
        <v>33</v>
      </c>
      <c r="E3416" s="5" t="s">
        <v>145</v>
      </c>
      <c r="F3416" s="9">
        <v>36</v>
      </c>
      <c r="G3416" s="9">
        <v>466</v>
      </c>
      <c r="H3416" s="5" t="s">
        <v>21</v>
      </c>
      <c r="I3416" s="5" t="s">
        <v>7879</v>
      </c>
      <c r="J3416" s="12" t="str">
        <f>HYPERLINK("https://www.boe.es/gazeta/dias/1801/05/05/pdfs/GMD-1801-36.pdf#page=10","Abrir facsímil")</f>
        <v>Abrir facsímil</v>
      </c>
      <c r="K3416" s="15" t="s">
        <v>23</v>
      </c>
    </row>
    <row r="3417" spans="1:11" ht="42" customHeight="1">
      <c r="A3417" s="4" t="s">
        <v>7880</v>
      </c>
      <c r="B3417" s="5" t="s">
        <v>7880</v>
      </c>
      <c r="C3417" s="5" t="s">
        <v>80</v>
      </c>
      <c r="D3417" s="5" t="s">
        <v>81</v>
      </c>
      <c r="E3417" s="5" t="s">
        <v>82</v>
      </c>
      <c r="F3417" s="9">
        <v>75</v>
      </c>
      <c r="G3417" s="9" t="s">
        <v>996</v>
      </c>
      <c r="H3417" s="5" t="s">
        <v>21</v>
      </c>
      <c r="I3417" s="5" t="s">
        <v>7881</v>
      </c>
      <c r="J3417" s="12" t="str">
        <f>HYPERLINK("https://www.boe.es/gazeta/dias/1801/08/04/pdfs/GMD-C-1801-75.pdf#page=6","Abrir facsímil")</f>
        <v>Abrir facsímil</v>
      </c>
      <c r="K3417" s="15" t="s">
        <v>23</v>
      </c>
    </row>
    <row r="3418" spans="1:11" ht="42" customHeight="1">
      <c r="A3418" s="4" t="s">
        <v>7882</v>
      </c>
      <c r="B3418" s="5" t="s">
        <v>7882</v>
      </c>
      <c r="C3418" s="5" t="s">
        <v>80</v>
      </c>
      <c r="D3418" s="5" t="s">
        <v>81</v>
      </c>
      <c r="E3418" s="5" t="s">
        <v>82</v>
      </c>
      <c r="F3418" s="9">
        <v>75</v>
      </c>
      <c r="G3418" s="9" t="s">
        <v>668</v>
      </c>
      <c r="H3418" s="5" t="s">
        <v>21</v>
      </c>
      <c r="I3418" s="5" t="s">
        <v>7883</v>
      </c>
      <c r="J3418" s="12" t="str">
        <f>HYPERLINK("https://www.boe.es/gazeta/dias/1801/08/04/pdfs/GMD-C-1801-75.pdf#page=1","Abrir facsímil")</f>
        <v>Abrir facsímil</v>
      </c>
      <c r="K3418" s="15" t="s">
        <v>23</v>
      </c>
    </row>
    <row r="3419" spans="1:11" ht="42" customHeight="1">
      <c r="A3419" s="4" t="s">
        <v>7884</v>
      </c>
      <c r="B3419" s="5" t="s">
        <v>7885</v>
      </c>
      <c r="C3419" s="5" t="s">
        <v>32</v>
      </c>
      <c r="D3419" s="5" t="s">
        <v>33</v>
      </c>
      <c r="E3419" s="5" t="s">
        <v>186</v>
      </c>
      <c r="F3419" s="9">
        <v>21</v>
      </c>
      <c r="G3419" s="9">
        <v>279</v>
      </c>
      <c r="H3419" s="5" t="s">
        <v>21</v>
      </c>
      <c r="I3419" s="5" t="s">
        <v>7886</v>
      </c>
      <c r="J3419" s="12" t="str">
        <f>HYPERLINK("https://www.boe.es/gazeta/dias/1801/03/13/pdfs/GMD-1801-21.pdf#page=8","Abrir facsímil")</f>
        <v>Abrir facsímil</v>
      </c>
      <c r="K3419" s="15" t="s">
        <v>23</v>
      </c>
    </row>
    <row r="3420" spans="1:11" ht="42" customHeight="1">
      <c r="A3420" s="4" t="s">
        <v>7884</v>
      </c>
      <c r="B3420" s="5" t="s">
        <v>7885</v>
      </c>
      <c r="C3420" s="5" t="s">
        <v>32</v>
      </c>
      <c r="D3420" s="5" t="s">
        <v>33</v>
      </c>
      <c r="E3420" s="5" t="s">
        <v>153</v>
      </c>
      <c r="F3420" s="9">
        <v>48</v>
      </c>
      <c r="G3420" s="9">
        <v>584</v>
      </c>
      <c r="H3420" s="5" t="s">
        <v>21</v>
      </c>
      <c r="I3420" s="5" t="s">
        <v>7887</v>
      </c>
      <c r="J3420" s="12" t="str">
        <f>HYPERLINK("https://www.boe.es/gazeta/dias/1801/06/05/pdfs/GMD-1801-48.pdf#page=6","Abrir facsímil")</f>
        <v>Abrir facsímil</v>
      </c>
      <c r="K3420" s="15" t="s">
        <v>23</v>
      </c>
    </row>
    <row r="3421" spans="1:11" ht="42" customHeight="1">
      <c r="A3421" s="4" t="s">
        <v>7888</v>
      </c>
      <c r="B3421" s="5" t="s">
        <v>7889</v>
      </c>
      <c r="C3421" s="5" t="s">
        <v>32</v>
      </c>
      <c r="D3421" s="5" t="s">
        <v>33</v>
      </c>
      <c r="E3421" s="5" t="s">
        <v>221</v>
      </c>
      <c r="F3421" s="9">
        <v>28</v>
      </c>
      <c r="G3421" s="9">
        <v>369</v>
      </c>
      <c r="H3421" s="5" t="s">
        <v>21</v>
      </c>
      <c r="I3421" s="5" t="s">
        <v>7890</v>
      </c>
      <c r="J3421" s="12" t="str">
        <f>HYPERLINK("https://www.boe.es/gazeta/dias/1801/04/07/pdfs/GMD-1801-28.pdf#page=9","Abrir facsímil")</f>
        <v>Abrir facsímil</v>
      </c>
      <c r="K3421" s="15" t="s">
        <v>23</v>
      </c>
    </row>
    <row r="3422" spans="1:11" ht="42" customHeight="1">
      <c r="A3422" s="4" t="s">
        <v>7891</v>
      </c>
      <c r="B3422" s="5" t="s">
        <v>7892</v>
      </c>
      <c r="C3422" s="5" t="s">
        <v>80</v>
      </c>
      <c r="D3422" s="5" t="s">
        <v>81</v>
      </c>
      <c r="E3422" s="5" t="s">
        <v>289</v>
      </c>
      <c r="F3422" s="9">
        <v>40</v>
      </c>
      <c r="G3422" s="9" t="s">
        <v>86</v>
      </c>
      <c r="H3422" s="5" t="s">
        <v>21</v>
      </c>
      <c r="I3422" s="5" t="s">
        <v>7893</v>
      </c>
      <c r="J3422" s="12" t="str">
        <f>HYPERLINK("https://www.boe.es/gazeta/dias/1801/05/19/pdfs/GMD-C-1801-40.pdf#page=3","Abrir facsímil")</f>
        <v>Abrir facsímil</v>
      </c>
      <c r="K3422" s="15" t="s">
        <v>23</v>
      </c>
    </row>
    <row r="3423" spans="1:11" ht="42" customHeight="1">
      <c r="A3423" s="4" t="s">
        <v>7894</v>
      </c>
      <c r="B3423" s="5" t="s">
        <v>7895</v>
      </c>
      <c r="C3423" s="5" t="s">
        <v>32</v>
      </c>
      <c r="D3423" s="5" t="s">
        <v>33</v>
      </c>
      <c r="E3423" s="5" t="s">
        <v>165</v>
      </c>
      <c r="F3423" s="9">
        <v>59</v>
      </c>
      <c r="G3423" s="9">
        <v>676</v>
      </c>
      <c r="H3423" s="5" t="s">
        <v>21</v>
      </c>
      <c r="I3423" s="5" t="s">
        <v>7896</v>
      </c>
      <c r="J3423" s="12" t="str">
        <f>HYPERLINK("https://www.boe.es/gazeta/dias/1801/06/23/pdfs/GMD-1801-59.pdf#page=9","Abrir facsímil")</f>
        <v>Abrir facsímil</v>
      </c>
      <c r="K3423" s="15" t="s">
        <v>23</v>
      </c>
    </row>
    <row r="3424" spans="1:11" ht="42" customHeight="1">
      <c r="A3424" s="4" t="s">
        <v>7897</v>
      </c>
      <c r="B3424" s="5" t="s">
        <v>7898</v>
      </c>
      <c r="C3424" s="5" t="s">
        <v>32</v>
      </c>
      <c r="D3424" s="5" t="s">
        <v>33</v>
      </c>
      <c r="E3424" s="5" t="s">
        <v>256</v>
      </c>
      <c r="F3424" s="9">
        <v>78</v>
      </c>
      <c r="G3424" s="9">
        <v>881</v>
      </c>
      <c r="H3424" s="5" t="s">
        <v>21</v>
      </c>
      <c r="I3424" s="5" t="s">
        <v>7899</v>
      </c>
      <c r="J3424" s="12" t="str">
        <f>HYPERLINK("https://www.boe.es/gazeta/dias/1801/08/14/pdfs/GMD-1801-78.pdf#page=10","Abrir facsímil")</f>
        <v>Abrir facsímil</v>
      </c>
      <c r="K3424" s="15" t="s">
        <v>23</v>
      </c>
    </row>
    <row r="3425" spans="1:11" ht="42" customHeight="1">
      <c r="A3425" s="4" t="s">
        <v>7900</v>
      </c>
      <c r="B3425" s="5" t="s">
        <v>7901</v>
      </c>
      <c r="C3425" s="5" t="s">
        <v>32</v>
      </c>
      <c r="D3425" s="5" t="s">
        <v>33</v>
      </c>
      <c r="E3425" s="5" t="s">
        <v>90</v>
      </c>
      <c r="F3425" s="9">
        <v>1</v>
      </c>
      <c r="G3425" s="9">
        <v>9</v>
      </c>
      <c r="H3425" s="5" t="s">
        <v>21</v>
      </c>
      <c r="I3425" s="5" t="s">
        <v>7902</v>
      </c>
      <c r="J3425" s="12" t="str">
        <f>HYPERLINK("https://www.boe.es/gazeta/dias/1801/01/02/pdfs/GMD-1801-1.pdf#page=9","Abrir facsímil")</f>
        <v>Abrir facsímil</v>
      </c>
      <c r="K3425" s="15" t="s">
        <v>23</v>
      </c>
    </row>
    <row r="3426" spans="1:11" ht="42" customHeight="1">
      <c r="A3426" s="4" t="s">
        <v>7903</v>
      </c>
      <c r="B3426" s="5" t="s">
        <v>7904</v>
      </c>
      <c r="C3426" s="5" t="s">
        <v>32</v>
      </c>
      <c r="D3426" s="5" t="s">
        <v>33</v>
      </c>
      <c r="E3426" s="5" t="s">
        <v>712</v>
      </c>
      <c r="F3426" s="9">
        <v>105</v>
      </c>
      <c r="G3426" s="9">
        <v>1155</v>
      </c>
      <c r="H3426" s="5" t="s">
        <v>21</v>
      </c>
      <c r="I3426" s="5" t="s">
        <v>7905</v>
      </c>
      <c r="J3426" s="12" t="str">
        <f>HYPERLINK("https://www.boe.es/gazeta/dias/1801/11/10/pdfs/GMD-1801-105.pdf#page=8","Abrir facsímil")</f>
        <v>Abrir facsímil</v>
      </c>
      <c r="K3426" s="15" t="s">
        <v>23</v>
      </c>
    </row>
    <row r="3427" spans="1:11" ht="42" customHeight="1">
      <c r="A3427" s="4" t="s">
        <v>7906</v>
      </c>
      <c r="B3427" s="5" t="s">
        <v>7907</v>
      </c>
      <c r="C3427" s="5" t="s">
        <v>80</v>
      </c>
      <c r="D3427" s="5" t="s">
        <v>81</v>
      </c>
      <c r="E3427" s="5" t="s">
        <v>289</v>
      </c>
      <c r="F3427" s="9">
        <v>40</v>
      </c>
      <c r="G3427" s="9" t="s">
        <v>517</v>
      </c>
      <c r="H3427" s="5" t="s">
        <v>21</v>
      </c>
      <c r="I3427" s="5" t="s">
        <v>7908</v>
      </c>
      <c r="J3427" s="12" t="str">
        <f>HYPERLINK("https://www.boe.es/gazeta/dias/1801/05/19/pdfs/GMD-C-1801-40.pdf#page=7","Abrir facsímil")</f>
        <v>Abrir facsímil</v>
      </c>
      <c r="K3427" s="15" t="s">
        <v>23</v>
      </c>
    </row>
    <row r="3428" spans="1:11" ht="42" customHeight="1">
      <c r="A3428" s="4" t="s">
        <v>7909</v>
      </c>
      <c r="B3428" s="5" t="s">
        <v>7910</v>
      </c>
      <c r="C3428" s="5" t="s">
        <v>18</v>
      </c>
      <c r="D3428" s="5" t="s">
        <v>19</v>
      </c>
      <c r="E3428" s="5" t="s">
        <v>417</v>
      </c>
      <c r="F3428" s="9">
        <v>64</v>
      </c>
      <c r="G3428" s="9">
        <v>730</v>
      </c>
      <c r="H3428" s="5" t="s">
        <v>21</v>
      </c>
      <c r="I3428" s="5" t="s">
        <v>7911</v>
      </c>
      <c r="J3428" s="12" t="str">
        <f>HYPERLINK("https://www.boe.es/gazeta/dias/1801/07/07/pdfs/GMD-1801-64.pdf#page=11","Abrir facsímil")</f>
        <v>Abrir facsímil</v>
      </c>
      <c r="K3428" s="15" t="s">
        <v>23</v>
      </c>
    </row>
    <row r="3429" spans="1:11" ht="42" customHeight="1">
      <c r="A3429" s="4" t="s">
        <v>7912</v>
      </c>
      <c r="B3429" s="5" t="s">
        <v>7913</v>
      </c>
      <c r="C3429" s="5" t="s">
        <v>32</v>
      </c>
      <c r="D3429" s="5" t="s">
        <v>33</v>
      </c>
      <c r="E3429" s="5" t="s">
        <v>90</v>
      </c>
      <c r="F3429" s="9">
        <v>1</v>
      </c>
      <c r="G3429" s="9">
        <v>9</v>
      </c>
      <c r="H3429" s="5" t="s">
        <v>21</v>
      </c>
      <c r="I3429" s="5" t="s">
        <v>7914</v>
      </c>
      <c r="J3429" s="12" t="str">
        <f>HYPERLINK("https://www.boe.es/gazeta/dias/1801/01/02/pdfs/GMD-1801-1.pdf#page=9","Abrir facsímil")</f>
        <v>Abrir facsímil</v>
      </c>
      <c r="K3429" s="15" t="s">
        <v>23</v>
      </c>
    </row>
    <row r="3430" spans="1:11" ht="42" customHeight="1">
      <c r="A3430" s="4" t="s">
        <v>7912</v>
      </c>
      <c r="B3430" s="5" t="s">
        <v>7913</v>
      </c>
      <c r="C3430" s="5" t="s">
        <v>32</v>
      </c>
      <c r="D3430" s="5" t="s">
        <v>33</v>
      </c>
      <c r="E3430" s="5" t="s">
        <v>465</v>
      </c>
      <c r="F3430" s="9">
        <v>4</v>
      </c>
      <c r="G3430" s="9">
        <v>46</v>
      </c>
      <c r="H3430" s="5" t="s">
        <v>21</v>
      </c>
      <c r="I3430" s="5" t="s">
        <v>7915</v>
      </c>
      <c r="J3430" s="12" t="str">
        <f>HYPERLINK("https://www.boe.es/gazeta/dias/1801/01/13/pdfs/GMD-1801-4.pdf#page=10","Abrir facsímil")</f>
        <v>Abrir facsímil</v>
      </c>
      <c r="K3430" s="15" t="s">
        <v>23</v>
      </c>
    </row>
    <row r="3431" spans="1:11" ht="42" customHeight="1">
      <c r="A3431" s="4" t="s">
        <v>7916</v>
      </c>
      <c r="B3431" s="5" t="s">
        <v>7917</v>
      </c>
      <c r="C3431" s="5" t="s">
        <v>32</v>
      </c>
      <c r="D3431" s="5" t="s">
        <v>33</v>
      </c>
      <c r="E3431" s="5" t="s">
        <v>465</v>
      </c>
      <c r="F3431" s="9">
        <v>4</v>
      </c>
      <c r="G3431" s="9">
        <v>46</v>
      </c>
      <c r="H3431" s="5" t="s">
        <v>21</v>
      </c>
      <c r="I3431" s="5" t="s">
        <v>7918</v>
      </c>
      <c r="J3431" s="12" t="str">
        <f>HYPERLINK("https://www.boe.es/gazeta/dias/1801/01/13/pdfs/GMD-1801-4.pdf#page=10","Abrir facsímil")</f>
        <v>Abrir facsímil</v>
      </c>
      <c r="K3431" s="15" t="s">
        <v>23</v>
      </c>
    </row>
    <row r="3432" spans="1:11" ht="42" customHeight="1">
      <c r="A3432" s="4" t="s">
        <v>7919</v>
      </c>
      <c r="B3432" s="5" t="s">
        <v>7920</v>
      </c>
      <c r="C3432" s="5" t="s">
        <v>80</v>
      </c>
      <c r="D3432" s="5" t="s">
        <v>81</v>
      </c>
      <c r="E3432" s="5" t="s">
        <v>289</v>
      </c>
      <c r="F3432" s="9">
        <v>40</v>
      </c>
      <c r="G3432" s="9" t="s">
        <v>668</v>
      </c>
      <c r="H3432" s="5" t="s">
        <v>21</v>
      </c>
      <c r="I3432" s="5" t="s">
        <v>7921</v>
      </c>
      <c r="J3432" s="12" t="str">
        <f>HYPERLINK("https://www.boe.es/gazeta/dias/1801/05/19/pdfs/GMD-C-1801-40.pdf#page=1","Abrir facsímil")</f>
        <v>Abrir facsímil</v>
      </c>
      <c r="K3432" s="15" t="s">
        <v>23</v>
      </c>
    </row>
    <row r="3433" spans="1:11" ht="42" customHeight="1">
      <c r="A3433" s="4" t="s">
        <v>7922</v>
      </c>
      <c r="B3433" s="5" t="s">
        <v>7923</v>
      </c>
      <c r="C3433" s="5" t="s">
        <v>75</v>
      </c>
      <c r="D3433" s="5" t="s">
        <v>76</v>
      </c>
      <c r="E3433" s="5" t="s">
        <v>108</v>
      </c>
      <c r="F3433" s="9">
        <v>61</v>
      </c>
      <c r="G3433" s="9">
        <v>695</v>
      </c>
      <c r="H3433" s="5" t="s">
        <v>21</v>
      </c>
      <c r="I3433" s="5" t="s">
        <v>7924</v>
      </c>
      <c r="J3433" s="12" t="str">
        <f>HYPERLINK("https://www.boe.es/gazeta/dias/1801/06/30/pdfs/GMD-1801-61.pdf#page=4","Abrir facsímil")</f>
        <v>Abrir facsímil</v>
      </c>
      <c r="K3433" s="15" t="s">
        <v>23</v>
      </c>
    </row>
    <row r="3434" spans="1:11" ht="42" customHeight="1">
      <c r="A3434" s="4" t="s">
        <v>7925</v>
      </c>
      <c r="B3434" s="5" t="s">
        <v>7926</v>
      </c>
      <c r="C3434" s="5" t="s">
        <v>38</v>
      </c>
      <c r="D3434" s="5" t="s">
        <v>39</v>
      </c>
      <c r="E3434" s="5" t="s">
        <v>171</v>
      </c>
      <c r="F3434" s="9">
        <v>76</v>
      </c>
      <c r="G3434" s="9">
        <v>850</v>
      </c>
      <c r="H3434" s="5" t="s">
        <v>21</v>
      </c>
      <c r="I3434" s="5" t="s">
        <v>7927</v>
      </c>
      <c r="J3434" s="12" t="str">
        <f>HYPERLINK("https://www.boe.es/gazeta/dias/1801/08/07/pdfs/GMD-1801-76.pdf#page=7","Abrir facsímil")</f>
        <v>Abrir facsímil</v>
      </c>
      <c r="K3434" s="15" t="s">
        <v>23</v>
      </c>
    </row>
    <row r="3435" spans="1:11" ht="42" customHeight="1">
      <c r="A3435" s="4" t="s">
        <v>7928</v>
      </c>
      <c r="B3435" s="5" t="s">
        <v>7929</v>
      </c>
      <c r="C3435" s="5" t="s">
        <v>75</v>
      </c>
      <c r="D3435" s="5" t="s">
        <v>76</v>
      </c>
      <c r="E3435" s="5" t="s">
        <v>251</v>
      </c>
      <c r="F3435" s="9">
        <v>66</v>
      </c>
      <c r="G3435" s="9">
        <v>739</v>
      </c>
      <c r="H3435" s="5" t="s">
        <v>21</v>
      </c>
      <c r="I3435" s="5" t="s">
        <v>7930</v>
      </c>
      <c r="J3435" s="12" t="str">
        <f>HYPERLINK("https://www.boe.es/gazeta/dias/1801/07/10/pdfs/GMD-1801-66.pdf#page=4","Abrir facsímil")</f>
        <v>Abrir facsímil</v>
      </c>
      <c r="K3435" s="15" t="s">
        <v>23</v>
      </c>
    </row>
    <row r="3436" spans="1:11" ht="42" customHeight="1">
      <c r="A3436" s="4" t="s">
        <v>7931</v>
      </c>
      <c r="B3436" s="5" t="s">
        <v>7932</v>
      </c>
      <c r="C3436" s="5" t="s">
        <v>75</v>
      </c>
      <c r="D3436" s="5" t="s">
        <v>76</v>
      </c>
      <c r="E3436" s="5" t="s">
        <v>101</v>
      </c>
      <c r="F3436" s="9">
        <v>41</v>
      </c>
      <c r="G3436" s="9">
        <v>521</v>
      </c>
      <c r="H3436" s="5" t="s">
        <v>21</v>
      </c>
      <c r="I3436" s="5" t="s">
        <v>7933</v>
      </c>
      <c r="J3436" s="12" t="str">
        <f>HYPERLINK("https://www.boe.es/gazeta/dias/1801/05/22/pdfs/GMD-1801-41.pdf#page=5","Abrir facsímil")</f>
        <v>Abrir facsímil</v>
      </c>
      <c r="K3436" s="15" t="s">
        <v>23</v>
      </c>
    </row>
    <row r="3437" spans="1:11" ht="42" customHeight="1">
      <c r="A3437" s="4" t="s">
        <v>7934</v>
      </c>
      <c r="B3437" s="5" t="s">
        <v>7935</v>
      </c>
      <c r="C3437" s="5" t="s">
        <v>75</v>
      </c>
      <c r="D3437" s="5" t="s">
        <v>76</v>
      </c>
      <c r="E3437" s="5" t="s">
        <v>141</v>
      </c>
      <c r="F3437" s="9">
        <v>33</v>
      </c>
      <c r="G3437" s="9">
        <v>423</v>
      </c>
      <c r="H3437" s="5" t="s">
        <v>21</v>
      </c>
      <c r="I3437" s="5" t="s">
        <v>7936</v>
      </c>
      <c r="J3437" s="12" t="str">
        <f>HYPERLINK("https://www.boe.es/gazeta/dias/1801/04/24/pdfs/GMD-1801-33.pdf#page=7","Abrir facsímil")</f>
        <v>Abrir facsímil</v>
      </c>
      <c r="K3437" s="15" t="s">
        <v>23</v>
      </c>
    </row>
    <row r="3438" spans="1:11" ht="42" customHeight="1">
      <c r="A3438" s="4" t="s">
        <v>7937</v>
      </c>
      <c r="B3438" s="5" t="s">
        <v>7938</v>
      </c>
      <c r="C3438" s="5" t="s">
        <v>18</v>
      </c>
      <c r="D3438" s="5" t="s">
        <v>19</v>
      </c>
      <c r="E3438" s="5" t="s">
        <v>94</v>
      </c>
      <c r="F3438" s="9">
        <v>19</v>
      </c>
      <c r="G3438" s="9">
        <v>239</v>
      </c>
      <c r="H3438" s="5" t="s">
        <v>21</v>
      </c>
      <c r="I3438" s="5" t="s">
        <v>7939</v>
      </c>
      <c r="J3438" s="12" t="str">
        <f>HYPERLINK("https://www.boe.es/gazeta/dias/1801/03/06/pdfs/GMD-1801-19.pdf#page=4","Abrir facsímil")</f>
        <v>Abrir facsímil</v>
      </c>
      <c r="K3438" s="15" t="s">
        <v>23</v>
      </c>
    </row>
    <row r="3439" spans="1:11" ht="42" customHeight="1">
      <c r="A3439" s="4" t="s">
        <v>7940</v>
      </c>
      <c r="B3439" s="5" t="s">
        <v>7941</v>
      </c>
      <c r="C3439" s="5" t="s">
        <v>38</v>
      </c>
      <c r="D3439" s="5" t="s">
        <v>39</v>
      </c>
      <c r="E3439" s="5" t="s">
        <v>82</v>
      </c>
      <c r="F3439" s="9">
        <v>75</v>
      </c>
      <c r="G3439" s="9">
        <v>836</v>
      </c>
      <c r="H3439" s="5" t="s">
        <v>21</v>
      </c>
      <c r="I3439" s="5" t="s">
        <v>7942</v>
      </c>
      <c r="J3439" s="12" t="str">
        <f>HYPERLINK("https://www.boe.es/gazeta/dias/1801/08/04/pdfs/GMD-1801-75.pdf#page=5","Abrir facsímil")</f>
        <v>Abrir facsímil</v>
      </c>
      <c r="K3439" s="15" t="s">
        <v>23</v>
      </c>
    </row>
    <row r="3440" spans="1:11" ht="42" customHeight="1">
      <c r="A3440" s="4" t="s">
        <v>7943</v>
      </c>
      <c r="B3440" s="5" t="s">
        <v>7944</v>
      </c>
      <c r="C3440" s="5" t="s">
        <v>75</v>
      </c>
      <c r="D3440" s="5" t="s">
        <v>76</v>
      </c>
      <c r="E3440" s="5" t="s">
        <v>128</v>
      </c>
      <c r="F3440" s="9">
        <v>17</v>
      </c>
      <c r="G3440" s="9">
        <v>213</v>
      </c>
      <c r="H3440" s="5" t="s">
        <v>21</v>
      </c>
      <c r="I3440" s="5" t="s">
        <v>7945</v>
      </c>
      <c r="J3440" s="12" t="str">
        <f>HYPERLINK("https://www.boe.es/gazeta/dias/1801/02/27/pdfs/GMD-1801-17.pdf#page=8","Abrir facsímil")</f>
        <v>Abrir facsímil</v>
      </c>
      <c r="K3440" s="15" t="s">
        <v>23</v>
      </c>
    </row>
    <row r="3441" spans="1:11" ht="42" customHeight="1">
      <c r="A3441" s="4" t="s">
        <v>7946</v>
      </c>
      <c r="B3441" s="5" t="s">
        <v>7947</v>
      </c>
      <c r="C3441" s="5" t="s">
        <v>75</v>
      </c>
      <c r="D3441" s="5" t="s">
        <v>76</v>
      </c>
      <c r="E3441" s="5" t="s">
        <v>292</v>
      </c>
      <c r="F3441" s="9">
        <v>25</v>
      </c>
      <c r="G3441" s="9">
        <v>329</v>
      </c>
      <c r="H3441" s="5" t="s">
        <v>21</v>
      </c>
      <c r="I3441" s="5" t="s">
        <v>7948</v>
      </c>
      <c r="J3441" s="12" t="str">
        <f>HYPERLINK("https://www.boe.es/gazeta/dias/1801/03/27/pdfs/GMD-1801-25.pdf#page=8","Abrir facsímil")</f>
        <v>Abrir facsímil</v>
      </c>
      <c r="K3441" s="15" t="s">
        <v>23</v>
      </c>
    </row>
    <row r="3442" spans="1:11" ht="42" customHeight="1">
      <c r="A3442" s="4" t="s">
        <v>7943</v>
      </c>
      <c r="B3442" s="5" t="s">
        <v>7944</v>
      </c>
      <c r="C3442" s="5" t="s">
        <v>75</v>
      </c>
      <c r="D3442" s="5" t="s">
        <v>76</v>
      </c>
      <c r="E3442" s="5" t="s">
        <v>141</v>
      </c>
      <c r="F3442" s="9">
        <v>33</v>
      </c>
      <c r="G3442" s="9">
        <v>421</v>
      </c>
      <c r="H3442" s="5" t="s">
        <v>21</v>
      </c>
      <c r="I3442" s="5" t="s">
        <v>7949</v>
      </c>
      <c r="J3442" s="12" t="str">
        <f>HYPERLINK("https://www.boe.es/gazeta/dias/1801/04/24/pdfs/GMD-1801-33.pdf#page=5","Abrir facsímil")</f>
        <v>Abrir facsímil</v>
      </c>
      <c r="K3442" s="15" t="s">
        <v>23</v>
      </c>
    </row>
    <row r="3443" spans="1:11" ht="42" customHeight="1">
      <c r="A3443" s="4" t="s">
        <v>7943</v>
      </c>
      <c r="B3443" s="5" t="s">
        <v>7944</v>
      </c>
      <c r="C3443" s="5" t="s">
        <v>75</v>
      </c>
      <c r="D3443" s="5" t="s">
        <v>76</v>
      </c>
      <c r="E3443" s="5" t="s">
        <v>289</v>
      </c>
      <c r="F3443" s="9">
        <v>40</v>
      </c>
      <c r="G3443" s="9">
        <v>512</v>
      </c>
      <c r="H3443" s="5" t="s">
        <v>21</v>
      </c>
      <c r="I3443" s="5" t="s">
        <v>7950</v>
      </c>
      <c r="J3443" s="12" t="str">
        <f>HYPERLINK("https://www.boe.es/gazeta/dias/1801/05/19/pdfs/GMD-1801-40.pdf#page=4","Abrir facsímil")</f>
        <v>Abrir facsímil</v>
      </c>
      <c r="K3443" s="15" t="s">
        <v>23</v>
      </c>
    </row>
    <row r="3444" spans="1:11" ht="42" customHeight="1">
      <c r="A3444" s="4" t="s">
        <v>7943</v>
      </c>
      <c r="B3444" s="5" t="s">
        <v>7944</v>
      </c>
      <c r="C3444" s="5" t="s">
        <v>38</v>
      </c>
      <c r="D3444" s="5" t="s">
        <v>39</v>
      </c>
      <c r="E3444" s="5" t="s">
        <v>155</v>
      </c>
      <c r="F3444" s="9">
        <v>50</v>
      </c>
      <c r="G3444" s="9">
        <v>592</v>
      </c>
      <c r="H3444" s="5" t="s">
        <v>21</v>
      </c>
      <c r="I3444" s="5" t="s">
        <v>7951</v>
      </c>
      <c r="J3444" s="12" t="str">
        <f>HYPERLINK("https://www.boe.es/gazeta/dias/1801/06/09/pdfs/GMD-1801-50.pdf#page=4","Abrir facsímil")</f>
        <v>Abrir facsímil</v>
      </c>
      <c r="K3444" s="15" t="s">
        <v>23</v>
      </c>
    </row>
    <row r="3445" spans="1:11" ht="42" customHeight="1">
      <c r="A3445" s="4" t="s">
        <v>7943</v>
      </c>
      <c r="B3445" s="5" t="s">
        <v>7944</v>
      </c>
      <c r="C3445" s="5" t="s">
        <v>75</v>
      </c>
      <c r="D3445" s="5" t="s">
        <v>76</v>
      </c>
      <c r="E3445" s="5" t="s">
        <v>165</v>
      </c>
      <c r="F3445" s="9">
        <v>59</v>
      </c>
      <c r="G3445" s="9">
        <v>673</v>
      </c>
      <c r="H3445" s="5" t="s">
        <v>21</v>
      </c>
      <c r="I3445" s="5" t="s">
        <v>7952</v>
      </c>
      <c r="J3445" s="12" t="str">
        <f>HYPERLINK("https://www.boe.es/gazeta/dias/1801/06/23/pdfs/GMD-1801-59.pdf#page=6","Abrir facsímil")</f>
        <v>Abrir facsímil</v>
      </c>
      <c r="K3445" s="15" t="s">
        <v>23</v>
      </c>
    </row>
    <row r="3446" spans="1:11" ht="42" customHeight="1">
      <c r="A3446" s="4" t="s">
        <v>7943</v>
      </c>
      <c r="B3446" s="5" t="s">
        <v>7944</v>
      </c>
      <c r="C3446" s="5" t="s">
        <v>38</v>
      </c>
      <c r="D3446" s="5" t="s">
        <v>39</v>
      </c>
      <c r="E3446" s="5" t="s">
        <v>72</v>
      </c>
      <c r="F3446" s="9">
        <v>60</v>
      </c>
      <c r="G3446" s="9">
        <v>686</v>
      </c>
      <c r="H3446" s="5" t="s">
        <v>21</v>
      </c>
      <c r="I3446" s="5" t="s">
        <v>7953</v>
      </c>
      <c r="J3446" s="12" t="str">
        <f>HYPERLINK("https://www.boe.es/gazeta/dias/1801/06/26/pdfs/GMD-1801-60.pdf#page=7","Abrir facsímil")</f>
        <v>Abrir facsímil</v>
      </c>
      <c r="K3446" s="15" t="s">
        <v>23</v>
      </c>
    </row>
    <row r="3447" spans="1:11" ht="42" customHeight="1">
      <c r="A3447" s="4" t="s">
        <v>7954</v>
      </c>
      <c r="B3447" s="5" t="s">
        <v>7955</v>
      </c>
      <c r="C3447" s="5" t="s">
        <v>75</v>
      </c>
      <c r="D3447" s="5" t="s">
        <v>76</v>
      </c>
      <c r="E3447" s="5" t="s">
        <v>251</v>
      </c>
      <c r="F3447" s="9">
        <v>66</v>
      </c>
      <c r="G3447" s="9">
        <v>738</v>
      </c>
      <c r="H3447" s="5" t="s">
        <v>21</v>
      </c>
      <c r="I3447" s="5" t="s">
        <v>7956</v>
      </c>
      <c r="J3447" s="12" t="str">
        <f>HYPERLINK("https://www.boe.es/gazeta/dias/1801/07/10/pdfs/GMD-1801-66.pdf#page=3","Abrir facsímil")</f>
        <v>Abrir facsímil</v>
      </c>
      <c r="K3447" s="15" t="s">
        <v>23</v>
      </c>
    </row>
    <row r="3448" spans="1:11" ht="42" customHeight="1">
      <c r="A3448" s="4" t="s">
        <v>7943</v>
      </c>
      <c r="B3448" s="5" t="s">
        <v>7944</v>
      </c>
      <c r="C3448" s="5" t="s">
        <v>75</v>
      </c>
      <c r="D3448" s="5" t="s">
        <v>76</v>
      </c>
      <c r="E3448" s="5" t="s">
        <v>702</v>
      </c>
      <c r="F3448" s="9">
        <v>69</v>
      </c>
      <c r="G3448" s="9">
        <v>756</v>
      </c>
      <c r="H3448" s="5" t="s">
        <v>21</v>
      </c>
      <c r="I3448" s="5" t="s">
        <v>7957</v>
      </c>
      <c r="J3448" s="12" t="str">
        <f>HYPERLINK("https://www.boe.es/gazeta/dias/1801/07/14/pdfs/GMD-1801-69.pdf#page=1","Abrir facsímil")</f>
        <v>Abrir facsímil</v>
      </c>
      <c r="K3448" s="15" t="s">
        <v>23</v>
      </c>
    </row>
    <row r="3449" spans="1:11" ht="42" customHeight="1">
      <c r="A3449" s="4" t="s">
        <v>7943</v>
      </c>
      <c r="B3449" s="5" t="s">
        <v>7944</v>
      </c>
      <c r="C3449" s="5" t="s">
        <v>75</v>
      </c>
      <c r="D3449" s="5" t="s">
        <v>76</v>
      </c>
      <c r="E3449" s="5" t="s">
        <v>215</v>
      </c>
      <c r="F3449" s="9">
        <v>71</v>
      </c>
      <c r="G3449" s="9">
        <v>783</v>
      </c>
      <c r="H3449" s="5" t="s">
        <v>21</v>
      </c>
      <c r="I3449" s="5" t="s">
        <v>7958</v>
      </c>
      <c r="J3449" s="12" t="str">
        <f>HYPERLINK("https://www.boe.es/gazeta/dias/1801/07/21/pdfs/GMD-1801-71.pdf#page=4","Abrir facsímil")</f>
        <v>Abrir facsímil</v>
      </c>
      <c r="K3449" s="15" t="s">
        <v>23</v>
      </c>
    </row>
    <row r="3450" spans="1:11" ht="42" customHeight="1">
      <c r="A3450" s="4" t="s">
        <v>7943</v>
      </c>
      <c r="B3450" s="5" t="s">
        <v>7944</v>
      </c>
      <c r="C3450" s="5" t="s">
        <v>75</v>
      </c>
      <c r="D3450" s="5" t="s">
        <v>76</v>
      </c>
      <c r="E3450" s="5" t="s">
        <v>254</v>
      </c>
      <c r="F3450" s="9">
        <v>73</v>
      </c>
      <c r="G3450" s="9">
        <v>811</v>
      </c>
      <c r="H3450" s="5" t="s">
        <v>21</v>
      </c>
      <c r="I3450" s="5" t="s">
        <v>7959</v>
      </c>
      <c r="J3450" s="12" t="str">
        <f>HYPERLINK("https://www.boe.es/gazeta/dias/1801/07/28/pdfs/GMD-1801-73.pdf#page=4","Abrir facsímil")</f>
        <v>Abrir facsímil</v>
      </c>
      <c r="K3450" s="15" t="s">
        <v>23</v>
      </c>
    </row>
    <row r="3451" spans="1:11" ht="42" customHeight="1">
      <c r="A3451" s="4" t="s">
        <v>7943</v>
      </c>
      <c r="B3451" s="5" t="s">
        <v>7944</v>
      </c>
      <c r="C3451" s="5" t="s">
        <v>38</v>
      </c>
      <c r="D3451" s="5" t="s">
        <v>39</v>
      </c>
      <c r="E3451" s="5" t="s">
        <v>171</v>
      </c>
      <c r="F3451" s="9">
        <v>76</v>
      </c>
      <c r="G3451" s="9">
        <v>850</v>
      </c>
      <c r="H3451" s="5" t="s">
        <v>21</v>
      </c>
      <c r="I3451" s="5" t="s">
        <v>7960</v>
      </c>
      <c r="J3451" s="12" t="str">
        <f>HYPERLINK("https://www.boe.es/gazeta/dias/1801/08/07/pdfs/GMD-1801-76.pdf#page=7","Abrir facsímil")</f>
        <v>Abrir facsímil</v>
      </c>
      <c r="K3451" s="15" t="s">
        <v>23</v>
      </c>
    </row>
    <row r="3452" spans="1:11" ht="42" customHeight="1">
      <c r="A3452" s="4" t="s">
        <v>7943</v>
      </c>
      <c r="B3452" s="5" t="s">
        <v>7944</v>
      </c>
      <c r="C3452" s="5" t="s">
        <v>75</v>
      </c>
      <c r="D3452" s="5" t="s">
        <v>76</v>
      </c>
      <c r="E3452" s="5" t="s">
        <v>256</v>
      </c>
      <c r="F3452" s="9">
        <v>78</v>
      </c>
      <c r="G3452" s="9">
        <v>874</v>
      </c>
      <c r="H3452" s="5" t="s">
        <v>21</v>
      </c>
      <c r="I3452" s="5" t="s">
        <v>7961</v>
      </c>
      <c r="J3452" s="12" t="str">
        <f>HYPERLINK("https://www.boe.es/gazeta/dias/1801/08/14/pdfs/GMD-1801-78.pdf#page=3","Abrir facsímil")</f>
        <v>Abrir facsímil</v>
      </c>
      <c r="K3452" s="15" t="s">
        <v>23</v>
      </c>
    </row>
    <row r="3453" spans="1:11" ht="42" customHeight="1">
      <c r="A3453" s="4" t="s">
        <v>7943</v>
      </c>
      <c r="B3453" s="5" t="s">
        <v>7944</v>
      </c>
      <c r="C3453" s="5" t="s">
        <v>32</v>
      </c>
      <c r="D3453" s="5" t="s">
        <v>33</v>
      </c>
      <c r="E3453" s="5" t="s">
        <v>201</v>
      </c>
      <c r="F3453" s="9">
        <v>79</v>
      </c>
      <c r="G3453" s="9">
        <v>885</v>
      </c>
      <c r="H3453" s="5" t="s">
        <v>21</v>
      </c>
      <c r="I3453" s="5" t="s">
        <v>7962</v>
      </c>
      <c r="J3453" s="12" t="str">
        <f>HYPERLINK("https://www.boe.es/gazeta/dias/1801/08/18/pdfs/GMD-1801-79.pdf#page=2","Abrir facsímil")</f>
        <v>Abrir facsímil</v>
      </c>
      <c r="K3453" s="15" t="s">
        <v>23</v>
      </c>
    </row>
    <row r="3454" spans="1:11" ht="42" customHeight="1">
      <c r="A3454" s="4" t="s">
        <v>7946</v>
      </c>
      <c r="B3454" s="5" t="s">
        <v>7947</v>
      </c>
      <c r="C3454" s="5" t="s">
        <v>75</v>
      </c>
      <c r="D3454" s="5" t="s">
        <v>76</v>
      </c>
      <c r="E3454" s="5" t="s">
        <v>201</v>
      </c>
      <c r="F3454" s="9">
        <v>79</v>
      </c>
      <c r="G3454" s="9">
        <v>887</v>
      </c>
      <c r="H3454" s="5" t="s">
        <v>21</v>
      </c>
      <c r="I3454" s="5" t="s">
        <v>7963</v>
      </c>
      <c r="J3454" s="12" t="str">
        <f>HYPERLINK("https://www.boe.es/gazeta/dias/1801/08/18/pdfs/GMD-1801-79.pdf#page=4","Abrir facsímil")</f>
        <v>Abrir facsímil</v>
      </c>
      <c r="K3454" s="15" t="s">
        <v>23</v>
      </c>
    </row>
    <row r="3455" spans="1:11" ht="42" customHeight="1">
      <c r="A3455" s="4" t="s">
        <v>7943</v>
      </c>
      <c r="B3455" s="5" t="s">
        <v>7944</v>
      </c>
      <c r="C3455" s="5" t="s">
        <v>75</v>
      </c>
      <c r="D3455" s="5" t="s">
        <v>76</v>
      </c>
      <c r="E3455" s="5" t="s">
        <v>328</v>
      </c>
      <c r="F3455" s="9">
        <v>89</v>
      </c>
      <c r="G3455" s="9">
        <v>980</v>
      </c>
      <c r="H3455" s="5" t="s">
        <v>21</v>
      </c>
      <c r="I3455" s="5" t="s">
        <v>7964</v>
      </c>
      <c r="J3455" s="12" t="str">
        <f>HYPERLINK("https://www.boe.es/gazeta/dias/1801/09/15/pdfs/GMD-1801-89.pdf#page=7","Abrir facsímil")</f>
        <v>Abrir facsímil</v>
      </c>
      <c r="K3455" s="15" t="s">
        <v>23</v>
      </c>
    </row>
    <row r="3456" spans="1:11" ht="42" customHeight="1">
      <c r="A3456" s="4" t="s">
        <v>7943</v>
      </c>
      <c r="B3456" s="5" t="s">
        <v>7944</v>
      </c>
      <c r="C3456" s="5" t="s">
        <v>26</v>
      </c>
      <c r="D3456" s="5" t="s">
        <v>27</v>
      </c>
      <c r="E3456" s="5" t="s">
        <v>264</v>
      </c>
      <c r="F3456" s="9">
        <v>111</v>
      </c>
      <c r="G3456" s="9">
        <v>1217</v>
      </c>
      <c r="H3456" s="5" t="s">
        <v>21</v>
      </c>
      <c r="I3456" s="5" t="s">
        <v>7965</v>
      </c>
      <c r="J3456" s="12" t="str">
        <f>HYPERLINK("https://www.boe.es/gazeta/dias/1801/12/01/pdfs/GMD-1801-111.pdf#page=6","Abrir facsímil")</f>
        <v>Abrir facsímil</v>
      </c>
      <c r="K3456" s="15" t="s">
        <v>23</v>
      </c>
    </row>
    <row r="3457" spans="1:11" ht="42" customHeight="1">
      <c r="A3457" s="4" t="s">
        <v>7966</v>
      </c>
      <c r="B3457" s="5" t="s">
        <v>7967</v>
      </c>
      <c r="C3457" s="5" t="s">
        <v>32</v>
      </c>
      <c r="D3457" s="5" t="s">
        <v>33</v>
      </c>
      <c r="E3457" s="5" t="s">
        <v>292</v>
      </c>
      <c r="F3457" s="9">
        <v>25</v>
      </c>
      <c r="G3457" s="9">
        <v>329</v>
      </c>
      <c r="H3457" s="5" t="s">
        <v>21</v>
      </c>
      <c r="I3457" s="5" t="s">
        <v>7968</v>
      </c>
      <c r="J3457" s="12" t="str">
        <f>HYPERLINK("https://www.boe.es/gazeta/dias/1801/03/27/pdfs/GMD-1801-25.pdf#page=8","Abrir facsímil")</f>
        <v>Abrir facsímil</v>
      </c>
      <c r="K3457" s="15" t="s">
        <v>23</v>
      </c>
    </row>
    <row r="3458" spans="1:11" ht="42" customHeight="1">
      <c r="A3458" s="4" t="s">
        <v>7969</v>
      </c>
      <c r="B3458" s="5" t="s">
        <v>7970</v>
      </c>
      <c r="C3458" s="5" t="s">
        <v>38</v>
      </c>
      <c r="D3458" s="5" t="s">
        <v>39</v>
      </c>
      <c r="E3458" s="5" t="s">
        <v>417</v>
      </c>
      <c r="F3458" s="9">
        <v>64</v>
      </c>
      <c r="G3458" s="9">
        <v>725</v>
      </c>
      <c r="H3458" s="5" t="s">
        <v>21</v>
      </c>
      <c r="I3458" s="5" t="s">
        <v>7971</v>
      </c>
      <c r="J3458" s="12" t="str">
        <f>HYPERLINK("https://www.boe.es/gazeta/dias/1801/07/07/pdfs/GMD-1801-64.pdf#page=6","Abrir facsímil")</f>
        <v>Abrir facsímil</v>
      </c>
      <c r="K3458" s="15" t="s">
        <v>23</v>
      </c>
    </row>
    <row r="3459" spans="1:11" ht="42" customHeight="1">
      <c r="A3459" s="4" t="s">
        <v>7972</v>
      </c>
      <c r="B3459" s="5" t="s">
        <v>7973</v>
      </c>
      <c r="C3459" s="5" t="s">
        <v>32</v>
      </c>
      <c r="D3459" s="5" t="s">
        <v>33</v>
      </c>
      <c r="E3459" s="5" t="s">
        <v>124</v>
      </c>
      <c r="F3459" s="9">
        <v>12</v>
      </c>
      <c r="G3459" s="9">
        <v>149</v>
      </c>
      <c r="H3459" s="5" t="s">
        <v>21</v>
      </c>
      <c r="I3459" s="5" t="s">
        <v>7974</v>
      </c>
      <c r="J3459" s="12" t="str">
        <f>HYPERLINK("https://www.boe.es/gazeta/dias/1801/02/10/pdfs/GMD-1801-12.pdf#page=10","Abrir facsímil")</f>
        <v>Abrir facsímil</v>
      </c>
      <c r="K3459" s="15" t="s">
        <v>23</v>
      </c>
    </row>
    <row r="3460" spans="1:11" ht="42" customHeight="1">
      <c r="A3460" s="4" t="s">
        <v>7975</v>
      </c>
      <c r="B3460" s="5" t="s">
        <v>7976</v>
      </c>
      <c r="C3460" s="5" t="s">
        <v>32</v>
      </c>
      <c r="D3460" s="5" t="s">
        <v>33</v>
      </c>
      <c r="E3460" s="5" t="s">
        <v>90</v>
      </c>
      <c r="F3460" s="9">
        <v>1</v>
      </c>
      <c r="G3460" s="9">
        <v>9</v>
      </c>
      <c r="H3460" s="5" t="s">
        <v>21</v>
      </c>
      <c r="I3460" s="5" t="s">
        <v>7977</v>
      </c>
      <c r="J3460" s="12" t="str">
        <f>HYPERLINK("https://www.boe.es/gazeta/dias/1801/01/02/pdfs/GMD-1801-1.pdf#page=9","Abrir facsímil")</f>
        <v>Abrir facsímil</v>
      </c>
      <c r="K3460" s="15" t="s">
        <v>23</v>
      </c>
    </row>
    <row r="3461" spans="1:11" ht="42" customHeight="1">
      <c r="A3461" s="4" t="s">
        <v>7978</v>
      </c>
      <c r="B3461" s="5" t="s">
        <v>7979</v>
      </c>
      <c r="C3461" s="5" t="s">
        <v>75</v>
      </c>
      <c r="D3461" s="5" t="s">
        <v>76</v>
      </c>
      <c r="E3461" s="5" t="s">
        <v>124</v>
      </c>
      <c r="F3461" s="9">
        <v>12</v>
      </c>
      <c r="G3461" s="9">
        <v>147</v>
      </c>
      <c r="H3461" s="5" t="s">
        <v>21</v>
      </c>
      <c r="I3461" s="5" t="s">
        <v>7980</v>
      </c>
      <c r="J3461" s="12" t="str">
        <f>HYPERLINK("https://www.boe.es/gazeta/dias/1801/02/10/pdfs/GMD-1801-12.pdf#page=8","Abrir facsímil")</f>
        <v>Abrir facsímil</v>
      </c>
      <c r="K3461" s="15" t="s">
        <v>23</v>
      </c>
    </row>
    <row r="3462" spans="1:11" ht="42" customHeight="1">
      <c r="A3462" s="4" t="s">
        <v>7978</v>
      </c>
      <c r="B3462" s="5" t="s">
        <v>7979</v>
      </c>
      <c r="C3462" s="5" t="s">
        <v>32</v>
      </c>
      <c r="D3462" s="5" t="s">
        <v>33</v>
      </c>
      <c r="E3462" s="5" t="s">
        <v>124</v>
      </c>
      <c r="F3462" s="9">
        <v>12</v>
      </c>
      <c r="G3462" s="9">
        <v>148</v>
      </c>
      <c r="H3462" s="5" t="s">
        <v>21</v>
      </c>
      <c r="I3462" s="5" t="s">
        <v>7981</v>
      </c>
      <c r="J3462" s="12" t="str">
        <f>HYPERLINK("https://www.boe.es/gazeta/dias/1801/02/10/pdfs/GMD-1801-12.pdf#page=9","Abrir facsímil")</f>
        <v>Abrir facsímil</v>
      </c>
      <c r="K3462" s="15" t="s">
        <v>23</v>
      </c>
    </row>
    <row r="3463" spans="1:11" ht="42" customHeight="1">
      <c r="A3463" s="4" t="s">
        <v>7982</v>
      </c>
      <c r="B3463" s="5" t="s">
        <v>7983</v>
      </c>
      <c r="C3463" s="5" t="s">
        <v>38</v>
      </c>
      <c r="D3463" s="5" t="s">
        <v>39</v>
      </c>
      <c r="E3463" s="5" t="s">
        <v>615</v>
      </c>
      <c r="F3463" s="9">
        <v>72</v>
      </c>
      <c r="G3463" s="9">
        <v>802</v>
      </c>
      <c r="H3463" s="5" t="s">
        <v>21</v>
      </c>
      <c r="I3463" s="5" t="s">
        <v>7984</v>
      </c>
      <c r="J3463" s="12" t="str">
        <f>HYPERLINK("https://www.boe.es/gazeta/dias/1801/07/24/pdfs/GMD-1801-72.pdf#page=7","Abrir facsímil")</f>
        <v>Abrir facsímil</v>
      </c>
      <c r="K3463" s="15" t="s">
        <v>23</v>
      </c>
    </row>
    <row r="3464" spans="1:11" ht="42" customHeight="1">
      <c r="A3464" s="4" t="s">
        <v>7982</v>
      </c>
      <c r="B3464" s="5" t="s">
        <v>7983</v>
      </c>
      <c r="C3464" s="5" t="s">
        <v>38</v>
      </c>
      <c r="D3464" s="5" t="s">
        <v>39</v>
      </c>
      <c r="E3464" s="5" t="s">
        <v>615</v>
      </c>
      <c r="F3464" s="9">
        <v>72</v>
      </c>
      <c r="G3464" s="9">
        <v>803</v>
      </c>
      <c r="H3464" s="5" t="s">
        <v>21</v>
      </c>
      <c r="I3464" s="5" t="s">
        <v>7985</v>
      </c>
      <c r="J3464" s="12" t="str">
        <f>HYPERLINK("https://www.boe.es/gazeta/dias/1801/07/24/pdfs/GMD-1801-72.pdf#page=8","Abrir facsímil")</f>
        <v>Abrir facsímil</v>
      </c>
      <c r="K3464" s="15" t="s">
        <v>23</v>
      </c>
    </row>
    <row r="3465" spans="1:11" ht="42" customHeight="1">
      <c r="A3465" s="4" t="s">
        <v>7986</v>
      </c>
      <c r="B3465" s="5" t="s">
        <v>7987</v>
      </c>
      <c r="C3465" s="5" t="s">
        <v>38</v>
      </c>
      <c r="D3465" s="5" t="s">
        <v>39</v>
      </c>
      <c r="E3465" s="5" t="s">
        <v>615</v>
      </c>
      <c r="F3465" s="9">
        <v>72</v>
      </c>
      <c r="G3465" s="9">
        <v>802</v>
      </c>
      <c r="H3465" s="5" t="s">
        <v>21</v>
      </c>
      <c r="I3465" s="5" t="s">
        <v>7988</v>
      </c>
      <c r="J3465" s="12" t="str">
        <f>HYPERLINK("https://www.boe.es/gazeta/dias/1801/07/24/pdfs/GMD-1801-72.pdf#page=7","Abrir facsímil")</f>
        <v>Abrir facsímil</v>
      </c>
      <c r="K3465" s="15" t="s">
        <v>23</v>
      </c>
    </row>
    <row r="3466" spans="1:11" ht="42" customHeight="1">
      <c r="A3466" s="4" t="s">
        <v>7989</v>
      </c>
      <c r="B3466" s="5" t="s">
        <v>7990</v>
      </c>
      <c r="C3466" s="5" t="s">
        <v>32</v>
      </c>
      <c r="D3466" s="5" t="s">
        <v>33</v>
      </c>
      <c r="E3466" s="5" t="s">
        <v>262</v>
      </c>
      <c r="F3466" s="9">
        <v>109</v>
      </c>
      <c r="G3466" s="9">
        <v>1204</v>
      </c>
      <c r="H3466" s="5" t="s">
        <v>21</v>
      </c>
      <c r="I3466" s="5" t="s">
        <v>7991</v>
      </c>
      <c r="J3466" s="12" t="str">
        <f>HYPERLINK("https://www.boe.es/gazeta/dias/1801/11/24/pdfs/GMD-1801-109.pdf#page=9","Abrir facsímil")</f>
        <v>Abrir facsímil</v>
      </c>
      <c r="K3466" s="15" t="s">
        <v>23</v>
      </c>
    </row>
    <row r="3467" spans="1:11" ht="42" customHeight="1">
      <c r="A3467" s="4" t="s">
        <v>7992</v>
      </c>
      <c r="B3467" s="5" t="s">
        <v>7993</v>
      </c>
      <c r="C3467" s="5" t="s">
        <v>32</v>
      </c>
      <c r="D3467" s="5" t="s">
        <v>33</v>
      </c>
      <c r="E3467" s="5" t="s">
        <v>328</v>
      </c>
      <c r="F3467" s="9">
        <v>89</v>
      </c>
      <c r="G3467" s="9">
        <v>982</v>
      </c>
      <c r="H3467" s="5" t="s">
        <v>21</v>
      </c>
      <c r="I3467" s="5" t="s">
        <v>7994</v>
      </c>
      <c r="J3467" s="12" t="str">
        <f>HYPERLINK("https://www.boe.es/gazeta/dias/1801/09/15/pdfs/GMD-1801-89.pdf#page=9","Abrir facsímil")</f>
        <v>Abrir facsímil</v>
      </c>
      <c r="K3467" s="15" t="s">
        <v>23</v>
      </c>
    </row>
    <row r="3468" spans="1:11" ht="42" customHeight="1">
      <c r="A3468" s="4" t="s">
        <v>7995</v>
      </c>
      <c r="B3468" s="5" t="s">
        <v>7996</v>
      </c>
      <c r="C3468" s="5" t="s">
        <v>32</v>
      </c>
      <c r="D3468" s="5" t="s">
        <v>33</v>
      </c>
      <c r="E3468" s="5" t="s">
        <v>615</v>
      </c>
      <c r="F3468" s="9">
        <v>72</v>
      </c>
      <c r="G3468" s="9">
        <v>803</v>
      </c>
      <c r="H3468" s="5" t="s">
        <v>21</v>
      </c>
      <c r="I3468" s="5" t="s">
        <v>7997</v>
      </c>
      <c r="J3468" s="12" t="str">
        <f>HYPERLINK("https://www.boe.es/gazeta/dias/1801/07/24/pdfs/GMD-1801-72.pdf#page=8","Abrir facsímil")</f>
        <v>Abrir facsímil</v>
      </c>
      <c r="K3468" s="15" t="s">
        <v>23</v>
      </c>
    </row>
    <row r="3469" spans="1:11" ht="42" customHeight="1">
      <c r="A3469" s="4" t="s">
        <v>7998</v>
      </c>
      <c r="B3469" s="5" t="s">
        <v>7999</v>
      </c>
      <c r="C3469" s="5" t="s">
        <v>32</v>
      </c>
      <c r="D3469" s="5" t="s">
        <v>33</v>
      </c>
      <c r="E3469" s="5" t="s">
        <v>99</v>
      </c>
      <c r="F3469" s="9">
        <v>32</v>
      </c>
      <c r="G3469" s="9">
        <v>414</v>
      </c>
      <c r="H3469" s="5" t="s">
        <v>21</v>
      </c>
      <c r="I3469" s="5" t="s">
        <v>8000</v>
      </c>
      <c r="J3469" s="12" t="str">
        <f>HYPERLINK("https://www.boe.es/gazeta/dias/1801/04/21/pdfs/GMD-1801-32.pdf#page=10","Abrir facsímil")</f>
        <v>Abrir facsímil</v>
      </c>
      <c r="K3469" s="15" t="s">
        <v>23</v>
      </c>
    </row>
    <row r="3470" spans="1:11" ht="42" customHeight="1">
      <c r="A3470" s="4" t="s">
        <v>8001</v>
      </c>
      <c r="B3470" s="5" t="s">
        <v>8002</v>
      </c>
      <c r="C3470" s="5" t="s">
        <v>32</v>
      </c>
      <c r="D3470" s="5" t="s">
        <v>33</v>
      </c>
      <c r="E3470" s="5" t="s">
        <v>256</v>
      </c>
      <c r="F3470" s="9">
        <v>78</v>
      </c>
      <c r="G3470" s="9">
        <v>882</v>
      </c>
      <c r="H3470" s="5" t="s">
        <v>21</v>
      </c>
      <c r="I3470" s="5" t="s">
        <v>8003</v>
      </c>
      <c r="J3470" s="12" t="str">
        <f>HYPERLINK("https://www.boe.es/gazeta/dias/1801/08/14/pdfs/GMD-1801-78.pdf#page=11","Abrir facsímil")</f>
        <v>Abrir facsímil</v>
      </c>
      <c r="K3470" s="15" t="s">
        <v>23</v>
      </c>
    </row>
    <row r="3471" spans="1:11" ht="42" customHeight="1">
      <c r="A3471" s="4" t="s">
        <v>8004</v>
      </c>
      <c r="B3471" s="5" t="s">
        <v>8005</v>
      </c>
      <c r="C3471" s="5" t="s">
        <v>69</v>
      </c>
      <c r="D3471" s="5" t="s">
        <v>19</v>
      </c>
      <c r="E3471" s="5" t="s">
        <v>309</v>
      </c>
      <c r="F3471" s="9">
        <v>118</v>
      </c>
      <c r="G3471" s="9">
        <v>1292</v>
      </c>
      <c r="H3471" s="5" t="s">
        <v>21</v>
      </c>
      <c r="I3471" s="5" t="s">
        <v>8006</v>
      </c>
      <c r="J3471" s="12" t="str">
        <f>HYPERLINK("https://www.boe.es/gazeta/dias/1801/12/25/pdfs/GMD-1801-118.pdf#page=7","Abrir facsímil")</f>
        <v>Abrir facsímil</v>
      </c>
      <c r="K3471" s="15" t="s">
        <v>23</v>
      </c>
    </row>
    <row r="3472" spans="1:11" ht="42" customHeight="1">
      <c r="A3472" s="4" t="s">
        <v>8007</v>
      </c>
      <c r="B3472" s="5" t="s">
        <v>8008</v>
      </c>
      <c r="C3472" s="5" t="s">
        <v>32</v>
      </c>
      <c r="D3472" s="5" t="s">
        <v>33</v>
      </c>
      <c r="E3472" s="5" t="s">
        <v>50</v>
      </c>
      <c r="F3472" s="9">
        <v>29</v>
      </c>
      <c r="G3472" s="9">
        <v>382</v>
      </c>
      <c r="H3472" s="5" t="s">
        <v>21</v>
      </c>
      <c r="I3472" s="5" t="s">
        <v>8009</v>
      </c>
      <c r="J3472" s="12" t="str">
        <f>HYPERLINK("https://www.boe.es/gazeta/dias/1801/04/10/pdfs/GMD-1801-29.pdf#page=10","Abrir facsímil")</f>
        <v>Abrir facsímil</v>
      </c>
      <c r="K3472" s="15" t="s">
        <v>23</v>
      </c>
    </row>
    <row r="3473" spans="1:11" ht="42" customHeight="1">
      <c r="A3473" s="4" t="s">
        <v>8010</v>
      </c>
      <c r="B3473" s="5" t="s">
        <v>8011</v>
      </c>
      <c r="C3473" s="5" t="s">
        <v>38</v>
      </c>
      <c r="D3473" s="5" t="s">
        <v>39</v>
      </c>
      <c r="E3473" s="5" t="s">
        <v>256</v>
      </c>
      <c r="F3473" s="9">
        <v>78</v>
      </c>
      <c r="G3473" s="9">
        <v>882</v>
      </c>
      <c r="H3473" s="5" t="s">
        <v>21</v>
      </c>
      <c r="I3473" s="5" t="s">
        <v>8012</v>
      </c>
      <c r="J3473" s="12" t="str">
        <f>HYPERLINK("https://www.boe.es/gazeta/dias/1801/08/14/pdfs/GMD-1801-78.pdf#page=11","Abrir facsímil")</f>
        <v>Abrir facsímil</v>
      </c>
      <c r="K3473" s="15" t="s">
        <v>23</v>
      </c>
    </row>
    <row r="3474" spans="1:11" ht="42" customHeight="1">
      <c r="A3474" s="4" t="s">
        <v>8013</v>
      </c>
      <c r="B3474" s="5" t="s">
        <v>8014</v>
      </c>
      <c r="C3474" s="5" t="s">
        <v>38</v>
      </c>
      <c r="D3474" s="5" t="s">
        <v>39</v>
      </c>
      <c r="E3474" s="5" t="s">
        <v>165</v>
      </c>
      <c r="F3474" s="9">
        <v>59</v>
      </c>
      <c r="G3474" s="9">
        <v>676</v>
      </c>
      <c r="H3474" s="5" t="s">
        <v>21</v>
      </c>
      <c r="I3474" s="5" t="s">
        <v>8015</v>
      </c>
      <c r="J3474" s="12" t="str">
        <f>HYPERLINK("https://www.boe.es/gazeta/dias/1801/06/23/pdfs/GMD-1801-59.pdf#page=9","Abrir facsímil")</f>
        <v>Abrir facsímil</v>
      </c>
      <c r="K3474" s="15" t="s">
        <v>23</v>
      </c>
    </row>
    <row r="3475" spans="1:11" ht="42" customHeight="1">
      <c r="A3475" s="4" t="s">
        <v>8016</v>
      </c>
      <c r="B3475" s="5" t="s">
        <v>8017</v>
      </c>
      <c r="C3475" s="5" t="s">
        <v>26</v>
      </c>
      <c r="D3475" s="5" t="s">
        <v>27</v>
      </c>
      <c r="E3475" s="5" t="s">
        <v>321</v>
      </c>
      <c r="F3475" s="9">
        <v>3</v>
      </c>
      <c r="G3475" s="9">
        <v>36</v>
      </c>
      <c r="H3475" s="5" t="s">
        <v>21</v>
      </c>
      <c r="I3475" s="5" t="s">
        <v>8018</v>
      </c>
      <c r="J3475" s="12" t="str">
        <f>HYPERLINK("https://www.boe.es/gazeta/dias/1801/01/09/pdfs/GMD-1801-3.pdf#page=12","Abrir facsímil")</f>
        <v>Abrir facsímil</v>
      </c>
      <c r="K3475" s="15" t="s">
        <v>23</v>
      </c>
    </row>
    <row r="3476" spans="1:11" ht="42" customHeight="1">
      <c r="A3476" s="4" t="s">
        <v>8016</v>
      </c>
      <c r="B3476" s="5" t="s">
        <v>8017</v>
      </c>
      <c r="C3476" s="5" t="s">
        <v>32</v>
      </c>
      <c r="D3476" s="5" t="s">
        <v>33</v>
      </c>
      <c r="E3476" s="5" t="s">
        <v>781</v>
      </c>
      <c r="F3476" s="9">
        <v>14</v>
      </c>
      <c r="G3476" s="9">
        <v>177</v>
      </c>
      <c r="H3476" s="5" t="s">
        <v>21</v>
      </c>
      <c r="I3476" s="5" t="s">
        <v>8019</v>
      </c>
      <c r="J3476" s="12" t="str">
        <f>HYPERLINK("https://www.boe.es/gazeta/dias/1801/02/17/pdfs/GMD-1801-14.pdf#page=12","Abrir facsímil")</f>
        <v>Abrir facsímil</v>
      </c>
      <c r="K3476" s="15" t="s">
        <v>23</v>
      </c>
    </row>
    <row r="3477" spans="1:11" ht="42" customHeight="1">
      <c r="A3477" s="4" t="s">
        <v>8016</v>
      </c>
      <c r="B3477" s="5" t="s">
        <v>8017</v>
      </c>
      <c r="C3477" s="5" t="s">
        <v>26</v>
      </c>
      <c r="D3477" s="5" t="s">
        <v>27</v>
      </c>
      <c r="E3477" s="5" t="s">
        <v>313</v>
      </c>
      <c r="F3477" s="9">
        <v>39</v>
      </c>
      <c r="G3477" s="9">
        <v>508</v>
      </c>
      <c r="H3477" s="5" t="s">
        <v>21</v>
      </c>
      <c r="I3477" s="5" t="s">
        <v>8020</v>
      </c>
      <c r="J3477" s="12" t="str">
        <f>HYPERLINK("https://www.boe.es/gazeta/dias/1801/05/15/pdfs/GMD-1801-39.pdf#page=12","Abrir facsímil")</f>
        <v>Abrir facsímil</v>
      </c>
      <c r="K3477" s="15" t="s">
        <v>23</v>
      </c>
    </row>
    <row r="3478" spans="1:11" ht="42" customHeight="1">
      <c r="A3478" s="4" t="s">
        <v>8021</v>
      </c>
      <c r="B3478" s="5" t="s">
        <v>8022</v>
      </c>
      <c r="C3478" s="5" t="s">
        <v>18</v>
      </c>
      <c r="D3478" s="5" t="s">
        <v>19</v>
      </c>
      <c r="E3478" s="5" t="s">
        <v>201</v>
      </c>
      <c r="F3478" s="9">
        <v>79</v>
      </c>
      <c r="G3478" s="9">
        <v>890</v>
      </c>
      <c r="H3478" s="5" t="s">
        <v>21</v>
      </c>
      <c r="I3478" s="5" t="s">
        <v>8023</v>
      </c>
      <c r="J3478" s="12" t="str">
        <f>HYPERLINK("https://www.boe.es/gazeta/dias/1801/08/18/pdfs/GMD-1801-79.pdf#page=7","Abrir facsímil")</f>
        <v>Abrir facsímil</v>
      </c>
      <c r="K3478" s="15" t="s">
        <v>23</v>
      </c>
    </row>
    <row r="3479" spans="1:11" ht="42" customHeight="1">
      <c r="A3479" s="4" t="s">
        <v>8024</v>
      </c>
      <c r="B3479" s="5" t="s">
        <v>8025</v>
      </c>
      <c r="C3479" s="5" t="s">
        <v>32</v>
      </c>
      <c r="D3479" s="5" t="s">
        <v>33</v>
      </c>
      <c r="E3479" s="5" t="s">
        <v>82</v>
      </c>
      <c r="F3479" s="9">
        <v>75</v>
      </c>
      <c r="G3479" s="9">
        <v>840</v>
      </c>
      <c r="H3479" s="5" t="s">
        <v>21</v>
      </c>
      <c r="I3479" s="5" t="s">
        <v>8026</v>
      </c>
      <c r="J3479" s="12" t="str">
        <f>HYPERLINK("https://www.boe.es/gazeta/dias/1801/08/04/pdfs/GMD-1801-75.pdf#page=9","Abrir facsímil")</f>
        <v>Abrir facsímil</v>
      </c>
      <c r="K3479" s="15" t="s">
        <v>23</v>
      </c>
    </row>
    <row r="3480" spans="1:11" ht="42" customHeight="1">
      <c r="A3480" s="4" t="s">
        <v>8027</v>
      </c>
      <c r="B3480" s="5" t="s">
        <v>8028</v>
      </c>
      <c r="C3480" s="5" t="s">
        <v>32</v>
      </c>
      <c r="D3480" s="5" t="s">
        <v>33</v>
      </c>
      <c r="E3480" s="5" t="s">
        <v>480</v>
      </c>
      <c r="F3480" s="9">
        <v>10</v>
      </c>
      <c r="G3480" s="9">
        <v>123</v>
      </c>
      <c r="H3480" s="5" t="s">
        <v>21</v>
      </c>
      <c r="I3480" s="5" t="s">
        <v>8029</v>
      </c>
      <c r="J3480" s="12" t="str">
        <f>HYPERLINK("https://www.boe.es/gazeta/dias/1801/02/03/pdfs/GMD-1801-10.pdf#page=8","Abrir facsímil")</f>
        <v>Abrir facsímil</v>
      </c>
      <c r="K3480" s="15" t="s">
        <v>23</v>
      </c>
    </row>
    <row r="3481" spans="1:11" ht="42" customHeight="1">
      <c r="A3481" s="4" t="s">
        <v>8030</v>
      </c>
      <c r="B3481" s="5" t="s">
        <v>8031</v>
      </c>
      <c r="C3481" s="5" t="s">
        <v>69</v>
      </c>
      <c r="D3481" s="5" t="s">
        <v>19</v>
      </c>
      <c r="E3481" s="5" t="s">
        <v>275</v>
      </c>
      <c r="F3481" s="9">
        <v>9</v>
      </c>
      <c r="G3481" s="9">
        <v>112</v>
      </c>
      <c r="H3481" s="5" t="s">
        <v>21</v>
      </c>
      <c r="I3481" s="5" t="s">
        <v>8032</v>
      </c>
      <c r="J3481" s="12" t="str">
        <f>HYPERLINK("https://www.boe.es/gazeta/dias/1801/01/30/pdfs/GMD-1801-9.pdf#page=9","Abrir facsímil")</f>
        <v>Abrir facsímil</v>
      </c>
      <c r="K3481" s="15" t="s">
        <v>23</v>
      </c>
    </row>
    <row r="3482" spans="1:11" ht="42" customHeight="1">
      <c r="A3482" s="4" t="s">
        <v>8033</v>
      </c>
      <c r="B3482" s="5" t="s">
        <v>8034</v>
      </c>
      <c r="C3482" s="5" t="s">
        <v>32</v>
      </c>
      <c r="D3482" s="5" t="s">
        <v>33</v>
      </c>
      <c r="E3482" s="5" t="s">
        <v>256</v>
      </c>
      <c r="F3482" s="9">
        <v>78</v>
      </c>
      <c r="G3482" s="9">
        <v>882</v>
      </c>
      <c r="H3482" s="5" t="s">
        <v>21</v>
      </c>
      <c r="I3482" s="5" t="s">
        <v>8035</v>
      </c>
      <c r="J3482" s="12" t="str">
        <f>HYPERLINK("https://www.boe.es/gazeta/dias/1801/08/14/pdfs/GMD-1801-78.pdf#page=11","Abrir facsímil")</f>
        <v>Abrir facsímil</v>
      </c>
      <c r="K3482" s="15" t="s">
        <v>23</v>
      </c>
    </row>
    <row r="3483" spans="1:11" ht="42" customHeight="1">
      <c r="A3483" s="4" t="s">
        <v>8036</v>
      </c>
      <c r="B3483" s="5" t="s">
        <v>8037</v>
      </c>
      <c r="C3483" s="5" t="s">
        <v>515</v>
      </c>
      <c r="D3483" s="5" t="s">
        <v>516</v>
      </c>
      <c r="E3483" s="5" t="s">
        <v>501</v>
      </c>
      <c r="F3483" s="9">
        <v>115</v>
      </c>
      <c r="G3483" s="9" t="s">
        <v>299</v>
      </c>
      <c r="H3483" s="5" t="s">
        <v>21</v>
      </c>
      <c r="I3483" s="5" t="s">
        <v>8038</v>
      </c>
      <c r="J3483" s="12" t="str">
        <f>HYPERLINK("https://www.boe.es/gazeta/dias/1801/12/15/pdfs/GMD-C-1801-115.pdf#page=5","Abrir facsímil")</f>
        <v>Abrir facsímil</v>
      </c>
      <c r="K3483" s="15" t="s">
        <v>23</v>
      </c>
    </row>
    <row r="3484" spans="1:11" ht="42" customHeight="1">
      <c r="A3484" s="4" t="s">
        <v>8039</v>
      </c>
      <c r="B3484" s="5" t="s">
        <v>8040</v>
      </c>
      <c r="C3484" s="5" t="s">
        <v>69</v>
      </c>
      <c r="D3484" s="5" t="s">
        <v>19</v>
      </c>
      <c r="E3484" s="5" t="s">
        <v>480</v>
      </c>
      <c r="F3484" s="9">
        <v>10</v>
      </c>
      <c r="G3484" s="9">
        <v>123</v>
      </c>
      <c r="H3484" s="5" t="s">
        <v>21</v>
      </c>
      <c r="I3484" s="5" t="s">
        <v>8041</v>
      </c>
      <c r="J3484" s="12" t="str">
        <f>HYPERLINK("https://www.boe.es/gazeta/dias/1801/02/03/pdfs/GMD-1801-10.pdf#page=8","Abrir facsímil")</f>
        <v>Abrir facsímil</v>
      </c>
      <c r="K3484" s="15" t="s">
        <v>23</v>
      </c>
    </row>
    <row r="3485" spans="1:11" ht="42" customHeight="1">
      <c r="A3485" s="4" t="s">
        <v>8042</v>
      </c>
      <c r="B3485" s="5" t="s">
        <v>8043</v>
      </c>
      <c r="C3485" s="5" t="s">
        <v>69</v>
      </c>
      <c r="D3485" s="5" t="s">
        <v>19</v>
      </c>
      <c r="E3485" s="5" t="s">
        <v>453</v>
      </c>
      <c r="F3485" s="9">
        <v>100</v>
      </c>
      <c r="G3485" s="9">
        <v>1100</v>
      </c>
      <c r="H3485" s="5" t="s">
        <v>21</v>
      </c>
      <c r="I3485" s="5" t="s">
        <v>8044</v>
      </c>
      <c r="J3485" s="12" t="str">
        <f>HYPERLINK("https://www.boe.es/gazeta/dias/1801/10/23/pdfs/GMD-1801-100.pdf#page=9","Abrir facsímil")</f>
        <v>Abrir facsímil</v>
      </c>
      <c r="K3485" s="15" t="s">
        <v>23</v>
      </c>
    </row>
    <row r="3486" spans="1:11" ht="42" customHeight="1">
      <c r="A3486" s="4" t="s">
        <v>8045</v>
      </c>
      <c r="B3486" s="5" t="s">
        <v>8046</v>
      </c>
      <c r="C3486" s="5" t="s">
        <v>32</v>
      </c>
      <c r="D3486" s="5" t="s">
        <v>33</v>
      </c>
      <c r="E3486" s="5" t="s">
        <v>28</v>
      </c>
      <c r="F3486" s="9">
        <v>77</v>
      </c>
      <c r="G3486" s="9">
        <v>866</v>
      </c>
      <c r="H3486" s="5" t="s">
        <v>21</v>
      </c>
      <c r="I3486" s="5" t="s">
        <v>8047</v>
      </c>
      <c r="J3486" s="12" t="str">
        <f>HYPERLINK("https://www.boe.es/gazeta/dias/1801/08/11/pdfs/GMD-1801-77.pdf#page=11","Abrir facsímil")</f>
        <v>Abrir facsímil</v>
      </c>
      <c r="K3486" s="15" t="s">
        <v>23</v>
      </c>
    </row>
    <row r="3487" spans="1:11" ht="42" customHeight="1">
      <c r="A3487" s="4" t="s">
        <v>8048</v>
      </c>
      <c r="B3487" s="5" t="s">
        <v>8049</v>
      </c>
      <c r="C3487" s="5" t="s">
        <v>69</v>
      </c>
      <c r="D3487" s="5" t="s">
        <v>19</v>
      </c>
      <c r="E3487" s="5" t="s">
        <v>108</v>
      </c>
      <c r="F3487" s="9">
        <v>61</v>
      </c>
      <c r="G3487" s="9">
        <v>697</v>
      </c>
      <c r="H3487" s="5" t="s">
        <v>21</v>
      </c>
      <c r="I3487" s="5" t="s">
        <v>8050</v>
      </c>
      <c r="J3487" s="12" t="str">
        <f>HYPERLINK("https://www.boe.es/gazeta/dias/1801/06/30/pdfs/GMD-1801-61.pdf#page=6","Abrir facsímil")</f>
        <v>Abrir facsímil</v>
      </c>
      <c r="K3487" s="15" t="s">
        <v>23</v>
      </c>
    </row>
    <row r="3488" spans="1:11" ht="42" customHeight="1">
      <c r="A3488" s="4" t="s">
        <v>8051</v>
      </c>
      <c r="B3488" s="5" t="s">
        <v>8052</v>
      </c>
      <c r="C3488" s="5" t="s">
        <v>32</v>
      </c>
      <c r="D3488" s="5" t="s">
        <v>33</v>
      </c>
      <c r="E3488" s="5" t="s">
        <v>34</v>
      </c>
      <c r="F3488" s="9">
        <v>38</v>
      </c>
      <c r="G3488" s="9">
        <v>493</v>
      </c>
      <c r="H3488" s="5" t="s">
        <v>21</v>
      </c>
      <c r="I3488" s="5" t="s">
        <v>8053</v>
      </c>
      <c r="J3488" s="12" t="str">
        <f>HYPERLINK("https://www.boe.es/gazeta/dias/1801/05/12/pdfs/GMD-1801-38.pdf#page=9","Abrir facsímil")</f>
        <v>Abrir facsímil</v>
      </c>
      <c r="K3488" s="15" t="s">
        <v>23</v>
      </c>
    </row>
    <row r="3489" spans="1:11" ht="42" customHeight="1">
      <c r="A3489" s="4" t="s">
        <v>8054</v>
      </c>
      <c r="B3489" s="5" t="s">
        <v>8055</v>
      </c>
      <c r="C3489" s="5" t="s">
        <v>18</v>
      </c>
      <c r="D3489" s="5" t="s">
        <v>19</v>
      </c>
      <c r="E3489" s="5" t="s">
        <v>417</v>
      </c>
      <c r="F3489" s="9">
        <v>64</v>
      </c>
      <c r="G3489" s="9">
        <v>730</v>
      </c>
      <c r="H3489" s="5" t="s">
        <v>21</v>
      </c>
      <c r="I3489" s="5" t="s">
        <v>8056</v>
      </c>
      <c r="J3489" s="12" t="str">
        <f>HYPERLINK("https://www.boe.es/gazeta/dias/1801/07/07/pdfs/GMD-1801-64.pdf#page=11","Abrir facsímil")</f>
        <v>Abrir facsímil</v>
      </c>
      <c r="K3489" s="15" t="s">
        <v>23</v>
      </c>
    </row>
    <row r="3490" spans="1:11" ht="42" customHeight="1">
      <c r="A3490" s="4" t="s">
        <v>8057</v>
      </c>
      <c r="B3490" s="5" t="s">
        <v>8058</v>
      </c>
      <c r="C3490" s="5" t="s">
        <v>69</v>
      </c>
      <c r="D3490" s="5" t="s">
        <v>19</v>
      </c>
      <c r="E3490" s="5" t="s">
        <v>352</v>
      </c>
      <c r="F3490" s="9">
        <v>43</v>
      </c>
      <c r="G3490" s="9">
        <v>539</v>
      </c>
      <c r="H3490" s="5" t="s">
        <v>21</v>
      </c>
      <c r="I3490" s="5" t="s">
        <v>8059</v>
      </c>
      <c r="J3490" s="12" t="str">
        <f>HYPERLINK("https://www.boe.es/gazeta/dias/1801/05/26/pdfs/GMD-1801-43.pdf#page=11","Abrir facsímil")</f>
        <v>Abrir facsímil</v>
      </c>
      <c r="K3490" s="15" t="s">
        <v>23</v>
      </c>
    </row>
    <row r="3491" spans="1:11" ht="42" customHeight="1">
      <c r="A3491" s="4" t="s">
        <v>8060</v>
      </c>
      <c r="B3491" s="5" t="s">
        <v>8061</v>
      </c>
      <c r="C3491" s="5" t="s">
        <v>38</v>
      </c>
      <c r="D3491" s="5" t="s">
        <v>39</v>
      </c>
      <c r="E3491" s="5" t="s">
        <v>702</v>
      </c>
      <c r="F3491" s="9">
        <v>69</v>
      </c>
      <c r="G3491" s="9">
        <v>764</v>
      </c>
      <c r="H3491" s="5" t="s">
        <v>21</v>
      </c>
      <c r="I3491" s="5" t="s">
        <v>8062</v>
      </c>
      <c r="J3491" s="12" t="str">
        <f>HYPERLINK("https://www.boe.es/gazeta/dias/1801/07/14/pdfs/GMD-1801-69.pdf#page=9","Abrir facsímil")</f>
        <v>Abrir facsímil</v>
      </c>
      <c r="K3491" s="15" t="s">
        <v>23</v>
      </c>
    </row>
    <row r="3492" spans="1:11" ht="42" customHeight="1">
      <c r="A3492" s="4" t="s">
        <v>8060</v>
      </c>
      <c r="B3492" s="5" t="s">
        <v>8061</v>
      </c>
      <c r="C3492" s="5" t="s">
        <v>75</v>
      </c>
      <c r="D3492" s="5" t="s">
        <v>76</v>
      </c>
      <c r="E3492" s="5" t="s">
        <v>169</v>
      </c>
      <c r="F3492" s="9">
        <v>70</v>
      </c>
      <c r="G3492" s="9">
        <v>776</v>
      </c>
      <c r="H3492" s="5" t="s">
        <v>21</v>
      </c>
      <c r="I3492" s="5" t="s">
        <v>8063</v>
      </c>
      <c r="J3492" s="12" t="str">
        <f>HYPERLINK("https://www.boe.es/gazeta/dias/1801/07/17/pdfs/GMD-1801-70.pdf#page=9","Abrir facsímil")</f>
        <v>Abrir facsímil</v>
      </c>
      <c r="K3492" s="15" t="s">
        <v>23</v>
      </c>
    </row>
    <row r="3493" spans="1:11" ht="42" customHeight="1">
      <c r="A3493" s="4" t="s">
        <v>8060</v>
      </c>
      <c r="B3493" s="5" t="s">
        <v>8061</v>
      </c>
      <c r="C3493" s="5" t="s">
        <v>38</v>
      </c>
      <c r="D3493" s="5" t="s">
        <v>39</v>
      </c>
      <c r="E3493" s="5" t="s">
        <v>215</v>
      </c>
      <c r="F3493" s="9">
        <v>71</v>
      </c>
      <c r="G3493" s="9">
        <v>788</v>
      </c>
      <c r="H3493" s="5" t="s">
        <v>21</v>
      </c>
      <c r="I3493" s="5" t="s">
        <v>8064</v>
      </c>
      <c r="J3493" s="12" t="str">
        <f>HYPERLINK("https://www.boe.es/gazeta/dias/1801/07/21/pdfs/GMD-1801-71.pdf#page=9","Abrir facsímil")</f>
        <v>Abrir facsímil</v>
      </c>
      <c r="K3493" s="15" t="s">
        <v>23</v>
      </c>
    </row>
    <row r="3494" spans="1:11" ht="42" customHeight="1">
      <c r="A3494" s="4" t="s">
        <v>8060</v>
      </c>
      <c r="B3494" s="5" t="s">
        <v>8061</v>
      </c>
      <c r="C3494" s="5" t="s">
        <v>515</v>
      </c>
      <c r="D3494" s="5" t="s">
        <v>516</v>
      </c>
      <c r="E3494" s="5" t="s">
        <v>751</v>
      </c>
      <c r="F3494" s="9">
        <v>106</v>
      </c>
      <c r="G3494" s="9">
        <v>1169</v>
      </c>
      <c r="H3494" s="5" t="s">
        <v>21</v>
      </c>
      <c r="I3494" s="5" t="s">
        <v>8065</v>
      </c>
      <c r="J3494" s="12" t="str">
        <f>HYPERLINK("https://www.boe.es/gazeta/dias/1801/11/13/pdfs/GMD-C-1801-106.pdf#page=2","Abrir facsímil")</f>
        <v>Abrir facsímil</v>
      </c>
      <c r="K3494" s="15" t="s">
        <v>23</v>
      </c>
    </row>
    <row r="3495" spans="1:11" ht="42" customHeight="1">
      <c r="A3495" s="4" t="s">
        <v>8060</v>
      </c>
      <c r="B3495" s="5" t="s">
        <v>8061</v>
      </c>
      <c r="C3495" s="5" t="s">
        <v>75</v>
      </c>
      <c r="D3495" s="5" t="s">
        <v>76</v>
      </c>
      <c r="E3495" s="5" t="s">
        <v>1939</v>
      </c>
      <c r="F3495" s="9">
        <v>107</v>
      </c>
      <c r="G3495" s="9">
        <v>1180</v>
      </c>
      <c r="H3495" s="5" t="s">
        <v>21</v>
      </c>
      <c r="I3495" s="5" t="s">
        <v>8066</v>
      </c>
      <c r="J3495" s="12" t="str">
        <f>HYPERLINK("https://www.boe.es/gazeta/dias/1801/11/17/pdfs/GMD-1801-107.pdf#page=9","Abrir facsímil")</f>
        <v>Abrir facsímil</v>
      </c>
      <c r="K3495" s="15" t="s">
        <v>23</v>
      </c>
    </row>
    <row r="3496" spans="1:11" ht="42" customHeight="1">
      <c r="A3496" s="4" t="s">
        <v>8060</v>
      </c>
      <c r="B3496" s="5" t="s">
        <v>8061</v>
      </c>
      <c r="C3496" s="5" t="s">
        <v>38</v>
      </c>
      <c r="D3496" s="5" t="s">
        <v>39</v>
      </c>
      <c r="E3496" s="5" t="s">
        <v>1058</v>
      </c>
      <c r="F3496" s="9">
        <v>108</v>
      </c>
      <c r="G3496" s="9">
        <v>1193</v>
      </c>
      <c r="H3496" s="5" t="s">
        <v>21</v>
      </c>
      <c r="I3496" s="5" t="s">
        <v>8067</v>
      </c>
      <c r="J3496" s="12" t="str">
        <f>HYPERLINK("https://www.boe.es/gazeta/dias/1801/11/20/pdfs/GMD-1801-108.pdf#page=10","Abrir facsímil")</f>
        <v>Abrir facsímil</v>
      </c>
      <c r="K3496" s="15" t="s">
        <v>23</v>
      </c>
    </row>
    <row r="3497" spans="1:11" ht="42" customHeight="1">
      <c r="A3497" s="4" t="s">
        <v>8068</v>
      </c>
      <c r="B3497" s="5" t="s">
        <v>8069</v>
      </c>
      <c r="C3497" s="5" t="s">
        <v>69</v>
      </c>
      <c r="D3497" s="5" t="s">
        <v>19</v>
      </c>
      <c r="E3497" s="5" t="s">
        <v>143</v>
      </c>
      <c r="F3497" s="9">
        <v>34</v>
      </c>
      <c r="G3497" s="9">
        <v>438</v>
      </c>
      <c r="H3497" s="5" t="s">
        <v>21</v>
      </c>
      <c r="I3497" s="5" t="s">
        <v>8070</v>
      </c>
      <c r="J3497" s="12" t="str">
        <f>HYPERLINK("https://www.boe.es/gazeta/dias/1801/04/28/pdfs/GMD-1801-34.pdf#page=10","Abrir facsímil")</f>
        <v>Abrir facsímil</v>
      </c>
      <c r="K3497" s="15" t="s">
        <v>23</v>
      </c>
    </row>
    <row r="3498" spans="1:11" ht="42" customHeight="1">
      <c r="A3498" s="4" t="s">
        <v>8071</v>
      </c>
      <c r="B3498" s="5" t="s">
        <v>8072</v>
      </c>
      <c r="C3498" s="5" t="s">
        <v>32</v>
      </c>
      <c r="D3498" s="5" t="s">
        <v>33</v>
      </c>
      <c r="E3498" s="5" t="s">
        <v>505</v>
      </c>
      <c r="F3498" s="9">
        <v>94</v>
      </c>
      <c r="G3498" s="9">
        <v>1033</v>
      </c>
      <c r="H3498" s="5" t="s">
        <v>21</v>
      </c>
      <c r="I3498" s="5" t="s">
        <v>8073</v>
      </c>
      <c r="J3498" s="12" t="str">
        <f>HYPERLINK("https://www.boe.es/gazeta/dias/1801/10/02/pdfs/GMD-1801-94.pdf#page=9","Abrir facsímil")</f>
        <v>Abrir facsímil</v>
      </c>
      <c r="K3498" s="15" t="s">
        <v>23</v>
      </c>
    </row>
    <row r="3499" spans="1:11" ht="42" customHeight="1">
      <c r="A3499" s="4" t="s">
        <v>8074</v>
      </c>
      <c r="B3499" s="5" t="s">
        <v>8075</v>
      </c>
      <c r="C3499" s="5" t="s">
        <v>69</v>
      </c>
      <c r="D3499" s="5" t="s">
        <v>19</v>
      </c>
      <c r="E3499" s="5" t="s">
        <v>262</v>
      </c>
      <c r="F3499" s="9">
        <v>109</v>
      </c>
      <c r="G3499" s="9">
        <v>1205</v>
      </c>
      <c r="H3499" s="5" t="s">
        <v>21</v>
      </c>
      <c r="I3499" s="5" t="s">
        <v>8076</v>
      </c>
      <c r="J3499" s="12" t="str">
        <f>HYPERLINK("https://www.boe.es/gazeta/dias/1801/11/24/pdfs/GMD-1801-109.pdf#page=10","Abrir facsímil")</f>
        <v>Abrir facsímil</v>
      </c>
      <c r="K3499" s="15" t="s">
        <v>23</v>
      </c>
    </row>
    <row r="3500" spans="1:11" ht="42" customHeight="1">
      <c r="A3500" s="4" t="s">
        <v>8077</v>
      </c>
      <c r="B3500" s="5" t="s">
        <v>8078</v>
      </c>
      <c r="C3500" s="5" t="s">
        <v>38</v>
      </c>
      <c r="D3500" s="5" t="s">
        <v>39</v>
      </c>
      <c r="E3500" s="5" t="s">
        <v>165</v>
      </c>
      <c r="F3500" s="9">
        <v>59</v>
      </c>
      <c r="G3500" s="9">
        <v>676</v>
      </c>
      <c r="H3500" s="5" t="s">
        <v>21</v>
      </c>
      <c r="I3500" s="5" t="s">
        <v>8079</v>
      </c>
      <c r="J3500" s="12" t="str">
        <f>HYPERLINK("https://www.boe.es/gazeta/dias/1801/06/23/pdfs/GMD-1801-59.pdf#page=9","Abrir facsímil")</f>
        <v>Abrir facsímil</v>
      </c>
      <c r="K3500" s="15" t="s">
        <v>23</v>
      </c>
    </row>
    <row r="3501" spans="1:11" ht="42" customHeight="1">
      <c r="A3501" s="4" t="s">
        <v>8080</v>
      </c>
      <c r="B3501" s="5" t="s">
        <v>8080</v>
      </c>
      <c r="C3501" s="5" t="s">
        <v>32</v>
      </c>
      <c r="D3501" s="5" t="s">
        <v>33</v>
      </c>
      <c r="E3501" s="5" t="s">
        <v>55</v>
      </c>
      <c r="F3501" s="9">
        <v>104</v>
      </c>
      <c r="G3501" s="9">
        <v>1144</v>
      </c>
      <c r="H3501" s="5" t="s">
        <v>21</v>
      </c>
      <c r="I3501" s="5" t="s">
        <v>8081</v>
      </c>
      <c r="J3501" s="12" t="str">
        <f>HYPERLINK("https://www.boe.es/gazeta/dias/1801/11/06/pdfs/GMD-1801-104.pdf#page=5","Abrir facsímil")</f>
        <v>Abrir facsímil</v>
      </c>
      <c r="K3501" s="15" t="s">
        <v>23</v>
      </c>
    </row>
    <row r="3502" spans="1:11" ht="42" customHeight="1">
      <c r="A3502" s="4" t="s">
        <v>8082</v>
      </c>
      <c r="B3502" s="5" t="s">
        <v>8083</v>
      </c>
      <c r="C3502" s="5" t="s">
        <v>32</v>
      </c>
      <c r="D3502" s="5" t="s">
        <v>33</v>
      </c>
      <c r="E3502" s="5" t="s">
        <v>453</v>
      </c>
      <c r="F3502" s="9">
        <v>100</v>
      </c>
      <c r="G3502" s="9">
        <v>1100</v>
      </c>
      <c r="H3502" s="5" t="s">
        <v>21</v>
      </c>
      <c r="I3502" s="5" t="s">
        <v>8084</v>
      </c>
      <c r="J3502" s="12" t="str">
        <f>HYPERLINK("https://www.boe.es/gazeta/dias/1801/10/23/pdfs/GMD-1801-100.pdf#page=9","Abrir facsímil")</f>
        <v>Abrir facsímil</v>
      </c>
      <c r="K3502" s="15" t="s">
        <v>23</v>
      </c>
    </row>
    <row r="3503" spans="1:11" ht="42" customHeight="1">
      <c r="A3503" s="4" t="s">
        <v>8085</v>
      </c>
      <c r="B3503" s="5" t="s">
        <v>8086</v>
      </c>
      <c r="C3503" s="5" t="s">
        <v>32</v>
      </c>
      <c r="D3503" s="5" t="s">
        <v>33</v>
      </c>
      <c r="E3503" s="5" t="s">
        <v>448</v>
      </c>
      <c r="F3503" s="9">
        <v>35</v>
      </c>
      <c r="G3503" s="9">
        <v>454</v>
      </c>
      <c r="H3503" s="5" t="s">
        <v>21</v>
      </c>
      <c r="I3503" s="5" t="s">
        <v>8087</v>
      </c>
      <c r="J3503" s="12" t="str">
        <f>HYPERLINK("https://www.boe.es/gazeta/dias/1801/05/01/pdfs/GMD-1801-35.pdf#page=10","Abrir facsímil")</f>
        <v>Abrir facsímil</v>
      </c>
      <c r="K3503" s="15" t="s">
        <v>23</v>
      </c>
    </row>
    <row r="3504" spans="1:11" ht="42" customHeight="1">
      <c r="A3504" s="4" t="s">
        <v>8088</v>
      </c>
      <c r="B3504" s="5" t="s">
        <v>8089</v>
      </c>
      <c r="C3504" s="5" t="s">
        <v>32</v>
      </c>
      <c r="D3504" s="5" t="s">
        <v>33</v>
      </c>
      <c r="E3504" s="5" t="s">
        <v>712</v>
      </c>
      <c r="F3504" s="9">
        <v>105</v>
      </c>
      <c r="G3504" s="9">
        <v>1155</v>
      </c>
      <c r="H3504" s="5" t="s">
        <v>21</v>
      </c>
      <c r="I3504" s="5" t="s">
        <v>8090</v>
      </c>
      <c r="J3504" s="12" t="str">
        <f>HYPERLINK("https://www.boe.es/gazeta/dias/1801/11/10/pdfs/GMD-1801-105.pdf#page=8","Abrir facsímil")</f>
        <v>Abrir facsímil</v>
      </c>
      <c r="K3504" s="15" t="s">
        <v>23</v>
      </c>
    </row>
    <row r="3505" spans="1:11" ht="42" customHeight="1">
      <c r="A3505" s="4" t="s">
        <v>8091</v>
      </c>
      <c r="B3505" s="5" t="s">
        <v>8092</v>
      </c>
      <c r="C3505" s="5" t="s">
        <v>32</v>
      </c>
      <c r="D3505" s="5" t="s">
        <v>33</v>
      </c>
      <c r="E3505" s="5" t="s">
        <v>34</v>
      </c>
      <c r="F3505" s="9">
        <v>38</v>
      </c>
      <c r="G3505" s="9">
        <v>493</v>
      </c>
      <c r="H3505" s="5" t="s">
        <v>21</v>
      </c>
      <c r="I3505" s="5" t="s">
        <v>8093</v>
      </c>
      <c r="J3505" s="12" t="str">
        <f>HYPERLINK("https://www.boe.es/gazeta/dias/1801/05/12/pdfs/GMD-1801-38.pdf#page=9","Abrir facsímil")</f>
        <v>Abrir facsímil</v>
      </c>
      <c r="K3505" s="15" t="s">
        <v>23</v>
      </c>
    </row>
    <row r="3506" spans="1:11" ht="42" customHeight="1">
      <c r="A3506" s="4" t="s">
        <v>8094</v>
      </c>
      <c r="B3506" s="5" t="s">
        <v>8095</v>
      </c>
      <c r="C3506" s="5" t="s">
        <v>80</v>
      </c>
      <c r="D3506" s="5" t="s">
        <v>81</v>
      </c>
      <c r="E3506" s="5" t="s">
        <v>289</v>
      </c>
      <c r="F3506" s="9">
        <v>40</v>
      </c>
      <c r="G3506" s="9" t="s">
        <v>502</v>
      </c>
      <c r="H3506" s="5" t="s">
        <v>21</v>
      </c>
      <c r="I3506" s="5" t="s">
        <v>8096</v>
      </c>
      <c r="J3506" s="12" t="str">
        <f>HYPERLINK("https://www.boe.es/gazeta/dias/1801/05/19/pdfs/GMD-C-1801-40.pdf#page=8","Abrir facsímil")</f>
        <v>Abrir facsímil</v>
      </c>
      <c r="K3506" s="15" t="s">
        <v>23</v>
      </c>
    </row>
    <row r="3507" spans="1:11" ht="42" customHeight="1">
      <c r="A3507" s="4" t="s">
        <v>8097</v>
      </c>
      <c r="B3507" s="5" t="s">
        <v>8098</v>
      </c>
      <c r="C3507" s="5" t="s">
        <v>32</v>
      </c>
      <c r="D3507" s="5" t="s">
        <v>33</v>
      </c>
      <c r="E3507" s="5" t="s">
        <v>131</v>
      </c>
      <c r="F3507" s="9">
        <v>22</v>
      </c>
      <c r="G3507" s="9">
        <v>289</v>
      </c>
      <c r="H3507" s="5" t="s">
        <v>21</v>
      </c>
      <c r="I3507" s="5" t="s">
        <v>8099</v>
      </c>
      <c r="J3507" s="12" t="str">
        <f>HYPERLINK("https://www.boe.es/gazeta/dias/1801/03/17/pdfs/GMD-1801-22.pdf#page=6","Abrir facsímil")</f>
        <v>Abrir facsímil</v>
      </c>
      <c r="K3507" s="15" t="s">
        <v>23</v>
      </c>
    </row>
    <row r="3508" spans="1:11" ht="42" customHeight="1">
      <c r="A3508" s="4" t="s">
        <v>8097</v>
      </c>
      <c r="B3508" s="5" t="s">
        <v>8098</v>
      </c>
      <c r="C3508" s="5" t="s">
        <v>38</v>
      </c>
      <c r="D3508" s="5" t="s">
        <v>39</v>
      </c>
      <c r="E3508" s="5" t="s">
        <v>712</v>
      </c>
      <c r="F3508" s="9">
        <v>105</v>
      </c>
      <c r="G3508" s="9">
        <v>1157</v>
      </c>
      <c r="H3508" s="5" t="s">
        <v>21</v>
      </c>
      <c r="I3508" s="5" t="s">
        <v>8100</v>
      </c>
      <c r="J3508" s="12" t="str">
        <f>HYPERLINK("https://www.boe.es/gazeta/dias/1801/11/10/pdfs/GMD-1801-105.pdf#page=10","Abrir facsímil")</f>
        <v>Abrir facsímil</v>
      </c>
      <c r="K3508" s="15" t="s">
        <v>23</v>
      </c>
    </row>
    <row r="3509" spans="1:11" ht="42" customHeight="1">
      <c r="A3509" s="4" t="s">
        <v>8101</v>
      </c>
      <c r="B3509" s="5" t="s">
        <v>8102</v>
      </c>
      <c r="C3509" s="5" t="s">
        <v>32</v>
      </c>
      <c r="D3509" s="5" t="s">
        <v>33</v>
      </c>
      <c r="E3509" s="5" t="s">
        <v>122</v>
      </c>
      <c r="F3509" s="9">
        <v>8</v>
      </c>
      <c r="G3509" s="9">
        <v>97</v>
      </c>
      <c r="H3509" s="5" t="s">
        <v>21</v>
      </c>
      <c r="I3509" s="5" t="s">
        <v>8103</v>
      </c>
      <c r="J3509" s="12" t="str">
        <f>HYPERLINK("https://www.boe.es/gazeta/dias/1801/01/27/pdfs/GMD-1801-8.pdf#page=9","Abrir facsímil")</f>
        <v>Abrir facsímil</v>
      </c>
      <c r="K3509" s="15" t="s">
        <v>23</v>
      </c>
    </row>
    <row r="3510" spans="1:11" ht="42" customHeight="1">
      <c r="A3510" s="4" t="s">
        <v>8101</v>
      </c>
      <c r="B3510" s="5" t="s">
        <v>8102</v>
      </c>
      <c r="C3510" s="5" t="s">
        <v>80</v>
      </c>
      <c r="D3510" s="5" t="s">
        <v>81</v>
      </c>
      <c r="E3510" s="5" t="s">
        <v>289</v>
      </c>
      <c r="F3510" s="9">
        <v>40</v>
      </c>
      <c r="G3510" s="9" t="s">
        <v>83</v>
      </c>
      <c r="H3510" s="5" t="s">
        <v>21</v>
      </c>
      <c r="I3510" s="5" t="s">
        <v>8104</v>
      </c>
      <c r="J3510" s="12" t="str">
        <f>HYPERLINK("https://www.boe.es/gazeta/dias/1801/05/19/pdfs/GMD-C-1801-40.pdf#page=2","Abrir facsímil")</f>
        <v>Abrir facsímil</v>
      </c>
      <c r="K3510" s="15" t="s">
        <v>23</v>
      </c>
    </row>
    <row r="3511" spans="1:11" ht="42" customHeight="1">
      <c r="A3511" s="4" t="s">
        <v>8101</v>
      </c>
      <c r="B3511" s="5" t="s">
        <v>8102</v>
      </c>
      <c r="C3511" s="5" t="s">
        <v>80</v>
      </c>
      <c r="D3511" s="5" t="s">
        <v>81</v>
      </c>
      <c r="E3511" s="5" t="s">
        <v>289</v>
      </c>
      <c r="F3511" s="9">
        <v>40</v>
      </c>
      <c r="G3511" s="9" t="s">
        <v>517</v>
      </c>
      <c r="H3511" s="5" t="s">
        <v>21</v>
      </c>
      <c r="I3511" s="5" t="s">
        <v>8105</v>
      </c>
      <c r="J3511" s="12" t="str">
        <f>HYPERLINK("https://www.boe.es/gazeta/dias/1801/05/19/pdfs/GMD-C-1801-40.pdf#page=7","Abrir facsímil")</f>
        <v>Abrir facsímil</v>
      </c>
      <c r="K3511" s="15" t="s">
        <v>23</v>
      </c>
    </row>
    <row r="3512" spans="1:11" ht="42" customHeight="1">
      <c r="A3512" s="4" t="s">
        <v>8101</v>
      </c>
      <c r="B3512" s="5" t="s">
        <v>8102</v>
      </c>
      <c r="C3512" s="5" t="s">
        <v>80</v>
      </c>
      <c r="D3512" s="5" t="s">
        <v>81</v>
      </c>
      <c r="E3512" s="5" t="s">
        <v>289</v>
      </c>
      <c r="F3512" s="9">
        <v>40</v>
      </c>
      <c r="G3512" s="9" t="s">
        <v>502</v>
      </c>
      <c r="H3512" s="5" t="s">
        <v>21</v>
      </c>
      <c r="I3512" s="5" t="s">
        <v>8106</v>
      </c>
      <c r="J3512" s="12" t="str">
        <f>HYPERLINK("https://www.boe.es/gazeta/dias/1801/05/19/pdfs/GMD-C-1801-40.pdf#page=8","Abrir facsímil")</f>
        <v>Abrir facsímil</v>
      </c>
      <c r="K3512" s="15" t="s">
        <v>23</v>
      </c>
    </row>
    <row r="3513" spans="1:11" ht="42" customHeight="1">
      <c r="A3513" s="4" t="s">
        <v>8107</v>
      </c>
      <c r="B3513" s="5" t="s">
        <v>8108</v>
      </c>
      <c r="C3513" s="5" t="s">
        <v>32</v>
      </c>
      <c r="D3513" s="5" t="s">
        <v>33</v>
      </c>
      <c r="E3513" s="5" t="s">
        <v>120</v>
      </c>
      <c r="F3513" s="9">
        <v>7</v>
      </c>
      <c r="G3513" s="9">
        <v>84</v>
      </c>
      <c r="H3513" s="5" t="s">
        <v>21</v>
      </c>
      <c r="I3513" s="5" t="s">
        <v>8109</v>
      </c>
      <c r="J3513" s="12" t="str">
        <f>HYPERLINK("https://www.boe.es/gazeta/dias/1801/01/23/pdfs/GMD-1801-7.pdf#page=8","Abrir facsímil")</f>
        <v>Abrir facsímil</v>
      </c>
      <c r="K3513" s="15" t="s">
        <v>23</v>
      </c>
    </row>
    <row r="3514" spans="1:11" ht="42" customHeight="1">
      <c r="A3514" s="4" t="s">
        <v>8107</v>
      </c>
      <c r="B3514" s="5" t="s">
        <v>8108</v>
      </c>
      <c r="C3514" s="5" t="s">
        <v>18</v>
      </c>
      <c r="D3514" s="5" t="s">
        <v>19</v>
      </c>
      <c r="E3514" s="5" t="s">
        <v>201</v>
      </c>
      <c r="F3514" s="9">
        <v>79</v>
      </c>
      <c r="G3514" s="9">
        <v>889</v>
      </c>
      <c r="H3514" s="5" t="s">
        <v>21</v>
      </c>
      <c r="I3514" s="5" t="s">
        <v>8110</v>
      </c>
      <c r="J3514" s="12" t="str">
        <f>HYPERLINK("https://www.boe.es/gazeta/dias/1801/08/18/pdfs/GMD-1801-79.pdf#page=6","Abrir facsímil")</f>
        <v>Abrir facsímil</v>
      </c>
      <c r="K3514" s="15" t="s">
        <v>23</v>
      </c>
    </row>
    <row r="3515" spans="1:11" ht="42" customHeight="1">
      <c r="A3515" s="4" t="s">
        <v>8107</v>
      </c>
      <c r="B3515" s="5" t="s">
        <v>8108</v>
      </c>
      <c r="C3515" s="5" t="s">
        <v>69</v>
      </c>
      <c r="D3515" s="5" t="s">
        <v>19</v>
      </c>
      <c r="E3515" s="5" t="s">
        <v>453</v>
      </c>
      <c r="F3515" s="9">
        <v>100</v>
      </c>
      <c r="G3515" s="9">
        <v>1099</v>
      </c>
      <c r="H3515" s="5" t="s">
        <v>21</v>
      </c>
      <c r="I3515" s="5" t="s">
        <v>8111</v>
      </c>
      <c r="J3515" s="12" t="str">
        <f>HYPERLINK("https://www.boe.es/gazeta/dias/1801/10/23/pdfs/GMD-1801-100.pdf#page=8","Abrir facsímil")</f>
        <v>Abrir facsímil</v>
      </c>
      <c r="K3515" s="15" t="s">
        <v>23</v>
      </c>
    </row>
    <row r="3516" spans="1:11" ht="42" customHeight="1">
      <c r="A3516" s="4" t="s">
        <v>8107</v>
      </c>
      <c r="B3516" s="5" t="s">
        <v>8108</v>
      </c>
      <c r="C3516" s="5" t="s">
        <v>32</v>
      </c>
      <c r="D3516" s="5" t="s">
        <v>33</v>
      </c>
      <c r="E3516" s="5" t="s">
        <v>262</v>
      </c>
      <c r="F3516" s="9">
        <v>109</v>
      </c>
      <c r="G3516" s="9">
        <v>1204</v>
      </c>
      <c r="H3516" s="5" t="s">
        <v>21</v>
      </c>
      <c r="I3516" s="5" t="s">
        <v>8112</v>
      </c>
      <c r="J3516" s="12" t="str">
        <f>HYPERLINK("https://www.boe.es/gazeta/dias/1801/11/24/pdfs/GMD-1801-109.pdf#page=9","Abrir facsímil")</f>
        <v>Abrir facsímil</v>
      </c>
      <c r="K3516" s="15" t="s">
        <v>23</v>
      </c>
    </row>
    <row r="3517" spans="1:11" ht="42" customHeight="1">
      <c r="A3517" s="4" t="s">
        <v>8107</v>
      </c>
      <c r="B3517" s="5" t="s">
        <v>8108</v>
      </c>
      <c r="C3517" s="5" t="s">
        <v>38</v>
      </c>
      <c r="D3517" s="5" t="s">
        <v>39</v>
      </c>
      <c r="E3517" s="5" t="s">
        <v>44</v>
      </c>
      <c r="F3517" s="9">
        <v>117</v>
      </c>
      <c r="G3517" s="9">
        <v>1283</v>
      </c>
      <c r="H3517" s="5" t="s">
        <v>21</v>
      </c>
      <c r="I3517" s="5" t="s">
        <v>8113</v>
      </c>
      <c r="J3517" s="12" t="str">
        <f>HYPERLINK("https://www.boe.es/gazeta/dias/1801/12/22/pdfs/GMD-1801-117.pdf#page=10","Abrir facsímil")</f>
        <v>Abrir facsímil</v>
      </c>
      <c r="K3517" s="15" t="s">
        <v>23</v>
      </c>
    </row>
    <row r="3518" spans="1:11" ht="42" customHeight="1">
      <c r="A3518" s="4" t="s">
        <v>8114</v>
      </c>
      <c r="B3518" s="5" t="s">
        <v>8115</v>
      </c>
      <c r="C3518" s="5" t="s">
        <v>38</v>
      </c>
      <c r="D3518" s="5" t="s">
        <v>39</v>
      </c>
      <c r="E3518" s="5" t="s">
        <v>378</v>
      </c>
      <c r="F3518" s="9">
        <v>23</v>
      </c>
      <c r="G3518" s="9">
        <v>308</v>
      </c>
      <c r="H3518" s="5" t="s">
        <v>21</v>
      </c>
      <c r="I3518" s="5" t="s">
        <v>8116</v>
      </c>
      <c r="J3518" s="12" t="str">
        <f>HYPERLINK("https://www.boe.es/gazeta/dias/1801/03/20/pdfs/GMD-1801-23.pdf#page=11","Abrir facsímil")</f>
        <v>Abrir facsímil</v>
      </c>
      <c r="K3518" s="15" t="s">
        <v>23</v>
      </c>
    </row>
    <row r="3519" spans="1:11" ht="42" customHeight="1">
      <c r="A3519" s="4" t="s">
        <v>8117</v>
      </c>
      <c r="B3519" s="5" t="s">
        <v>8118</v>
      </c>
      <c r="C3519" s="5" t="s">
        <v>18</v>
      </c>
      <c r="D3519" s="5" t="s">
        <v>19</v>
      </c>
      <c r="E3519" s="5" t="s">
        <v>124</v>
      </c>
      <c r="F3519" s="9">
        <v>12</v>
      </c>
      <c r="G3519" s="9">
        <v>150</v>
      </c>
      <c r="H3519" s="5" t="s">
        <v>21</v>
      </c>
      <c r="I3519" s="5" t="s">
        <v>8119</v>
      </c>
      <c r="J3519" s="12" t="str">
        <f>HYPERLINK("https://www.boe.es/gazeta/dias/1801/02/10/pdfs/GMD-1801-12.pdf#page=11","Abrir facsímil")</f>
        <v>Abrir facsímil</v>
      </c>
      <c r="K3519" s="15" t="s">
        <v>23</v>
      </c>
    </row>
    <row r="3520" spans="1:11" ht="42" customHeight="1">
      <c r="A3520" s="4" t="s">
        <v>8120</v>
      </c>
      <c r="B3520" s="5" t="s">
        <v>8121</v>
      </c>
      <c r="C3520" s="5" t="s">
        <v>32</v>
      </c>
      <c r="D3520" s="5" t="s">
        <v>33</v>
      </c>
      <c r="E3520" s="5" t="s">
        <v>448</v>
      </c>
      <c r="F3520" s="9">
        <v>35</v>
      </c>
      <c r="G3520" s="9">
        <v>454</v>
      </c>
      <c r="H3520" s="5" t="s">
        <v>21</v>
      </c>
      <c r="I3520" s="5" t="s">
        <v>8122</v>
      </c>
      <c r="J3520" s="12" t="str">
        <f>HYPERLINK("https://www.boe.es/gazeta/dias/1801/05/01/pdfs/GMD-1801-35.pdf#page=10","Abrir facsímil")</f>
        <v>Abrir facsímil</v>
      </c>
      <c r="K3520" s="15" t="s">
        <v>23</v>
      </c>
    </row>
    <row r="3521" spans="1:11" ht="42" customHeight="1">
      <c r="A3521" s="4" t="s">
        <v>8123</v>
      </c>
      <c r="B3521" s="5" t="s">
        <v>8124</v>
      </c>
      <c r="C3521" s="5" t="s">
        <v>32</v>
      </c>
      <c r="D3521" s="5" t="s">
        <v>33</v>
      </c>
      <c r="E3521" s="5" t="s">
        <v>615</v>
      </c>
      <c r="F3521" s="9">
        <v>72</v>
      </c>
      <c r="G3521" s="9">
        <v>804</v>
      </c>
      <c r="H3521" s="5" t="s">
        <v>21</v>
      </c>
      <c r="I3521" s="5" t="s">
        <v>8125</v>
      </c>
      <c r="J3521" s="12" t="str">
        <f>HYPERLINK("https://www.boe.es/gazeta/dias/1801/07/24/pdfs/GMD-1801-72.pdf#page=9","Abrir facsímil")</f>
        <v>Abrir facsímil</v>
      </c>
      <c r="K3521" s="15" t="s">
        <v>23</v>
      </c>
    </row>
    <row r="3522" spans="1:11" ht="42" customHeight="1">
      <c r="A3522" s="4" t="s">
        <v>8126</v>
      </c>
      <c r="B3522" s="5" t="s">
        <v>8127</v>
      </c>
      <c r="C3522" s="5" t="s">
        <v>32</v>
      </c>
      <c r="D3522" s="5" t="s">
        <v>33</v>
      </c>
      <c r="E3522" s="5" t="s">
        <v>90</v>
      </c>
      <c r="F3522" s="9">
        <v>1</v>
      </c>
      <c r="G3522" s="9">
        <v>8</v>
      </c>
      <c r="H3522" s="5" t="s">
        <v>21</v>
      </c>
      <c r="I3522" s="5" t="s">
        <v>8128</v>
      </c>
      <c r="J3522" s="12" t="str">
        <f>HYPERLINK("https://www.boe.es/gazeta/dias/1801/01/02/pdfs/GMD-1801-1.pdf#page=8","Abrir facsímil")</f>
        <v>Abrir facsímil</v>
      </c>
      <c r="K3522" s="15" t="s">
        <v>23</v>
      </c>
    </row>
    <row r="3523" spans="1:11" ht="42" customHeight="1">
      <c r="A3523" s="4" t="s">
        <v>8129</v>
      </c>
      <c r="B3523" s="5" t="s">
        <v>8130</v>
      </c>
      <c r="C3523" s="5" t="s">
        <v>80</v>
      </c>
      <c r="D3523" s="5" t="s">
        <v>81</v>
      </c>
      <c r="E3523" s="5" t="s">
        <v>289</v>
      </c>
      <c r="F3523" s="9">
        <v>40</v>
      </c>
      <c r="G3523" s="9" t="s">
        <v>996</v>
      </c>
      <c r="H3523" s="5" t="s">
        <v>21</v>
      </c>
      <c r="I3523" s="5" t="s">
        <v>8131</v>
      </c>
      <c r="J3523" s="12" t="str">
        <f>HYPERLINK("https://www.boe.es/gazeta/dias/1801/05/19/pdfs/GMD-C-1801-40.pdf#page=6","Abrir facsímil")</f>
        <v>Abrir facsímil</v>
      </c>
      <c r="K3523" s="15" t="s">
        <v>23</v>
      </c>
    </row>
    <row r="3524" spans="1:11" ht="42" customHeight="1">
      <c r="A3524" s="4" t="s">
        <v>8126</v>
      </c>
      <c r="B3524" s="5" t="s">
        <v>8127</v>
      </c>
      <c r="C3524" s="5" t="s">
        <v>75</v>
      </c>
      <c r="D3524" s="5" t="s">
        <v>76</v>
      </c>
      <c r="E3524" s="5" t="s">
        <v>169</v>
      </c>
      <c r="F3524" s="9">
        <v>70</v>
      </c>
      <c r="G3524" s="9">
        <v>777</v>
      </c>
      <c r="H3524" s="5" t="s">
        <v>21</v>
      </c>
      <c r="I3524" s="5" t="s">
        <v>8132</v>
      </c>
      <c r="J3524" s="12" t="str">
        <f>HYPERLINK("https://www.boe.es/gazeta/dias/1801/07/17/pdfs/GMD-1801-70.pdf#page=10","Abrir facsímil")</f>
        <v>Abrir facsímil</v>
      </c>
      <c r="K3524" s="15" t="s">
        <v>23</v>
      </c>
    </row>
    <row r="3525" spans="1:11" ht="42" customHeight="1">
      <c r="A3525" s="4" t="s">
        <v>8133</v>
      </c>
      <c r="B3525" s="5" t="s">
        <v>8134</v>
      </c>
      <c r="C3525" s="5" t="s">
        <v>38</v>
      </c>
      <c r="D3525" s="5" t="s">
        <v>39</v>
      </c>
      <c r="E3525" s="5" t="s">
        <v>165</v>
      </c>
      <c r="F3525" s="9">
        <v>59</v>
      </c>
      <c r="G3525" s="9">
        <v>676</v>
      </c>
      <c r="H3525" s="5" t="s">
        <v>21</v>
      </c>
      <c r="I3525" s="5" t="s">
        <v>8135</v>
      </c>
      <c r="J3525" s="12" t="str">
        <f>HYPERLINK("https://www.boe.es/gazeta/dias/1801/06/23/pdfs/GMD-1801-59.pdf#page=9","Abrir facsímil")</f>
        <v>Abrir facsímil</v>
      </c>
      <c r="K3525" s="15" t="s">
        <v>23</v>
      </c>
    </row>
    <row r="3526" spans="1:11" ht="42" customHeight="1">
      <c r="A3526" s="4" t="s">
        <v>8136</v>
      </c>
      <c r="B3526" s="5" t="s">
        <v>8137</v>
      </c>
      <c r="C3526" s="5" t="s">
        <v>32</v>
      </c>
      <c r="D3526" s="5" t="s">
        <v>33</v>
      </c>
      <c r="E3526" s="5" t="s">
        <v>781</v>
      </c>
      <c r="F3526" s="9">
        <v>14</v>
      </c>
      <c r="G3526" s="9">
        <v>174</v>
      </c>
      <c r="H3526" s="5" t="s">
        <v>21</v>
      </c>
      <c r="I3526" s="5" t="s">
        <v>8138</v>
      </c>
      <c r="J3526" s="12" t="str">
        <f>HYPERLINK("https://www.boe.es/gazeta/dias/1801/02/17/pdfs/GMD-1801-14.pdf#page=9","Abrir facsímil")</f>
        <v>Abrir facsímil</v>
      </c>
      <c r="K3526" s="15" t="s">
        <v>23</v>
      </c>
    </row>
    <row r="3527" spans="1:11" ht="42" customHeight="1">
      <c r="A3527" s="4" t="s">
        <v>8136</v>
      </c>
      <c r="B3527" s="5" t="s">
        <v>8137</v>
      </c>
      <c r="C3527" s="5" t="s">
        <v>80</v>
      </c>
      <c r="D3527" s="5" t="s">
        <v>81</v>
      </c>
      <c r="E3527" s="5" t="s">
        <v>289</v>
      </c>
      <c r="F3527" s="9">
        <v>40</v>
      </c>
      <c r="G3527" s="9" t="s">
        <v>299</v>
      </c>
      <c r="H3527" s="5" t="s">
        <v>21</v>
      </c>
      <c r="I3527" s="5" t="s">
        <v>8139</v>
      </c>
      <c r="J3527" s="12" t="str">
        <f>HYPERLINK("https://www.boe.es/gazeta/dias/1801/05/19/pdfs/GMD-C-1801-40.pdf#page=5","Abrir facsímil")</f>
        <v>Abrir facsímil</v>
      </c>
      <c r="K3527" s="15" t="s">
        <v>23</v>
      </c>
    </row>
    <row r="3528" spans="1:11" ht="42" customHeight="1">
      <c r="A3528" s="4" t="s">
        <v>8140</v>
      </c>
      <c r="B3528" s="5" t="s">
        <v>8141</v>
      </c>
      <c r="C3528" s="5" t="s">
        <v>69</v>
      </c>
      <c r="D3528" s="5" t="s">
        <v>19</v>
      </c>
      <c r="E3528" s="5" t="s">
        <v>62</v>
      </c>
      <c r="F3528" s="9">
        <v>6</v>
      </c>
      <c r="G3528" s="9">
        <v>72</v>
      </c>
      <c r="H3528" s="5" t="s">
        <v>21</v>
      </c>
      <c r="I3528" s="5" t="s">
        <v>8142</v>
      </c>
      <c r="J3528" s="12" t="str">
        <f>HYPERLINK("https://www.boe.es/gazeta/dias/1801/01/20/pdfs/GMD-1801-6.pdf#page=8","Abrir facsímil")</f>
        <v>Abrir facsímil</v>
      </c>
      <c r="K3528" s="15" t="s">
        <v>23</v>
      </c>
    </row>
    <row r="3529" spans="1:11" ht="42" customHeight="1">
      <c r="A3529" s="4" t="s">
        <v>8140</v>
      </c>
      <c r="B3529" s="5" t="s">
        <v>8141</v>
      </c>
      <c r="C3529" s="5" t="s">
        <v>32</v>
      </c>
      <c r="D3529" s="5" t="s">
        <v>33</v>
      </c>
      <c r="E3529" s="5" t="s">
        <v>924</v>
      </c>
      <c r="F3529" s="9">
        <v>90</v>
      </c>
      <c r="G3529" s="9">
        <v>992</v>
      </c>
      <c r="H3529" s="5" t="s">
        <v>21</v>
      </c>
      <c r="I3529" s="5" t="s">
        <v>8143</v>
      </c>
      <c r="J3529" s="12" t="str">
        <f>HYPERLINK("https://www.boe.es/gazeta/dias/1801/09/18/pdfs/GMD-1801-90.pdf#page=7","Abrir facsímil")</f>
        <v>Abrir facsímil</v>
      </c>
      <c r="K3529" s="15" t="s">
        <v>23</v>
      </c>
    </row>
    <row r="3530" spans="1:11" ht="42" customHeight="1">
      <c r="A3530" s="4" t="s">
        <v>8144</v>
      </c>
      <c r="B3530" s="5" t="s">
        <v>8145</v>
      </c>
      <c r="C3530" s="5" t="s">
        <v>69</v>
      </c>
      <c r="D3530" s="5" t="s">
        <v>19</v>
      </c>
      <c r="E3530" s="5" t="s">
        <v>309</v>
      </c>
      <c r="F3530" s="9">
        <v>118</v>
      </c>
      <c r="G3530" s="9">
        <v>1292</v>
      </c>
      <c r="H3530" s="5" t="s">
        <v>21</v>
      </c>
      <c r="I3530" s="5" t="s">
        <v>8146</v>
      </c>
      <c r="J3530" s="12" t="str">
        <f>HYPERLINK("https://www.boe.es/gazeta/dias/1801/12/25/pdfs/GMD-1801-118.pdf#page=7","Abrir facsímil")</f>
        <v>Abrir facsímil</v>
      </c>
      <c r="K3530" s="15" t="s">
        <v>23</v>
      </c>
    </row>
    <row r="3531" spans="1:11" ht="42" customHeight="1">
      <c r="A3531" s="4" t="s">
        <v>8147</v>
      </c>
      <c r="B3531" s="5" t="s">
        <v>8148</v>
      </c>
      <c r="C3531" s="5" t="s">
        <v>80</v>
      </c>
      <c r="D3531" s="5" t="s">
        <v>81</v>
      </c>
      <c r="E3531" s="5" t="s">
        <v>289</v>
      </c>
      <c r="F3531" s="9">
        <v>40</v>
      </c>
      <c r="G3531" s="9" t="s">
        <v>299</v>
      </c>
      <c r="H3531" s="5" t="s">
        <v>21</v>
      </c>
      <c r="I3531" s="5" t="s">
        <v>8149</v>
      </c>
      <c r="J3531" s="12" t="str">
        <f>HYPERLINK("https://www.boe.es/gazeta/dias/1801/05/19/pdfs/GMD-C-1801-40.pdf#page=5","Abrir facsímil")</f>
        <v>Abrir facsímil</v>
      </c>
      <c r="K3531" s="15" t="s">
        <v>23</v>
      </c>
    </row>
    <row r="3532" spans="1:11" ht="42" customHeight="1">
      <c r="A3532" s="4" t="s">
        <v>8150</v>
      </c>
      <c r="B3532" s="5" t="s">
        <v>8151</v>
      </c>
      <c r="C3532" s="5" t="s">
        <v>32</v>
      </c>
      <c r="D3532" s="5" t="s">
        <v>33</v>
      </c>
      <c r="E3532" s="5" t="s">
        <v>145</v>
      </c>
      <c r="F3532" s="9">
        <v>36</v>
      </c>
      <c r="G3532" s="9">
        <v>468</v>
      </c>
      <c r="H3532" s="5" t="s">
        <v>21</v>
      </c>
      <c r="I3532" s="5" t="s">
        <v>8152</v>
      </c>
      <c r="J3532" s="12" t="str">
        <f>HYPERLINK("https://www.boe.es/gazeta/dias/1801/05/05/pdfs/GMD-1801-36.pdf#page=12","Abrir facsímil")</f>
        <v>Abrir facsímil</v>
      </c>
      <c r="K3532" s="15" t="s">
        <v>23</v>
      </c>
    </row>
    <row r="3533" spans="1:11" ht="42" customHeight="1">
      <c r="A3533" s="4" t="s">
        <v>8153</v>
      </c>
      <c r="B3533" s="5" t="s">
        <v>8154</v>
      </c>
      <c r="C3533" s="5" t="s">
        <v>80</v>
      </c>
      <c r="D3533" s="5" t="s">
        <v>81</v>
      </c>
      <c r="E3533" s="5" t="s">
        <v>289</v>
      </c>
      <c r="F3533" s="9">
        <v>40</v>
      </c>
      <c r="G3533" s="9" t="s">
        <v>502</v>
      </c>
      <c r="H3533" s="5" t="s">
        <v>21</v>
      </c>
      <c r="I3533" s="5" t="s">
        <v>8155</v>
      </c>
      <c r="J3533" s="12" t="str">
        <f>HYPERLINK("https://www.boe.es/gazeta/dias/1801/05/19/pdfs/GMD-C-1801-40.pdf#page=8","Abrir facsímil")</f>
        <v>Abrir facsímil</v>
      </c>
      <c r="K3533" s="15" t="s">
        <v>23</v>
      </c>
    </row>
    <row r="3534" spans="1:11" ht="42" customHeight="1">
      <c r="A3534" s="4" t="s">
        <v>8156</v>
      </c>
      <c r="B3534" s="5" t="s">
        <v>8157</v>
      </c>
      <c r="C3534" s="5" t="s">
        <v>32</v>
      </c>
      <c r="D3534" s="5" t="s">
        <v>33</v>
      </c>
      <c r="E3534" s="5" t="s">
        <v>165</v>
      </c>
      <c r="F3534" s="9">
        <v>59</v>
      </c>
      <c r="G3534" s="9">
        <v>668</v>
      </c>
      <c r="H3534" s="5" t="s">
        <v>21</v>
      </c>
      <c r="I3534" s="5" t="s">
        <v>8158</v>
      </c>
      <c r="J3534" s="12" t="str">
        <f>HYPERLINK("https://www.boe.es/gazeta/dias/1801/06/23/pdfs/GMD-1801-59.pdf#page=1","Abrir facsímil")</f>
        <v>Abrir facsímil</v>
      </c>
      <c r="K3534" s="15" t="s">
        <v>23</v>
      </c>
    </row>
    <row r="3535" spans="1:11" ht="42" customHeight="1">
      <c r="A3535" s="4" t="s">
        <v>8159</v>
      </c>
      <c r="B3535" s="5" t="s">
        <v>8160</v>
      </c>
      <c r="C3535" s="5" t="s">
        <v>32</v>
      </c>
      <c r="D3535" s="5" t="s">
        <v>33</v>
      </c>
      <c r="E3535" s="5" t="s">
        <v>615</v>
      </c>
      <c r="F3535" s="9">
        <v>72</v>
      </c>
      <c r="G3535" s="9">
        <v>803</v>
      </c>
      <c r="H3535" s="5" t="s">
        <v>21</v>
      </c>
      <c r="I3535" s="5" t="s">
        <v>8161</v>
      </c>
      <c r="J3535" s="12" t="str">
        <f>HYPERLINK("https://www.boe.es/gazeta/dias/1801/07/24/pdfs/GMD-1801-72.pdf#page=8","Abrir facsímil")</f>
        <v>Abrir facsímil</v>
      </c>
      <c r="K3535" s="15" t="s">
        <v>23</v>
      </c>
    </row>
    <row r="3536" spans="1:11" ht="42" customHeight="1">
      <c r="A3536" s="4" t="s">
        <v>8162</v>
      </c>
      <c r="B3536" s="5" t="s">
        <v>8163</v>
      </c>
      <c r="C3536" s="5" t="s">
        <v>75</v>
      </c>
      <c r="D3536" s="5" t="s">
        <v>76</v>
      </c>
      <c r="E3536" s="5" t="s">
        <v>122</v>
      </c>
      <c r="F3536" s="9">
        <v>8</v>
      </c>
      <c r="G3536" s="9">
        <v>93</v>
      </c>
      <c r="H3536" s="5" t="s">
        <v>21</v>
      </c>
      <c r="I3536" s="5" t="s">
        <v>8164</v>
      </c>
      <c r="J3536" s="12" t="str">
        <f>HYPERLINK("https://www.boe.es/gazeta/dias/1801/01/27/pdfs/GMD-1801-8.pdf#page=5","Abrir facsímil")</f>
        <v>Abrir facsímil</v>
      </c>
      <c r="K3536" s="15" t="s">
        <v>23</v>
      </c>
    </row>
    <row r="3537" spans="1:11" ht="42" customHeight="1">
      <c r="A3537" s="4" t="s">
        <v>8162</v>
      </c>
      <c r="B3537" s="5" t="s">
        <v>8163</v>
      </c>
      <c r="C3537" s="5" t="s">
        <v>26</v>
      </c>
      <c r="D3537" s="5" t="s">
        <v>27</v>
      </c>
      <c r="E3537" s="5" t="s">
        <v>82</v>
      </c>
      <c r="F3537" s="9">
        <v>75</v>
      </c>
      <c r="G3537" s="9">
        <v>833</v>
      </c>
      <c r="H3537" s="5" t="s">
        <v>21</v>
      </c>
      <c r="I3537" s="5" t="s">
        <v>8165</v>
      </c>
      <c r="J3537" s="12" t="str">
        <f>HYPERLINK("https://www.boe.es/gazeta/dias/1801/08/04/pdfs/GMD-1801-75.pdf#page=2","Abrir facsímil")</f>
        <v>Abrir facsímil</v>
      </c>
      <c r="K3537" s="15" t="s">
        <v>23</v>
      </c>
    </row>
    <row r="3538" spans="1:11" ht="42" customHeight="1">
      <c r="A3538" s="4" t="s">
        <v>8166</v>
      </c>
      <c r="B3538" s="5" t="s">
        <v>8166</v>
      </c>
      <c r="C3538" s="5" t="s">
        <v>75</v>
      </c>
      <c r="D3538" s="5" t="s">
        <v>76</v>
      </c>
      <c r="E3538" s="5" t="s">
        <v>141</v>
      </c>
      <c r="F3538" s="9">
        <v>33</v>
      </c>
      <c r="G3538" s="9">
        <v>419</v>
      </c>
      <c r="H3538" s="5" t="s">
        <v>21</v>
      </c>
      <c r="I3538" s="5" t="s">
        <v>8167</v>
      </c>
      <c r="J3538" s="12" t="str">
        <f>HYPERLINK("https://www.boe.es/gazeta/dias/1801/04/24/pdfs/GMD-1801-33.pdf#page=3","Abrir facsímil")</f>
        <v>Abrir facsímil</v>
      </c>
      <c r="K3538" s="15" t="s">
        <v>23</v>
      </c>
    </row>
    <row r="3539" spans="1:11" ht="42" customHeight="1">
      <c r="A3539" s="4" t="s">
        <v>8168</v>
      </c>
      <c r="B3539" s="5" t="s">
        <v>8168</v>
      </c>
      <c r="C3539" s="5" t="s">
        <v>75</v>
      </c>
      <c r="D3539" s="5" t="s">
        <v>76</v>
      </c>
      <c r="E3539" s="5" t="s">
        <v>101</v>
      </c>
      <c r="F3539" s="9">
        <v>41</v>
      </c>
      <c r="G3539" s="9">
        <v>519</v>
      </c>
      <c r="H3539" s="5" t="s">
        <v>21</v>
      </c>
      <c r="I3539" s="5" t="s">
        <v>8169</v>
      </c>
      <c r="J3539" s="12" t="str">
        <f>HYPERLINK("https://www.boe.es/gazeta/dias/1801/05/22/pdfs/GMD-1801-41.pdf#page=3","Abrir facsímil")</f>
        <v>Abrir facsímil</v>
      </c>
      <c r="K3539" s="15" t="s">
        <v>23</v>
      </c>
    </row>
    <row r="3540" spans="1:11" ht="42" customHeight="1">
      <c r="A3540" s="4" t="s">
        <v>8170</v>
      </c>
      <c r="B3540" s="5" t="s">
        <v>8170</v>
      </c>
      <c r="C3540" s="5" t="s">
        <v>69</v>
      </c>
      <c r="D3540" s="5" t="s">
        <v>19</v>
      </c>
      <c r="E3540" s="5" t="s">
        <v>62</v>
      </c>
      <c r="F3540" s="9">
        <v>6</v>
      </c>
      <c r="G3540" s="9">
        <v>75</v>
      </c>
      <c r="H3540" s="5" t="s">
        <v>21</v>
      </c>
      <c r="I3540" s="5" t="s">
        <v>8171</v>
      </c>
      <c r="J3540" s="12" t="str">
        <f>HYPERLINK("https://www.boe.es/gazeta/dias/1801/01/20/pdfs/GMD-1801-6.pdf#page=11","Abrir facsímil")</f>
        <v>Abrir facsímil</v>
      </c>
      <c r="K3540" s="15" t="s">
        <v>23</v>
      </c>
    </row>
    <row r="3541" spans="1:11" ht="42" customHeight="1">
      <c r="A3541" s="4" t="s">
        <v>8172</v>
      </c>
      <c r="B3541" s="5" t="s">
        <v>8173</v>
      </c>
      <c r="C3541" s="5" t="s">
        <v>69</v>
      </c>
      <c r="D3541" s="5" t="s">
        <v>19</v>
      </c>
      <c r="E3541" s="5" t="s">
        <v>366</v>
      </c>
      <c r="F3541" s="9">
        <v>86</v>
      </c>
      <c r="G3541" s="9">
        <v>951</v>
      </c>
      <c r="H3541" s="5" t="s">
        <v>21</v>
      </c>
      <c r="I3541" s="5" t="s">
        <v>8174</v>
      </c>
      <c r="J3541" s="12" t="str">
        <f>HYPERLINK("https://www.boe.es/gazeta/dias/1801/09/08/pdfs/GMD-1801-86.pdf#page=2","Abrir facsímil")</f>
        <v>Abrir facsímil</v>
      </c>
      <c r="K3541" s="15" t="s">
        <v>23</v>
      </c>
    </row>
    <row r="3542" spans="1:11" ht="42" customHeight="1">
      <c r="A3542" s="4" t="s">
        <v>8175</v>
      </c>
      <c r="B3542" s="5" t="s">
        <v>8176</v>
      </c>
      <c r="C3542" s="5" t="s">
        <v>75</v>
      </c>
      <c r="D3542" s="5" t="s">
        <v>76</v>
      </c>
      <c r="E3542" s="5" t="s">
        <v>615</v>
      </c>
      <c r="F3542" s="9">
        <v>72</v>
      </c>
      <c r="G3542" s="9">
        <v>798</v>
      </c>
      <c r="H3542" s="5" t="s">
        <v>21</v>
      </c>
      <c r="I3542" s="5" t="s">
        <v>8177</v>
      </c>
      <c r="J3542" s="12" t="str">
        <f>HYPERLINK("https://www.boe.es/gazeta/dias/1801/07/24/pdfs/GMD-1801-72.pdf#page=3","Abrir facsímil")</f>
        <v>Abrir facsímil</v>
      </c>
      <c r="K3542" s="15" t="s">
        <v>23</v>
      </c>
    </row>
    <row r="3543" spans="1:11" ht="42" customHeight="1">
      <c r="A3543" s="4" t="s">
        <v>8178</v>
      </c>
      <c r="B3543" s="5" t="s">
        <v>8178</v>
      </c>
      <c r="C3543" s="5" t="s">
        <v>38</v>
      </c>
      <c r="D3543" s="5" t="s">
        <v>39</v>
      </c>
      <c r="E3543" s="5" t="s">
        <v>131</v>
      </c>
      <c r="F3543" s="9">
        <v>22</v>
      </c>
      <c r="G3543" s="9">
        <v>286</v>
      </c>
      <c r="H3543" s="5" t="s">
        <v>21</v>
      </c>
      <c r="I3543" s="5" t="s">
        <v>8179</v>
      </c>
      <c r="J3543" s="12" t="str">
        <f>HYPERLINK("https://www.boe.es/gazeta/dias/1801/03/17/pdfs/GMD-1801-22.pdf#page=3","Abrir facsímil")</f>
        <v>Abrir facsímil</v>
      </c>
      <c r="K3543" s="15" t="s">
        <v>23</v>
      </c>
    </row>
    <row r="3544" spans="1:11" ht="42" customHeight="1">
      <c r="A3544" s="4" t="s">
        <v>8180</v>
      </c>
      <c r="B3544" s="5" t="s">
        <v>8181</v>
      </c>
      <c r="C3544" s="5" t="s">
        <v>75</v>
      </c>
      <c r="D3544" s="5" t="s">
        <v>76</v>
      </c>
      <c r="E3544" s="5" t="s">
        <v>465</v>
      </c>
      <c r="F3544" s="9">
        <v>4</v>
      </c>
      <c r="G3544" s="9">
        <v>43</v>
      </c>
      <c r="H3544" s="5" t="s">
        <v>21</v>
      </c>
      <c r="I3544" s="5" t="s">
        <v>8182</v>
      </c>
      <c r="J3544" s="12" t="str">
        <f>HYPERLINK("https://www.boe.es/gazeta/dias/1801/01/13/pdfs/GMD-1801-4.pdf#page=7","Abrir facsímil")</f>
        <v>Abrir facsímil</v>
      </c>
      <c r="K3544" s="15" t="s">
        <v>23</v>
      </c>
    </row>
    <row r="3545" spans="1:11" ht="42" customHeight="1">
      <c r="A3545" s="4" t="s">
        <v>8180</v>
      </c>
      <c r="B3545" s="5" t="s">
        <v>8181</v>
      </c>
      <c r="C3545" s="5" t="s">
        <v>75</v>
      </c>
      <c r="D3545" s="5" t="s">
        <v>76</v>
      </c>
      <c r="E3545" s="5" t="s">
        <v>122</v>
      </c>
      <c r="F3545" s="9">
        <v>8</v>
      </c>
      <c r="G3545" s="9">
        <v>93</v>
      </c>
      <c r="H3545" s="5" t="s">
        <v>21</v>
      </c>
      <c r="I3545" s="5" t="s">
        <v>8183</v>
      </c>
      <c r="J3545" s="12" t="str">
        <f>HYPERLINK("https://www.boe.es/gazeta/dias/1801/01/27/pdfs/GMD-1801-8.pdf#page=5","Abrir facsímil")</f>
        <v>Abrir facsímil</v>
      </c>
      <c r="K3545" s="15" t="s">
        <v>23</v>
      </c>
    </row>
    <row r="3546" spans="1:11" ht="42" customHeight="1">
      <c r="A3546" s="4" t="s">
        <v>8184</v>
      </c>
      <c r="B3546" s="5" t="s">
        <v>8185</v>
      </c>
      <c r="C3546" s="5" t="s">
        <v>75</v>
      </c>
      <c r="D3546" s="5" t="s">
        <v>76</v>
      </c>
      <c r="E3546" s="5" t="s">
        <v>924</v>
      </c>
      <c r="F3546" s="9">
        <v>90</v>
      </c>
      <c r="G3546" s="9">
        <v>986</v>
      </c>
      <c r="H3546" s="5" t="s">
        <v>21</v>
      </c>
      <c r="I3546" s="5" t="s">
        <v>8186</v>
      </c>
      <c r="J3546" s="12" t="str">
        <f>HYPERLINK("https://www.boe.es/gazeta/dias/1801/09/18/pdfs/GMD-1801-90.pdf#page=1","Abrir facsímil")</f>
        <v>Abrir facsímil</v>
      </c>
      <c r="K3546" s="15" t="s">
        <v>23</v>
      </c>
    </row>
    <row r="3547" spans="1:11" ht="42" customHeight="1">
      <c r="A3547" s="4" t="s">
        <v>8187</v>
      </c>
      <c r="B3547" s="5" t="s">
        <v>8188</v>
      </c>
      <c r="C3547" s="5" t="s">
        <v>75</v>
      </c>
      <c r="D3547" s="5" t="s">
        <v>76</v>
      </c>
      <c r="E3547" s="5" t="s">
        <v>211</v>
      </c>
      <c r="F3547" s="9">
        <v>87</v>
      </c>
      <c r="G3547" s="9">
        <v>960</v>
      </c>
      <c r="H3547" s="5" t="s">
        <v>21</v>
      </c>
      <c r="I3547" s="5" t="s">
        <v>8189</v>
      </c>
      <c r="J3547" s="12" t="str">
        <f>HYPERLINK("https://www.boe.es/gazeta/dias/1801/09/11/pdfs/GMD-1801-87.pdf#page=3","Abrir facsímil")</f>
        <v>Abrir facsímil</v>
      </c>
      <c r="K3547" s="15" t="s">
        <v>23</v>
      </c>
    </row>
    <row r="3548" spans="1:11" ht="42" customHeight="1">
      <c r="A3548" s="4" t="s">
        <v>8190</v>
      </c>
      <c r="B3548" s="5" t="s">
        <v>8191</v>
      </c>
      <c r="C3548" s="5" t="s">
        <v>38</v>
      </c>
      <c r="D3548" s="5" t="s">
        <v>39</v>
      </c>
      <c r="E3548" s="5" t="s">
        <v>40</v>
      </c>
      <c r="F3548" s="9">
        <v>63</v>
      </c>
      <c r="G3548" s="9">
        <v>713</v>
      </c>
      <c r="H3548" s="5" t="s">
        <v>21</v>
      </c>
      <c r="I3548" s="5" t="s">
        <v>8192</v>
      </c>
      <c r="J3548" s="12" t="str">
        <f>HYPERLINK("https://www.boe.es/gazeta/dias/1801/07/03/pdfs/GMD-1801-63.pdf#page=10","Abrir facsímil")</f>
        <v>Abrir facsímil</v>
      </c>
      <c r="K3548" s="15" t="s">
        <v>23</v>
      </c>
    </row>
    <row r="3549" spans="1:11" ht="42" customHeight="1">
      <c r="A3549" s="4" t="s">
        <v>8193</v>
      </c>
      <c r="B3549" s="5" t="s">
        <v>8194</v>
      </c>
      <c r="C3549" s="5" t="s">
        <v>38</v>
      </c>
      <c r="D3549" s="5" t="s">
        <v>39</v>
      </c>
      <c r="E3549" s="5" t="s">
        <v>122</v>
      </c>
      <c r="F3549" s="9">
        <v>8</v>
      </c>
      <c r="G3549" s="9">
        <v>99</v>
      </c>
      <c r="H3549" s="5" t="s">
        <v>21</v>
      </c>
      <c r="I3549" s="5" t="s">
        <v>8195</v>
      </c>
      <c r="J3549" s="12" t="str">
        <f>HYPERLINK("https://www.boe.es/gazeta/dias/1801/01/27/pdfs/GMD-1801-8.pdf#page=11","Abrir facsímil")</f>
        <v>Abrir facsímil</v>
      </c>
      <c r="K3549" s="15" t="s">
        <v>23</v>
      </c>
    </row>
    <row r="3550" spans="1:11" ht="42" customHeight="1">
      <c r="A3550" s="4" t="s">
        <v>8196</v>
      </c>
      <c r="B3550" s="5" t="s">
        <v>8197</v>
      </c>
      <c r="C3550" s="5" t="s">
        <v>80</v>
      </c>
      <c r="D3550" s="5" t="s">
        <v>81</v>
      </c>
      <c r="E3550" s="5" t="s">
        <v>289</v>
      </c>
      <c r="F3550" s="9">
        <v>40</v>
      </c>
      <c r="G3550" s="9" t="s">
        <v>86</v>
      </c>
      <c r="H3550" s="5" t="s">
        <v>21</v>
      </c>
      <c r="I3550" s="5" t="s">
        <v>8198</v>
      </c>
      <c r="J3550" s="12" t="str">
        <f>HYPERLINK("https://www.boe.es/gazeta/dias/1801/05/19/pdfs/GMD-C-1801-40.pdf#page=3","Abrir facsímil")</f>
        <v>Abrir facsímil</v>
      </c>
      <c r="K3550" s="15" t="s">
        <v>23</v>
      </c>
    </row>
    <row r="3551" spans="1:11" ht="42" customHeight="1">
      <c r="A3551" s="4" t="s">
        <v>8199</v>
      </c>
      <c r="B3551" s="5" t="s">
        <v>8200</v>
      </c>
      <c r="C3551" s="5" t="s">
        <v>26</v>
      </c>
      <c r="D3551" s="5" t="s">
        <v>27</v>
      </c>
      <c r="E3551" s="5" t="s">
        <v>501</v>
      </c>
      <c r="F3551" s="9">
        <v>115</v>
      </c>
      <c r="G3551" s="9" t="s">
        <v>299</v>
      </c>
      <c r="H3551" s="5" t="s">
        <v>21</v>
      </c>
      <c r="I3551" s="5" t="s">
        <v>8201</v>
      </c>
      <c r="J3551" s="12" t="str">
        <f>HYPERLINK("https://www.boe.es/gazeta/dias/1801/12/15/pdfs/GMD-C-1801-115.pdf#page=5","Abrir facsímil")</f>
        <v>Abrir facsímil</v>
      </c>
      <c r="K3551" s="15" t="s">
        <v>23</v>
      </c>
    </row>
    <row r="3552" spans="1:11" ht="42" customHeight="1">
      <c r="A3552" s="4" t="s">
        <v>8202</v>
      </c>
      <c r="B3552" s="5" t="s">
        <v>8203</v>
      </c>
      <c r="C3552" s="5" t="s">
        <v>26</v>
      </c>
      <c r="D3552" s="5" t="s">
        <v>27</v>
      </c>
      <c r="E3552" s="5" t="s">
        <v>735</v>
      </c>
      <c r="F3552" s="9">
        <v>97</v>
      </c>
      <c r="G3552" s="9">
        <v>1068</v>
      </c>
      <c r="H3552" s="5" t="s">
        <v>21</v>
      </c>
      <c r="I3552" s="5" t="s">
        <v>8204</v>
      </c>
      <c r="J3552" s="12" t="str">
        <f>HYPERLINK("https://www.boe.es/gazeta/dias/1801/10/13/pdfs/GMD-1801-97.pdf#page=12","Abrir facsímil")</f>
        <v>Abrir facsímil</v>
      </c>
      <c r="K3552" s="15" t="s">
        <v>23</v>
      </c>
    </row>
    <row r="3553" spans="1:11" ht="42" customHeight="1">
      <c r="A3553" s="4" t="s">
        <v>8205</v>
      </c>
      <c r="B3553" s="5" t="s">
        <v>8206</v>
      </c>
      <c r="C3553" s="5" t="s">
        <v>69</v>
      </c>
      <c r="D3553" s="5" t="s">
        <v>19</v>
      </c>
      <c r="E3553" s="5" t="s">
        <v>309</v>
      </c>
      <c r="F3553" s="9">
        <v>118</v>
      </c>
      <c r="G3553" s="9">
        <v>1292</v>
      </c>
      <c r="H3553" s="5" t="s">
        <v>21</v>
      </c>
      <c r="I3553" s="5" t="s">
        <v>8207</v>
      </c>
      <c r="J3553" s="12" t="str">
        <f>HYPERLINK("https://www.boe.es/gazeta/dias/1801/12/25/pdfs/GMD-1801-118.pdf#page=7","Abrir facsímil")</f>
        <v>Abrir facsímil</v>
      </c>
      <c r="K3553" s="15" t="s">
        <v>23</v>
      </c>
    </row>
    <row r="3554" spans="1:11" ht="42" customHeight="1">
      <c r="A3554" s="4" t="s">
        <v>8208</v>
      </c>
      <c r="B3554" s="5" t="s">
        <v>8209</v>
      </c>
      <c r="C3554" s="5" t="s">
        <v>32</v>
      </c>
      <c r="D3554" s="5" t="s">
        <v>33</v>
      </c>
      <c r="E3554" s="5" t="s">
        <v>640</v>
      </c>
      <c r="F3554" s="9">
        <v>81</v>
      </c>
      <c r="G3554" s="9">
        <v>909</v>
      </c>
      <c r="H3554" s="5" t="s">
        <v>21</v>
      </c>
      <c r="I3554" s="5" t="s">
        <v>8210</v>
      </c>
      <c r="J3554" s="12" t="str">
        <f>HYPERLINK("https://www.boe.es/gazeta/dias/1801/08/25/pdfs/GMD-1801-81.pdf#page=6","Abrir facsímil")</f>
        <v>Abrir facsímil</v>
      </c>
      <c r="K3554" s="15" t="s">
        <v>23</v>
      </c>
    </row>
    <row r="3555" spans="1:11" ht="42" customHeight="1">
      <c r="A3555" s="4" t="s">
        <v>8211</v>
      </c>
      <c r="B3555" s="5" t="s">
        <v>8212</v>
      </c>
      <c r="C3555" s="5" t="s">
        <v>75</v>
      </c>
      <c r="D3555" s="5" t="s">
        <v>76</v>
      </c>
      <c r="E3555" s="5" t="s">
        <v>169</v>
      </c>
      <c r="F3555" s="9">
        <v>70</v>
      </c>
      <c r="G3555" s="9">
        <v>775</v>
      </c>
      <c r="H3555" s="5" t="s">
        <v>21</v>
      </c>
      <c r="I3555" s="5" t="s">
        <v>8213</v>
      </c>
      <c r="J3555" s="12" t="str">
        <f>HYPERLINK("https://www.boe.es/gazeta/dias/1801/07/17/pdfs/GMD-1801-70.pdf#page=8","Abrir facsímil")</f>
        <v>Abrir facsímil</v>
      </c>
      <c r="K3555" s="15" t="s">
        <v>23</v>
      </c>
    </row>
    <row r="3556" spans="1:11" ht="42" customHeight="1">
      <c r="A3556" s="4" t="s">
        <v>8214</v>
      </c>
      <c r="B3556" s="5" t="s">
        <v>8215</v>
      </c>
      <c r="C3556" s="5" t="s">
        <v>32</v>
      </c>
      <c r="D3556" s="5" t="s">
        <v>33</v>
      </c>
      <c r="E3556" s="5" t="s">
        <v>44</v>
      </c>
      <c r="F3556" s="9">
        <v>117</v>
      </c>
      <c r="G3556" s="9">
        <v>1282</v>
      </c>
      <c r="H3556" s="5" t="s">
        <v>21</v>
      </c>
      <c r="I3556" s="5" t="s">
        <v>8216</v>
      </c>
      <c r="J3556" s="12" t="str">
        <f>HYPERLINK("https://www.boe.es/gazeta/dias/1801/12/22/pdfs/GMD-1801-117.pdf#page=9","Abrir facsímil")</f>
        <v>Abrir facsímil</v>
      </c>
      <c r="K3556" s="15" t="s">
        <v>23</v>
      </c>
    </row>
    <row r="3557" spans="1:11" ht="42" customHeight="1">
      <c r="A3557" s="4" t="s">
        <v>8217</v>
      </c>
      <c r="B3557" s="5" t="s">
        <v>8218</v>
      </c>
      <c r="C3557" s="5" t="s">
        <v>38</v>
      </c>
      <c r="D3557" s="5" t="s">
        <v>39</v>
      </c>
      <c r="E3557" s="5" t="s">
        <v>2185</v>
      </c>
      <c r="F3557" s="9">
        <v>84</v>
      </c>
      <c r="G3557" s="9">
        <v>940</v>
      </c>
      <c r="H3557" s="5" t="s">
        <v>21</v>
      </c>
      <c r="I3557" s="5" t="s">
        <v>8219</v>
      </c>
      <c r="J3557" s="12" t="str">
        <f>HYPERLINK("https://www.boe.es/gazeta/dias/1801/09/04/pdfs/GMD-1801-84.pdf#page=3","Abrir facsímil")</f>
        <v>Abrir facsímil</v>
      </c>
      <c r="K3557" s="15" t="s">
        <v>23</v>
      </c>
    </row>
    <row r="3558" spans="1:11" ht="42" customHeight="1">
      <c r="A3558" s="4" t="s">
        <v>8220</v>
      </c>
      <c r="B3558" s="5" t="s">
        <v>8221</v>
      </c>
      <c r="C3558" s="5" t="s">
        <v>32</v>
      </c>
      <c r="D3558" s="5" t="s">
        <v>33</v>
      </c>
      <c r="E3558" s="5" t="s">
        <v>640</v>
      </c>
      <c r="F3558" s="9">
        <v>81</v>
      </c>
      <c r="G3558" s="9">
        <v>909</v>
      </c>
      <c r="H3558" s="5" t="s">
        <v>21</v>
      </c>
      <c r="I3558" s="5" t="s">
        <v>8222</v>
      </c>
      <c r="J3558" s="12" t="str">
        <f>HYPERLINK("https://www.boe.es/gazeta/dias/1801/08/25/pdfs/GMD-1801-81.pdf#page=6","Abrir facsímil")</f>
        <v>Abrir facsímil</v>
      </c>
      <c r="K3558" s="15" t="s">
        <v>23</v>
      </c>
    </row>
    <row r="3559" spans="1:11" ht="42" customHeight="1">
      <c r="A3559" s="4" t="s">
        <v>8223</v>
      </c>
      <c r="B3559" s="5" t="s">
        <v>8224</v>
      </c>
      <c r="C3559" s="5" t="s">
        <v>69</v>
      </c>
      <c r="D3559" s="5" t="s">
        <v>19</v>
      </c>
      <c r="E3559" s="5" t="s">
        <v>169</v>
      </c>
      <c r="F3559" s="9">
        <v>70</v>
      </c>
      <c r="G3559" s="9">
        <v>775</v>
      </c>
      <c r="H3559" s="5" t="s">
        <v>21</v>
      </c>
      <c r="I3559" s="5" t="s">
        <v>8225</v>
      </c>
      <c r="J3559" s="12" t="str">
        <f>HYPERLINK("https://www.boe.es/gazeta/dias/1801/07/17/pdfs/GMD-1801-70.pdf#page=8","Abrir facsímil")</f>
        <v>Abrir facsímil</v>
      </c>
      <c r="K3559" s="15" t="s">
        <v>23</v>
      </c>
    </row>
    <row r="3560" spans="1:11" ht="42" customHeight="1">
      <c r="A3560" s="4" t="s">
        <v>8226</v>
      </c>
      <c r="B3560" s="5" t="s">
        <v>8227</v>
      </c>
      <c r="C3560" s="5" t="s">
        <v>32</v>
      </c>
      <c r="D3560" s="5" t="s">
        <v>33</v>
      </c>
      <c r="E3560" s="5" t="s">
        <v>62</v>
      </c>
      <c r="F3560" s="9">
        <v>6</v>
      </c>
      <c r="G3560" s="9">
        <v>73</v>
      </c>
      <c r="H3560" s="5" t="s">
        <v>21</v>
      </c>
      <c r="I3560" s="5" t="s">
        <v>8228</v>
      </c>
      <c r="J3560" s="12" t="str">
        <f>HYPERLINK("https://www.boe.es/gazeta/dias/1801/01/20/pdfs/GMD-1801-6.pdf#page=9","Abrir facsímil")</f>
        <v>Abrir facsímil</v>
      </c>
      <c r="K3560" s="15" t="s">
        <v>23</v>
      </c>
    </row>
    <row r="3561" spans="1:11" ht="42" customHeight="1">
      <c r="A3561" s="4" t="s">
        <v>8229</v>
      </c>
      <c r="B3561" s="5" t="s">
        <v>8230</v>
      </c>
      <c r="C3561" s="5" t="s">
        <v>32</v>
      </c>
      <c r="D3561" s="5" t="s">
        <v>33</v>
      </c>
      <c r="E3561" s="5" t="s">
        <v>201</v>
      </c>
      <c r="F3561" s="9">
        <v>79</v>
      </c>
      <c r="G3561" s="9">
        <v>889</v>
      </c>
      <c r="H3561" s="5" t="s">
        <v>21</v>
      </c>
      <c r="I3561" s="5" t="s">
        <v>8231</v>
      </c>
      <c r="J3561" s="12" t="str">
        <f>HYPERLINK("https://www.boe.es/gazeta/dias/1801/08/18/pdfs/GMD-1801-79.pdf#page=6","Abrir facsímil")</f>
        <v>Abrir facsímil</v>
      </c>
      <c r="K3561" s="15" t="s">
        <v>23</v>
      </c>
    </row>
    <row r="3562" spans="1:11" ht="42" customHeight="1">
      <c r="A3562" s="4" t="s">
        <v>8232</v>
      </c>
      <c r="B3562" s="5" t="s">
        <v>8233</v>
      </c>
      <c r="C3562" s="5" t="s">
        <v>38</v>
      </c>
      <c r="D3562" s="5" t="s">
        <v>39</v>
      </c>
      <c r="E3562" s="5" t="s">
        <v>99</v>
      </c>
      <c r="F3562" s="9">
        <v>32</v>
      </c>
      <c r="G3562" s="9">
        <v>414</v>
      </c>
      <c r="H3562" s="5" t="s">
        <v>21</v>
      </c>
      <c r="I3562" s="5" t="s">
        <v>8234</v>
      </c>
      <c r="J3562" s="12" t="str">
        <f>HYPERLINK("https://www.boe.es/gazeta/dias/1801/04/21/pdfs/GMD-1801-32.pdf#page=10","Abrir facsímil")</f>
        <v>Abrir facsímil</v>
      </c>
      <c r="K3562" s="15" t="s">
        <v>23</v>
      </c>
    </row>
    <row r="3563" spans="1:11" ht="42" customHeight="1">
      <c r="A3563" s="4" t="s">
        <v>8235</v>
      </c>
      <c r="B3563" s="5" t="s">
        <v>8236</v>
      </c>
      <c r="C3563" s="5" t="s">
        <v>32</v>
      </c>
      <c r="D3563" s="5" t="s">
        <v>33</v>
      </c>
      <c r="E3563" s="5" t="s">
        <v>462</v>
      </c>
      <c r="F3563" s="9">
        <v>5</v>
      </c>
      <c r="G3563" s="9">
        <v>56</v>
      </c>
      <c r="H3563" s="5" t="s">
        <v>21</v>
      </c>
      <c r="I3563" s="5" t="s">
        <v>8237</v>
      </c>
      <c r="J3563" s="12" t="str">
        <f>HYPERLINK("https://www.boe.es/gazeta/dias/1801/01/16/pdfs/GMD-1801-5.pdf#page=8","Abrir facsímil")</f>
        <v>Abrir facsímil</v>
      </c>
      <c r="K3563" s="15" t="s">
        <v>23</v>
      </c>
    </row>
    <row r="3564" spans="1:11" ht="42" customHeight="1">
      <c r="A3564" s="4" t="s">
        <v>8238</v>
      </c>
      <c r="B3564" s="5" t="s">
        <v>8239</v>
      </c>
      <c r="C3564" s="5" t="s">
        <v>32</v>
      </c>
      <c r="D3564" s="5" t="s">
        <v>33</v>
      </c>
      <c r="E3564" s="5" t="s">
        <v>120</v>
      </c>
      <c r="F3564" s="9">
        <v>7</v>
      </c>
      <c r="G3564" s="9">
        <v>82</v>
      </c>
      <c r="H3564" s="5" t="s">
        <v>21</v>
      </c>
      <c r="I3564" s="5" t="s">
        <v>8240</v>
      </c>
      <c r="J3564" s="12" t="str">
        <f>HYPERLINK("https://www.boe.es/gazeta/dias/1801/01/23/pdfs/GMD-1801-7.pdf#page=6","Abrir facsímil")</f>
        <v>Abrir facsímil</v>
      </c>
      <c r="K3564" s="15" t="s">
        <v>23</v>
      </c>
    </row>
    <row r="3565" spans="1:11" ht="42" customHeight="1">
      <c r="A3565" s="4" t="s">
        <v>8241</v>
      </c>
      <c r="B3565" s="5" t="s">
        <v>8242</v>
      </c>
      <c r="C3565" s="5" t="s">
        <v>32</v>
      </c>
      <c r="D3565" s="5" t="s">
        <v>33</v>
      </c>
      <c r="E3565" s="5" t="s">
        <v>186</v>
      </c>
      <c r="F3565" s="9">
        <v>21</v>
      </c>
      <c r="G3565" s="9">
        <v>279</v>
      </c>
      <c r="H3565" s="5" t="s">
        <v>21</v>
      </c>
      <c r="I3565" s="5" t="s">
        <v>8243</v>
      </c>
      <c r="J3565" s="12" t="str">
        <f>HYPERLINK("https://www.boe.es/gazeta/dias/1801/03/13/pdfs/GMD-1801-21.pdf#page=8","Abrir facsímil")</f>
        <v>Abrir facsímil</v>
      </c>
      <c r="K3565" s="15" t="s">
        <v>23</v>
      </c>
    </row>
    <row r="3566" spans="1:11" ht="42" customHeight="1">
      <c r="A3566" s="4" t="s">
        <v>8244</v>
      </c>
      <c r="B3566" s="5" t="s">
        <v>8244</v>
      </c>
      <c r="C3566" s="5" t="s">
        <v>32</v>
      </c>
      <c r="D3566" s="5" t="s">
        <v>33</v>
      </c>
      <c r="E3566" s="5" t="s">
        <v>194</v>
      </c>
      <c r="F3566" s="9">
        <v>92</v>
      </c>
      <c r="G3566" s="9">
        <v>1011</v>
      </c>
      <c r="H3566" s="5" t="s">
        <v>21</v>
      </c>
      <c r="I3566" s="5" t="s">
        <v>8245</v>
      </c>
      <c r="J3566" s="12" t="str">
        <f>HYPERLINK("https://www.boe.es/gazeta/dias/1801/09/25/pdfs/GMD-1801-92.pdf#page=6","Abrir facsímil")</f>
        <v>Abrir facsímil</v>
      </c>
      <c r="K3566" s="15" t="s">
        <v>23</v>
      </c>
    </row>
    <row r="3567" spans="1:11" ht="42" customHeight="1">
      <c r="A3567" s="4" t="s">
        <v>8246</v>
      </c>
      <c r="B3567" s="5" t="s">
        <v>8246</v>
      </c>
      <c r="C3567" s="5" t="s">
        <v>75</v>
      </c>
      <c r="D3567" s="5" t="s">
        <v>76</v>
      </c>
      <c r="E3567" s="5" t="s">
        <v>712</v>
      </c>
      <c r="F3567" s="9">
        <v>105</v>
      </c>
      <c r="G3567" s="9">
        <v>1154</v>
      </c>
      <c r="H3567" s="5" t="s">
        <v>21</v>
      </c>
      <c r="I3567" s="5" t="s">
        <v>8247</v>
      </c>
      <c r="J3567" s="12" t="str">
        <f>HYPERLINK("https://www.boe.es/gazeta/dias/1801/11/10/pdfs/GMD-1801-105.pdf#page=7","Abrir facsímil")</f>
        <v>Abrir facsímil</v>
      </c>
      <c r="K3567" s="15" t="s">
        <v>23</v>
      </c>
    </row>
    <row r="3568" spans="1:11" ht="42" customHeight="1">
      <c r="A3568" s="4" t="s">
        <v>8248</v>
      </c>
      <c r="B3568" s="5" t="s">
        <v>8248</v>
      </c>
      <c r="C3568" s="5" t="s">
        <v>18</v>
      </c>
      <c r="D3568" s="5" t="s">
        <v>19</v>
      </c>
      <c r="E3568" s="5" t="s">
        <v>254</v>
      </c>
      <c r="F3568" s="9">
        <v>73</v>
      </c>
      <c r="G3568" s="9">
        <v>814</v>
      </c>
      <c r="H3568" s="5" t="s">
        <v>21</v>
      </c>
      <c r="I3568" s="5" t="s">
        <v>8249</v>
      </c>
      <c r="J3568" s="12" t="str">
        <f>HYPERLINK("https://www.boe.es/gazeta/dias/1801/07/28/pdfs/GMD-1801-73.pdf#page=7","Abrir facsímil")</f>
        <v>Abrir facsímil</v>
      </c>
      <c r="K3568" s="15" t="s">
        <v>23</v>
      </c>
    </row>
    <row r="3569" spans="1:11" ht="42" customHeight="1">
      <c r="A3569" s="4" t="s">
        <v>8250</v>
      </c>
      <c r="B3569" s="5" t="s">
        <v>8250</v>
      </c>
      <c r="C3569" s="5" t="s">
        <v>80</v>
      </c>
      <c r="D3569" s="5" t="s">
        <v>81</v>
      </c>
      <c r="E3569" s="5" t="s">
        <v>289</v>
      </c>
      <c r="F3569" s="9">
        <v>40</v>
      </c>
      <c r="G3569" s="9" t="s">
        <v>83</v>
      </c>
      <c r="H3569" s="5" t="s">
        <v>21</v>
      </c>
      <c r="I3569" s="5" t="s">
        <v>8251</v>
      </c>
      <c r="J3569" s="12" t="str">
        <f>HYPERLINK("https://www.boe.es/gazeta/dias/1801/05/19/pdfs/GMD-C-1801-40.pdf#page=2","Abrir facsímil")</f>
        <v>Abrir facsímil</v>
      </c>
      <c r="K3569" s="15" t="s">
        <v>23</v>
      </c>
    </row>
    <row r="3570" spans="1:11" ht="42" customHeight="1">
      <c r="A3570" s="4" t="s">
        <v>8252</v>
      </c>
      <c r="B3570" s="5" t="s">
        <v>8253</v>
      </c>
      <c r="C3570" s="5" t="s">
        <v>26</v>
      </c>
      <c r="D3570" s="5" t="s">
        <v>27</v>
      </c>
      <c r="E3570" s="5" t="s">
        <v>131</v>
      </c>
      <c r="F3570" s="9">
        <v>22</v>
      </c>
      <c r="G3570" s="9">
        <v>295</v>
      </c>
      <c r="H3570" s="5" t="s">
        <v>21</v>
      </c>
      <c r="I3570" s="5" t="s">
        <v>8254</v>
      </c>
      <c r="J3570" s="12" t="str">
        <f>HYPERLINK("https://www.boe.es/gazeta/dias/1801/03/17/pdfs/GMD-1801-22.pdf#page=12","Abrir facsímil")</f>
        <v>Abrir facsímil</v>
      </c>
      <c r="K3570" s="15" t="s">
        <v>23</v>
      </c>
    </row>
    <row r="3571" spans="1:11" ht="42" customHeight="1">
      <c r="A3571" s="4" t="s">
        <v>8255</v>
      </c>
      <c r="B3571" s="5" t="s">
        <v>8255</v>
      </c>
      <c r="C3571" s="5" t="s">
        <v>75</v>
      </c>
      <c r="D3571" s="5" t="s">
        <v>76</v>
      </c>
      <c r="E3571" s="5" t="s">
        <v>105</v>
      </c>
      <c r="F3571" s="9">
        <v>44</v>
      </c>
      <c r="G3571" s="9">
        <v>544</v>
      </c>
      <c r="H3571" s="5" t="s">
        <v>21</v>
      </c>
      <c r="I3571" s="5" t="s">
        <v>8256</v>
      </c>
      <c r="J3571" s="12" t="str">
        <f>HYPERLINK("https://www.boe.es/gazeta/dias/1801/05/29/pdfs/GMD-1801-44.pdf#page=4","Abrir facsímil")</f>
        <v>Abrir facsímil</v>
      </c>
      <c r="K3571" s="15" t="s">
        <v>23</v>
      </c>
    </row>
    <row r="3572" spans="1:11" ht="42" customHeight="1">
      <c r="A3572" s="4" t="s">
        <v>8257</v>
      </c>
      <c r="B3572" s="5" t="s">
        <v>8257</v>
      </c>
      <c r="C3572" s="5" t="s">
        <v>38</v>
      </c>
      <c r="D3572" s="5" t="s">
        <v>39</v>
      </c>
      <c r="E3572" s="5" t="s">
        <v>161</v>
      </c>
      <c r="F3572" s="9">
        <v>58</v>
      </c>
      <c r="G3572" s="9">
        <v>662</v>
      </c>
      <c r="H3572" s="5" t="s">
        <v>21</v>
      </c>
      <c r="I3572" s="5" t="s">
        <v>8258</v>
      </c>
      <c r="J3572" s="12" t="str">
        <f>HYPERLINK("https://www.boe.es/gazeta/dias/1801/06/19/pdfs/GMD-1801-58.pdf#page=7","Abrir facsímil")</f>
        <v>Abrir facsímil</v>
      </c>
      <c r="K3572" s="15" t="s">
        <v>23</v>
      </c>
    </row>
    <row r="3573" spans="1:11" ht="42" customHeight="1">
      <c r="A3573" s="4" t="s">
        <v>8259</v>
      </c>
      <c r="B3573" s="5" t="s">
        <v>8259</v>
      </c>
      <c r="C3573" s="5" t="s">
        <v>1481</v>
      </c>
      <c r="D3573" s="5" t="s">
        <v>1482</v>
      </c>
      <c r="E3573" s="5" t="s">
        <v>8260</v>
      </c>
      <c r="F3573" s="9" t="s">
        <v>8261</v>
      </c>
      <c r="G3573" s="9">
        <v>733</v>
      </c>
      <c r="H3573" s="5" t="s">
        <v>21</v>
      </c>
      <c r="I3573" s="5" t="s">
        <v>8262</v>
      </c>
      <c r="J3573" s="12" t="str">
        <f>HYPERLINK("https://www.boe.es/gazeta/dias/1801/07/08/pdfs/GMD-1801-65E.pdf#page=2","Abrir facsímil")</f>
        <v>Abrir facsímil</v>
      </c>
      <c r="K3573" s="15" t="s">
        <v>23</v>
      </c>
    </row>
    <row r="3574" spans="1:11" ht="42" customHeight="1">
      <c r="A3574" s="4" t="s">
        <v>8263</v>
      </c>
      <c r="B3574" s="5" t="s">
        <v>8263</v>
      </c>
      <c r="C3574" s="5" t="s">
        <v>32</v>
      </c>
      <c r="D3574" s="5" t="s">
        <v>33</v>
      </c>
      <c r="E3574" s="5" t="s">
        <v>1487</v>
      </c>
      <c r="F3574" s="9" t="s">
        <v>1488</v>
      </c>
      <c r="G3574" s="9">
        <v>644</v>
      </c>
      <c r="H3574" s="5" t="s">
        <v>21</v>
      </c>
      <c r="I3574" s="5" t="s">
        <v>8264</v>
      </c>
      <c r="J3574" s="12" t="str">
        <f>HYPERLINK("https://www.boe.es/gazeta/dias/1801/06/17/pdfs/GMD-1801-56E.pdf#page=4","Abrir facsímil")</f>
        <v>Abrir facsímil</v>
      </c>
      <c r="K3574" s="15" t="s">
        <v>23</v>
      </c>
    </row>
    <row r="3575" spans="1:11" ht="42" customHeight="1">
      <c r="A3575" s="4" t="s">
        <v>8265</v>
      </c>
      <c r="B3575" s="5" t="s">
        <v>8265</v>
      </c>
      <c r="C3575" s="5" t="s">
        <v>75</v>
      </c>
      <c r="D3575" s="5" t="s">
        <v>76</v>
      </c>
      <c r="E3575" s="5" t="s">
        <v>289</v>
      </c>
      <c r="F3575" s="9">
        <v>40</v>
      </c>
      <c r="G3575" s="9">
        <v>512</v>
      </c>
      <c r="H3575" s="5" t="s">
        <v>21</v>
      </c>
      <c r="I3575" s="5" t="s">
        <v>8266</v>
      </c>
      <c r="J3575" s="12" t="str">
        <f>HYPERLINK("https://www.boe.es/gazeta/dias/1801/05/19/pdfs/GMD-1801-40.pdf#page=4","Abrir facsímil")</f>
        <v>Abrir facsímil</v>
      </c>
      <c r="K3575" s="15" t="s">
        <v>23</v>
      </c>
    </row>
    <row r="3576" spans="1:11" ht="42" customHeight="1">
      <c r="A3576" s="4" t="s">
        <v>8265</v>
      </c>
      <c r="B3576" s="5" t="s">
        <v>8265</v>
      </c>
      <c r="C3576" s="5" t="s">
        <v>75</v>
      </c>
      <c r="D3576" s="5" t="s">
        <v>76</v>
      </c>
      <c r="E3576" s="5" t="s">
        <v>105</v>
      </c>
      <c r="F3576" s="9">
        <v>44</v>
      </c>
      <c r="G3576" s="9">
        <v>542</v>
      </c>
      <c r="H3576" s="5" t="s">
        <v>21</v>
      </c>
      <c r="I3576" s="5" t="s">
        <v>8267</v>
      </c>
      <c r="J3576" s="12" t="str">
        <f>HYPERLINK("https://www.boe.es/gazeta/dias/1801/05/29/pdfs/GMD-1801-44.pdf#page=2","Abrir facsímil")</f>
        <v>Abrir facsímil</v>
      </c>
      <c r="K3576" s="15" t="s">
        <v>23</v>
      </c>
    </row>
    <row r="3577" spans="1:11" ht="42" customHeight="1">
      <c r="A3577" s="4" t="s">
        <v>8268</v>
      </c>
      <c r="B3577" s="5" t="s">
        <v>8268</v>
      </c>
      <c r="C3577" s="5" t="s">
        <v>38</v>
      </c>
      <c r="D3577" s="5" t="s">
        <v>39</v>
      </c>
      <c r="E3577" s="5" t="s">
        <v>264</v>
      </c>
      <c r="F3577" s="9">
        <v>111</v>
      </c>
      <c r="G3577" s="9">
        <v>1217</v>
      </c>
      <c r="H3577" s="5" t="s">
        <v>21</v>
      </c>
      <c r="I3577" s="5" t="s">
        <v>8269</v>
      </c>
      <c r="J3577" s="12" t="str">
        <f>HYPERLINK("https://www.boe.es/gazeta/dias/1801/12/01/pdfs/GMD-1801-111.pdf#page=6","Abrir facsímil")</f>
        <v>Abrir facsímil</v>
      </c>
      <c r="K3577" s="15" t="s">
        <v>23</v>
      </c>
    </row>
    <row r="3578" spans="1:11" ht="42" customHeight="1">
      <c r="A3578" s="4" t="s">
        <v>8270</v>
      </c>
      <c r="B3578" s="5" t="s">
        <v>8270</v>
      </c>
      <c r="C3578" s="5" t="s">
        <v>75</v>
      </c>
      <c r="D3578" s="5" t="s">
        <v>76</v>
      </c>
      <c r="E3578" s="5" t="s">
        <v>179</v>
      </c>
      <c r="F3578" s="9">
        <v>11</v>
      </c>
      <c r="G3578" s="9">
        <v>129</v>
      </c>
      <c r="H3578" s="5" t="s">
        <v>21</v>
      </c>
      <c r="I3578" s="5" t="s">
        <v>8271</v>
      </c>
      <c r="J3578" s="12" t="str">
        <f>HYPERLINK("https://www.boe.es/gazeta/dias/1801/02/06/pdfs/GMD-1801-11.pdf#page=2","Abrir facsímil")</f>
        <v>Abrir facsímil</v>
      </c>
      <c r="K3578" s="15" t="s">
        <v>23</v>
      </c>
    </row>
    <row r="3579" spans="1:11" ht="42" customHeight="1">
      <c r="A3579" s="4" t="s">
        <v>8272</v>
      </c>
      <c r="B3579" s="5" t="s">
        <v>8272</v>
      </c>
      <c r="C3579" s="5" t="s">
        <v>75</v>
      </c>
      <c r="D3579" s="5" t="s">
        <v>76</v>
      </c>
      <c r="E3579" s="5" t="s">
        <v>151</v>
      </c>
      <c r="F3579" s="9">
        <v>45</v>
      </c>
      <c r="G3579" s="9">
        <v>556</v>
      </c>
      <c r="H3579" s="5" t="s">
        <v>21</v>
      </c>
      <c r="I3579" s="5" t="s">
        <v>8273</v>
      </c>
      <c r="J3579" s="12" t="str">
        <f>HYPERLINK("https://www.boe.es/gazeta/dias/1801/06/02/pdfs/GMD-1801-45.pdf#page=4","Abrir facsímil")</f>
        <v>Abrir facsímil</v>
      </c>
      <c r="K3579" s="15" t="s">
        <v>23</v>
      </c>
    </row>
    <row r="3580" spans="1:11" ht="42" customHeight="1">
      <c r="A3580" s="4" t="s">
        <v>8274</v>
      </c>
      <c r="B3580" s="5" t="s">
        <v>8274</v>
      </c>
      <c r="C3580" s="5" t="s">
        <v>75</v>
      </c>
      <c r="D3580" s="5" t="s">
        <v>76</v>
      </c>
      <c r="E3580" s="5" t="s">
        <v>62</v>
      </c>
      <c r="F3580" s="9">
        <v>6</v>
      </c>
      <c r="G3580" s="9">
        <v>67</v>
      </c>
      <c r="H3580" s="5" t="s">
        <v>21</v>
      </c>
      <c r="I3580" s="5" t="s">
        <v>8275</v>
      </c>
      <c r="J3580" s="12" t="str">
        <f>HYPERLINK("https://www.boe.es/gazeta/dias/1801/01/20/pdfs/GMD-1801-6.pdf#page=3","Abrir facsímil")</f>
        <v>Abrir facsímil</v>
      </c>
      <c r="K3580" s="15" t="s">
        <v>23</v>
      </c>
    </row>
    <row r="3581" spans="1:11" ht="42" customHeight="1">
      <c r="A3581" s="4" t="s">
        <v>8276</v>
      </c>
      <c r="B3581" s="5" t="s">
        <v>8276</v>
      </c>
      <c r="C3581" s="5" t="s">
        <v>32</v>
      </c>
      <c r="D3581" s="5" t="s">
        <v>33</v>
      </c>
      <c r="E3581" s="5" t="s">
        <v>453</v>
      </c>
      <c r="F3581" s="9">
        <v>100</v>
      </c>
      <c r="G3581" s="9">
        <v>1098</v>
      </c>
      <c r="H3581" s="5" t="s">
        <v>21</v>
      </c>
      <c r="I3581" s="5" t="s">
        <v>8277</v>
      </c>
      <c r="J3581" s="12" t="str">
        <f>HYPERLINK("https://www.boe.es/gazeta/dias/1801/10/23/pdfs/GMD-1801-100.pdf#page=7","Abrir facsímil")</f>
        <v>Abrir facsímil</v>
      </c>
      <c r="K3581" s="15" t="s">
        <v>23</v>
      </c>
    </row>
    <row r="3582" spans="1:11" ht="42" customHeight="1">
      <c r="A3582" s="4" t="s">
        <v>8278</v>
      </c>
      <c r="B3582" s="5" t="s">
        <v>8278</v>
      </c>
      <c r="C3582" s="5" t="s">
        <v>75</v>
      </c>
      <c r="D3582" s="5" t="s">
        <v>76</v>
      </c>
      <c r="E3582" s="5" t="s">
        <v>352</v>
      </c>
      <c r="F3582" s="9">
        <v>43</v>
      </c>
      <c r="G3582" s="9">
        <v>530</v>
      </c>
      <c r="H3582" s="5" t="s">
        <v>21</v>
      </c>
      <c r="I3582" s="5" t="s">
        <v>8279</v>
      </c>
      <c r="J3582" s="12" t="str">
        <f>HYPERLINK("https://www.boe.es/gazeta/dias/1801/05/26/pdfs/GMD-1801-43.pdf#page=2","Abrir facsímil")</f>
        <v>Abrir facsímil</v>
      </c>
      <c r="K3582" s="15" t="s">
        <v>23</v>
      </c>
    </row>
    <row r="3583" spans="1:11" ht="42" customHeight="1">
      <c r="A3583" s="4" t="s">
        <v>8280</v>
      </c>
      <c r="B3583" s="5" t="s">
        <v>8280</v>
      </c>
      <c r="C3583" s="5" t="s">
        <v>75</v>
      </c>
      <c r="D3583" s="5" t="s">
        <v>76</v>
      </c>
      <c r="E3583" s="5" t="s">
        <v>90</v>
      </c>
      <c r="F3583" s="9">
        <v>1</v>
      </c>
      <c r="G3583" s="9">
        <v>6</v>
      </c>
      <c r="H3583" s="5" t="s">
        <v>21</v>
      </c>
      <c r="I3583" s="5" t="s">
        <v>8281</v>
      </c>
      <c r="J3583" s="12" t="str">
        <f>HYPERLINK("https://www.boe.es/gazeta/dias/1801/01/02/pdfs/GMD-1801-1.pdf#page=6","Abrir facsímil")</f>
        <v>Abrir facsímil</v>
      </c>
      <c r="K3583" s="15" t="s">
        <v>23</v>
      </c>
    </row>
    <row r="3584" spans="1:11" ht="42" customHeight="1">
      <c r="A3584" s="4" t="s">
        <v>8282</v>
      </c>
      <c r="B3584" s="5" t="s">
        <v>8282</v>
      </c>
      <c r="C3584" s="5" t="s">
        <v>32</v>
      </c>
      <c r="D3584" s="5" t="s">
        <v>33</v>
      </c>
      <c r="E3584" s="5" t="s">
        <v>66</v>
      </c>
      <c r="F3584" s="9">
        <v>52</v>
      </c>
      <c r="G3584" s="9">
        <v>606</v>
      </c>
      <c r="H3584" s="5" t="s">
        <v>21</v>
      </c>
      <c r="I3584" s="5" t="s">
        <v>8283</v>
      </c>
      <c r="J3584" s="12" t="str">
        <f>HYPERLINK("https://www.boe.es/gazeta/dias/1801/06/12/pdfs/GMD-1801-52.pdf#page=5","Abrir facsímil")</f>
        <v>Abrir facsímil</v>
      </c>
      <c r="K3584" s="15" t="s">
        <v>23</v>
      </c>
    </row>
    <row r="3585" spans="1:11" ht="42" customHeight="1">
      <c r="A3585" s="4" t="s">
        <v>8284</v>
      </c>
      <c r="B3585" s="5" t="s">
        <v>8284</v>
      </c>
      <c r="C3585" s="5" t="s">
        <v>75</v>
      </c>
      <c r="D3585" s="5" t="s">
        <v>76</v>
      </c>
      <c r="E3585" s="5" t="s">
        <v>151</v>
      </c>
      <c r="F3585" s="9">
        <v>45</v>
      </c>
      <c r="G3585" s="9">
        <v>556</v>
      </c>
      <c r="H3585" s="5" t="s">
        <v>21</v>
      </c>
      <c r="I3585" s="5" t="s">
        <v>8285</v>
      </c>
      <c r="J3585" s="12" t="str">
        <f>HYPERLINK("https://www.boe.es/gazeta/dias/1801/06/02/pdfs/GMD-1801-45.pdf#page=4","Abrir facsímil")</f>
        <v>Abrir facsímil</v>
      </c>
      <c r="K3585" s="15" t="s">
        <v>23</v>
      </c>
    </row>
    <row r="3586" spans="1:11" ht="42" customHeight="1">
      <c r="A3586" s="4" t="s">
        <v>8286</v>
      </c>
      <c r="B3586" s="5" t="s">
        <v>8286</v>
      </c>
      <c r="C3586" s="5" t="s">
        <v>32</v>
      </c>
      <c r="D3586" s="5" t="s">
        <v>33</v>
      </c>
      <c r="E3586" s="5" t="s">
        <v>82</v>
      </c>
      <c r="F3586" s="9">
        <v>75</v>
      </c>
      <c r="G3586" s="9">
        <v>836</v>
      </c>
      <c r="H3586" s="5" t="s">
        <v>21</v>
      </c>
      <c r="I3586" s="5" t="s">
        <v>8287</v>
      </c>
      <c r="J3586" s="12" t="str">
        <f>HYPERLINK("https://www.boe.es/gazeta/dias/1801/08/04/pdfs/GMD-1801-75.pdf#page=5","Abrir facsímil")</f>
        <v>Abrir facsímil</v>
      </c>
      <c r="K3586" s="15" t="s">
        <v>23</v>
      </c>
    </row>
    <row r="3587" spans="1:11" ht="42" customHeight="1">
      <c r="A3587" s="4" t="s">
        <v>8288</v>
      </c>
      <c r="B3587" s="5" t="s">
        <v>8288</v>
      </c>
      <c r="C3587" s="5" t="s">
        <v>75</v>
      </c>
      <c r="D3587" s="5" t="s">
        <v>76</v>
      </c>
      <c r="E3587" s="5" t="s">
        <v>62</v>
      </c>
      <c r="F3587" s="9">
        <v>6</v>
      </c>
      <c r="G3587" s="9">
        <v>68</v>
      </c>
      <c r="H3587" s="5" t="s">
        <v>21</v>
      </c>
      <c r="I3587" s="5" t="s">
        <v>8289</v>
      </c>
      <c r="J3587" s="12" t="str">
        <f>HYPERLINK("https://www.boe.es/gazeta/dias/1801/01/20/pdfs/GMD-1801-6.pdf#page=4","Abrir facsímil")</f>
        <v>Abrir facsímil</v>
      </c>
      <c r="K3587" s="15" t="s">
        <v>23</v>
      </c>
    </row>
    <row r="3588" spans="1:11" ht="42" customHeight="1">
      <c r="A3588" s="4" t="s">
        <v>8290</v>
      </c>
      <c r="B3588" s="5" t="s">
        <v>8290</v>
      </c>
      <c r="C3588" s="5" t="s">
        <v>75</v>
      </c>
      <c r="D3588" s="5" t="s">
        <v>76</v>
      </c>
      <c r="E3588" s="5" t="s">
        <v>112</v>
      </c>
      <c r="F3588" s="9">
        <v>114</v>
      </c>
      <c r="G3588" s="9">
        <v>1241</v>
      </c>
      <c r="H3588" s="5" t="s">
        <v>21</v>
      </c>
      <c r="I3588" s="5" t="s">
        <v>8291</v>
      </c>
      <c r="J3588" s="12" t="str">
        <f>HYPERLINK("https://www.boe.es/gazeta/dias/1801/12/11/pdfs/GMD-1801-114.pdf#page=3","Abrir facsímil")</f>
        <v>Abrir facsímil</v>
      </c>
      <c r="K3588" s="15" t="s">
        <v>23</v>
      </c>
    </row>
    <row r="3589" spans="1:11" ht="42" customHeight="1">
      <c r="A3589" s="4" t="s">
        <v>8292</v>
      </c>
      <c r="B3589" s="5" t="s">
        <v>8292</v>
      </c>
      <c r="C3589" s="5" t="s">
        <v>75</v>
      </c>
      <c r="D3589" s="5" t="s">
        <v>76</v>
      </c>
      <c r="E3589" s="5" t="s">
        <v>448</v>
      </c>
      <c r="F3589" s="9">
        <v>35</v>
      </c>
      <c r="G3589" s="9">
        <v>447</v>
      </c>
      <c r="H3589" s="5" t="s">
        <v>21</v>
      </c>
      <c r="I3589" s="5" t="s">
        <v>8293</v>
      </c>
      <c r="J3589" s="12" t="str">
        <f>HYPERLINK("https://www.boe.es/gazeta/dias/1801/05/01/pdfs/GMD-1801-35.pdf#page=3","Abrir facsímil")</f>
        <v>Abrir facsímil</v>
      </c>
      <c r="K3589" s="15" t="s">
        <v>23</v>
      </c>
    </row>
    <row r="3590" spans="1:11" ht="42" customHeight="1">
      <c r="A3590" s="4" t="s">
        <v>8294</v>
      </c>
      <c r="B3590" s="5" t="s">
        <v>8294</v>
      </c>
      <c r="C3590" s="5" t="s">
        <v>75</v>
      </c>
      <c r="D3590" s="5" t="s">
        <v>76</v>
      </c>
      <c r="E3590" s="5" t="s">
        <v>190</v>
      </c>
      <c r="F3590" s="9">
        <v>16</v>
      </c>
      <c r="G3590" s="9">
        <v>199</v>
      </c>
      <c r="H3590" s="5" t="s">
        <v>21</v>
      </c>
      <c r="I3590" s="5" t="s">
        <v>8295</v>
      </c>
      <c r="J3590" s="12" t="str">
        <f>HYPERLINK("https://www.boe.es/gazeta/dias/1801/02/24/pdfs/GMD-1801-16.pdf#page=6","Abrir facsímil")</f>
        <v>Abrir facsímil</v>
      </c>
      <c r="K3590" s="15" t="s">
        <v>23</v>
      </c>
    </row>
    <row r="3591" spans="1:11" ht="42" customHeight="1">
      <c r="A3591" s="4" t="s">
        <v>8296</v>
      </c>
      <c r="B3591" s="5" t="s">
        <v>8296</v>
      </c>
      <c r="C3591" s="5" t="s">
        <v>75</v>
      </c>
      <c r="D3591" s="5" t="s">
        <v>76</v>
      </c>
      <c r="E3591" s="5" t="s">
        <v>120</v>
      </c>
      <c r="F3591" s="9">
        <v>7</v>
      </c>
      <c r="G3591" s="9">
        <v>81</v>
      </c>
      <c r="H3591" s="5" t="s">
        <v>21</v>
      </c>
      <c r="I3591" s="5" t="s">
        <v>8297</v>
      </c>
      <c r="J3591" s="12" t="str">
        <f>HYPERLINK("https://www.boe.es/gazeta/dias/1801/01/23/pdfs/GMD-1801-7.pdf#page=5","Abrir facsímil")</f>
        <v>Abrir facsímil</v>
      </c>
      <c r="K3591" s="15" t="s">
        <v>23</v>
      </c>
    </row>
    <row r="3592" spans="1:11" ht="42" customHeight="1">
      <c r="A3592" s="4" t="s">
        <v>8298</v>
      </c>
      <c r="B3592" s="5" t="s">
        <v>8298</v>
      </c>
      <c r="C3592" s="5" t="s">
        <v>75</v>
      </c>
      <c r="D3592" s="5" t="s">
        <v>76</v>
      </c>
      <c r="E3592" s="5" t="s">
        <v>120</v>
      </c>
      <c r="F3592" s="9">
        <v>7</v>
      </c>
      <c r="G3592" s="9">
        <v>82</v>
      </c>
      <c r="H3592" s="5" t="s">
        <v>21</v>
      </c>
      <c r="I3592" s="5" t="s">
        <v>8299</v>
      </c>
      <c r="J3592" s="12" t="str">
        <f>HYPERLINK("https://www.boe.es/gazeta/dias/1801/01/23/pdfs/GMD-1801-7.pdf#page=6","Abrir facsímil")</f>
        <v>Abrir facsímil</v>
      </c>
      <c r="K3592" s="15" t="s">
        <v>23</v>
      </c>
    </row>
    <row r="3593" spans="1:11" ht="42" customHeight="1">
      <c r="A3593" s="4" t="s">
        <v>8300</v>
      </c>
      <c r="B3593" s="5" t="s">
        <v>8300</v>
      </c>
      <c r="C3593" s="5" t="s">
        <v>75</v>
      </c>
      <c r="D3593" s="5" t="s">
        <v>76</v>
      </c>
      <c r="E3593" s="5" t="s">
        <v>151</v>
      </c>
      <c r="F3593" s="9">
        <v>45</v>
      </c>
      <c r="G3593" s="9">
        <v>556</v>
      </c>
      <c r="H3593" s="5" t="s">
        <v>21</v>
      </c>
      <c r="I3593" s="5" t="s">
        <v>8301</v>
      </c>
      <c r="J3593" s="12" t="str">
        <f>HYPERLINK("https://www.boe.es/gazeta/dias/1801/06/02/pdfs/GMD-1801-45.pdf#page=4","Abrir facsímil")</f>
        <v>Abrir facsímil</v>
      </c>
      <c r="K3593" s="15" t="s">
        <v>23</v>
      </c>
    </row>
    <row r="3594" spans="1:11" ht="42" customHeight="1">
      <c r="A3594" s="4" t="s">
        <v>8302</v>
      </c>
      <c r="B3594" s="5" t="s">
        <v>8302</v>
      </c>
      <c r="C3594" s="5" t="s">
        <v>32</v>
      </c>
      <c r="D3594" s="5" t="s">
        <v>33</v>
      </c>
      <c r="E3594" s="5" t="s">
        <v>165</v>
      </c>
      <c r="F3594" s="9">
        <v>59</v>
      </c>
      <c r="G3594" s="9">
        <v>668</v>
      </c>
      <c r="H3594" s="5" t="s">
        <v>21</v>
      </c>
      <c r="I3594" s="5" t="s">
        <v>8303</v>
      </c>
      <c r="J3594" s="12" t="str">
        <f>HYPERLINK("https://www.boe.es/gazeta/dias/1801/06/23/pdfs/GMD-1801-59.pdf#page=1","Abrir facsímil")</f>
        <v>Abrir facsímil</v>
      </c>
      <c r="K3594" s="15" t="s">
        <v>23</v>
      </c>
    </row>
    <row r="3595" spans="1:11" ht="42" customHeight="1">
      <c r="A3595" s="4" t="s">
        <v>8304</v>
      </c>
      <c r="B3595" s="5" t="s">
        <v>8304</v>
      </c>
      <c r="C3595" s="5" t="s">
        <v>26</v>
      </c>
      <c r="D3595" s="5" t="s">
        <v>27</v>
      </c>
      <c r="E3595" s="5" t="s">
        <v>77</v>
      </c>
      <c r="F3595" s="9">
        <v>93</v>
      </c>
      <c r="G3595" s="9">
        <v>1019</v>
      </c>
      <c r="H3595" s="5" t="s">
        <v>21</v>
      </c>
      <c r="I3595" s="5" t="s">
        <v>8305</v>
      </c>
      <c r="J3595" s="12" t="str">
        <f>HYPERLINK("https://www.boe.es/gazeta/dias/1801/09/29/pdfs/GMD-1801-93.pdf#page=6","Abrir facsímil")</f>
        <v>Abrir facsímil</v>
      </c>
      <c r="K3595" s="15" t="s">
        <v>23</v>
      </c>
    </row>
    <row r="3596" spans="1:11" ht="42" customHeight="1">
      <c r="A3596" s="4" t="s">
        <v>8306</v>
      </c>
      <c r="B3596" s="5" t="s">
        <v>8306</v>
      </c>
      <c r="C3596" s="5" t="s">
        <v>75</v>
      </c>
      <c r="D3596" s="5" t="s">
        <v>76</v>
      </c>
      <c r="E3596" s="5" t="s">
        <v>66</v>
      </c>
      <c r="F3596" s="9">
        <v>52</v>
      </c>
      <c r="G3596" s="9">
        <v>606</v>
      </c>
      <c r="H3596" s="5" t="s">
        <v>21</v>
      </c>
      <c r="I3596" s="5" t="s">
        <v>8307</v>
      </c>
      <c r="J3596" s="12" t="str">
        <f>HYPERLINK("https://www.boe.es/gazeta/dias/1801/06/12/pdfs/GMD-1801-52.pdf#page=5","Abrir facsímil")</f>
        <v>Abrir facsímil</v>
      </c>
      <c r="K3596" s="15" t="s">
        <v>23</v>
      </c>
    </row>
    <row r="3597" spans="1:11" ht="42" customHeight="1">
      <c r="A3597" s="4" t="s">
        <v>8308</v>
      </c>
      <c r="B3597" s="5" t="s">
        <v>8308</v>
      </c>
      <c r="C3597" s="5" t="s">
        <v>75</v>
      </c>
      <c r="D3597" s="5" t="s">
        <v>76</v>
      </c>
      <c r="E3597" s="5" t="s">
        <v>190</v>
      </c>
      <c r="F3597" s="9">
        <v>16</v>
      </c>
      <c r="G3597" s="9">
        <v>198</v>
      </c>
      <c r="H3597" s="5" t="s">
        <v>21</v>
      </c>
      <c r="I3597" s="5" t="s">
        <v>8309</v>
      </c>
      <c r="J3597" s="12" t="str">
        <f>HYPERLINK("https://www.boe.es/gazeta/dias/1801/02/24/pdfs/GMD-1801-16.pdf#page=5","Abrir facsímil")</f>
        <v>Abrir facsímil</v>
      </c>
      <c r="K3597" s="15" t="s">
        <v>23</v>
      </c>
    </row>
    <row r="3598" spans="1:11" ht="42" customHeight="1">
      <c r="A3598" s="4" t="s">
        <v>8310</v>
      </c>
      <c r="B3598" s="5" t="s">
        <v>8310</v>
      </c>
      <c r="C3598" s="5" t="s">
        <v>75</v>
      </c>
      <c r="D3598" s="5" t="s">
        <v>76</v>
      </c>
      <c r="E3598" s="5" t="s">
        <v>120</v>
      </c>
      <c r="F3598" s="9">
        <v>7</v>
      </c>
      <c r="G3598" s="9">
        <v>82</v>
      </c>
      <c r="H3598" s="5" t="s">
        <v>21</v>
      </c>
      <c r="I3598" s="5" t="s">
        <v>8299</v>
      </c>
      <c r="J3598" s="12" t="str">
        <f>HYPERLINK("https://www.boe.es/gazeta/dias/1801/01/23/pdfs/GMD-1801-7.pdf#page=6","Abrir facsímil")</f>
        <v>Abrir facsímil</v>
      </c>
      <c r="K3598" s="15" t="s">
        <v>23</v>
      </c>
    </row>
    <row r="3599" spans="1:11" ht="42" customHeight="1">
      <c r="A3599" s="4" t="s">
        <v>8311</v>
      </c>
      <c r="B3599" s="5" t="s">
        <v>8311</v>
      </c>
      <c r="C3599" s="5" t="s">
        <v>38</v>
      </c>
      <c r="D3599" s="5" t="s">
        <v>39</v>
      </c>
      <c r="E3599" s="5" t="s">
        <v>173</v>
      </c>
      <c r="F3599" s="9">
        <v>98</v>
      </c>
      <c r="G3599" s="9">
        <v>1075</v>
      </c>
      <c r="H3599" s="5" t="s">
        <v>21</v>
      </c>
      <c r="I3599" s="5" t="s">
        <v>8312</v>
      </c>
      <c r="J3599" s="12" t="str">
        <f>HYPERLINK("https://www.boe.es/gazeta/dias/1801/10/16/pdfs/GMD-1801-98.pdf#page=7","Abrir facsímil")</f>
        <v>Abrir facsímil</v>
      </c>
      <c r="K3599" s="15" t="s">
        <v>23</v>
      </c>
    </row>
    <row r="3600" spans="1:11" ht="42" customHeight="1">
      <c r="A3600" s="4" t="s">
        <v>8313</v>
      </c>
      <c r="B3600" s="5" t="s">
        <v>8313</v>
      </c>
      <c r="C3600" s="5" t="s">
        <v>26</v>
      </c>
      <c r="D3600" s="5" t="s">
        <v>27</v>
      </c>
      <c r="E3600" s="5" t="s">
        <v>66</v>
      </c>
      <c r="F3600" s="9">
        <v>52</v>
      </c>
      <c r="G3600" s="9">
        <v>609</v>
      </c>
      <c r="H3600" s="5" t="s">
        <v>21</v>
      </c>
      <c r="I3600" s="5" t="s">
        <v>8314</v>
      </c>
      <c r="J3600" s="12" t="str">
        <f>HYPERLINK("https://www.boe.es/gazeta/dias/1801/06/12/pdfs/GMD-1801-52.pdf#page=8","Abrir facsímil")</f>
        <v>Abrir facsímil</v>
      </c>
      <c r="K3600" s="15" t="s">
        <v>23</v>
      </c>
    </row>
    <row r="3601" spans="1:11" ht="42" customHeight="1">
      <c r="A3601" s="4" t="s">
        <v>8315</v>
      </c>
      <c r="B3601" s="5" t="s">
        <v>8315</v>
      </c>
      <c r="C3601" s="5" t="s">
        <v>26</v>
      </c>
      <c r="D3601" s="5" t="s">
        <v>27</v>
      </c>
      <c r="E3601" s="5" t="s">
        <v>94</v>
      </c>
      <c r="F3601" s="9">
        <v>19</v>
      </c>
      <c r="G3601" s="9">
        <v>247</v>
      </c>
      <c r="H3601" s="5" t="s">
        <v>21</v>
      </c>
      <c r="I3601" s="5" t="s">
        <v>8316</v>
      </c>
      <c r="J3601" s="12" t="str">
        <f>HYPERLINK("https://www.boe.es/gazeta/dias/1801/03/06/pdfs/GMD-1801-19.pdf#page=12","Abrir facsímil")</f>
        <v>Abrir facsímil</v>
      </c>
      <c r="K3601" s="15" t="s">
        <v>23</v>
      </c>
    </row>
    <row r="3602" spans="1:11" ht="42" customHeight="1">
      <c r="A3602" s="4" t="s">
        <v>8317</v>
      </c>
      <c r="B3602" s="5" t="s">
        <v>8317</v>
      </c>
      <c r="C3602" s="5" t="s">
        <v>32</v>
      </c>
      <c r="D3602" s="5" t="s">
        <v>33</v>
      </c>
      <c r="E3602" s="5" t="s">
        <v>165</v>
      </c>
      <c r="F3602" s="9">
        <v>59</v>
      </c>
      <c r="G3602" s="9">
        <v>668</v>
      </c>
      <c r="H3602" s="5" t="s">
        <v>21</v>
      </c>
      <c r="I3602" s="5" t="s">
        <v>8303</v>
      </c>
      <c r="J3602" s="12" t="str">
        <f>HYPERLINK("https://www.boe.es/gazeta/dias/1801/06/23/pdfs/GMD-1801-59.pdf#page=1","Abrir facsímil")</f>
        <v>Abrir facsímil</v>
      </c>
      <c r="K3602" s="15" t="s">
        <v>23</v>
      </c>
    </row>
    <row r="3603" spans="1:11" ht="42" customHeight="1">
      <c r="A3603" s="4" t="s">
        <v>8318</v>
      </c>
      <c r="B3603" s="5" t="s">
        <v>8318</v>
      </c>
      <c r="C3603" s="5" t="s">
        <v>75</v>
      </c>
      <c r="D3603" s="5" t="s">
        <v>76</v>
      </c>
      <c r="E3603" s="5" t="s">
        <v>924</v>
      </c>
      <c r="F3603" s="9">
        <v>90</v>
      </c>
      <c r="G3603" s="9">
        <v>988</v>
      </c>
      <c r="H3603" s="5" t="s">
        <v>21</v>
      </c>
      <c r="I3603" s="5" t="s">
        <v>8319</v>
      </c>
      <c r="J3603" s="12" t="str">
        <f>HYPERLINK("https://www.boe.es/gazeta/dias/1801/09/18/pdfs/GMD-1801-90.pdf#page=3","Abrir facsímil")</f>
        <v>Abrir facsímil</v>
      </c>
      <c r="K3603" s="15" t="s">
        <v>23</v>
      </c>
    </row>
    <row r="3604" spans="1:11" ht="42" customHeight="1">
      <c r="A3604" s="4" t="s">
        <v>8320</v>
      </c>
      <c r="B3604" s="5" t="s">
        <v>8320</v>
      </c>
      <c r="C3604" s="5" t="s">
        <v>38</v>
      </c>
      <c r="D3604" s="5" t="s">
        <v>39</v>
      </c>
      <c r="E3604" s="5" t="s">
        <v>501</v>
      </c>
      <c r="F3604" s="9">
        <v>115</v>
      </c>
      <c r="G3604" s="9">
        <v>1255</v>
      </c>
      <c r="H3604" s="5" t="s">
        <v>21</v>
      </c>
      <c r="I3604" s="5" t="s">
        <v>8321</v>
      </c>
      <c r="J3604" s="12" t="str">
        <f>HYPERLINK("https://www.boe.es/gazeta/dias/1801/12/15/pdfs/GMD-1801-115.pdf#page=5","Abrir facsímil")</f>
        <v>Abrir facsímil</v>
      </c>
      <c r="K3604" s="15" t="s">
        <v>23</v>
      </c>
    </row>
    <row r="3605" spans="1:11" ht="42" customHeight="1">
      <c r="A3605" s="4" t="s">
        <v>8322</v>
      </c>
      <c r="B3605" s="5" t="s">
        <v>8322</v>
      </c>
      <c r="C3605" s="5" t="s">
        <v>1481</v>
      </c>
      <c r="D3605" s="5" t="s">
        <v>1482</v>
      </c>
      <c r="E3605" s="5" t="s">
        <v>8260</v>
      </c>
      <c r="F3605" s="9" t="s">
        <v>8261</v>
      </c>
      <c r="G3605" s="9">
        <v>733</v>
      </c>
      <c r="H3605" s="5" t="s">
        <v>21</v>
      </c>
      <c r="I3605" s="5" t="s">
        <v>8262</v>
      </c>
      <c r="J3605" s="12" t="str">
        <f>HYPERLINK("https://www.boe.es/gazeta/dias/1801/07/08/pdfs/GMD-1801-65E.pdf#page=2","Abrir facsímil")</f>
        <v>Abrir facsímil</v>
      </c>
      <c r="K3605" s="15" t="s">
        <v>23</v>
      </c>
    </row>
    <row r="3606" spans="1:11" ht="42" customHeight="1">
      <c r="A3606" s="4" t="s">
        <v>8323</v>
      </c>
      <c r="B3606" s="5" t="s">
        <v>8323</v>
      </c>
      <c r="C3606" s="5" t="s">
        <v>75</v>
      </c>
      <c r="D3606" s="5" t="s">
        <v>76</v>
      </c>
      <c r="E3606" s="5" t="s">
        <v>62</v>
      </c>
      <c r="F3606" s="9">
        <v>6</v>
      </c>
      <c r="G3606" s="9">
        <v>71</v>
      </c>
      <c r="H3606" s="5" t="s">
        <v>21</v>
      </c>
      <c r="I3606" s="5" t="s">
        <v>8324</v>
      </c>
      <c r="J3606" s="12" t="str">
        <f>HYPERLINK("https://www.boe.es/gazeta/dias/1801/01/20/pdfs/GMD-1801-6.pdf#page=7","Abrir facsímil")</f>
        <v>Abrir facsímil</v>
      </c>
      <c r="K3606" s="15" t="s">
        <v>23</v>
      </c>
    </row>
    <row r="3607" spans="1:11" ht="42" customHeight="1">
      <c r="A3607" s="4" t="s">
        <v>8325</v>
      </c>
      <c r="B3607" s="5" t="s">
        <v>8325</v>
      </c>
      <c r="C3607" s="5" t="s">
        <v>18</v>
      </c>
      <c r="D3607" s="5" t="s">
        <v>19</v>
      </c>
      <c r="E3607" s="5" t="s">
        <v>266</v>
      </c>
      <c r="F3607" s="9">
        <v>119</v>
      </c>
      <c r="G3607" s="9">
        <v>1303</v>
      </c>
      <c r="H3607" s="5" t="s">
        <v>21</v>
      </c>
      <c r="I3607" s="5" t="s">
        <v>8326</v>
      </c>
      <c r="J3607" s="12" t="str">
        <f>HYPERLINK("https://www.boe.es/gazeta/dias/1801/12/29/pdfs/GMD-1801-119.pdf#page=7","Abrir facsímil")</f>
        <v>Abrir facsímil</v>
      </c>
      <c r="K3607" s="15" t="s">
        <v>23</v>
      </c>
    </row>
    <row r="3608" spans="1:11" ht="42" customHeight="1">
      <c r="A3608" s="4" t="s">
        <v>8327</v>
      </c>
      <c r="B3608" s="5" t="s">
        <v>8327</v>
      </c>
      <c r="C3608" s="5" t="s">
        <v>38</v>
      </c>
      <c r="D3608" s="5" t="s">
        <v>39</v>
      </c>
      <c r="E3608" s="5" t="s">
        <v>309</v>
      </c>
      <c r="F3608" s="9">
        <v>118</v>
      </c>
      <c r="G3608" s="9">
        <v>1290</v>
      </c>
      <c r="H3608" s="5" t="s">
        <v>21</v>
      </c>
      <c r="I3608" s="5" t="s">
        <v>8328</v>
      </c>
      <c r="J3608" s="12" t="str">
        <f>HYPERLINK("https://www.boe.es/gazeta/dias/1801/12/25/pdfs/GMD-1801-118.pdf#page=5","Abrir facsímil")</f>
        <v>Abrir facsímil</v>
      </c>
      <c r="K3608" s="15" t="s">
        <v>23</v>
      </c>
    </row>
    <row r="3609" spans="1:11" ht="42" customHeight="1">
      <c r="A3609" s="4" t="s">
        <v>8329</v>
      </c>
      <c r="B3609" s="5" t="s">
        <v>8329</v>
      </c>
      <c r="C3609" s="5" t="s">
        <v>38</v>
      </c>
      <c r="D3609" s="5" t="s">
        <v>39</v>
      </c>
      <c r="E3609" s="5" t="s">
        <v>615</v>
      </c>
      <c r="F3609" s="9">
        <v>72</v>
      </c>
      <c r="G3609" s="9">
        <v>803</v>
      </c>
      <c r="H3609" s="5" t="s">
        <v>21</v>
      </c>
      <c r="I3609" s="5" t="s">
        <v>8330</v>
      </c>
      <c r="J3609" s="12" t="str">
        <f>HYPERLINK("https://www.boe.es/gazeta/dias/1801/07/24/pdfs/GMD-1801-72.pdf#page=8","Abrir facsímil")</f>
        <v>Abrir facsímil</v>
      </c>
      <c r="K3609" s="15" t="s">
        <v>23</v>
      </c>
    </row>
    <row r="3610" spans="1:11" ht="42" customHeight="1">
      <c r="A3610" s="4" t="s">
        <v>8331</v>
      </c>
      <c r="B3610" s="5" t="s">
        <v>8331</v>
      </c>
      <c r="C3610" s="5" t="s">
        <v>32</v>
      </c>
      <c r="D3610" s="5" t="s">
        <v>33</v>
      </c>
      <c r="E3610" s="5" t="s">
        <v>924</v>
      </c>
      <c r="F3610" s="9">
        <v>90</v>
      </c>
      <c r="G3610" s="9">
        <v>988</v>
      </c>
      <c r="H3610" s="5" t="s">
        <v>21</v>
      </c>
      <c r="I3610" s="5" t="s">
        <v>8332</v>
      </c>
      <c r="J3610" s="12" t="str">
        <f>HYPERLINK("https://www.boe.es/gazeta/dias/1801/09/18/pdfs/GMD-1801-90.pdf#page=3","Abrir facsímil")</f>
        <v>Abrir facsímil</v>
      </c>
      <c r="K3610" s="15" t="s">
        <v>23</v>
      </c>
    </row>
    <row r="3611" spans="1:11" ht="42" customHeight="1">
      <c r="A3611" s="4" t="s">
        <v>8333</v>
      </c>
      <c r="B3611" s="5" t="s">
        <v>8333</v>
      </c>
      <c r="C3611" s="5" t="s">
        <v>32</v>
      </c>
      <c r="D3611" s="5" t="s">
        <v>33</v>
      </c>
      <c r="E3611" s="5" t="s">
        <v>924</v>
      </c>
      <c r="F3611" s="9">
        <v>90</v>
      </c>
      <c r="G3611" s="9">
        <v>988</v>
      </c>
      <c r="H3611" s="5" t="s">
        <v>21</v>
      </c>
      <c r="I3611" s="5" t="s">
        <v>8334</v>
      </c>
      <c r="J3611" s="12" t="str">
        <f>HYPERLINK("https://www.boe.es/gazeta/dias/1801/09/18/pdfs/GMD-1801-90.pdf#page=3","Abrir facsímil")</f>
        <v>Abrir facsímil</v>
      </c>
      <c r="K3611" s="15" t="s">
        <v>23</v>
      </c>
    </row>
    <row r="3612" spans="1:11" ht="42" customHeight="1">
      <c r="A3612" s="4" t="s">
        <v>8335</v>
      </c>
      <c r="B3612" s="5" t="s">
        <v>8335</v>
      </c>
      <c r="C3612" s="5" t="s">
        <v>38</v>
      </c>
      <c r="D3612" s="5" t="s">
        <v>39</v>
      </c>
      <c r="E3612" s="5" t="s">
        <v>615</v>
      </c>
      <c r="F3612" s="9">
        <v>72</v>
      </c>
      <c r="G3612" s="9">
        <v>802</v>
      </c>
      <c r="H3612" s="5" t="s">
        <v>21</v>
      </c>
      <c r="I3612" s="5" t="s">
        <v>8336</v>
      </c>
      <c r="J3612" s="12" t="str">
        <f>HYPERLINK("https://www.boe.es/gazeta/dias/1801/07/24/pdfs/GMD-1801-72.pdf#page=7","Abrir facsímil")</f>
        <v>Abrir facsímil</v>
      </c>
      <c r="K3612" s="15" t="s">
        <v>23</v>
      </c>
    </row>
    <row r="3613" spans="1:11" ht="42" customHeight="1">
      <c r="A3613" s="4" t="s">
        <v>8337</v>
      </c>
      <c r="B3613" s="5" t="s">
        <v>8337</v>
      </c>
      <c r="C3613" s="5" t="s">
        <v>75</v>
      </c>
      <c r="D3613" s="5" t="s">
        <v>76</v>
      </c>
      <c r="E3613" s="5" t="s">
        <v>158</v>
      </c>
      <c r="F3613" s="9">
        <v>55</v>
      </c>
      <c r="G3613" s="9">
        <v>625</v>
      </c>
      <c r="H3613" s="5" t="s">
        <v>21</v>
      </c>
      <c r="I3613" s="5" t="s">
        <v>8338</v>
      </c>
      <c r="J3613" s="12" t="str">
        <f>HYPERLINK("https://www.boe.es/gazeta/dias/1801/06/16/pdfs/GMD-1801-55.pdf#page=1","Abrir facsímil")</f>
        <v>Abrir facsímil</v>
      </c>
      <c r="K3613" s="15" t="s">
        <v>23</v>
      </c>
    </row>
    <row r="3614" spans="1:11" ht="42" customHeight="1">
      <c r="A3614" s="4" t="s">
        <v>8339</v>
      </c>
      <c r="B3614" s="5" t="s">
        <v>8339</v>
      </c>
      <c r="C3614" s="5" t="s">
        <v>38</v>
      </c>
      <c r="D3614" s="5" t="s">
        <v>39</v>
      </c>
      <c r="E3614" s="5" t="s">
        <v>155</v>
      </c>
      <c r="F3614" s="9">
        <v>50</v>
      </c>
      <c r="G3614" s="9">
        <v>596</v>
      </c>
      <c r="H3614" s="5" t="s">
        <v>21</v>
      </c>
      <c r="I3614" s="5" t="s">
        <v>8340</v>
      </c>
      <c r="J3614" s="12" t="str">
        <f>HYPERLINK("https://www.boe.es/gazeta/dias/1801/06/09/pdfs/GMD-1801-50.pdf#page=8","Abrir facsímil")</f>
        <v>Abrir facsímil</v>
      </c>
      <c r="K3614" s="15" t="s">
        <v>23</v>
      </c>
    </row>
    <row r="3615" spans="1:11" ht="42" customHeight="1">
      <c r="A3615" s="4" t="s">
        <v>8341</v>
      </c>
      <c r="B3615" s="5" t="s">
        <v>8341</v>
      </c>
      <c r="C3615" s="5" t="s">
        <v>32</v>
      </c>
      <c r="D3615" s="5" t="s">
        <v>33</v>
      </c>
      <c r="E3615" s="5" t="s">
        <v>70</v>
      </c>
      <c r="F3615" s="9">
        <v>2</v>
      </c>
      <c r="G3615" s="9">
        <v>23</v>
      </c>
      <c r="H3615" s="5" t="s">
        <v>21</v>
      </c>
      <c r="I3615" s="5" t="s">
        <v>8342</v>
      </c>
      <c r="J3615" s="12" t="str">
        <f>HYPERLINK("https://www.boe.es/gazeta/dias/1801/01/06/pdfs/GMD-1801-2.pdf#page=11","Abrir facsímil")</f>
        <v>Abrir facsímil</v>
      </c>
      <c r="K3615" s="15" t="s">
        <v>23</v>
      </c>
    </row>
    <row r="3616" spans="1:11" ht="42" customHeight="1">
      <c r="A3616" s="4" t="s">
        <v>8343</v>
      </c>
      <c r="B3616" s="5" t="s">
        <v>8343</v>
      </c>
      <c r="C3616" s="5" t="s">
        <v>38</v>
      </c>
      <c r="D3616" s="5" t="s">
        <v>39</v>
      </c>
      <c r="E3616" s="5" t="s">
        <v>1085</v>
      </c>
      <c r="F3616" s="9">
        <v>99</v>
      </c>
      <c r="G3616" s="9">
        <v>1088</v>
      </c>
      <c r="H3616" s="5" t="s">
        <v>21</v>
      </c>
      <c r="I3616" s="5" t="s">
        <v>8344</v>
      </c>
      <c r="J3616" s="12" t="str">
        <f>HYPERLINK("https://www.boe.es/gazeta/dias/1801/10/20/pdfs/GMD-1801-99.pdf#page=5","Abrir facsímil")</f>
        <v>Abrir facsímil</v>
      </c>
      <c r="K3616" s="15" t="s">
        <v>23</v>
      </c>
    </row>
    <row r="3617" spans="1:11" ht="42" customHeight="1">
      <c r="A3617" s="4" t="s">
        <v>8345</v>
      </c>
      <c r="B3617" s="5" t="s">
        <v>8345</v>
      </c>
      <c r="C3617" s="5" t="s">
        <v>26</v>
      </c>
      <c r="D3617" s="5" t="s">
        <v>27</v>
      </c>
      <c r="E3617" s="5" t="s">
        <v>28</v>
      </c>
      <c r="F3617" s="9">
        <v>77</v>
      </c>
      <c r="G3617" s="9">
        <v>865</v>
      </c>
      <c r="H3617" s="5" t="s">
        <v>21</v>
      </c>
      <c r="I3617" s="5" t="s">
        <v>8346</v>
      </c>
      <c r="J3617" s="12" t="str">
        <f>HYPERLINK("https://www.boe.es/gazeta/dias/1801/08/11/pdfs/GMD-1801-77.pdf#page=10","Abrir facsímil")</f>
        <v>Abrir facsímil</v>
      </c>
      <c r="K3617" s="15" t="s">
        <v>23</v>
      </c>
    </row>
    <row r="3618" spans="1:11" ht="42" customHeight="1">
      <c r="A3618" s="4" t="s">
        <v>8347</v>
      </c>
      <c r="B3618" s="5" t="s">
        <v>8347</v>
      </c>
      <c r="C3618" s="5" t="s">
        <v>75</v>
      </c>
      <c r="D3618" s="5" t="s">
        <v>76</v>
      </c>
      <c r="E3618" s="5" t="s">
        <v>275</v>
      </c>
      <c r="F3618" s="9">
        <v>9</v>
      </c>
      <c r="G3618" s="9">
        <v>104</v>
      </c>
      <c r="H3618" s="5" t="s">
        <v>21</v>
      </c>
      <c r="I3618" s="5" t="s">
        <v>8348</v>
      </c>
      <c r="J3618" s="12" t="str">
        <f>HYPERLINK("https://www.boe.es/gazeta/dias/1801/01/30/pdfs/GMD-1801-9.pdf#page=1","Abrir facsímil")</f>
        <v>Abrir facsímil</v>
      </c>
      <c r="K3618" s="15" t="s">
        <v>23</v>
      </c>
    </row>
    <row r="3619" spans="1:11" ht="42" customHeight="1">
      <c r="A3619" s="4" t="s">
        <v>8349</v>
      </c>
      <c r="B3619" s="5" t="s">
        <v>8349</v>
      </c>
      <c r="C3619" s="5" t="s">
        <v>75</v>
      </c>
      <c r="D3619" s="5" t="s">
        <v>76</v>
      </c>
      <c r="E3619" s="5" t="s">
        <v>462</v>
      </c>
      <c r="F3619" s="9">
        <v>5</v>
      </c>
      <c r="G3619" s="9">
        <v>54</v>
      </c>
      <c r="H3619" s="5" t="s">
        <v>21</v>
      </c>
      <c r="I3619" s="5" t="s">
        <v>8350</v>
      </c>
      <c r="J3619" s="12" t="str">
        <f>HYPERLINK("https://www.boe.es/gazeta/dias/1801/01/16/pdfs/GMD-1801-5.pdf#page=6","Abrir facsímil")</f>
        <v>Abrir facsímil</v>
      </c>
      <c r="K3619" s="15" t="s">
        <v>23</v>
      </c>
    </row>
    <row r="3620" spans="1:11" ht="42" customHeight="1">
      <c r="A3620" s="4" t="s">
        <v>8351</v>
      </c>
      <c r="B3620" s="5" t="s">
        <v>8351</v>
      </c>
      <c r="C3620" s="5" t="s">
        <v>75</v>
      </c>
      <c r="D3620" s="5" t="s">
        <v>76</v>
      </c>
      <c r="E3620" s="5" t="s">
        <v>90</v>
      </c>
      <c r="F3620" s="9">
        <v>1</v>
      </c>
      <c r="G3620" s="9">
        <v>6</v>
      </c>
      <c r="H3620" s="5" t="s">
        <v>21</v>
      </c>
      <c r="I3620" s="5" t="s">
        <v>8352</v>
      </c>
      <c r="J3620" s="12" t="str">
        <f>HYPERLINK("https://www.boe.es/gazeta/dias/1801/01/02/pdfs/GMD-1801-1.pdf#page=6","Abrir facsímil")</f>
        <v>Abrir facsímil</v>
      </c>
      <c r="K3620" s="15" t="s">
        <v>23</v>
      </c>
    </row>
    <row r="3621" spans="1:11" ht="42" customHeight="1">
      <c r="A3621" s="4" t="s">
        <v>8353</v>
      </c>
      <c r="B3621" s="5" t="s">
        <v>8353</v>
      </c>
      <c r="C3621" s="5" t="s">
        <v>75</v>
      </c>
      <c r="D3621" s="5" t="s">
        <v>76</v>
      </c>
      <c r="E3621" s="5" t="s">
        <v>122</v>
      </c>
      <c r="F3621" s="9">
        <v>8</v>
      </c>
      <c r="G3621" s="9">
        <v>93</v>
      </c>
      <c r="H3621" s="5" t="s">
        <v>21</v>
      </c>
      <c r="I3621" s="5" t="s">
        <v>8354</v>
      </c>
      <c r="J3621" s="12" t="str">
        <f>HYPERLINK("https://www.boe.es/gazeta/dias/1801/01/27/pdfs/GMD-1801-8.pdf#page=5","Abrir facsímil")</f>
        <v>Abrir facsímil</v>
      </c>
      <c r="K3621" s="15" t="s">
        <v>23</v>
      </c>
    </row>
    <row r="3622" spans="1:11" ht="42" customHeight="1">
      <c r="A3622" s="4" t="s">
        <v>8355</v>
      </c>
      <c r="B3622" s="5" t="s">
        <v>8355</v>
      </c>
      <c r="C3622" s="5" t="s">
        <v>75</v>
      </c>
      <c r="D3622" s="5" t="s">
        <v>76</v>
      </c>
      <c r="E3622" s="5" t="s">
        <v>77</v>
      </c>
      <c r="F3622" s="9">
        <v>93</v>
      </c>
      <c r="G3622" s="9">
        <v>1016</v>
      </c>
      <c r="H3622" s="5" t="s">
        <v>21</v>
      </c>
      <c r="I3622" s="5" t="s">
        <v>8356</v>
      </c>
      <c r="J3622" s="12" t="str">
        <f>HYPERLINK("https://www.boe.es/gazeta/dias/1801/09/29/pdfs/GMD-1801-93.pdf#page=3","Abrir facsímil")</f>
        <v>Abrir facsímil</v>
      </c>
      <c r="K3622" s="15" t="s">
        <v>23</v>
      </c>
    </row>
    <row r="3623" spans="1:11" ht="42" customHeight="1">
      <c r="A3623" s="4" t="s">
        <v>8357</v>
      </c>
      <c r="B3623" s="5" t="s">
        <v>8357</v>
      </c>
      <c r="C3623" s="5" t="s">
        <v>75</v>
      </c>
      <c r="D3623" s="5" t="s">
        <v>76</v>
      </c>
      <c r="E3623" s="5" t="s">
        <v>179</v>
      </c>
      <c r="F3623" s="9">
        <v>11</v>
      </c>
      <c r="G3623" s="9">
        <v>129</v>
      </c>
      <c r="H3623" s="5" t="s">
        <v>21</v>
      </c>
      <c r="I3623" s="5" t="s">
        <v>8271</v>
      </c>
      <c r="J3623" s="12" t="str">
        <f>HYPERLINK("https://www.boe.es/gazeta/dias/1801/02/06/pdfs/GMD-1801-11.pdf#page=2","Abrir facsímil")</f>
        <v>Abrir facsímil</v>
      </c>
      <c r="K3623" s="15" t="s">
        <v>23</v>
      </c>
    </row>
    <row r="3624" spans="1:11" ht="42" customHeight="1">
      <c r="A3624" s="4" t="s">
        <v>8357</v>
      </c>
      <c r="B3624" s="5" t="s">
        <v>8357</v>
      </c>
      <c r="C3624" s="5" t="s">
        <v>38</v>
      </c>
      <c r="D3624" s="5" t="s">
        <v>39</v>
      </c>
      <c r="E3624" s="5" t="s">
        <v>82</v>
      </c>
      <c r="F3624" s="9">
        <v>75</v>
      </c>
      <c r="G3624" s="9">
        <v>837</v>
      </c>
      <c r="H3624" s="5" t="s">
        <v>21</v>
      </c>
      <c r="I3624" s="5" t="s">
        <v>8358</v>
      </c>
      <c r="J3624" s="12" t="str">
        <f>HYPERLINK("https://www.boe.es/gazeta/dias/1801/08/04/pdfs/GMD-1801-75.pdf#page=6","Abrir facsímil")</f>
        <v>Abrir facsímil</v>
      </c>
      <c r="K3624" s="15" t="s">
        <v>23</v>
      </c>
    </row>
    <row r="3625" spans="1:11" ht="42" customHeight="1">
      <c r="A3625" s="4" t="s">
        <v>8359</v>
      </c>
      <c r="B3625" s="5" t="s">
        <v>8359</v>
      </c>
      <c r="C3625" s="5" t="s">
        <v>26</v>
      </c>
      <c r="D3625" s="5" t="s">
        <v>27</v>
      </c>
      <c r="E3625" s="5" t="s">
        <v>735</v>
      </c>
      <c r="F3625" s="9">
        <v>97</v>
      </c>
      <c r="G3625" s="9">
        <v>1059</v>
      </c>
      <c r="H3625" s="5" t="s">
        <v>21</v>
      </c>
      <c r="I3625" s="5" t="s">
        <v>8360</v>
      </c>
      <c r="J3625" s="12" t="str">
        <f>HYPERLINK("https://www.boe.es/gazeta/dias/1801/10/13/pdfs/GMD-1801-97.pdf#page=3","Abrir facsímil")</f>
        <v>Abrir facsímil</v>
      </c>
      <c r="K3625" s="15" t="s">
        <v>23</v>
      </c>
    </row>
    <row r="3626" spans="1:11" ht="42" customHeight="1">
      <c r="A3626" s="4" t="s">
        <v>8361</v>
      </c>
      <c r="B3626" s="5" t="s">
        <v>8361</v>
      </c>
      <c r="C3626" s="5" t="s">
        <v>32</v>
      </c>
      <c r="D3626" s="5" t="s">
        <v>33</v>
      </c>
      <c r="E3626" s="5" t="s">
        <v>141</v>
      </c>
      <c r="F3626" s="9">
        <v>33</v>
      </c>
      <c r="G3626" s="9">
        <v>425</v>
      </c>
      <c r="H3626" s="5" t="s">
        <v>21</v>
      </c>
      <c r="I3626" s="5" t="s">
        <v>8362</v>
      </c>
      <c r="J3626" s="12" t="str">
        <f>HYPERLINK("https://www.boe.es/gazeta/dias/1801/04/24/pdfs/GMD-1801-33.pdf#page=9","Abrir facsímil")</f>
        <v>Abrir facsímil</v>
      </c>
      <c r="K3626" s="15" t="s">
        <v>23</v>
      </c>
    </row>
    <row r="3627" spans="1:11" ht="42" customHeight="1">
      <c r="A3627" s="4" t="s">
        <v>8363</v>
      </c>
      <c r="B3627" s="5" t="s">
        <v>8363</v>
      </c>
      <c r="C3627" s="5" t="s">
        <v>75</v>
      </c>
      <c r="D3627" s="5" t="s">
        <v>76</v>
      </c>
      <c r="E3627" s="5" t="s">
        <v>165</v>
      </c>
      <c r="F3627" s="9">
        <v>59</v>
      </c>
      <c r="G3627" s="9">
        <v>674</v>
      </c>
      <c r="H3627" s="5" t="s">
        <v>21</v>
      </c>
      <c r="I3627" s="5" t="s">
        <v>8364</v>
      </c>
      <c r="J3627" s="12" t="str">
        <f>HYPERLINK("https://www.boe.es/gazeta/dias/1801/06/23/pdfs/GMD-1801-59.pdf#page=7","Abrir facsímil")</f>
        <v>Abrir facsímil</v>
      </c>
      <c r="K3627" s="15" t="s">
        <v>23</v>
      </c>
    </row>
    <row r="3628" spans="1:11" ht="42" customHeight="1">
      <c r="A3628" s="4" t="s">
        <v>8365</v>
      </c>
      <c r="B3628" s="5" t="s">
        <v>8365</v>
      </c>
      <c r="C3628" s="5" t="s">
        <v>18</v>
      </c>
      <c r="D3628" s="5" t="s">
        <v>19</v>
      </c>
      <c r="E3628" s="5" t="s">
        <v>70</v>
      </c>
      <c r="F3628" s="9">
        <v>2</v>
      </c>
      <c r="G3628" s="9">
        <v>16</v>
      </c>
      <c r="H3628" s="5" t="s">
        <v>21</v>
      </c>
      <c r="I3628" s="5" t="s">
        <v>8366</v>
      </c>
      <c r="J3628" s="12" t="str">
        <f>HYPERLINK("https://www.boe.es/gazeta/dias/1801/01/06/pdfs/GMD-1801-2.pdf#page=4","Abrir facsímil")</f>
        <v>Abrir facsímil</v>
      </c>
      <c r="K3628" s="15" t="s">
        <v>23</v>
      </c>
    </row>
    <row r="3629" spans="1:11" ht="42" customHeight="1">
      <c r="A3629" s="4" t="s">
        <v>8367</v>
      </c>
      <c r="B3629" s="5" t="s">
        <v>8367</v>
      </c>
      <c r="C3629" s="5" t="s">
        <v>32</v>
      </c>
      <c r="D3629" s="5" t="s">
        <v>33</v>
      </c>
      <c r="E3629" s="5" t="s">
        <v>190</v>
      </c>
      <c r="F3629" s="9">
        <v>16</v>
      </c>
      <c r="G3629" s="9">
        <v>198</v>
      </c>
      <c r="H3629" s="5" t="s">
        <v>21</v>
      </c>
      <c r="I3629" s="5" t="s">
        <v>8368</v>
      </c>
      <c r="J3629" s="12" t="str">
        <f>HYPERLINK("https://www.boe.es/gazeta/dias/1801/02/24/pdfs/GMD-1801-16.pdf#page=5","Abrir facsímil")</f>
        <v>Abrir facsímil</v>
      </c>
      <c r="K3629" s="15" t="s">
        <v>23</v>
      </c>
    </row>
    <row r="3630" spans="1:11" ht="42" customHeight="1">
      <c r="A3630" s="4" t="s">
        <v>8369</v>
      </c>
      <c r="B3630" s="5" t="s">
        <v>8369</v>
      </c>
      <c r="C3630" s="5" t="s">
        <v>38</v>
      </c>
      <c r="D3630" s="5" t="s">
        <v>39</v>
      </c>
      <c r="E3630" s="5" t="s">
        <v>143</v>
      </c>
      <c r="F3630" s="9">
        <v>34</v>
      </c>
      <c r="G3630" s="9">
        <v>435</v>
      </c>
      <c r="H3630" s="5" t="s">
        <v>21</v>
      </c>
      <c r="I3630" s="5" t="s">
        <v>8370</v>
      </c>
      <c r="J3630" s="12" t="str">
        <f>HYPERLINK("https://www.boe.es/gazeta/dias/1801/04/28/pdfs/GMD-1801-34.pdf#page=7","Abrir facsímil")</f>
        <v>Abrir facsímil</v>
      </c>
      <c r="K3630" s="15" t="s">
        <v>23</v>
      </c>
    </row>
    <row r="3631" spans="1:11" ht="42" customHeight="1">
      <c r="A3631" s="4" t="s">
        <v>8371</v>
      </c>
      <c r="B3631" s="5" t="s">
        <v>8371</v>
      </c>
      <c r="C3631" s="5" t="s">
        <v>38</v>
      </c>
      <c r="D3631" s="5" t="s">
        <v>39</v>
      </c>
      <c r="E3631" s="5" t="s">
        <v>309</v>
      </c>
      <c r="F3631" s="9">
        <v>118</v>
      </c>
      <c r="G3631" s="9">
        <v>1290</v>
      </c>
      <c r="H3631" s="5" t="s">
        <v>21</v>
      </c>
      <c r="I3631" s="5" t="s">
        <v>8328</v>
      </c>
      <c r="J3631" s="12" t="str">
        <f>HYPERLINK("https://www.boe.es/gazeta/dias/1801/12/25/pdfs/GMD-1801-118.pdf#page=5","Abrir facsímil")</f>
        <v>Abrir facsímil</v>
      </c>
      <c r="K3631" s="15" t="s">
        <v>23</v>
      </c>
    </row>
    <row r="3632" spans="1:11" ht="42" customHeight="1">
      <c r="A3632" s="4" t="s">
        <v>8372</v>
      </c>
      <c r="B3632" s="5" t="s">
        <v>8372</v>
      </c>
      <c r="C3632" s="5" t="s">
        <v>32</v>
      </c>
      <c r="D3632" s="5" t="s">
        <v>33</v>
      </c>
      <c r="E3632" s="5" t="s">
        <v>151</v>
      </c>
      <c r="F3632" s="9" t="s">
        <v>1483</v>
      </c>
      <c r="G3632" s="9">
        <v>566</v>
      </c>
      <c r="H3632" s="5" t="s">
        <v>21</v>
      </c>
      <c r="I3632" s="5" t="s">
        <v>8373</v>
      </c>
      <c r="J3632" s="12" t="str">
        <f>HYPERLINK("https://www.boe.es/gazeta/dias/1801/06/02/pdfs/GMD-1801-46E.pdf#page=2","Abrir facsímil")</f>
        <v>Abrir facsímil</v>
      </c>
      <c r="K3632" s="15" t="s">
        <v>23</v>
      </c>
    </row>
    <row r="3633" spans="1:11" ht="42" customHeight="1">
      <c r="A3633" s="4" t="s">
        <v>8374</v>
      </c>
      <c r="B3633" s="5" t="s">
        <v>8374</v>
      </c>
      <c r="C3633" s="5" t="s">
        <v>32</v>
      </c>
      <c r="D3633" s="5" t="s">
        <v>33</v>
      </c>
      <c r="E3633" s="5" t="s">
        <v>122</v>
      </c>
      <c r="F3633" s="9">
        <v>8</v>
      </c>
      <c r="G3633" s="9">
        <v>94</v>
      </c>
      <c r="H3633" s="5" t="s">
        <v>21</v>
      </c>
      <c r="I3633" s="5" t="s">
        <v>8375</v>
      </c>
      <c r="J3633" s="12" t="str">
        <f>HYPERLINK("https://www.boe.es/gazeta/dias/1801/01/27/pdfs/GMD-1801-8.pdf#page=6","Abrir facsímil")</f>
        <v>Abrir facsímil</v>
      </c>
      <c r="K3633" s="15" t="s">
        <v>23</v>
      </c>
    </row>
    <row r="3634" spans="1:11" ht="42" customHeight="1">
      <c r="A3634" s="4" t="s">
        <v>8376</v>
      </c>
      <c r="B3634" s="5" t="s">
        <v>8376</v>
      </c>
      <c r="C3634" s="5" t="s">
        <v>75</v>
      </c>
      <c r="D3634" s="5" t="s">
        <v>76</v>
      </c>
      <c r="E3634" s="5" t="s">
        <v>122</v>
      </c>
      <c r="F3634" s="9">
        <v>8</v>
      </c>
      <c r="G3634" s="9">
        <v>93</v>
      </c>
      <c r="H3634" s="5" t="s">
        <v>21</v>
      </c>
      <c r="I3634" s="5" t="s">
        <v>8354</v>
      </c>
      <c r="J3634" s="12" t="str">
        <f>HYPERLINK("https://www.boe.es/gazeta/dias/1801/01/27/pdfs/GMD-1801-8.pdf#page=5","Abrir facsímil")</f>
        <v>Abrir facsímil</v>
      </c>
      <c r="K3634" s="15" t="s">
        <v>23</v>
      </c>
    </row>
    <row r="3635" spans="1:11" ht="42" customHeight="1">
      <c r="A3635" s="4" t="s">
        <v>8377</v>
      </c>
      <c r="B3635" s="5" t="s">
        <v>8377</v>
      </c>
      <c r="C3635" s="5" t="s">
        <v>18</v>
      </c>
      <c r="D3635" s="5" t="s">
        <v>19</v>
      </c>
      <c r="E3635" s="5" t="s">
        <v>122</v>
      </c>
      <c r="F3635" s="9">
        <v>8</v>
      </c>
      <c r="G3635" s="9">
        <v>95</v>
      </c>
      <c r="H3635" s="5" t="s">
        <v>21</v>
      </c>
      <c r="I3635" s="5" t="s">
        <v>8378</v>
      </c>
      <c r="J3635" s="12" t="str">
        <f>HYPERLINK("https://www.boe.es/gazeta/dias/1801/01/27/pdfs/GMD-1801-8.pdf#page=7","Abrir facsímil")</f>
        <v>Abrir facsímil</v>
      </c>
      <c r="K3635" s="15" t="s">
        <v>23</v>
      </c>
    </row>
    <row r="3636" spans="1:11" ht="42" customHeight="1">
      <c r="A3636" s="4" t="s">
        <v>8379</v>
      </c>
      <c r="B3636" s="5" t="s">
        <v>8379</v>
      </c>
      <c r="C3636" s="5" t="s">
        <v>38</v>
      </c>
      <c r="D3636" s="5" t="s">
        <v>39</v>
      </c>
      <c r="E3636" s="5" t="s">
        <v>309</v>
      </c>
      <c r="F3636" s="9">
        <v>118</v>
      </c>
      <c r="G3636" s="9">
        <v>1290</v>
      </c>
      <c r="H3636" s="5" t="s">
        <v>21</v>
      </c>
      <c r="I3636" s="5" t="s">
        <v>8380</v>
      </c>
      <c r="J3636" s="12" t="str">
        <f>HYPERLINK("https://www.boe.es/gazeta/dias/1801/12/25/pdfs/GMD-1801-118.pdf#page=5","Abrir facsímil")</f>
        <v>Abrir facsímil</v>
      </c>
      <c r="K3636" s="15" t="s">
        <v>23</v>
      </c>
    </row>
    <row r="3637" spans="1:11" ht="42" customHeight="1">
      <c r="A3637" s="4" t="s">
        <v>8381</v>
      </c>
      <c r="B3637" s="5" t="s">
        <v>8381</v>
      </c>
      <c r="C3637" s="5" t="s">
        <v>75</v>
      </c>
      <c r="D3637" s="5" t="s">
        <v>76</v>
      </c>
      <c r="E3637" s="5" t="s">
        <v>99</v>
      </c>
      <c r="F3637" s="9">
        <v>32</v>
      </c>
      <c r="G3637" s="9">
        <v>407</v>
      </c>
      <c r="H3637" s="5" t="s">
        <v>21</v>
      </c>
      <c r="I3637" s="5" t="s">
        <v>8382</v>
      </c>
      <c r="J3637" s="12" t="str">
        <f>HYPERLINK("https://www.boe.es/gazeta/dias/1801/04/21/pdfs/GMD-1801-32.pdf#page=3","Abrir facsímil")</f>
        <v>Abrir facsímil</v>
      </c>
      <c r="K3637" s="15" t="s">
        <v>23</v>
      </c>
    </row>
    <row r="3638" spans="1:11" ht="42" customHeight="1">
      <c r="A3638" s="4" t="s">
        <v>8383</v>
      </c>
      <c r="B3638" s="5" t="s">
        <v>8383</v>
      </c>
      <c r="C3638" s="5" t="s">
        <v>38</v>
      </c>
      <c r="D3638" s="5" t="s">
        <v>39</v>
      </c>
      <c r="E3638" s="5" t="s">
        <v>378</v>
      </c>
      <c r="F3638" s="9">
        <v>23</v>
      </c>
      <c r="G3638" s="9">
        <v>308</v>
      </c>
      <c r="H3638" s="5" t="s">
        <v>21</v>
      </c>
      <c r="I3638" s="5" t="s">
        <v>8384</v>
      </c>
      <c r="J3638" s="12" t="str">
        <f>HYPERLINK("https://www.boe.es/gazeta/dias/1801/03/20/pdfs/GMD-1801-23.pdf#page=11","Abrir facsímil")</f>
        <v>Abrir facsímil</v>
      </c>
      <c r="K3638" s="15" t="s">
        <v>23</v>
      </c>
    </row>
    <row r="3639" spans="1:11" ht="42" customHeight="1">
      <c r="A3639" s="4" t="s">
        <v>8385</v>
      </c>
      <c r="B3639" s="5" t="s">
        <v>8385</v>
      </c>
      <c r="C3639" s="5" t="s">
        <v>38</v>
      </c>
      <c r="D3639" s="5" t="s">
        <v>39</v>
      </c>
      <c r="E3639" s="5" t="s">
        <v>266</v>
      </c>
      <c r="F3639" s="9">
        <v>119</v>
      </c>
      <c r="G3639" s="9">
        <v>1303</v>
      </c>
      <c r="H3639" s="5" t="s">
        <v>21</v>
      </c>
      <c r="I3639" s="5" t="s">
        <v>8386</v>
      </c>
      <c r="J3639" s="12" t="str">
        <f>HYPERLINK("https://www.boe.es/gazeta/dias/1801/12/29/pdfs/GMD-1801-119.pdf#page=7","Abrir facsímil")</f>
        <v>Abrir facsímil</v>
      </c>
      <c r="K3639" s="15" t="s">
        <v>23</v>
      </c>
    </row>
    <row r="3640" spans="1:11" ht="42" customHeight="1">
      <c r="A3640" s="4" t="s">
        <v>8387</v>
      </c>
      <c r="B3640" s="5" t="s">
        <v>8387</v>
      </c>
      <c r="C3640" s="5" t="s">
        <v>75</v>
      </c>
      <c r="D3640" s="5" t="s">
        <v>76</v>
      </c>
      <c r="E3640" s="5" t="s">
        <v>141</v>
      </c>
      <c r="F3640" s="9">
        <v>33</v>
      </c>
      <c r="G3640" s="9">
        <v>417</v>
      </c>
      <c r="H3640" s="5" t="s">
        <v>21</v>
      </c>
      <c r="I3640" s="5" t="s">
        <v>8388</v>
      </c>
      <c r="J3640" s="12" t="str">
        <f>HYPERLINK("https://www.boe.es/gazeta/dias/1801/04/24/pdfs/GMD-1801-33.pdf#page=1","Abrir facsímil")</f>
        <v>Abrir facsímil</v>
      </c>
      <c r="K3640" s="15" t="s">
        <v>23</v>
      </c>
    </row>
    <row r="3641" spans="1:11" ht="42" customHeight="1">
      <c r="A3641" s="4" t="s">
        <v>8387</v>
      </c>
      <c r="B3641" s="5" t="s">
        <v>8387</v>
      </c>
      <c r="C3641" s="5" t="s">
        <v>32</v>
      </c>
      <c r="D3641" s="5" t="s">
        <v>33</v>
      </c>
      <c r="E3641" s="5" t="s">
        <v>352</v>
      </c>
      <c r="F3641" s="9">
        <v>43</v>
      </c>
      <c r="G3641" s="9">
        <v>534</v>
      </c>
      <c r="H3641" s="5" t="s">
        <v>21</v>
      </c>
      <c r="I3641" s="5" t="s">
        <v>8389</v>
      </c>
      <c r="J3641" s="12" t="str">
        <f>HYPERLINK("https://www.boe.es/gazeta/dias/1801/05/26/pdfs/GMD-1801-43.pdf#page=6","Abrir facsímil")</f>
        <v>Abrir facsímil</v>
      </c>
      <c r="K3641" s="15" t="s">
        <v>23</v>
      </c>
    </row>
    <row r="3642" spans="1:11" ht="42" customHeight="1">
      <c r="A3642" s="4" t="s">
        <v>8387</v>
      </c>
      <c r="B3642" s="5" t="s">
        <v>8387</v>
      </c>
      <c r="C3642" s="5" t="s">
        <v>32</v>
      </c>
      <c r="D3642" s="5" t="s">
        <v>33</v>
      </c>
      <c r="E3642" s="5" t="s">
        <v>919</v>
      </c>
      <c r="F3642" s="9">
        <v>91</v>
      </c>
      <c r="G3642" s="9">
        <v>1002</v>
      </c>
      <c r="H3642" s="5" t="s">
        <v>21</v>
      </c>
      <c r="I3642" s="5" t="s">
        <v>8390</v>
      </c>
      <c r="J3642" s="12" t="str">
        <f>HYPERLINK("https://www.boe.es/gazeta/dias/1801/09/22/pdfs/GMD-1801-91.pdf#page=5","Abrir facsímil")</f>
        <v>Abrir facsímil</v>
      </c>
      <c r="K3642" s="15" t="s">
        <v>23</v>
      </c>
    </row>
    <row r="3643" spans="1:11" ht="42" customHeight="1">
      <c r="A3643" s="4" t="s">
        <v>8391</v>
      </c>
      <c r="B3643" s="5" t="s">
        <v>8391</v>
      </c>
      <c r="C3643" s="5" t="s">
        <v>32</v>
      </c>
      <c r="D3643" s="5" t="s">
        <v>33</v>
      </c>
      <c r="E3643" s="5" t="s">
        <v>321</v>
      </c>
      <c r="F3643" s="9">
        <v>3</v>
      </c>
      <c r="G3643" s="9">
        <v>29</v>
      </c>
      <c r="H3643" s="5" t="s">
        <v>21</v>
      </c>
      <c r="I3643" s="5" t="s">
        <v>8392</v>
      </c>
      <c r="J3643" s="12" t="str">
        <f>HYPERLINK("https://www.boe.es/gazeta/dias/1801/01/09/pdfs/GMD-1801-3.pdf#page=5","Abrir facsímil")</f>
        <v>Abrir facsímil</v>
      </c>
      <c r="K3643" s="15" t="s">
        <v>23</v>
      </c>
    </row>
    <row r="3644" spans="1:11" ht="42" customHeight="1">
      <c r="A3644" s="4" t="s">
        <v>8393</v>
      </c>
      <c r="B3644" s="5" t="s">
        <v>8393</v>
      </c>
      <c r="C3644" s="5" t="s">
        <v>75</v>
      </c>
      <c r="D3644" s="5" t="s">
        <v>76</v>
      </c>
      <c r="E3644" s="5" t="s">
        <v>888</v>
      </c>
      <c r="F3644" s="9">
        <v>103</v>
      </c>
      <c r="G3644" s="9">
        <v>1128</v>
      </c>
      <c r="H3644" s="5" t="s">
        <v>21</v>
      </c>
      <c r="I3644" s="5" t="s">
        <v>8394</v>
      </c>
      <c r="J3644" s="12" t="str">
        <f>HYPERLINK("https://www.boe.es/gazeta/dias/1801/11/03/pdfs/GMD-1801-103.pdf#page=1","Abrir facsímil")</f>
        <v>Abrir facsímil</v>
      </c>
      <c r="K3644" s="15" t="s">
        <v>23</v>
      </c>
    </row>
    <row r="3645" spans="1:11" ht="42" customHeight="1">
      <c r="A3645" s="4" t="s">
        <v>8395</v>
      </c>
      <c r="B3645" s="5" t="s">
        <v>8395</v>
      </c>
      <c r="C3645" s="5" t="s">
        <v>75</v>
      </c>
      <c r="D3645" s="5" t="s">
        <v>76</v>
      </c>
      <c r="E3645" s="5" t="s">
        <v>640</v>
      </c>
      <c r="F3645" s="9">
        <v>81</v>
      </c>
      <c r="G3645" s="9">
        <v>904</v>
      </c>
      <c r="H3645" s="5" t="s">
        <v>21</v>
      </c>
      <c r="I3645" s="5" t="s">
        <v>8396</v>
      </c>
      <c r="J3645" s="12" t="str">
        <f>HYPERLINK("https://www.boe.es/gazeta/dias/1801/08/25/pdfs/GMD-1801-81.pdf#page=1","Abrir facsímil")</f>
        <v>Abrir facsímil</v>
      </c>
      <c r="K3645" s="15" t="s">
        <v>23</v>
      </c>
    </row>
    <row r="3646" spans="1:11" ht="42" customHeight="1">
      <c r="A3646" s="4" t="s">
        <v>8397</v>
      </c>
      <c r="B3646" s="5" t="s">
        <v>8397</v>
      </c>
      <c r="C3646" s="5" t="s">
        <v>75</v>
      </c>
      <c r="D3646" s="5" t="s">
        <v>76</v>
      </c>
      <c r="E3646" s="5" t="s">
        <v>40</v>
      </c>
      <c r="F3646" s="9">
        <v>63</v>
      </c>
      <c r="G3646" s="9">
        <v>704</v>
      </c>
      <c r="H3646" s="5" t="s">
        <v>21</v>
      </c>
      <c r="I3646" s="5" t="s">
        <v>8398</v>
      </c>
      <c r="J3646" s="12" t="str">
        <f>HYPERLINK("https://www.boe.es/gazeta/dias/1801/07/03/pdfs/GMD-1801-63.pdf#page=1","Abrir facsímil")</f>
        <v>Abrir facsímil</v>
      </c>
      <c r="K3646" s="15" t="s">
        <v>23</v>
      </c>
    </row>
    <row r="3647" spans="1:11" ht="42" customHeight="1">
      <c r="A3647" s="4" t="s">
        <v>8399</v>
      </c>
      <c r="B3647" s="5" t="s">
        <v>8399</v>
      </c>
      <c r="C3647" s="5" t="s">
        <v>32</v>
      </c>
      <c r="D3647" s="5" t="s">
        <v>33</v>
      </c>
      <c r="E3647" s="5" t="s">
        <v>309</v>
      </c>
      <c r="F3647" s="9">
        <v>118</v>
      </c>
      <c r="G3647" s="9">
        <v>1290</v>
      </c>
      <c r="H3647" s="5" t="s">
        <v>21</v>
      </c>
      <c r="I3647" s="5" t="s">
        <v>8400</v>
      </c>
      <c r="J3647" s="12" t="str">
        <f>HYPERLINK("https://www.boe.es/gazeta/dias/1801/12/25/pdfs/GMD-1801-118.pdf#page=5","Abrir facsímil")</f>
        <v>Abrir facsímil</v>
      </c>
      <c r="K3647" s="15" t="s">
        <v>23</v>
      </c>
    </row>
    <row r="3648" spans="1:11" ht="42" customHeight="1">
      <c r="A3648" s="4" t="s">
        <v>8401</v>
      </c>
      <c r="B3648" s="5" t="s">
        <v>8401</v>
      </c>
      <c r="C3648" s="5" t="s">
        <v>38</v>
      </c>
      <c r="D3648" s="5" t="s">
        <v>39</v>
      </c>
      <c r="E3648" s="5" t="s">
        <v>219</v>
      </c>
      <c r="F3648" s="9">
        <v>26</v>
      </c>
      <c r="G3648" s="9">
        <v>344</v>
      </c>
      <c r="H3648" s="5" t="s">
        <v>21</v>
      </c>
      <c r="I3648" s="5" t="s">
        <v>8402</v>
      </c>
      <c r="J3648" s="12" t="str">
        <f>HYPERLINK("https://www.boe.es/gazeta/dias/1801/03/31/pdfs/GMD-1801-26.pdf#page=8","Abrir facsímil")</f>
        <v>Abrir facsímil</v>
      </c>
      <c r="K3648" s="15" t="s">
        <v>23</v>
      </c>
    </row>
    <row r="3649" spans="1:11" ht="42" customHeight="1">
      <c r="A3649" s="4" t="s">
        <v>8403</v>
      </c>
      <c r="B3649" s="5" t="s">
        <v>8403</v>
      </c>
      <c r="C3649" s="5" t="s">
        <v>38</v>
      </c>
      <c r="D3649" s="5" t="s">
        <v>39</v>
      </c>
      <c r="E3649" s="5" t="s">
        <v>919</v>
      </c>
      <c r="F3649" s="9">
        <v>91</v>
      </c>
      <c r="G3649" s="9">
        <v>1002</v>
      </c>
      <c r="H3649" s="5" t="s">
        <v>21</v>
      </c>
      <c r="I3649" s="5" t="s">
        <v>8404</v>
      </c>
      <c r="J3649" s="12" t="str">
        <f>HYPERLINK("https://www.boe.es/gazeta/dias/1801/09/22/pdfs/GMD-1801-91.pdf#page=5","Abrir facsímil")</f>
        <v>Abrir facsímil</v>
      </c>
      <c r="K3649" s="15" t="s">
        <v>23</v>
      </c>
    </row>
    <row r="3650" spans="1:11" ht="42" customHeight="1">
      <c r="A3650" s="4" t="s">
        <v>8405</v>
      </c>
      <c r="B3650" s="5" t="s">
        <v>8405</v>
      </c>
      <c r="C3650" s="5" t="s">
        <v>75</v>
      </c>
      <c r="D3650" s="5" t="s">
        <v>76</v>
      </c>
      <c r="E3650" s="5" t="s">
        <v>34</v>
      </c>
      <c r="F3650" s="9">
        <v>38</v>
      </c>
      <c r="G3650" s="9">
        <v>490</v>
      </c>
      <c r="H3650" s="5" t="s">
        <v>21</v>
      </c>
      <c r="I3650" s="5" t="s">
        <v>8406</v>
      </c>
      <c r="J3650" s="12" t="str">
        <f>HYPERLINK("https://www.boe.es/gazeta/dias/1801/05/12/pdfs/GMD-1801-38.pdf#page=6","Abrir facsímil")</f>
        <v>Abrir facsímil</v>
      </c>
      <c r="K3650" s="15" t="s">
        <v>23</v>
      </c>
    </row>
    <row r="3651" spans="1:11" ht="42" customHeight="1">
      <c r="A3651" s="4" t="s">
        <v>8407</v>
      </c>
      <c r="B3651" s="5" t="s">
        <v>8407</v>
      </c>
      <c r="C3651" s="5" t="s">
        <v>32</v>
      </c>
      <c r="D3651" s="5" t="s">
        <v>33</v>
      </c>
      <c r="E3651" s="5" t="s">
        <v>94</v>
      </c>
      <c r="F3651" s="9">
        <v>19</v>
      </c>
      <c r="G3651" s="9">
        <v>236</v>
      </c>
      <c r="H3651" s="5" t="s">
        <v>21</v>
      </c>
      <c r="I3651" s="5" t="s">
        <v>8408</v>
      </c>
      <c r="J3651" s="12" t="str">
        <f>HYPERLINK("https://www.boe.es/gazeta/dias/1801/03/06/pdfs/GMD-1801-19.pdf#page=1","Abrir facsímil")</f>
        <v>Abrir facsímil</v>
      </c>
      <c r="K3651" s="15" t="s">
        <v>23</v>
      </c>
    </row>
    <row r="3652" spans="1:11" ht="42" customHeight="1">
      <c r="A3652" s="4" t="s">
        <v>8409</v>
      </c>
      <c r="B3652" s="5" t="s">
        <v>8409</v>
      </c>
      <c r="C3652" s="5" t="s">
        <v>32</v>
      </c>
      <c r="D3652" s="5" t="s">
        <v>33</v>
      </c>
      <c r="E3652" s="5" t="s">
        <v>289</v>
      </c>
      <c r="F3652" s="9">
        <v>40</v>
      </c>
      <c r="G3652" s="9">
        <v>512</v>
      </c>
      <c r="H3652" s="5" t="s">
        <v>21</v>
      </c>
      <c r="I3652" s="5" t="s">
        <v>8410</v>
      </c>
      <c r="J3652" s="12" t="str">
        <f>HYPERLINK("https://www.boe.es/gazeta/dias/1801/05/19/pdfs/GMD-1801-40.pdf#page=4","Abrir facsímil")</f>
        <v>Abrir facsímil</v>
      </c>
      <c r="K3652" s="15" t="s">
        <v>23</v>
      </c>
    </row>
    <row r="3653" spans="1:11" ht="42" customHeight="1">
      <c r="A3653" s="4" t="s">
        <v>8411</v>
      </c>
      <c r="B3653" s="5" t="s">
        <v>8411</v>
      </c>
      <c r="C3653" s="5" t="s">
        <v>38</v>
      </c>
      <c r="D3653" s="5" t="s">
        <v>39</v>
      </c>
      <c r="E3653" s="5" t="s">
        <v>112</v>
      </c>
      <c r="F3653" s="9">
        <v>114</v>
      </c>
      <c r="G3653" s="9">
        <v>1245</v>
      </c>
      <c r="H3653" s="5" t="s">
        <v>21</v>
      </c>
      <c r="I3653" s="5" t="s">
        <v>8412</v>
      </c>
      <c r="J3653" s="12" t="str">
        <f>HYPERLINK("https://www.boe.es/gazeta/dias/1801/12/11/pdfs/GMD-1801-114.pdf#page=7","Abrir facsímil")</f>
        <v>Abrir facsímil</v>
      </c>
      <c r="K3653" s="15" t="s">
        <v>23</v>
      </c>
    </row>
    <row r="3654" spans="1:11" ht="42" customHeight="1">
      <c r="A3654" s="4" t="s">
        <v>8413</v>
      </c>
      <c r="B3654" s="5" t="s">
        <v>8413</v>
      </c>
      <c r="C3654" s="5" t="s">
        <v>75</v>
      </c>
      <c r="D3654" s="5" t="s">
        <v>76</v>
      </c>
      <c r="E3654" s="5" t="s">
        <v>120</v>
      </c>
      <c r="F3654" s="9">
        <v>7</v>
      </c>
      <c r="G3654" s="9">
        <v>81</v>
      </c>
      <c r="H3654" s="5" t="s">
        <v>21</v>
      </c>
      <c r="I3654" s="5" t="s">
        <v>8297</v>
      </c>
      <c r="J3654" s="12" t="str">
        <f>HYPERLINK("https://www.boe.es/gazeta/dias/1801/01/23/pdfs/GMD-1801-7.pdf#page=5","Abrir facsímil")</f>
        <v>Abrir facsímil</v>
      </c>
      <c r="K3654" s="15" t="s">
        <v>23</v>
      </c>
    </row>
    <row r="3655" spans="1:11" ht="42" customHeight="1">
      <c r="A3655" s="4" t="s">
        <v>8414</v>
      </c>
      <c r="B3655" s="5" t="s">
        <v>8414</v>
      </c>
      <c r="C3655" s="5" t="s">
        <v>75</v>
      </c>
      <c r="D3655" s="5" t="s">
        <v>76</v>
      </c>
      <c r="E3655" s="5" t="s">
        <v>215</v>
      </c>
      <c r="F3655" s="9">
        <v>71</v>
      </c>
      <c r="G3655" s="9">
        <v>783</v>
      </c>
      <c r="H3655" s="5" t="s">
        <v>21</v>
      </c>
      <c r="I3655" s="5" t="s">
        <v>8415</v>
      </c>
      <c r="J3655" s="12" t="str">
        <f>HYPERLINK("https://www.boe.es/gazeta/dias/1801/07/21/pdfs/GMD-1801-71.pdf#page=4","Abrir facsímil")</f>
        <v>Abrir facsímil</v>
      </c>
      <c r="K3655" s="15" t="s">
        <v>23</v>
      </c>
    </row>
    <row r="3656" spans="1:11" ht="42" customHeight="1">
      <c r="A3656" s="4" t="s">
        <v>8416</v>
      </c>
      <c r="B3656" s="5" t="s">
        <v>8416</v>
      </c>
      <c r="C3656" s="5" t="s">
        <v>38</v>
      </c>
      <c r="D3656" s="5" t="s">
        <v>39</v>
      </c>
      <c r="E3656" s="5" t="s">
        <v>453</v>
      </c>
      <c r="F3656" s="9">
        <v>100</v>
      </c>
      <c r="G3656" s="9">
        <v>1096</v>
      </c>
      <c r="H3656" s="5" t="s">
        <v>21</v>
      </c>
      <c r="I3656" s="5" t="s">
        <v>8417</v>
      </c>
      <c r="J3656" s="12" t="str">
        <f>HYPERLINK("https://www.boe.es/gazeta/dias/1801/10/23/pdfs/GMD-1801-100.pdf#page=5","Abrir facsímil")</f>
        <v>Abrir facsímil</v>
      </c>
      <c r="K3656" s="15" t="s">
        <v>23</v>
      </c>
    </row>
    <row r="3657" spans="1:11" ht="42" customHeight="1">
      <c r="A3657" s="4" t="s">
        <v>8418</v>
      </c>
      <c r="B3657" s="5" t="s">
        <v>8418</v>
      </c>
      <c r="C3657" s="5" t="s">
        <v>32</v>
      </c>
      <c r="D3657" s="5" t="s">
        <v>33</v>
      </c>
      <c r="E3657" s="5" t="s">
        <v>1085</v>
      </c>
      <c r="F3657" s="9">
        <v>99</v>
      </c>
      <c r="G3657" s="9">
        <v>1088</v>
      </c>
      <c r="H3657" s="5" t="s">
        <v>21</v>
      </c>
      <c r="I3657" s="5" t="s">
        <v>8419</v>
      </c>
      <c r="J3657" s="12" t="str">
        <f>HYPERLINK("https://www.boe.es/gazeta/dias/1801/10/20/pdfs/GMD-1801-99.pdf#page=5","Abrir facsímil")</f>
        <v>Abrir facsímil</v>
      </c>
      <c r="K3657" s="15" t="s">
        <v>23</v>
      </c>
    </row>
    <row r="3658" spans="1:11" ht="42" customHeight="1">
      <c r="A3658" s="4" t="s">
        <v>8420</v>
      </c>
      <c r="B3658" s="5" t="s">
        <v>8420</v>
      </c>
      <c r="C3658" s="5" t="s">
        <v>18</v>
      </c>
      <c r="D3658" s="5" t="s">
        <v>19</v>
      </c>
      <c r="E3658" s="5" t="s">
        <v>465</v>
      </c>
      <c r="F3658" s="9">
        <v>4</v>
      </c>
      <c r="G3658" s="9">
        <v>37</v>
      </c>
      <c r="H3658" s="5" t="s">
        <v>21</v>
      </c>
      <c r="I3658" s="5" t="s">
        <v>8421</v>
      </c>
      <c r="J3658" s="12" t="str">
        <f>HYPERLINK("https://www.boe.es/gazeta/dias/1801/01/13/pdfs/GMD-1801-4.pdf#page=1","Abrir facsímil")</f>
        <v>Abrir facsímil</v>
      </c>
      <c r="K3658" s="15" t="s">
        <v>23</v>
      </c>
    </row>
    <row r="3659" spans="1:11" ht="42" customHeight="1">
      <c r="A3659" s="4" t="s">
        <v>8422</v>
      </c>
      <c r="B3659" s="5" t="s">
        <v>8422</v>
      </c>
      <c r="C3659" s="5" t="s">
        <v>75</v>
      </c>
      <c r="D3659" s="5" t="s">
        <v>76</v>
      </c>
      <c r="E3659" s="5" t="s">
        <v>70</v>
      </c>
      <c r="F3659" s="9">
        <v>2</v>
      </c>
      <c r="G3659" s="9">
        <v>17</v>
      </c>
      <c r="H3659" s="5" t="s">
        <v>21</v>
      </c>
      <c r="I3659" s="5" t="s">
        <v>8423</v>
      </c>
      <c r="J3659" s="12" t="str">
        <f>HYPERLINK("https://www.boe.es/gazeta/dias/1801/01/06/pdfs/GMD-1801-2.pdf#page=5","Abrir facsímil")</f>
        <v>Abrir facsímil</v>
      </c>
      <c r="K3659" s="15" t="s">
        <v>23</v>
      </c>
    </row>
    <row r="3660" spans="1:11" ht="42" customHeight="1">
      <c r="A3660" s="4" t="s">
        <v>8424</v>
      </c>
      <c r="B3660" s="5" t="s">
        <v>8424</v>
      </c>
      <c r="C3660" s="5" t="s">
        <v>75</v>
      </c>
      <c r="D3660" s="5" t="s">
        <v>76</v>
      </c>
      <c r="E3660" s="5" t="s">
        <v>151</v>
      </c>
      <c r="F3660" s="9">
        <v>45</v>
      </c>
      <c r="G3660" s="9">
        <v>556</v>
      </c>
      <c r="H3660" s="5" t="s">
        <v>21</v>
      </c>
      <c r="I3660" s="5" t="s">
        <v>8425</v>
      </c>
      <c r="J3660" s="12" t="str">
        <f>HYPERLINK("https://www.boe.es/gazeta/dias/1801/06/02/pdfs/GMD-1801-45.pdf#page=4","Abrir facsímil")</f>
        <v>Abrir facsímil</v>
      </c>
      <c r="K3660" s="15" t="s">
        <v>23</v>
      </c>
    </row>
    <row r="3661" spans="1:11" ht="42" customHeight="1">
      <c r="A3661" s="4" t="s">
        <v>8426</v>
      </c>
      <c r="B3661" s="5" t="s">
        <v>8426</v>
      </c>
      <c r="C3661" s="5" t="s">
        <v>38</v>
      </c>
      <c r="D3661" s="5" t="s">
        <v>39</v>
      </c>
      <c r="E3661" s="5" t="s">
        <v>112</v>
      </c>
      <c r="F3661" s="9">
        <v>114</v>
      </c>
      <c r="G3661" s="9">
        <v>1245</v>
      </c>
      <c r="H3661" s="5" t="s">
        <v>21</v>
      </c>
      <c r="I3661" s="5" t="s">
        <v>8412</v>
      </c>
      <c r="J3661" s="12" t="str">
        <f>HYPERLINK("https://www.boe.es/gazeta/dias/1801/12/11/pdfs/GMD-1801-114.pdf#page=7","Abrir facsímil")</f>
        <v>Abrir facsímil</v>
      </c>
      <c r="K3661" s="15" t="s">
        <v>23</v>
      </c>
    </row>
    <row r="3662" spans="1:11" ht="42" customHeight="1">
      <c r="A3662" s="4" t="s">
        <v>8427</v>
      </c>
      <c r="B3662" s="5" t="s">
        <v>8427</v>
      </c>
      <c r="C3662" s="5" t="s">
        <v>32</v>
      </c>
      <c r="D3662" s="5" t="s">
        <v>33</v>
      </c>
      <c r="E3662" s="5" t="s">
        <v>141</v>
      </c>
      <c r="F3662" s="9">
        <v>33</v>
      </c>
      <c r="G3662" s="9">
        <v>425</v>
      </c>
      <c r="H3662" s="5" t="s">
        <v>21</v>
      </c>
      <c r="I3662" s="5" t="s">
        <v>8362</v>
      </c>
      <c r="J3662" s="12" t="str">
        <f>HYPERLINK("https://www.boe.es/gazeta/dias/1801/04/24/pdfs/GMD-1801-33.pdf#page=9","Abrir facsímil")</f>
        <v>Abrir facsímil</v>
      </c>
      <c r="K3662" s="15" t="s">
        <v>23</v>
      </c>
    </row>
    <row r="3663" spans="1:11" ht="42" customHeight="1">
      <c r="A3663" s="4" t="s">
        <v>8428</v>
      </c>
      <c r="B3663" s="5" t="s">
        <v>8428</v>
      </c>
      <c r="C3663" s="5" t="s">
        <v>75</v>
      </c>
      <c r="D3663" s="5" t="s">
        <v>76</v>
      </c>
      <c r="E3663" s="5" t="s">
        <v>99</v>
      </c>
      <c r="F3663" s="9">
        <v>32</v>
      </c>
      <c r="G3663" s="9">
        <v>407</v>
      </c>
      <c r="H3663" s="5" t="s">
        <v>21</v>
      </c>
      <c r="I3663" s="5" t="s">
        <v>8382</v>
      </c>
      <c r="J3663" s="12" t="str">
        <f>HYPERLINK("https://www.boe.es/gazeta/dias/1801/04/21/pdfs/GMD-1801-32.pdf#page=3","Abrir facsímil")</f>
        <v>Abrir facsímil</v>
      </c>
      <c r="K3663" s="15" t="s">
        <v>23</v>
      </c>
    </row>
    <row r="3664" spans="1:11" ht="42" customHeight="1">
      <c r="A3664" s="4" t="s">
        <v>8429</v>
      </c>
      <c r="B3664" s="5" t="s">
        <v>8429</v>
      </c>
      <c r="C3664" s="5" t="s">
        <v>75</v>
      </c>
      <c r="D3664" s="5" t="s">
        <v>76</v>
      </c>
      <c r="E3664" s="5" t="s">
        <v>151</v>
      </c>
      <c r="F3664" s="9">
        <v>45</v>
      </c>
      <c r="G3664" s="9">
        <v>556</v>
      </c>
      <c r="H3664" s="5" t="s">
        <v>21</v>
      </c>
      <c r="I3664" s="5" t="s">
        <v>8430</v>
      </c>
      <c r="J3664" s="12" t="str">
        <f>HYPERLINK("https://www.boe.es/gazeta/dias/1801/06/02/pdfs/GMD-1801-45.pdf#page=4","Abrir facsímil")</f>
        <v>Abrir facsímil</v>
      </c>
      <c r="K3664" s="15" t="s">
        <v>23</v>
      </c>
    </row>
    <row r="3665" spans="1:11" ht="42" customHeight="1">
      <c r="A3665" s="4" t="s">
        <v>8431</v>
      </c>
      <c r="B3665" s="5" t="s">
        <v>8431</v>
      </c>
      <c r="C3665" s="5" t="s">
        <v>75</v>
      </c>
      <c r="D3665" s="5" t="s">
        <v>76</v>
      </c>
      <c r="E3665" s="5" t="s">
        <v>201</v>
      </c>
      <c r="F3665" s="9">
        <v>79</v>
      </c>
      <c r="G3665" s="9">
        <v>887</v>
      </c>
      <c r="H3665" s="5" t="s">
        <v>21</v>
      </c>
      <c r="I3665" s="5" t="s">
        <v>8432</v>
      </c>
      <c r="J3665" s="12" t="str">
        <f>HYPERLINK("https://www.boe.es/gazeta/dias/1801/08/18/pdfs/GMD-1801-79.pdf#page=4","Abrir facsímil")</f>
        <v>Abrir facsímil</v>
      </c>
      <c r="K3665" s="15" t="s">
        <v>23</v>
      </c>
    </row>
    <row r="3666" spans="1:11" ht="42" customHeight="1">
      <c r="A3666" s="4" t="s">
        <v>8433</v>
      </c>
      <c r="B3666" s="5" t="s">
        <v>8433</v>
      </c>
      <c r="C3666" s="5" t="s">
        <v>32</v>
      </c>
      <c r="D3666" s="5" t="s">
        <v>33</v>
      </c>
      <c r="E3666" s="5" t="s">
        <v>82</v>
      </c>
      <c r="F3666" s="9">
        <v>75</v>
      </c>
      <c r="G3666" s="9">
        <v>836</v>
      </c>
      <c r="H3666" s="5" t="s">
        <v>21</v>
      </c>
      <c r="I3666" s="5" t="s">
        <v>8287</v>
      </c>
      <c r="J3666" s="12" t="str">
        <f>HYPERLINK("https://www.boe.es/gazeta/dias/1801/08/04/pdfs/GMD-1801-75.pdf#page=5","Abrir facsímil")</f>
        <v>Abrir facsímil</v>
      </c>
      <c r="K3666" s="15" t="s">
        <v>23</v>
      </c>
    </row>
    <row r="3667" spans="1:11" ht="42" customHeight="1">
      <c r="A3667" s="4" t="s">
        <v>8434</v>
      </c>
      <c r="B3667" s="5" t="s">
        <v>8434</v>
      </c>
      <c r="C3667" s="5" t="s">
        <v>38</v>
      </c>
      <c r="D3667" s="5" t="s">
        <v>39</v>
      </c>
      <c r="E3667" s="5" t="s">
        <v>161</v>
      </c>
      <c r="F3667" s="9">
        <v>58</v>
      </c>
      <c r="G3667" s="9">
        <v>662</v>
      </c>
      <c r="H3667" s="5" t="s">
        <v>21</v>
      </c>
      <c r="I3667" s="5" t="s">
        <v>8435</v>
      </c>
      <c r="J3667" s="12" t="str">
        <f>HYPERLINK("https://www.boe.es/gazeta/dias/1801/06/19/pdfs/GMD-1801-58.pdf#page=7","Abrir facsímil")</f>
        <v>Abrir facsímil</v>
      </c>
      <c r="K3667" s="15" t="s">
        <v>23</v>
      </c>
    </row>
    <row r="3668" spans="1:11" ht="42" customHeight="1">
      <c r="A3668" s="4" t="s">
        <v>8436</v>
      </c>
      <c r="B3668" s="5" t="s">
        <v>8436</v>
      </c>
      <c r="C3668" s="5" t="s">
        <v>32</v>
      </c>
      <c r="D3668" s="5" t="s">
        <v>33</v>
      </c>
      <c r="E3668" s="5" t="s">
        <v>66</v>
      </c>
      <c r="F3668" s="9">
        <v>52</v>
      </c>
      <c r="G3668" s="9">
        <v>606</v>
      </c>
      <c r="H3668" s="5" t="s">
        <v>21</v>
      </c>
      <c r="I3668" s="5" t="s">
        <v>8283</v>
      </c>
      <c r="J3668" s="12" t="str">
        <f>HYPERLINK("https://www.boe.es/gazeta/dias/1801/06/12/pdfs/GMD-1801-52.pdf#page=5","Abrir facsímil")</f>
        <v>Abrir facsímil</v>
      </c>
      <c r="K3668" s="15" t="s">
        <v>23</v>
      </c>
    </row>
    <row r="3669" spans="1:11" ht="42" customHeight="1">
      <c r="A3669" s="4" t="s">
        <v>8437</v>
      </c>
      <c r="B3669" s="5" t="s">
        <v>8437</v>
      </c>
      <c r="C3669" s="5" t="s">
        <v>32</v>
      </c>
      <c r="D3669" s="5" t="s">
        <v>33</v>
      </c>
      <c r="E3669" s="5" t="s">
        <v>94</v>
      </c>
      <c r="F3669" s="9">
        <v>19</v>
      </c>
      <c r="G3669" s="9">
        <v>236</v>
      </c>
      <c r="H3669" s="5" t="s">
        <v>21</v>
      </c>
      <c r="I3669" s="5" t="s">
        <v>8408</v>
      </c>
      <c r="J3669" s="12" t="str">
        <f>HYPERLINK("https://www.boe.es/gazeta/dias/1801/03/06/pdfs/GMD-1801-19.pdf#page=1","Abrir facsímil")</f>
        <v>Abrir facsímil</v>
      </c>
      <c r="K3669" s="15" t="s">
        <v>23</v>
      </c>
    </row>
    <row r="3670" spans="1:11" ht="42" customHeight="1">
      <c r="A3670" s="4" t="s">
        <v>8438</v>
      </c>
      <c r="B3670" s="5" t="s">
        <v>8438</v>
      </c>
      <c r="C3670" s="5" t="s">
        <v>75</v>
      </c>
      <c r="D3670" s="5" t="s">
        <v>76</v>
      </c>
      <c r="E3670" s="5" t="s">
        <v>90</v>
      </c>
      <c r="F3670" s="9">
        <v>1</v>
      </c>
      <c r="G3670" s="9">
        <v>6</v>
      </c>
      <c r="H3670" s="5" t="s">
        <v>21</v>
      </c>
      <c r="I3670" s="5" t="s">
        <v>8281</v>
      </c>
      <c r="J3670" s="12" t="str">
        <f>HYPERLINK("https://www.boe.es/gazeta/dias/1801/01/02/pdfs/GMD-1801-1.pdf#page=6","Abrir facsímil")</f>
        <v>Abrir facsímil</v>
      </c>
      <c r="K3670" s="15" t="s">
        <v>23</v>
      </c>
    </row>
    <row r="3671" spans="1:11" ht="42" customHeight="1">
      <c r="A3671" s="4" t="s">
        <v>8439</v>
      </c>
      <c r="B3671" s="5" t="s">
        <v>8439</v>
      </c>
      <c r="C3671" s="5" t="s">
        <v>75</v>
      </c>
      <c r="D3671" s="5" t="s">
        <v>76</v>
      </c>
      <c r="E3671" s="5" t="s">
        <v>151</v>
      </c>
      <c r="F3671" s="9">
        <v>45</v>
      </c>
      <c r="G3671" s="9">
        <v>556</v>
      </c>
      <c r="H3671" s="5" t="s">
        <v>21</v>
      </c>
      <c r="I3671" s="5" t="s">
        <v>8440</v>
      </c>
      <c r="J3671" s="12" t="str">
        <f>HYPERLINK("https://www.boe.es/gazeta/dias/1801/06/02/pdfs/GMD-1801-45.pdf#page=4","Abrir facsímil")</f>
        <v>Abrir facsímil</v>
      </c>
      <c r="K3671" s="15" t="s">
        <v>23</v>
      </c>
    </row>
    <row r="3672" spans="1:11" ht="42" customHeight="1">
      <c r="A3672" s="4" t="s">
        <v>8441</v>
      </c>
      <c r="B3672" s="5" t="s">
        <v>8441</v>
      </c>
      <c r="C3672" s="5" t="s">
        <v>75</v>
      </c>
      <c r="D3672" s="5" t="s">
        <v>76</v>
      </c>
      <c r="E3672" s="5" t="s">
        <v>151</v>
      </c>
      <c r="F3672" s="9">
        <v>45</v>
      </c>
      <c r="G3672" s="9">
        <v>556</v>
      </c>
      <c r="H3672" s="5" t="s">
        <v>21</v>
      </c>
      <c r="I3672" s="5" t="s">
        <v>8430</v>
      </c>
      <c r="J3672" s="12" t="str">
        <f>HYPERLINK("https://www.boe.es/gazeta/dias/1801/06/02/pdfs/GMD-1801-45.pdf#page=4","Abrir facsímil")</f>
        <v>Abrir facsímil</v>
      </c>
      <c r="K3672" s="15" t="s">
        <v>23</v>
      </c>
    </row>
    <row r="3673" spans="1:11" ht="42" customHeight="1">
      <c r="A3673" s="4" t="s">
        <v>8442</v>
      </c>
      <c r="B3673" s="5" t="s">
        <v>8442</v>
      </c>
      <c r="C3673" s="5" t="s">
        <v>18</v>
      </c>
      <c r="D3673" s="5" t="s">
        <v>19</v>
      </c>
      <c r="E3673" s="5" t="s">
        <v>1015</v>
      </c>
      <c r="F3673" s="9">
        <v>15</v>
      </c>
      <c r="G3673" s="9">
        <v>189</v>
      </c>
      <c r="H3673" s="5" t="s">
        <v>21</v>
      </c>
      <c r="I3673" s="5" t="s">
        <v>8443</v>
      </c>
      <c r="J3673" s="12" t="str">
        <f>HYPERLINK("https://www.boe.es/gazeta/dias/1801/02/20/pdfs/GMD-1801-15.pdf#page=8","Abrir facsímil")</f>
        <v>Abrir facsímil</v>
      </c>
      <c r="K3673" s="15" t="s">
        <v>23</v>
      </c>
    </row>
    <row r="3674" spans="1:11" ht="42" customHeight="1">
      <c r="A3674" s="4" t="s">
        <v>8444</v>
      </c>
      <c r="B3674" s="5" t="s">
        <v>8444</v>
      </c>
      <c r="C3674" s="5" t="s">
        <v>38</v>
      </c>
      <c r="D3674" s="5" t="s">
        <v>39</v>
      </c>
      <c r="E3674" s="5" t="s">
        <v>735</v>
      </c>
      <c r="F3674" s="9">
        <v>97</v>
      </c>
      <c r="G3674" s="9">
        <v>1064</v>
      </c>
      <c r="H3674" s="5" t="s">
        <v>21</v>
      </c>
      <c r="I3674" s="5" t="s">
        <v>8445</v>
      </c>
      <c r="J3674" s="12" t="str">
        <f>HYPERLINK("https://www.boe.es/gazeta/dias/1801/10/13/pdfs/GMD-1801-97.pdf#page=8","Abrir facsímil")</f>
        <v>Abrir facsímil</v>
      </c>
      <c r="K3674" s="15" t="s">
        <v>23</v>
      </c>
    </row>
    <row r="3675" spans="1:11" ht="42" customHeight="1">
      <c r="A3675" s="4" t="s">
        <v>8446</v>
      </c>
      <c r="B3675" s="5" t="s">
        <v>8446</v>
      </c>
      <c r="C3675" s="5" t="s">
        <v>75</v>
      </c>
      <c r="D3675" s="5" t="s">
        <v>76</v>
      </c>
      <c r="E3675" s="5" t="s">
        <v>151</v>
      </c>
      <c r="F3675" s="9">
        <v>45</v>
      </c>
      <c r="G3675" s="9">
        <v>556</v>
      </c>
      <c r="H3675" s="5" t="s">
        <v>21</v>
      </c>
      <c r="I3675" s="5" t="s">
        <v>8447</v>
      </c>
      <c r="J3675" s="12" t="str">
        <f>HYPERLINK("https://www.boe.es/gazeta/dias/1801/06/02/pdfs/GMD-1801-45.pdf#page=4","Abrir facsímil")</f>
        <v>Abrir facsímil</v>
      </c>
      <c r="K3675" s="15" t="s">
        <v>23</v>
      </c>
    </row>
    <row r="3676" spans="1:11" ht="42" customHeight="1">
      <c r="A3676" s="4" t="s">
        <v>8448</v>
      </c>
      <c r="B3676" s="5" t="s">
        <v>8448</v>
      </c>
      <c r="C3676" s="5" t="s">
        <v>26</v>
      </c>
      <c r="D3676" s="5" t="s">
        <v>27</v>
      </c>
      <c r="E3676" s="5" t="s">
        <v>137</v>
      </c>
      <c r="F3676" s="9">
        <v>30</v>
      </c>
      <c r="G3676" s="9">
        <v>393</v>
      </c>
      <c r="H3676" s="5" t="s">
        <v>21</v>
      </c>
      <c r="I3676" s="5" t="s">
        <v>8449</v>
      </c>
      <c r="J3676" s="12" t="str">
        <f>HYPERLINK("https://www.boe.es/gazeta/dias/1801/04/14/pdfs/GMD-1801-30.pdf#page=9","Abrir facsímil")</f>
        <v>Abrir facsímil</v>
      </c>
      <c r="K3676" s="15" t="s">
        <v>23</v>
      </c>
    </row>
    <row r="3677" spans="1:11" ht="42" customHeight="1">
      <c r="A3677" s="4" t="s">
        <v>8450</v>
      </c>
      <c r="B3677" s="5" t="s">
        <v>8450</v>
      </c>
      <c r="C3677" s="5" t="s">
        <v>75</v>
      </c>
      <c r="D3677" s="5" t="s">
        <v>76</v>
      </c>
      <c r="E3677" s="5" t="s">
        <v>94</v>
      </c>
      <c r="F3677" s="9">
        <v>19</v>
      </c>
      <c r="G3677" s="9">
        <v>242</v>
      </c>
      <c r="H3677" s="5" t="s">
        <v>21</v>
      </c>
      <c r="I3677" s="5" t="s">
        <v>8451</v>
      </c>
      <c r="J3677" s="12" t="str">
        <f>HYPERLINK("https://www.boe.es/gazeta/dias/1801/03/06/pdfs/GMD-1801-19.pdf#page=7","Abrir facsímil")</f>
        <v>Abrir facsímil</v>
      </c>
      <c r="K3677" s="15" t="s">
        <v>23</v>
      </c>
    </row>
    <row r="3678" spans="1:11" ht="42" customHeight="1">
      <c r="A3678" s="4" t="s">
        <v>8452</v>
      </c>
      <c r="B3678" s="5" t="s">
        <v>8452</v>
      </c>
      <c r="C3678" s="5" t="s">
        <v>18</v>
      </c>
      <c r="D3678" s="5" t="s">
        <v>19</v>
      </c>
      <c r="E3678" s="5" t="s">
        <v>70</v>
      </c>
      <c r="F3678" s="9">
        <v>2</v>
      </c>
      <c r="G3678" s="9">
        <v>16</v>
      </c>
      <c r="H3678" s="5" t="s">
        <v>21</v>
      </c>
      <c r="I3678" s="5" t="s">
        <v>8366</v>
      </c>
      <c r="J3678" s="12" t="str">
        <f>HYPERLINK("https://www.boe.es/gazeta/dias/1801/01/06/pdfs/GMD-1801-2.pdf#page=4","Abrir facsímil")</f>
        <v>Abrir facsímil</v>
      </c>
      <c r="K3678" s="15" t="s">
        <v>23</v>
      </c>
    </row>
    <row r="3679" spans="1:11" ht="42" customHeight="1">
      <c r="A3679" s="4" t="s">
        <v>8453</v>
      </c>
      <c r="B3679" s="5" t="s">
        <v>8453</v>
      </c>
      <c r="C3679" s="5" t="s">
        <v>32</v>
      </c>
      <c r="D3679" s="5" t="s">
        <v>33</v>
      </c>
      <c r="E3679" s="5" t="s">
        <v>128</v>
      </c>
      <c r="F3679" s="9">
        <v>17</v>
      </c>
      <c r="G3679" s="9">
        <v>207</v>
      </c>
      <c r="H3679" s="5" t="s">
        <v>21</v>
      </c>
      <c r="I3679" s="5" t="s">
        <v>8454</v>
      </c>
      <c r="J3679" s="12" t="str">
        <f>HYPERLINK("https://www.boe.es/gazeta/dias/1801/02/27/pdfs/GMD-1801-17.pdf#page=2","Abrir facsímil")</f>
        <v>Abrir facsímil</v>
      </c>
      <c r="K3679" s="15" t="s">
        <v>23</v>
      </c>
    </row>
    <row r="3680" spans="1:11" ht="42" customHeight="1">
      <c r="A3680" s="4" t="s">
        <v>8455</v>
      </c>
      <c r="B3680" s="5" t="s">
        <v>8455</v>
      </c>
      <c r="C3680" s="5" t="s">
        <v>26</v>
      </c>
      <c r="D3680" s="5" t="s">
        <v>27</v>
      </c>
      <c r="E3680" s="5" t="s">
        <v>28</v>
      </c>
      <c r="F3680" s="9">
        <v>77</v>
      </c>
      <c r="G3680" s="9">
        <v>865</v>
      </c>
      <c r="H3680" s="5" t="s">
        <v>21</v>
      </c>
      <c r="I3680" s="5" t="s">
        <v>8346</v>
      </c>
      <c r="J3680" s="12" t="str">
        <f>HYPERLINK("https://www.boe.es/gazeta/dias/1801/08/11/pdfs/GMD-1801-77.pdf#page=10","Abrir facsímil")</f>
        <v>Abrir facsímil</v>
      </c>
      <c r="K3680" s="15" t="s">
        <v>23</v>
      </c>
    </row>
    <row r="3681" spans="1:11" ht="42" customHeight="1">
      <c r="A3681" s="4" t="s">
        <v>8456</v>
      </c>
      <c r="B3681" s="5" t="s">
        <v>8456</v>
      </c>
      <c r="C3681" s="5" t="s">
        <v>18</v>
      </c>
      <c r="D3681" s="5" t="s">
        <v>19</v>
      </c>
      <c r="E3681" s="5" t="s">
        <v>1015</v>
      </c>
      <c r="F3681" s="9">
        <v>15</v>
      </c>
      <c r="G3681" s="9">
        <v>189</v>
      </c>
      <c r="H3681" s="5" t="s">
        <v>21</v>
      </c>
      <c r="I3681" s="5" t="s">
        <v>8443</v>
      </c>
      <c r="J3681" s="12" t="str">
        <f>HYPERLINK("https://www.boe.es/gazeta/dias/1801/02/20/pdfs/GMD-1801-15.pdf#page=8","Abrir facsímil")</f>
        <v>Abrir facsímil</v>
      </c>
      <c r="K3681" s="15" t="s">
        <v>23</v>
      </c>
    </row>
    <row r="3682" spans="1:11" ht="42" customHeight="1">
      <c r="A3682" s="4" t="s">
        <v>8457</v>
      </c>
      <c r="B3682" s="5" t="s">
        <v>8457</v>
      </c>
      <c r="C3682" s="5" t="s">
        <v>38</v>
      </c>
      <c r="D3682" s="5" t="s">
        <v>39</v>
      </c>
      <c r="E3682" s="5" t="s">
        <v>77</v>
      </c>
      <c r="F3682" s="9">
        <v>93</v>
      </c>
      <c r="G3682" s="9">
        <v>1019</v>
      </c>
      <c r="H3682" s="5" t="s">
        <v>21</v>
      </c>
      <c r="I3682" s="5" t="s">
        <v>8458</v>
      </c>
      <c r="J3682" s="12" t="str">
        <f>HYPERLINK("https://www.boe.es/gazeta/dias/1801/09/29/pdfs/GMD-1801-93.pdf#page=6","Abrir facsímil")</f>
        <v>Abrir facsímil</v>
      </c>
      <c r="K3682" s="15" t="s">
        <v>23</v>
      </c>
    </row>
    <row r="3683" spans="1:11" ht="42" customHeight="1">
      <c r="A3683" s="4" t="s">
        <v>8459</v>
      </c>
      <c r="B3683" s="5" t="s">
        <v>8459</v>
      </c>
      <c r="C3683" s="5" t="s">
        <v>75</v>
      </c>
      <c r="D3683" s="5" t="s">
        <v>76</v>
      </c>
      <c r="E3683" s="5" t="s">
        <v>215</v>
      </c>
      <c r="F3683" s="9">
        <v>71</v>
      </c>
      <c r="G3683" s="9">
        <v>783</v>
      </c>
      <c r="H3683" s="5" t="s">
        <v>21</v>
      </c>
      <c r="I3683" s="5" t="s">
        <v>8415</v>
      </c>
      <c r="J3683" s="12" t="str">
        <f>HYPERLINK("https://www.boe.es/gazeta/dias/1801/07/21/pdfs/GMD-1801-71.pdf#page=4","Abrir facsímil")</f>
        <v>Abrir facsímil</v>
      </c>
      <c r="K3683" s="15" t="s">
        <v>23</v>
      </c>
    </row>
    <row r="3684" spans="1:11" ht="42" customHeight="1">
      <c r="A3684" s="4" t="s">
        <v>8460</v>
      </c>
      <c r="B3684" s="5" t="s">
        <v>8460</v>
      </c>
      <c r="C3684" s="5" t="s">
        <v>32</v>
      </c>
      <c r="D3684" s="5" t="s">
        <v>33</v>
      </c>
      <c r="E3684" s="5" t="s">
        <v>190</v>
      </c>
      <c r="F3684" s="9">
        <v>16</v>
      </c>
      <c r="G3684" s="9">
        <v>198</v>
      </c>
      <c r="H3684" s="5" t="s">
        <v>21</v>
      </c>
      <c r="I3684" s="5" t="s">
        <v>8368</v>
      </c>
      <c r="J3684" s="12" t="str">
        <f>HYPERLINK("https://www.boe.es/gazeta/dias/1801/02/24/pdfs/GMD-1801-16.pdf#page=5","Abrir facsímil")</f>
        <v>Abrir facsímil</v>
      </c>
      <c r="K3684" s="15" t="s">
        <v>23</v>
      </c>
    </row>
    <row r="3685" spans="1:11" ht="42" customHeight="1">
      <c r="A3685" s="4" t="s">
        <v>8461</v>
      </c>
      <c r="B3685" s="5" t="s">
        <v>8461</v>
      </c>
      <c r="C3685" s="5" t="s">
        <v>38</v>
      </c>
      <c r="D3685" s="5" t="s">
        <v>39</v>
      </c>
      <c r="E3685" s="5" t="s">
        <v>219</v>
      </c>
      <c r="F3685" s="9">
        <v>26</v>
      </c>
      <c r="G3685" s="9">
        <v>343</v>
      </c>
      <c r="H3685" s="5" t="s">
        <v>21</v>
      </c>
      <c r="I3685" s="5" t="s">
        <v>8462</v>
      </c>
      <c r="J3685" s="12" t="str">
        <f>HYPERLINK("https://www.boe.es/gazeta/dias/1801/03/31/pdfs/GMD-1801-26.pdf#page=7","Abrir facsímil")</f>
        <v>Abrir facsímil</v>
      </c>
      <c r="K3685" s="15" t="s">
        <v>23</v>
      </c>
    </row>
    <row r="3686" spans="1:11" ht="42" customHeight="1">
      <c r="A3686" s="4" t="s">
        <v>8463</v>
      </c>
      <c r="B3686" s="5" t="s">
        <v>8463</v>
      </c>
      <c r="C3686" s="5" t="s">
        <v>75</v>
      </c>
      <c r="D3686" s="5" t="s">
        <v>76</v>
      </c>
      <c r="E3686" s="5" t="s">
        <v>120</v>
      </c>
      <c r="F3686" s="9">
        <v>7</v>
      </c>
      <c r="G3686" s="9">
        <v>82</v>
      </c>
      <c r="H3686" s="5" t="s">
        <v>21</v>
      </c>
      <c r="I3686" s="5" t="s">
        <v>8464</v>
      </c>
      <c r="J3686" s="12" t="str">
        <f>HYPERLINK("https://www.boe.es/gazeta/dias/1801/01/23/pdfs/GMD-1801-7.pdf#page=6","Abrir facsímil")</f>
        <v>Abrir facsímil</v>
      </c>
      <c r="K3686" s="15" t="s">
        <v>23</v>
      </c>
    </row>
    <row r="3687" spans="1:11" ht="42" customHeight="1">
      <c r="A3687" s="4" t="s">
        <v>8465</v>
      </c>
      <c r="B3687" s="5" t="s">
        <v>8465</v>
      </c>
      <c r="C3687" s="5" t="s">
        <v>32</v>
      </c>
      <c r="D3687" s="5" t="s">
        <v>33</v>
      </c>
      <c r="E3687" s="5" t="s">
        <v>289</v>
      </c>
      <c r="F3687" s="9">
        <v>40</v>
      </c>
      <c r="G3687" s="9">
        <v>512</v>
      </c>
      <c r="H3687" s="5" t="s">
        <v>21</v>
      </c>
      <c r="I3687" s="5" t="s">
        <v>8410</v>
      </c>
      <c r="J3687" s="12" t="str">
        <f>HYPERLINK("https://www.boe.es/gazeta/dias/1801/05/19/pdfs/GMD-1801-40.pdf#page=4","Abrir facsímil")</f>
        <v>Abrir facsímil</v>
      </c>
      <c r="K3687" s="15" t="s">
        <v>23</v>
      </c>
    </row>
    <row r="3688" spans="1:11" ht="42" customHeight="1">
      <c r="A3688" s="4" t="s">
        <v>8466</v>
      </c>
      <c r="B3688" s="5" t="s">
        <v>8466</v>
      </c>
      <c r="C3688" s="5" t="s">
        <v>75</v>
      </c>
      <c r="D3688" s="5" t="s">
        <v>76</v>
      </c>
      <c r="E3688" s="5" t="s">
        <v>62</v>
      </c>
      <c r="F3688" s="9">
        <v>6</v>
      </c>
      <c r="G3688" s="9">
        <v>68</v>
      </c>
      <c r="H3688" s="5" t="s">
        <v>21</v>
      </c>
      <c r="I3688" s="5" t="s">
        <v>8467</v>
      </c>
      <c r="J3688" s="12" t="str">
        <f>HYPERLINK("https://www.boe.es/gazeta/dias/1801/01/20/pdfs/GMD-1801-6.pdf#page=4","Abrir facsímil")</f>
        <v>Abrir facsímil</v>
      </c>
      <c r="K3688" s="15" t="s">
        <v>23</v>
      </c>
    </row>
    <row r="3689" spans="1:11" ht="42" customHeight="1">
      <c r="A3689" s="4" t="s">
        <v>8466</v>
      </c>
      <c r="B3689" s="5" t="s">
        <v>8466</v>
      </c>
      <c r="C3689" s="5" t="s">
        <v>18</v>
      </c>
      <c r="D3689" s="5" t="s">
        <v>19</v>
      </c>
      <c r="E3689" s="5" t="s">
        <v>190</v>
      </c>
      <c r="F3689" s="9">
        <v>16</v>
      </c>
      <c r="G3689" s="9">
        <v>197</v>
      </c>
      <c r="H3689" s="5" t="s">
        <v>21</v>
      </c>
      <c r="I3689" s="5" t="s">
        <v>8468</v>
      </c>
      <c r="J3689" s="12" t="str">
        <f>HYPERLINK("https://www.boe.es/gazeta/dias/1801/02/24/pdfs/GMD-1801-16.pdf#page=4","Abrir facsímil")</f>
        <v>Abrir facsímil</v>
      </c>
      <c r="K3689" s="15" t="s">
        <v>23</v>
      </c>
    </row>
    <row r="3690" spans="1:11" ht="42" customHeight="1">
      <c r="A3690" s="4" t="s">
        <v>8469</v>
      </c>
      <c r="B3690" s="5" t="s">
        <v>8469</v>
      </c>
      <c r="C3690" s="5" t="s">
        <v>75</v>
      </c>
      <c r="D3690" s="5" t="s">
        <v>76</v>
      </c>
      <c r="E3690" s="5" t="s">
        <v>221</v>
      </c>
      <c r="F3690" s="9">
        <v>28</v>
      </c>
      <c r="G3690" s="9">
        <v>366</v>
      </c>
      <c r="H3690" s="5" t="s">
        <v>21</v>
      </c>
      <c r="I3690" s="5" t="s">
        <v>8470</v>
      </c>
      <c r="J3690" s="12" t="str">
        <f>HYPERLINK("https://www.boe.es/gazeta/dias/1801/04/07/pdfs/GMD-1801-28.pdf#page=6","Abrir facsímil")</f>
        <v>Abrir facsímil</v>
      </c>
      <c r="K3690" s="15" t="s">
        <v>23</v>
      </c>
    </row>
    <row r="3691" spans="1:11" ht="42" customHeight="1">
      <c r="A3691" s="4" t="s">
        <v>8471</v>
      </c>
      <c r="B3691" s="5" t="s">
        <v>8471</v>
      </c>
      <c r="C3691" s="5" t="s">
        <v>75</v>
      </c>
      <c r="D3691" s="5" t="s">
        <v>76</v>
      </c>
      <c r="E3691" s="5" t="s">
        <v>137</v>
      </c>
      <c r="F3691" s="9">
        <v>30</v>
      </c>
      <c r="G3691" s="9">
        <v>389</v>
      </c>
      <c r="H3691" s="5" t="s">
        <v>21</v>
      </c>
      <c r="I3691" s="5" t="s">
        <v>8472</v>
      </c>
      <c r="J3691" s="12" t="str">
        <f>HYPERLINK("https://www.boe.es/gazeta/dias/1801/04/14/pdfs/GMD-1801-30.pdf#page=5","Abrir facsímil")</f>
        <v>Abrir facsímil</v>
      </c>
      <c r="K3691" s="15" t="s">
        <v>23</v>
      </c>
    </row>
    <row r="3692" spans="1:11" ht="42" customHeight="1">
      <c r="A3692" s="4" t="s">
        <v>8473</v>
      </c>
      <c r="B3692" s="5" t="s">
        <v>8473</v>
      </c>
      <c r="C3692" s="5" t="s">
        <v>38</v>
      </c>
      <c r="D3692" s="5" t="s">
        <v>39</v>
      </c>
      <c r="E3692" s="5" t="s">
        <v>143</v>
      </c>
      <c r="F3692" s="9">
        <v>34</v>
      </c>
      <c r="G3692" s="9">
        <v>434</v>
      </c>
      <c r="H3692" s="5" t="s">
        <v>21</v>
      </c>
      <c r="I3692" s="5" t="s">
        <v>8474</v>
      </c>
      <c r="J3692" s="12" t="str">
        <f>HYPERLINK("https://www.boe.es/gazeta/dias/1801/04/28/pdfs/GMD-1801-34.pdf#page=6","Abrir facsímil")</f>
        <v>Abrir facsímil</v>
      </c>
      <c r="K3692" s="15" t="s">
        <v>23</v>
      </c>
    </row>
    <row r="3693" spans="1:11" ht="42" customHeight="1">
      <c r="A3693" s="4" t="s">
        <v>8475</v>
      </c>
      <c r="B3693" s="5" t="s">
        <v>8475</v>
      </c>
      <c r="C3693" s="5" t="s">
        <v>75</v>
      </c>
      <c r="D3693" s="5" t="s">
        <v>76</v>
      </c>
      <c r="E3693" s="5" t="s">
        <v>924</v>
      </c>
      <c r="F3693" s="9">
        <v>90</v>
      </c>
      <c r="G3693" s="9">
        <v>988</v>
      </c>
      <c r="H3693" s="5" t="s">
        <v>21</v>
      </c>
      <c r="I3693" s="5" t="s">
        <v>8319</v>
      </c>
      <c r="J3693" s="12" t="str">
        <f>HYPERLINK("https://www.boe.es/gazeta/dias/1801/09/18/pdfs/GMD-1801-90.pdf#page=3","Abrir facsímil")</f>
        <v>Abrir facsímil</v>
      </c>
      <c r="K3693" s="15" t="s">
        <v>23</v>
      </c>
    </row>
    <row r="3694" spans="1:11" ht="42" customHeight="1">
      <c r="A3694" s="4" t="s">
        <v>8476</v>
      </c>
      <c r="B3694" s="5" t="s">
        <v>8476</v>
      </c>
      <c r="C3694" s="5" t="s">
        <v>32</v>
      </c>
      <c r="D3694" s="5" t="s">
        <v>33</v>
      </c>
      <c r="E3694" s="5" t="s">
        <v>1085</v>
      </c>
      <c r="F3694" s="9">
        <v>99</v>
      </c>
      <c r="G3694" s="9">
        <v>1088</v>
      </c>
      <c r="H3694" s="5" t="s">
        <v>21</v>
      </c>
      <c r="I3694" s="5" t="s">
        <v>8419</v>
      </c>
      <c r="J3694" s="12" t="str">
        <f>HYPERLINK("https://www.boe.es/gazeta/dias/1801/10/20/pdfs/GMD-1801-99.pdf#page=5","Abrir facsímil")</f>
        <v>Abrir facsímil</v>
      </c>
      <c r="K3694" s="15" t="s">
        <v>23</v>
      </c>
    </row>
    <row r="3695" spans="1:11" ht="42" customHeight="1">
      <c r="A3695" s="4" t="s">
        <v>8477</v>
      </c>
      <c r="B3695" s="5" t="s">
        <v>8477</v>
      </c>
      <c r="C3695" s="5" t="s">
        <v>38</v>
      </c>
      <c r="D3695" s="5" t="s">
        <v>39</v>
      </c>
      <c r="E3695" s="5" t="s">
        <v>143</v>
      </c>
      <c r="F3695" s="9">
        <v>34</v>
      </c>
      <c r="G3695" s="9">
        <v>439</v>
      </c>
      <c r="H3695" s="5" t="s">
        <v>21</v>
      </c>
      <c r="I3695" s="5" t="s">
        <v>8478</v>
      </c>
      <c r="J3695" s="12" t="str">
        <f>HYPERLINK("https://www.boe.es/gazeta/dias/1801/04/28/pdfs/GMD-1801-34.pdf#page=11","Abrir facsímil")</f>
        <v>Abrir facsímil</v>
      </c>
      <c r="K3695" s="15" t="s">
        <v>23</v>
      </c>
    </row>
    <row r="3696" spans="1:11" ht="42" customHeight="1">
      <c r="A3696" s="4" t="s">
        <v>8479</v>
      </c>
      <c r="B3696" s="5" t="s">
        <v>8479</v>
      </c>
      <c r="C3696" s="5" t="s">
        <v>38</v>
      </c>
      <c r="D3696" s="5" t="s">
        <v>39</v>
      </c>
      <c r="E3696" s="5" t="s">
        <v>143</v>
      </c>
      <c r="F3696" s="9">
        <v>34</v>
      </c>
      <c r="G3696" s="9">
        <v>434</v>
      </c>
      <c r="H3696" s="5" t="s">
        <v>21</v>
      </c>
      <c r="I3696" s="5" t="s">
        <v>8474</v>
      </c>
      <c r="J3696" s="12" t="str">
        <f>HYPERLINK("https://www.boe.es/gazeta/dias/1801/04/28/pdfs/GMD-1801-34.pdf#page=6","Abrir facsímil")</f>
        <v>Abrir facsímil</v>
      </c>
      <c r="K3696" s="15" t="s">
        <v>23</v>
      </c>
    </row>
    <row r="3697" spans="1:11" ht="42" customHeight="1">
      <c r="A3697" s="4" t="s">
        <v>8480</v>
      </c>
      <c r="B3697" s="5" t="s">
        <v>8480</v>
      </c>
      <c r="C3697" s="5" t="s">
        <v>38</v>
      </c>
      <c r="D3697" s="5" t="s">
        <v>39</v>
      </c>
      <c r="E3697" s="5" t="s">
        <v>919</v>
      </c>
      <c r="F3697" s="9">
        <v>91</v>
      </c>
      <c r="G3697" s="9">
        <v>1002</v>
      </c>
      <c r="H3697" s="5" t="s">
        <v>21</v>
      </c>
      <c r="I3697" s="5" t="s">
        <v>8404</v>
      </c>
      <c r="J3697" s="12" t="str">
        <f>HYPERLINK("https://www.boe.es/gazeta/dias/1801/09/22/pdfs/GMD-1801-91.pdf#page=5","Abrir facsímil")</f>
        <v>Abrir facsímil</v>
      </c>
      <c r="K3697" s="15" t="s">
        <v>23</v>
      </c>
    </row>
    <row r="3698" spans="1:11" ht="42" customHeight="1">
      <c r="A3698" s="4" t="s">
        <v>8481</v>
      </c>
      <c r="B3698" s="5" t="s">
        <v>8481</v>
      </c>
      <c r="C3698" s="5" t="s">
        <v>75</v>
      </c>
      <c r="D3698" s="5" t="s">
        <v>76</v>
      </c>
      <c r="E3698" s="5" t="s">
        <v>137</v>
      </c>
      <c r="F3698" s="9">
        <v>30</v>
      </c>
      <c r="G3698" s="9">
        <v>389</v>
      </c>
      <c r="H3698" s="5" t="s">
        <v>21</v>
      </c>
      <c r="I3698" s="5" t="s">
        <v>8472</v>
      </c>
      <c r="J3698" s="12" t="str">
        <f>HYPERLINK("https://www.boe.es/gazeta/dias/1801/04/14/pdfs/GMD-1801-30.pdf#page=5","Abrir facsímil")</f>
        <v>Abrir facsímil</v>
      </c>
      <c r="K3698" s="15" t="s">
        <v>23</v>
      </c>
    </row>
    <row r="3699" spans="1:11" ht="42" customHeight="1">
      <c r="A3699" s="4" t="s">
        <v>8482</v>
      </c>
      <c r="B3699" s="5" t="s">
        <v>8482</v>
      </c>
      <c r="C3699" s="5" t="s">
        <v>32</v>
      </c>
      <c r="D3699" s="5" t="s">
        <v>33</v>
      </c>
      <c r="E3699" s="5" t="s">
        <v>221</v>
      </c>
      <c r="F3699" s="9">
        <v>28</v>
      </c>
      <c r="G3699" s="9">
        <v>363</v>
      </c>
      <c r="H3699" s="5" t="s">
        <v>21</v>
      </c>
      <c r="I3699" s="5" t="s">
        <v>8483</v>
      </c>
      <c r="J3699" s="12" t="str">
        <f>HYPERLINK("https://www.boe.es/gazeta/dias/1801/04/07/pdfs/GMD-1801-28.pdf#page=3","Abrir facsímil")</f>
        <v>Abrir facsímil</v>
      </c>
      <c r="K3699" s="15" t="s">
        <v>23</v>
      </c>
    </row>
    <row r="3700" spans="1:11" ht="42" customHeight="1">
      <c r="A3700" s="4" t="s">
        <v>8484</v>
      </c>
      <c r="B3700" s="5" t="s">
        <v>8484</v>
      </c>
      <c r="C3700" s="5" t="s">
        <v>32</v>
      </c>
      <c r="D3700" s="5" t="s">
        <v>33</v>
      </c>
      <c r="E3700" s="5" t="s">
        <v>935</v>
      </c>
      <c r="F3700" s="9">
        <v>116</v>
      </c>
      <c r="G3700" s="9">
        <v>1266</v>
      </c>
      <c r="H3700" s="5" t="s">
        <v>21</v>
      </c>
      <c r="I3700" s="5" t="s">
        <v>8485</v>
      </c>
      <c r="J3700" s="12" t="str">
        <f>HYPERLINK("https://www.boe.es/gazeta/dias/1801/12/18/pdfs/GMD-1801-116.pdf#page=8","Abrir facsímil")</f>
        <v>Abrir facsímil</v>
      </c>
      <c r="K3700" s="15" t="s">
        <v>23</v>
      </c>
    </row>
    <row r="3701" spans="1:11" ht="42" customHeight="1">
      <c r="A3701" s="4" t="s">
        <v>8486</v>
      </c>
      <c r="B3701" s="5" t="s">
        <v>8486</v>
      </c>
      <c r="C3701" s="5" t="s">
        <v>32</v>
      </c>
      <c r="D3701" s="5" t="s">
        <v>33</v>
      </c>
      <c r="E3701" s="5" t="s">
        <v>122</v>
      </c>
      <c r="F3701" s="9">
        <v>8</v>
      </c>
      <c r="G3701" s="9">
        <v>94</v>
      </c>
      <c r="H3701" s="5" t="s">
        <v>21</v>
      </c>
      <c r="I3701" s="5" t="s">
        <v>8487</v>
      </c>
      <c r="J3701" s="12" t="str">
        <f>HYPERLINK("https://www.boe.es/gazeta/dias/1801/01/27/pdfs/GMD-1801-8.pdf#page=6","Abrir facsímil")</f>
        <v>Abrir facsímil</v>
      </c>
      <c r="K3701" s="15" t="s">
        <v>23</v>
      </c>
    </row>
    <row r="3702" spans="1:11" ht="42" customHeight="1">
      <c r="A3702" s="4" t="s">
        <v>8488</v>
      </c>
      <c r="B3702" s="5" t="s">
        <v>8488</v>
      </c>
      <c r="C3702" s="5" t="s">
        <v>75</v>
      </c>
      <c r="D3702" s="5" t="s">
        <v>76</v>
      </c>
      <c r="E3702" s="5" t="s">
        <v>70</v>
      </c>
      <c r="F3702" s="9">
        <v>2</v>
      </c>
      <c r="G3702" s="9">
        <v>17</v>
      </c>
      <c r="H3702" s="5" t="s">
        <v>21</v>
      </c>
      <c r="I3702" s="5" t="s">
        <v>8423</v>
      </c>
      <c r="J3702" s="12" t="str">
        <f>HYPERLINK("https://www.boe.es/gazeta/dias/1801/01/06/pdfs/GMD-1801-2.pdf#page=5","Abrir facsímil")</f>
        <v>Abrir facsímil</v>
      </c>
      <c r="K3702" s="15" t="s">
        <v>23</v>
      </c>
    </row>
    <row r="3703" spans="1:11" ht="42" customHeight="1">
      <c r="A3703" s="4" t="s">
        <v>8489</v>
      </c>
      <c r="B3703" s="5" t="s">
        <v>8489</v>
      </c>
      <c r="C3703" s="5" t="s">
        <v>26</v>
      </c>
      <c r="D3703" s="5" t="s">
        <v>27</v>
      </c>
      <c r="E3703" s="5" t="s">
        <v>8490</v>
      </c>
      <c r="F3703" s="9" t="s">
        <v>8491</v>
      </c>
      <c r="G3703" s="9">
        <v>751</v>
      </c>
      <c r="H3703" s="5" t="s">
        <v>21</v>
      </c>
      <c r="I3703" s="5" t="s">
        <v>8492</v>
      </c>
      <c r="J3703" s="12" t="str">
        <f>HYPERLINK("https://www.boe.es/gazeta/dias/1801/07/11/pdfs/GMD-1801-67E.pdf#page=2","Abrir facsímil")</f>
        <v>Abrir facsímil</v>
      </c>
      <c r="K3703" s="15" t="s">
        <v>23</v>
      </c>
    </row>
    <row r="3704" spans="1:11" ht="42" customHeight="1">
      <c r="A3704" s="4" t="s">
        <v>8493</v>
      </c>
      <c r="B3704" s="5" t="s">
        <v>8493</v>
      </c>
      <c r="C3704" s="5" t="s">
        <v>26</v>
      </c>
      <c r="D3704" s="5" t="s">
        <v>27</v>
      </c>
      <c r="E3704" s="5" t="s">
        <v>94</v>
      </c>
      <c r="F3704" s="9">
        <v>19</v>
      </c>
      <c r="G3704" s="9">
        <v>238</v>
      </c>
      <c r="H3704" s="5" t="s">
        <v>21</v>
      </c>
      <c r="I3704" s="5" t="s">
        <v>8494</v>
      </c>
      <c r="J3704" s="12" t="str">
        <f>HYPERLINK("https://www.boe.es/gazeta/dias/1801/03/06/pdfs/GMD-1801-19.pdf#page=3","Abrir facsímil")</f>
        <v>Abrir facsímil</v>
      </c>
      <c r="K3704" s="15" t="s">
        <v>23</v>
      </c>
    </row>
    <row r="3705" spans="1:11" ht="42" customHeight="1">
      <c r="A3705" s="4" t="s">
        <v>8495</v>
      </c>
      <c r="B3705" s="5" t="s">
        <v>8495</v>
      </c>
      <c r="C3705" s="5" t="s">
        <v>38</v>
      </c>
      <c r="D3705" s="5" t="s">
        <v>39</v>
      </c>
      <c r="E3705" s="5" t="s">
        <v>171</v>
      </c>
      <c r="F3705" s="9">
        <v>76</v>
      </c>
      <c r="G3705" s="9">
        <v>851</v>
      </c>
      <c r="H3705" s="5" t="s">
        <v>21</v>
      </c>
      <c r="I3705" s="5" t="s">
        <v>8496</v>
      </c>
      <c r="J3705" s="12" t="str">
        <f>HYPERLINK("https://www.boe.es/gazeta/dias/1801/08/07/pdfs/GMD-1801-76.pdf#page=8","Abrir facsímil")</f>
        <v>Abrir facsímil</v>
      </c>
      <c r="K3705" s="15" t="s">
        <v>23</v>
      </c>
    </row>
    <row r="3706" spans="1:11" ht="42" customHeight="1">
      <c r="A3706" s="4" t="s">
        <v>8497</v>
      </c>
      <c r="B3706" s="5" t="s">
        <v>8497</v>
      </c>
      <c r="C3706" s="5" t="s">
        <v>75</v>
      </c>
      <c r="D3706" s="5" t="s">
        <v>76</v>
      </c>
      <c r="E3706" s="5" t="s">
        <v>165</v>
      </c>
      <c r="F3706" s="9">
        <v>59</v>
      </c>
      <c r="G3706" s="9">
        <v>674</v>
      </c>
      <c r="H3706" s="5" t="s">
        <v>21</v>
      </c>
      <c r="I3706" s="5" t="s">
        <v>8364</v>
      </c>
      <c r="J3706" s="12" t="str">
        <f>HYPERLINK("https://www.boe.es/gazeta/dias/1801/06/23/pdfs/GMD-1801-59.pdf#page=7","Abrir facsímil")</f>
        <v>Abrir facsímil</v>
      </c>
      <c r="K3706" s="15" t="s">
        <v>23</v>
      </c>
    </row>
    <row r="3707" spans="1:11" ht="42" customHeight="1">
      <c r="A3707" s="4" t="s">
        <v>8498</v>
      </c>
      <c r="B3707" s="5" t="s">
        <v>8498</v>
      </c>
      <c r="C3707" s="5" t="s">
        <v>32</v>
      </c>
      <c r="D3707" s="5" t="s">
        <v>33</v>
      </c>
      <c r="E3707" s="5" t="s">
        <v>309</v>
      </c>
      <c r="F3707" s="9">
        <v>118</v>
      </c>
      <c r="G3707" s="9">
        <v>1290</v>
      </c>
      <c r="H3707" s="5" t="s">
        <v>21</v>
      </c>
      <c r="I3707" s="5" t="s">
        <v>8400</v>
      </c>
      <c r="J3707" s="12" t="str">
        <f>HYPERLINK("https://www.boe.es/gazeta/dias/1801/12/25/pdfs/GMD-1801-118.pdf#page=5","Abrir facsímil")</f>
        <v>Abrir facsímil</v>
      </c>
      <c r="K3707" s="15" t="s">
        <v>23</v>
      </c>
    </row>
    <row r="3708" spans="1:11" ht="42" customHeight="1">
      <c r="A3708" s="4" t="s">
        <v>8499</v>
      </c>
      <c r="B3708" s="5" t="s">
        <v>8499</v>
      </c>
      <c r="C3708" s="5" t="s">
        <v>75</v>
      </c>
      <c r="D3708" s="5" t="s">
        <v>76</v>
      </c>
      <c r="E3708" s="5" t="s">
        <v>105</v>
      </c>
      <c r="F3708" s="9">
        <v>44</v>
      </c>
      <c r="G3708" s="9">
        <v>545</v>
      </c>
      <c r="H3708" s="5" t="s">
        <v>21</v>
      </c>
      <c r="I3708" s="5" t="s">
        <v>8500</v>
      </c>
      <c r="J3708" s="12" t="str">
        <f>HYPERLINK("https://www.boe.es/gazeta/dias/1801/05/29/pdfs/GMD-1801-44.pdf#page=5","Abrir facsímil")</f>
        <v>Abrir facsímil</v>
      </c>
      <c r="K3708" s="15" t="s">
        <v>23</v>
      </c>
    </row>
    <row r="3709" spans="1:11" ht="42" customHeight="1">
      <c r="A3709" s="4" t="s">
        <v>8501</v>
      </c>
      <c r="B3709" s="5" t="s">
        <v>8501</v>
      </c>
      <c r="C3709" s="5" t="s">
        <v>75</v>
      </c>
      <c r="D3709" s="5" t="s">
        <v>76</v>
      </c>
      <c r="E3709" s="5" t="s">
        <v>90</v>
      </c>
      <c r="F3709" s="9">
        <v>1</v>
      </c>
      <c r="G3709" s="9">
        <v>6</v>
      </c>
      <c r="H3709" s="5" t="s">
        <v>21</v>
      </c>
      <c r="I3709" s="5" t="s">
        <v>8502</v>
      </c>
      <c r="J3709" s="12" t="str">
        <f>HYPERLINK("https://www.boe.es/gazeta/dias/1801/01/02/pdfs/GMD-1801-1.pdf#page=6","Abrir facsímil")</f>
        <v>Abrir facsímil</v>
      </c>
      <c r="K3709" s="15" t="s">
        <v>23</v>
      </c>
    </row>
    <row r="3710" spans="1:11" ht="42" customHeight="1">
      <c r="A3710" s="4" t="s">
        <v>8501</v>
      </c>
      <c r="B3710" s="5" t="s">
        <v>8501</v>
      </c>
      <c r="C3710" s="5" t="s">
        <v>75</v>
      </c>
      <c r="D3710" s="5" t="s">
        <v>76</v>
      </c>
      <c r="E3710" s="5" t="s">
        <v>462</v>
      </c>
      <c r="F3710" s="9">
        <v>5</v>
      </c>
      <c r="G3710" s="9">
        <v>54</v>
      </c>
      <c r="H3710" s="5" t="s">
        <v>21</v>
      </c>
      <c r="I3710" s="5" t="s">
        <v>8350</v>
      </c>
      <c r="J3710" s="12" t="str">
        <f>HYPERLINK("https://www.boe.es/gazeta/dias/1801/01/16/pdfs/GMD-1801-5.pdf#page=6","Abrir facsímil")</f>
        <v>Abrir facsímil</v>
      </c>
      <c r="K3710" s="15" t="s">
        <v>23</v>
      </c>
    </row>
    <row r="3711" spans="1:11" ht="42" customHeight="1">
      <c r="A3711" s="4" t="s">
        <v>8503</v>
      </c>
      <c r="B3711" s="5" t="s">
        <v>8503</v>
      </c>
      <c r="C3711" s="5" t="s">
        <v>75</v>
      </c>
      <c r="D3711" s="5" t="s">
        <v>76</v>
      </c>
      <c r="E3711" s="5" t="s">
        <v>34</v>
      </c>
      <c r="F3711" s="9">
        <v>38</v>
      </c>
      <c r="G3711" s="9">
        <v>490</v>
      </c>
      <c r="H3711" s="5" t="s">
        <v>21</v>
      </c>
      <c r="I3711" s="5" t="s">
        <v>8406</v>
      </c>
      <c r="J3711" s="12" t="str">
        <f>HYPERLINK("https://www.boe.es/gazeta/dias/1801/05/12/pdfs/GMD-1801-38.pdf#page=6","Abrir facsímil")</f>
        <v>Abrir facsímil</v>
      </c>
      <c r="K3711" s="15" t="s">
        <v>23</v>
      </c>
    </row>
    <row r="3712" spans="1:11" ht="42" customHeight="1">
      <c r="A3712" s="4" t="s">
        <v>8504</v>
      </c>
      <c r="B3712" s="5" t="s">
        <v>8504</v>
      </c>
      <c r="C3712" s="5" t="s">
        <v>38</v>
      </c>
      <c r="D3712" s="5" t="s">
        <v>39</v>
      </c>
      <c r="E3712" s="5" t="s">
        <v>173</v>
      </c>
      <c r="F3712" s="9">
        <v>98</v>
      </c>
      <c r="G3712" s="9">
        <v>1075</v>
      </c>
      <c r="H3712" s="5" t="s">
        <v>21</v>
      </c>
      <c r="I3712" s="5" t="s">
        <v>8312</v>
      </c>
      <c r="J3712" s="12" t="str">
        <f>HYPERLINK("https://www.boe.es/gazeta/dias/1801/10/16/pdfs/GMD-1801-98.pdf#page=7","Abrir facsímil")</f>
        <v>Abrir facsímil</v>
      </c>
      <c r="K3712" s="15" t="s">
        <v>23</v>
      </c>
    </row>
    <row r="3713" spans="1:11" ht="42" customHeight="1">
      <c r="A3713" s="4" t="s">
        <v>8505</v>
      </c>
      <c r="B3713" s="5" t="s">
        <v>8505</v>
      </c>
      <c r="C3713" s="5" t="s">
        <v>32</v>
      </c>
      <c r="D3713" s="5" t="s">
        <v>33</v>
      </c>
      <c r="E3713" s="5" t="s">
        <v>723</v>
      </c>
      <c r="F3713" s="9">
        <v>113</v>
      </c>
      <c r="G3713" s="9">
        <v>1233</v>
      </c>
      <c r="H3713" s="5" t="s">
        <v>21</v>
      </c>
      <c r="I3713" s="5" t="s">
        <v>8506</v>
      </c>
      <c r="J3713" s="12" t="str">
        <f>HYPERLINK("https://www.boe.es/gazeta/dias/1801/12/08/pdfs/GMD-1801-113.pdf#page=6","Abrir facsímil")</f>
        <v>Abrir facsímil</v>
      </c>
      <c r="K3713" s="15" t="s">
        <v>23</v>
      </c>
    </row>
    <row r="3714" spans="1:11" ht="42" customHeight="1">
      <c r="A3714" s="4" t="s">
        <v>8507</v>
      </c>
      <c r="B3714" s="5" t="s">
        <v>8507</v>
      </c>
      <c r="C3714" s="5" t="s">
        <v>38</v>
      </c>
      <c r="D3714" s="5" t="s">
        <v>39</v>
      </c>
      <c r="E3714" s="5" t="s">
        <v>161</v>
      </c>
      <c r="F3714" s="9">
        <v>58</v>
      </c>
      <c r="G3714" s="9">
        <v>662</v>
      </c>
      <c r="H3714" s="5" t="s">
        <v>21</v>
      </c>
      <c r="I3714" s="5" t="s">
        <v>8435</v>
      </c>
      <c r="J3714" s="12" t="str">
        <f>HYPERLINK("https://www.boe.es/gazeta/dias/1801/06/19/pdfs/GMD-1801-58.pdf#page=7","Abrir facsímil")</f>
        <v>Abrir facsímil</v>
      </c>
      <c r="K3714" s="15" t="s">
        <v>23</v>
      </c>
    </row>
    <row r="3715" spans="1:11" ht="42" customHeight="1">
      <c r="A3715" s="4" t="s">
        <v>8508</v>
      </c>
      <c r="B3715" s="5" t="s">
        <v>8508</v>
      </c>
      <c r="C3715" s="5" t="s">
        <v>75</v>
      </c>
      <c r="D3715" s="5" t="s">
        <v>76</v>
      </c>
      <c r="E3715" s="5" t="s">
        <v>151</v>
      </c>
      <c r="F3715" s="9">
        <v>45</v>
      </c>
      <c r="G3715" s="9">
        <v>556</v>
      </c>
      <c r="H3715" s="5" t="s">
        <v>21</v>
      </c>
      <c r="I3715" s="5" t="s">
        <v>8273</v>
      </c>
      <c r="J3715" s="12" t="str">
        <f>HYPERLINK("https://www.boe.es/gazeta/dias/1801/06/02/pdfs/GMD-1801-45.pdf#page=4","Abrir facsímil")</f>
        <v>Abrir facsímil</v>
      </c>
      <c r="K3715" s="15" t="s">
        <v>23</v>
      </c>
    </row>
    <row r="3716" spans="1:11" ht="42" customHeight="1">
      <c r="A3716" s="4" t="s">
        <v>8509</v>
      </c>
      <c r="B3716" s="5" t="s">
        <v>8509</v>
      </c>
      <c r="C3716" s="5" t="s">
        <v>75</v>
      </c>
      <c r="D3716" s="5" t="s">
        <v>76</v>
      </c>
      <c r="E3716" s="5" t="s">
        <v>313</v>
      </c>
      <c r="F3716" s="9">
        <v>39</v>
      </c>
      <c r="G3716" s="9">
        <v>502</v>
      </c>
      <c r="H3716" s="5" t="s">
        <v>21</v>
      </c>
      <c r="I3716" s="5" t="s">
        <v>8510</v>
      </c>
      <c r="J3716" s="12" t="str">
        <f>HYPERLINK("https://www.boe.es/gazeta/dias/1801/05/15/pdfs/GMD-1801-39.pdf#page=6","Abrir facsímil")</f>
        <v>Abrir facsímil</v>
      </c>
      <c r="K3716" s="15" t="s">
        <v>23</v>
      </c>
    </row>
    <row r="3717" spans="1:11" ht="42" customHeight="1">
      <c r="A3717" s="4" t="s">
        <v>8511</v>
      </c>
      <c r="B3717" s="5" t="s">
        <v>8511</v>
      </c>
      <c r="C3717" s="5" t="s">
        <v>75</v>
      </c>
      <c r="D3717" s="5" t="s">
        <v>76</v>
      </c>
      <c r="E3717" s="5" t="s">
        <v>151</v>
      </c>
      <c r="F3717" s="9">
        <v>45</v>
      </c>
      <c r="G3717" s="9">
        <v>556</v>
      </c>
      <c r="H3717" s="5" t="s">
        <v>21</v>
      </c>
      <c r="I3717" s="5" t="s">
        <v>8301</v>
      </c>
      <c r="J3717" s="12" t="str">
        <f>HYPERLINK("https://www.boe.es/gazeta/dias/1801/06/02/pdfs/GMD-1801-45.pdf#page=4","Abrir facsímil")</f>
        <v>Abrir facsímil</v>
      </c>
      <c r="K3717" s="15" t="s">
        <v>23</v>
      </c>
    </row>
    <row r="3718" spans="1:11" ht="42" customHeight="1">
      <c r="A3718" s="4" t="s">
        <v>8512</v>
      </c>
      <c r="B3718" s="5" t="s">
        <v>8512</v>
      </c>
      <c r="C3718" s="5" t="s">
        <v>75</v>
      </c>
      <c r="D3718" s="5" t="s">
        <v>76</v>
      </c>
      <c r="E3718" s="5" t="s">
        <v>448</v>
      </c>
      <c r="F3718" s="9">
        <v>35</v>
      </c>
      <c r="G3718" s="9">
        <v>447</v>
      </c>
      <c r="H3718" s="5" t="s">
        <v>21</v>
      </c>
      <c r="I3718" s="5" t="s">
        <v>8293</v>
      </c>
      <c r="J3718" s="12" t="str">
        <f>HYPERLINK("https://www.boe.es/gazeta/dias/1801/05/01/pdfs/GMD-1801-35.pdf#page=3","Abrir facsímil")</f>
        <v>Abrir facsímil</v>
      </c>
      <c r="K3718" s="15" t="s">
        <v>23</v>
      </c>
    </row>
    <row r="3719" spans="1:11" ht="42" customHeight="1">
      <c r="A3719" s="4" t="s">
        <v>8513</v>
      </c>
      <c r="B3719" s="5" t="s">
        <v>8513</v>
      </c>
      <c r="C3719" s="5" t="s">
        <v>75</v>
      </c>
      <c r="D3719" s="5" t="s">
        <v>76</v>
      </c>
      <c r="E3719" s="5" t="s">
        <v>151</v>
      </c>
      <c r="F3719" s="9">
        <v>45</v>
      </c>
      <c r="G3719" s="9">
        <v>556</v>
      </c>
      <c r="H3719" s="5" t="s">
        <v>21</v>
      </c>
      <c r="I3719" s="5" t="s">
        <v>8514</v>
      </c>
      <c r="J3719" s="12" t="str">
        <f>HYPERLINK("https://www.boe.es/gazeta/dias/1801/06/02/pdfs/GMD-1801-45.pdf#page=4","Abrir facsímil")</f>
        <v>Abrir facsímil</v>
      </c>
      <c r="K3719" s="15" t="s">
        <v>23</v>
      </c>
    </row>
    <row r="3720" spans="1:11" ht="42" customHeight="1">
      <c r="A3720" s="4" t="s">
        <v>8515</v>
      </c>
      <c r="B3720" s="5" t="s">
        <v>8515</v>
      </c>
      <c r="C3720" s="5" t="s">
        <v>18</v>
      </c>
      <c r="D3720" s="5" t="s">
        <v>19</v>
      </c>
      <c r="E3720" s="5" t="s">
        <v>919</v>
      </c>
      <c r="F3720" s="9">
        <v>91</v>
      </c>
      <c r="G3720" s="9">
        <v>1003</v>
      </c>
      <c r="H3720" s="5" t="s">
        <v>21</v>
      </c>
      <c r="I3720" s="5" t="s">
        <v>8516</v>
      </c>
      <c r="J3720" s="12" t="str">
        <f>HYPERLINK("https://www.boe.es/gazeta/dias/1801/09/22/pdfs/GMD-1801-91.pdf#page=6","Abrir facsímil")</f>
        <v>Abrir facsímil</v>
      </c>
      <c r="K3720" s="15" t="s">
        <v>23</v>
      </c>
    </row>
    <row r="3721" spans="1:11" ht="42" customHeight="1">
      <c r="A3721" s="4" t="s">
        <v>8517</v>
      </c>
      <c r="B3721" s="5" t="s">
        <v>8517</v>
      </c>
      <c r="C3721" s="5" t="s">
        <v>38</v>
      </c>
      <c r="D3721" s="5" t="s">
        <v>39</v>
      </c>
      <c r="E3721" s="5" t="s">
        <v>190</v>
      </c>
      <c r="F3721" s="9">
        <v>16</v>
      </c>
      <c r="G3721" s="9">
        <v>203</v>
      </c>
      <c r="H3721" s="5" t="s">
        <v>21</v>
      </c>
      <c r="I3721" s="5" t="s">
        <v>8518</v>
      </c>
      <c r="J3721" s="12" t="str">
        <f>HYPERLINK("https://www.boe.es/gazeta/dias/1801/02/24/pdfs/GMD-1801-16.pdf#page=10","Abrir facsímil")</f>
        <v>Abrir facsímil</v>
      </c>
      <c r="K3721" s="15" t="s">
        <v>23</v>
      </c>
    </row>
    <row r="3722" spans="1:11" ht="42" customHeight="1">
      <c r="A3722" s="4" t="s">
        <v>8519</v>
      </c>
      <c r="B3722" s="5" t="s">
        <v>8519</v>
      </c>
      <c r="C3722" s="5" t="s">
        <v>75</v>
      </c>
      <c r="D3722" s="5" t="s">
        <v>76</v>
      </c>
      <c r="E3722" s="5" t="s">
        <v>151</v>
      </c>
      <c r="F3722" s="9">
        <v>45</v>
      </c>
      <c r="G3722" s="9">
        <v>556</v>
      </c>
      <c r="H3722" s="5" t="s">
        <v>21</v>
      </c>
      <c r="I3722" s="5" t="s">
        <v>8520</v>
      </c>
      <c r="J3722" s="12" t="str">
        <f>HYPERLINK("https://www.boe.es/gazeta/dias/1801/06/02/pdfs/GMD-1801-45.pdf#page=4","Abrir facsímil")</f>
        <v>Abrir facsímil</v>
      </c>
      <c r="K3722" s="15" t="s">
        <v>23</v>
      </c>
    </row>
    <row r="3723" spans="1:11" ht="42" customHeight="1">
      <c r="A3723" s="4" t="s">
        <v>8521</v>
      </c>
      <c r="B3723" s="5" t="s">
        <v>8521</v>
      </c>
      <c r="C3723" s="5" t="s">
        <v>32</v>
      </c>
      <c r="D3723" s="5" t="s">
        <v>33</v>
      </c>
      <c r="E3723" s="5" t="s">
        <v>135</v>
      </c>
      <c r="F3723" s="9">
        <v>24</v>
      </c>
      <c r="G3723" s="9">
        <v>320</v>
      </c>
      <c r="H3723" s="5" t="s">
        <v>21</v>
      </c>
      <c r="I3723" s="5" t="s">
        <v>8522</v>
      </c>
      <c r="J3723" s="12" t="str">
        <f>HYPERLINK("https://www.boe.es/gazeta/dias/1801/03/24/pdfs/GMD-1801-24.pdf#page=11","Abrir facsímil")</f>
        <v>Abrir facsímil</v>
      </c>
      <c r="K3723" s="15" t="s">
        <v>23</v>
      </c>
    </row>
    <row r="3724" spans="1:11" ht="42" customHeight="1">
      <c r="A3724" s="4" t="s">
        <v>8523</v>
      </c>
      <c r="B3724" s="5" t="s">
        <v>8523</v>
      </c>
      <c r="C3724" s="5" t="s">
        <v>75</v>
      </c>
      <c r="D3724" s="5" t="s">
        <v>76</v>
      </c>
      <c r="E3724" s="5" t="s">
        <v>313</v>
      </c>
      <c r="F3724" s="9">
        <v>39</v>
      </c>
      <c r="G3724" s="9">
        <v>502</v>
      </c>
      <c r="H3724" s="5" t="s">
        <v>21</v>
      </c>
      <c r="I3724" s="5" t="s">
        <v>8510</v>
      </c>
      <c r="J3724" s="12" t="str">
        <f>HYPERLINK("https://www.boe.es/gazeta/dias/1801/05/15/pdfs/GMD-1801-39.pdf#page=6","Abrir facsímil")</f>
        <v>Abrir facsímil</v>
      </c>
      <c r="K3724" s="15" t="s">
        <v>23</v>
      </c>
    </row>
    <row r="3725" spans="1:11" ht="42" customHeight="1">
      <c r="A3725" s="4" t="s">
        <v>8524</v>
      </c>
      <c r="B3725" s="5" t="s">
        <v>8524</v>
      </c>
      <c r="C3725" s="5" t="s">
        <v>32</v>
      </c>
      <c r="D3725" s="5" t="s">
        <v>33</v>
      </c>
      <c r="E3725" s="5" t="s">
        <v>919</v>
      </c>
      <c r="F3725" s="9">
        <v>91</v>
      </c>
      <c r="G3725" s="9">
        <v>999</v>
      </c>
      <c r="H3725" s="5" t="s">
        <v>21</v>
      </c>
      <c r="I3725" s="5" t="s">
        <v>8525</v>
      </c>
      <c r="J3725" s="12" t="str">
        <f>HYPERLINK("https://www.boe.es/gazeta/dias/1801/09/22/pdfs/GMD-1801-91.pdf#page=2","Abrir facsímil")</f>
        <v>Abrir facsímil</v>
      </c>
      <c r="K3725" s="15" t="s">
        <v>23</v>
      </c>
    </row>
    <row r="3726" spans="1:11" ht="42" customHeight="1">
      <c r="A3726" s="4" t="s">
        <v>8526</v>
      </c>
      <c r="B3726" s="5" t="s">
        <v>8526</v>
      </c>
      <c r="C3726" s="5" t="s">
        <v>18</v>
      </c>
      <c r="D3726" s="5" t="s">
        <v>19</v>
      </c>
      <c r="E3726" s="5" t="s">
        <v>190</v>
      </c>
      <c r="F3726" s="9">
        <v>16</v>
      </c>
      <c r="G3726" s="9">
        <v>197</v>
      </c>
      <c r="H3726" s="5" t="s">
        <v>21</v>
      </c>
      <c r="I3726" s="5" t="s">
        <v>8468</v>
      </c>
      <c r="J3726" s="12" t="str">
        <f>HYPERLINK("https://www.boe.es/gazeta/dias/1801/02/24/pdfs/GMD-1801-16.pdf#page=4","Abrir facsímil")</f>
        <v>Abrir facsímil</v>
      </c>
      <c r="K3726" s="15" t="s">
        <v>23</v>
      </c>
    </row>
    <row r="3727" spans="1:11" ht="42" customHeight="1">
      <c r="A3727" s="4" t="s">
        <v>8526</v>
      </c>
      <c r="B3727" s="5" t="s">
        <v>8526</v>
      </c>
      <c r="C3727" s="5" t="s">
        <v>38</v>
      </c>
      <c r="D3727" s="5" t="s">
        <v>39</v>
      </c>
      <c r="E3727" s="5" t="s">
        <v>143</v>
      </c>
      <c r="F3727" s="9">
        <v>34</v>
      </c>
      <c r="G3727" s="9">
        <v>434</v>
      </c>
      <c r="H3727" s="5" t="s">
        <v>21</v>
      </c>
      <c r="I3727" s="5" t="s">
        <v>8527</v>
      </c>
      <c r="J3727" s="12" t="str">
        <f>HYPERLINK("https://www.boe.es/gazeta/dias/1801/04/28/pdfs/GMD-1801-34.pdf#page=6","Abrir facsímil")</f>
        <v>Abrir facsímil</v>
      </c>
      <c r="K3727" s="15" t="s">
        <v>23</v>
      </c>
    </row>
    <row r="3728" spans="1:11" ht="42" customHeight="1">
      <c r="A3728" s="4" t="s">
        <v>8528</v>
      </c>
      <c r="B3728" s="5" t="s">
        <v>8528</v>
      </c>
      <c r="C3728" s="5" t="s">
        <v>38</v>
      </c>
      <c r="D3728" s="5" t="s">
        <v>39</v>
      </c>
      <c r="E3728" s="5" t="s">
        <v>70</v>
      </c>
      <c r="F3728" s="9">
        <v>2</v>
      </c>
      <c r="G3728" s="9">
        <v>23</v>
      </c>
      <c r="H3728" s="5" t="s">
        <v>21</v>
      </c>
      <c r="I3728" s="5" t="s">
        <v>8529</v>
      </c>
      <c r="J3728" s="12" t="str">
        <f>HYPERLINK("https://www.boe.es/gazeta/dias/1801/01/06/pdfs/GMD-1801-2.pdf#page=11","Abrir facsímil")</f>
        <v>Abrir facsímil</v>
      </c>
      <c r="K3728" s="15" t="s">
        <v>23</v>
      </c>
    </row>
    <row r="3729" spans="1:11" ht="42" customHeight="1">
      <c r="A3729" s="4" t="s">
        <v>8530</v>
      </c>
      <c r="B3729" s="5" t="s">
        <v>8530</v>
      </c>
      <c r="C3729" s="5" t="s">
        <v>75</v>
      </c>
      <c r="D3729" s="5" t="s">
        <v>76</v>
      </c>
      <c r="E3729" s="5" t="s">
        <v>328</v>
      </c>
      <c r="F3729" s="9">
        <v>89</v>
      </c>
      <c r="G3729" s="9">
        <v>979</v>
      </c>
      <c r="H3729" s="5" t="s">
        <v>21</v>
      </c>
      <c r="I3729" s="5" t="s">
        <v>8531</v>
      </c>
      <c r="J3729" s="12" t="str">
        <f>HYPERLINK("https://www.boe.es/gazeta/dias/1801/09/15/pdfs/GMD-1801-89.pdf#page=6","Abrir facsímil")</f>
        <v>Abrir facsímil</v>
      </c>
      <c r="K3729" s="15" t="s">
        <v>23</v>
      </c>
    </row>
    <row r="3730" spans="1:11" ht="42" customHeight="1">
      <c r="A3730" s="4" t="s">
        <v>8532</v>
      </c>
      <c r="B3730" s="5" t="s">
        <v>8532</v>
      </c>
      <c r="C3730" s="5" t="s">
        <v>38</v>
      </c>
      <c r="D3730" s="5" t="s">
        <v>39</v>
      </c>
      <c r="E3730" s="5" t="s">
        <v>158</v>
      </c>
      <c r="F3730" s="9">
        <v>55</v>
      </c>
      <c r="G3730" s="9">
        <v>628</v>
      </c>
      <c r="H3730" s="5" t="s">
        <v>21</v>
      </c>
      <c r="I3730" s="5" t="s">
        <v>8533</v>
      </c>
      <c r="J3730" s="12" t="str">
        <f>HYPERLINK("https://www.boe.es/gazeta/dias/1801/06/16/pdfs/GMD-1801-55.pdf#page=4","Abrir facsímil")</f>
        <v>Abrir facsímil</v>
      </c>
      <c r="K3730" s="15" t="s">
        <v>23</v>
      </c>
    </row>
    <row r="3731" spans="1:11" ht="42" customHeight="1">
      <c r="A3731" s="4" t="s">
        <v>8534</v>
      </c>
      <c r="B3731" s="5" t="s">
        <v>8534</v>
      </c>
      <c r="C3731" s="5" t="s">
        <v>75</v>
      </c>
      <c r="D3731" s="5" t="s">
        <v>76</v>
      </c>
      <c r="E3731" s="5" t="s">
        <v>321</v>
      </c>
      <c r="F3731" s="9">
        <v>3</v>
      </c>
      <c r="G3731" s="9">
        <v>28</v>
      </c>
      <c r="H3731" s="5" t="s">
        <v>21</v>
      </c>
      <c r="I3731" s="5" t="s">
        <v>8535</v>
      </c>
      <c r="J3731" s="12" t="str">
        <f>HYPERLINK("https://www.boe.es/gazeta/dias/1801/01/09/pdfs/GMD-1801-3.pdf#page=4","Abrir facsímil")</f>
        <v>Abrir facsímil</v>
      </c>
      <c r="K3731" s="15" t="s">
        <v>23</v>
      </c>
    </row>
    <row r="3732" spans="1:11" ht="42" customHeight="1">
      <c r="A3732" s="4" t="s">
        <v>8536</v>
      </c>
      <c r="B3732" s="5" t="s">
        <v>8536</v>
      </c>
      <c r="C3732" s="5" t="s">
        <v>38</v>
      </c>
      <c r="D3732" s="5" t="s">
        <v>39</v>
      </c>
      <c r="E3732" s="5" t="s">
        <v>143</v>
      </c>
      <c r="F3732" s="9">
        <v>34</v>
      </c>
      <c r="G3732" s="9">
        <v>438</v>
      </c>
      <c r="H3732" s="5" t="s">
        <v>21</v>
      </c>
      <c r="I3732" s="5" t="s">
        <v>8537</v>
      </c>
      <c r="J3732" s="12" t="str">
        <f>HYPERLINK("https://www.boe.es/gazeta/dias/1801/04/28/pdfs/GMD-1801-34.pdf#page=10","Abrir facsímil")</f>
        <v>Abrir facsímil</v>
      </c>
      <c r="K3732" s="15" t="s">
        <v>23</v>
      </c>
    </row>
    <row r="3733" spans="1:11" ht="42" customHeight="1">
      <c r="A3733" s="4" t="s">
        <v>8538</v>
      </c>
      <c r="B3733" s="5" t="s">
        <v>8538</v>
      </c>
      <c r="C3733" s="5" t="s">
        <v>75</v>
      </c>
      <c r="D3733" s="5" t="s">
        <v>76</v>
      </c>
      <c r="E3733" s="5" t="s">
        <v>108</v>
      </c>
      <c r="F3733" s="9">
        <v>61</v>
      </c>
      <c r="G3733" s="9">
        <v>695</v>
      </c>
      <c r="H3733" s="5" t="s">
        <v>21</v>
      </c>
      <c r="I3733" s="5" t="s">
        <v>8539</v>
      </c>
      <c r="J3733" s="12" t="str">
        <f>HYPERLINK("https://www.boe.es/gazeta/dias/1801/06/30/pdfs/GMD-1801-61.pdf#page=4","Abrir facsímil")</f>
        <v>Abrir facsímil</v>
      </c>
      <c r="K3733" s="15" t="s">
        <v>23</v>
      </c>
    </row>
    <row r="3734" spans="1:11" ht="42" customHeight="1">
      <c r="A3734" s="4" t="s">
        <v>8540</v>
      </c>
      <c r="B3734" s="5" t="s">
        <v>8540</v>
      </c>
      <c r="C3734" s="5" t="s">
        <v>75</v>
      </c>
      <c r="D3734" s="5" t="s">
        <v>76</v>
      </c>
      <c r="E3734" s="5" t="s">
        <v>266</v>
      </c>
      <c r="F3734" s="9">
        <v>119</v>
      </c>
      <c r="G3734" s="9">
        <v>1298</v>
      </c>
      <c r="H3734" s="5" t="s">
        <v>21</v>
      </c>
      <c r="I3734" s="5" t="s">
        <v>8541</v>
      </c>
      <c r="J3734" s="12" t="str">
        <f>HYPERLINK("https://www.boe.es/gazeta/dias/1801/12/29/pdfs/GMD-1801-119.pdf#page=2","Abrir facsímil")</f>
        <v>Abrir facsímil</v>
      </c>
      <c r="K3734" s="15" t="s">
        <v>23</v>
      </c>
    </row>
    <row r="3735" spans="1:11" ht="42" customHeight="1">
      <c r="A3735" s="4" t="s">
        <v>8542</v>
      </c>
      <c r="B3735" s="5" t="s">
        <v>8542</v>
      </c>
      <c r="C3735" s="5" t="s">
        <v>18</v>
      </c>
      <c r="D3735" s="5" t="s">
        <v>19</v>
      </c>
      <c r="E3735" s="5" t="s">
        <v>1939</v>
      </c>
      <c r="F3735" s="9">
        <v>107</v>
      </c>
      <c r="G3735" s="9">
        <v>1182</v>
      </c>
      <c r="H3735" s="5" t="s">
        <v>21</v>
      </c>
      <c r="I3735" s="5" t="s">
        <v>8543</v>
      </c>
      <c r="J3735" s="12" t="str">
        <f>HYPERLINK("https://www.boe.es/gazeta/dias/1801/11/17/pdfs/GMD-1801-107.pdf#page=11","Abrir facsímil")</f>
        <v>Abrir facsímil</v>
      </c>
      <c r="K3735" s="15" t="s">
        <v>23</v>
      </c>
    </row>
    <row r="3736" spans="1:11" ht="42" customHeight="1">
      <c r="A3736" s="4" t="s">
        <v>8544</v>
      </c>
      <c r="B3736" s="5" t="s">
        <v>8544</v>
      </c>
      <c r="C3736" s="5" t="s">
        <v>75</v>
      </c>
      <c r="D3736" s="5" t="s">
        <v>76</v>
      </c>
      <c r="E3736" s="5" t="s">
        <v>28</v>
      </c>
      <c r="F3736" s="9">
        <v>77</v>
      </c>
      <c r="G3736" s="9">
        <v>865</v>
      </c>
      <c r="H3736" s="5" t="s">
        <v>21</v>
      </c>
      <c r="I3736" s="5" t="s">
        <v>8545</v>
      </c>
      <c r="J3736" s="12" t="str">
        <f>HYPERLINK("https://www.boe.es/gazeta/dias/1801/08/11/pdfs/GMD-1801-77.pdf#page=10","Abrir facsímil")</f>
        <v>Abrir facsímil</v>
      </c>
      <c r="K3736" s="15" t="s">
        <v>23</v>
      </c>
    </row>
    <row r="3737" spans="1:11" ht="42" customHeight="1">
      <c r="A3737" s="4" t="s">
        <v>8546</v>
      </c>
      <c r="B3737" s="5" t="s">
        <v>8546</v>
      </c>
      <c r="C3737" s="5" t="s">
        <v>38</v>
      </c>
      <c r="D3737" s="5" t="s">
        <v>39</v>
      </c>
      <c r="E3737" s="5" t="s">
        <v>155</v>
      </c>
      <c r="F3737" s="9">
        <v>50</v>
      </c>
      <c r="G3737" s="9">
        <v>595</v>
      </c>
      <c r="H3737" s="5" t="s">
        <v>21</v>
      </c>
      <c r="I3737" s="5" t="s">
        <v>8547</v>
      </c>
      <c r="J3737" s="12" t="str">
        <f>HYPERLINK("https://www.boe.es/gazeta/dias/1801/06/09/pdfs/GMD-1801-50.pdf#page=7","Abrir facsímil")</f>
        <v>Abrir facsímil</v>
      </c>
      <c r="K3737" s="15" t="s">
        <v>23</v>
      </c>
    </row>
    <row r="3738" spans="1:11" ht="42" customHeight="1">
      <c r="A3738" s="4" t="s">
        <v>8548</v>
      </c>
      <c r="B3738" s="5" t="s">
        <v>8548</v>
      </c>
      <c r="C3738" s="5" t="s">
        <v>75</v>
      </c>
      <c r="D3738" s="5" t="s">
        <v>76</v>
      </c>
      <c r="E3738" s="5" t="s">
        <v>258</v>
      </c>
      <c r="F3738" s="9">
        <v>96</v>
      </c>
      <c r="G3738" s="9">
        <v>1049</v>
      </c>
      <c r="H3738" s="5" t="s">
        <v>21</v>
      </c>
      <c r="I3738" s="5" t="s">
        <v>8549</v>
      </c>
      <c r="J3738" s="12" t="str">
        <f>HYPERLINK("https://www.boe.es/gazeta/dias/1801/10/09/pdfs/GMD-1801-96.pdf#page=5","Abrir facsímil")</f>
        <v>Abrir facsímil</v>
      </c>
      <c r="K3738" s="15" t="s">
        <v>23</v>
      </c>
    </row>
    <row r="3739" spans="1:11" ht="42" customHeight="1">
      <c r="A3739" s="4" t="s">
        <v>8550</v>
      </c>
      <c r="B3739" s="5" t="s">
        <v>8550</v>
      </c>
      <c r="C3739" s="5" t="s">
        <v>32</v>
      </c>
      <c r="D3739" s="5" t="s">
        <v>33</v>
      </c>
      <c r="E3739" s="5" t="s">
        <v>480</v>
      </c>
      <c r="F3739" s="9">
        <v>10</v>
      </c>
      <c r="G3739" s="9">
        <v>117</v>
      </c>
      <c r="H3739" s="5" t="s">
        <v>21</v>
      </c>
      <c r="I3739" s="5" t="s">
        <v>8551</v>
      </c>
      <c r="J3739" s="12" t="str">
        <f>HYPERLINK("https://www.boe.es/gazeta/dias/1801/02/03/pdfs/GMD-1801-10.pdf#page=2","Abrir facsímil")</f>
        <v>Abrir facsímil</v>
      </c>
      <c r="K3739" s="15" t="s">
        <v>23</v>
      </c>
    </row>
    <row r="3740" spans="1:11" ht="42" customHeight="1">
      <c r="A3740" s="4" t="s">
        <v>8552</v>
      </c>
      <c r="B3740" s="5" t="s">
        <v>8552</v>
      </c>
      <c r="C3740" s="5" t="s">
        <v>38</v>
      </c>
      <c r="D3740" s="5" t="s">
        <v>39</v>
      </c>
      <c r="E3740" s="5" t="s">
        <v>72</v>
      </c>
      <c r="F3740" s="9">
        <v>60</v>
      </c>
      <c r="G3740" s="9">
        <v>683</v>
      </c>
      <c r="H3740" s="5" t="s">
        <v>21</v>
      </c>
      <c r="I3740" s="5" t="s">
        <v>8553</v>
      </c>
      <c r="J3740" s="12" t="str">
        <f>HYPERLINK("https://www.boe.es/gazeta/dias/1801/06/26/pdfs/GMD-1801-60.pdf#page=4","Abrir facsímil")</f>
        <v>Abrir facsímil</v>
      </c>
      <c r="K3740" s="15" t="s">
        <v>23</v>
      </c>
    </row>
    <row r="3741" spans="1:11" ht="42" customHeight="1">
      <c r="A3741" s="4" t="s">
        <v>8554</v>
      </c>
      <c r="B3741" s="5" t="s">
        <v>8554</v>
      </c>
      <c r="C3741" s="5" t="s">
        <v>38</v>
      </c>
      <c r="D3741" s="5" t="s">
        <v>39</v>
      </c>
      <c r="E3741" s="5" t="s">
        <v>219</v>
      </c>
      <c r="F3741" s="9">
        <v>26</v>
      </c>
      <c r="G3741" s="9">
        <v>343</v>
      </c>
      <c r="H3741" s="5" t="s">
        <v>21</v>
      </c>
      <c r="I3741" s="5" t="s">
        <v>8462</v>
      </c>
      <c r="J3741" s="12" t="str">
        <f>HYPERLINK("https://www.boe.es/gazeta/dias/1801/03/31/pdfs/GMD-1801-26.pdf#page=7","Abrir facsímil")</f>
        <v>Abrir facsímil</v>
      </c>
      <c r="K3741" s="15" t="s">
        <v>23</v>
      </c>
    </row>
    <row r="3742" spans="1:11" ht="42" customHeight="1">
      <c r="A3742" s="4" t="s">
        <v>8555</v>
      </c>
      <c r="B3742" s="5" t="s">
        <v>8555</v>
      </c>
      <c r="C3742" s="5" t="s">
        <v>18</v>
      </c>
      <c r="D3742" s="5" t="s">
        <v>19</v>
      </c>
      <c r="E3742" s="5" t="s">
        <v>173</v>
      </c>
      <c r="F3742" s="9">
        <v>98</v>
      </c>
      <c r="G3742" s="9">
        <v>1075</v>
      </c>
      <c r="H3742" s="5" t="s">
        <v>21</v>
      </c>
      <c r="I3742" s="5" t="s">
        <v>8556</v>
      </c>
      <c r="J3742" s="12" t="str">
        <f>HYPERLINK("https://www.boe.es/gazeta/dias/1801/10/16/pdfs/GMD-1801-98.pdf#page=7","Abrir facsímil")</f>
        <v>Abrir facsímil</v>
      </c>
      <c r="K3742" s="15" t="s">
        <v>23</v>
      </c>
    </row>
    <row r="3743" spans="1:11" ht="42" customHeight="1">
      <c r="A3743" s="4" t="s">
        <v>8557</v>
      </c>
      <c r="B3743" s="5" t="s">
        <v>8557</v>
      </c>
      <c r="C3743" s="5" t="s">
        <v>38</v>
      </c>
      <c r="D3743" s="5" t="s">
        <v>39</v>
      </c>
      <c r="E3743" s="5" t="s">
        <v>751</v>
      </c>
      <c r="F3743" s="9">
        <v>106</v>
      </c>
      <c r="G3743" s="9">
        <v>1162</v>
      </c>
      <c r="H3743" s="5" t="s">
        <v>21</v>
      </c>
      <c r="I3743" s="5" t="s">
        <v>8558</v>
      </c>
      <c r="J3743" s="12" t="str">
        <f>HYPERLINK("https://www.boe.es/gazeta/dias/1801/11/13/pdfs/GMD-1801-106.pdf#page=3","Abrir facsímil")</f>
        <v>Abrir facsímil</v>
      </c>
      <c r="K3743" s="15" t="s">
        <v>23</v>
      </c>
    </row>
    <row r="3744" spans="1:11" ht="42" customHeight="1">
      <c r="A3744" s="4" t="s">
        <v>8559</v>
      </c>
      <c r="B3744" s="5" t="s">
        <v>8559</v>
      </c>
      <c r="C3744" s="5" t="s">
        <v>75</v>
      </c>
      <c r="D3744" s="5" t="s">
        <v>76</v>
      </c>
      <c r="E3744" s="5" t="s">
        <v>48</v>
      </c>
      <c r="F3744" s="9">
        <v>20</v>
      </c>
      <c r="G3744" s="9">
        <v>260</v>
      </c>
      <c r="H3744" s="5" t="s">
        <v>21</v>
      </c>
      <c r="I3744" s="5" t="s">
        <v>8560</v>
      </c>
      <c r="J3744" s="12" t="str">
        <f>HYPERLINK("https://www.boe.es/gazeta/dias/1801/03/10/pdfs/GMD-1801-20.pdf#page=5","Abrir facsímil")</f>
        <v>Abrir facsímil</v>
      </c>
      <c r="K3744" s="15" t="s">
        <v>23</v>
      </c>
    </row>
    <row r="3745" spans="1:11" ht="42" customHeight="1">
      <c r="A3745" s="4" t="s">
        <v>8561</v>
      </c>
      <c r="B3745" s="5" t="s">
        <v>8562</v>
      </c>
      <c r="C3745" s="5" t="s">
        <v>80</v>
      </c>
      <c r="D3745" s="5" t="s">
        <v>81</v>
      </c>
      <c r="E3745" s="5" t="s">
        <v>82</v>
      </c>
      <c r="F3745" s="9">
        <v>75</v>
      </c>
      <c r="G3745" s="9" t="s">
        <v>86</v>
      </c>
      <c r="H3745" s="5" t="s">
        <v>21</v>
      </c>
      <c r="I3745" s="5" t="s">
        <v>8563</v>
      </c>
      <c r="J3745" s="12" t="str">
        <f>HYPERLINK("https://www.boe.es/gazeta/dias/1801/08/04/pdfs/GMD-C-1801-75.pdf#page=3","Abrir facsímil")</f>
        <v>Abrir facsímil</v>
      </c>
      <c r="K3745" s="15" t="s">
        <v>23</v>
      </c>
    </row>
    <row r="3746" spans="1:11" ht="42" customHeight="1">
      <c r="A3746" s="4" t="s">
        <v>8564</v>
      </c>
      <c r="B3746" s="5" t="s">
        <v>8565</v>
      </c>
      <c r="C3746" s="5" t="s">
        <v>32</v>
      </c>
      <c r="D3746" s="5" t="s">
        <v>33</v>
      </c>
      <c r="E3746" s="5" t="s">
        <v>62</v>
      </c>
      <c r="F3746" s="9">
        <v>6</v>
      </c>
      <c r="G3746" s="9">
        <v>73</v>
      </c>
      <c r="H3746" s="5" t="s">
        <v>21</v>
      </c>
      <c r="I3746" s="5" t="s">
        <v>8566</v>
      </c>
      <c r="J3746" s="12" t="str">
        <f>HYPERLINK("https://www.boe.es/gazeta/dias/1801/01/20/pdfs/GMD-1801-6.pdf#page=9","Abrir facsímil")</f>
        <v>Abrir facsímil</v>
      </c>
      <c r="K3746" s="15" t="s">
        <v>23</v>
      </c>
    </row>
    <row r="3747" spans="1:11" ht="42" customHeight="1">
      <c r="A3747" s="4" t="s">
        <v>8567</v>
      </c>
      <c r="B3747" s="5" t="s">
        <v>8567</v>
      </c>
      <c r="C3747" s="5" t="s">
        <v>18</v>
      </c>
      <c r="D3747" s="5" t="s">
        <v>19</v>
      </c>
      <c r="E3747" s="5" t="s">
        <v>215</v>
      </c>
      <c r="F3747" s="9">
        <v>71</v>
      </c>
      <c r="G3747" s="9">
        <v>789</v>
      </c>
      <c r="H3747" s="5" t="s">
        <v>21</v>
      </c>
      <c r="I3747" s="5" t="s">
        <v>8568</v>
      </c>
      <c r="J3747" s="12" t="str">
        <f>HYPERLINK("https://www.boe.es/gazeta/dias/1801/07/21/pdfs/GMD-1801-71.pdf#page=10","Abrir facsímil")</f>
        <v>Abrir facsímil</v>
      </c>
      <c r="K3747" s="15" t="s">
        <v>23</v>
      </c>
    </row>
    <row r="3748" spans="1:11" ht="42" customHeight="1">
      <c r="A3748" s="4" t="s">
        <v>8569</v>
      </c>
      <c r="B3748" s="5" t="s">
        <v>8570</v>
      </c>
      <c r="C3748" s="5" t="s">
        <v>32</v>
      </c>
      <c r="D3748" s="5" t="s">
        <v>33</v>
      </c>
      <c r="E3748" s="5" t="s">
        <v>501</v>
      </c>
      <c r="F3748" s="9">
        <v>115</v>
      </c>
      <c r="G3748" s="9">
        <v>1256</v>
      </c>
      <c r="H3748" s="5" t="s">
        <v>21</v>
      </c>
      <c r="I3748" s="5" t="s">
        <v>8571</v>
      </c>
      <c r="J3748" s="12" t="str">
        <f>HYPERLINK("https://www.boe.es/gazeta/dias/1801/12/15/pdfs/GMD-1801-115.pdf#page=6","Abrir facsímil")</f>
        <v>Abrir facsímil</v>
      </c>
      <c r="K3748" s="15" t="s">
        <v>23</v>
      </c>
    </row>
    <row r="3749" spans="1:11" ht="42" customHeight="1">
      <c r="A3749" s="4" t="s">
        <v>8572</v>
      </c>
      <c r="B3749" s="5" t="s">
        <v>8573</v>
      </c>
      <c r="C3749" s="5" t="s">
        <v>32</v>
      </c>
      <c r="D3749" s="5" t="s">
        <v>33</v>
      </c>
      <c r="E3749" s="5" t="s">
        <v>313</v>
      </c>
      <c r="F3749" s="9">
        <v>39</v>
      </c>
      <c r="G3749" s="9">
        <v>505</v>
      </c>
      <c r="H3749" s="5" t="s">
        <v>21</v>
      </c>
      <c r="I3749" s="5" t="s">
        <v>8574</v>
      </c>
      <c r="J3749" s="12" t="str">
        <f>HYPERLINK("https://www.boe.es/gazeta/dias/1801/05/15/pdfs/GMD-1801-39.pdf#page=9","Abrir facsímil")</f>
        <v>Abrir facsímil</v>
      </c>
      <c r="K3749" s="15" t="s">
        <v>23</v>
      </c>
    </row>
    <row r="3750" spans="1:11" ht="42" customHeight="1">
      <c r="A3750" s="4" t="s">
        <v>8575</v>
      </c>
      <c r="B3750" s="5" t="s">
        <v>8575</v>
      </c>
      <c r="C3750" s="5" t="s">
        <v>80</v>
      </c>
      <c r="D3750" s="5" t="s">
        <v>81</v>
      </c>
      <c r="E3750" s="5" t="s">
        <v>82</v>
      </c>
      <c r="F3750" s="9">
        <v>75</v>
      </c>
      <c r="G3750" s="9" t="s">
        <v>83</v>
      </c>
      <c r="H3750" s="5" t="s">
        <v>21</v>
      </c>
      <c r="I3750" s="5" t="s">
        <v>8576</v>
      </c>
      <c r="J3750" s="12" t="str">
        <f>HYPERLINK("https://www.boe.es/gazeta/dias/1801/08/04/pdfs/GMD-C-1801-75.pdf#page=2","Abrir facsímil")</f>
        <v>Abrir facsímil</v>
      </c>
      <c r="K3750" s="15" t="s">
        <v>23</v>
      </c>
    </row>
    <row r="3751" spans="1:11" ht="42" customHeight="1">
      <c r="A3751" s="4" t="s">
        <v>8577</v>
      </c>
      <c r="B3751" s="5" t="s">
        <v>8577</v>
      </c>
      <c r="C3751" s="5" t="s">
        <v>32</v>
      </c>
      <c r="D3751" s="5" t="s">
        <v>33</v>
      </c>
      <c r="E3751" s="5" t="s">
        <v>781</v>
      </c>
      <c r="F3751" s="9">
        <v>14</v>
      </c>
      <c r="G3751" s="9">
        <v>173</v>
      </c>
      <c r="H3751" s="5" t="s">
        <v>21</v>
      </c>
      <c r="I3751" s="5" t="s">
        <v>8578</v>
      </c>
      <c r="J3751" s="12" t="str">
        <f>HYPERLINK("https://www.boe.es/gazeta/dias/1801/02/17/pdfs/GMD-1801-14.pdf#page=8","Abrir facsímil")</f>
        <v>Abrir facsímil</v>
      </c>
      <c r="K3751" s="15" t="s">
        <v>23</v>
      </c>
    </row>
    <row r="3752" spans="1:11" ht="42" customHeight="1">
      <c r="A3752" s="4" t="s">
        <v>8579</v>
      </c>
      <c r="B3752" s="5" t="s">
        <v>8580</v>
      </c>
      <c r="C3752" s="5" t="s">
        <v>32</v>
      </c>
      <c r="D3752" s="5" t="s">
        <v>33</v>
      </c>
      <c r="E3752" s="5" t="s">
        <v>1015</v>
      </c>
      <c r="F3752" s="9">
        <v>15</v>
      </c>
      <c r="G3752" s="9">
        <v>190</v>
      </c>
      <c r="H3752" s="5" t="s">
        <v>21</v>
      </c>
      <c r="I3752" s="5" t="s">
        <v>8581</v>
      </c>
      <c r="J3752" s="12" t="str">
        <f>HYPERLINK("https://www.boe.es/gazeta/dias/1801/02/20/pdfs/GMD-1801-15.pdf#page=9","Abrir facsímil")</f>
        <v>Abrir facsímil</v>
      </c>
      <c r="K3752" s="15" t="s">
        <v>23</v>
      </c>
    </row>
    <row r="3753" spans="1:11" ht="42" customHeight="1">
      <c r="A3753" s="4" t="s">
        <v>8582</v>
      </c>
      <c r="B3753" s="5" t="s">
        <v>8582</v>
      </c>
      <c r="C3753" s="5" t="s">
        <v>69</v>
      </c>
      <c r="D3753" s="5" t="s">
        <v>19</v>
      </c>
      <c r="E3753" s="5" t="s">
        <v>112</v>
      </c>
      <c r="F3753" s="9">
        <v>114</v>
      </c>
      <c r="G3753" s="9">
        <v>1249</v>
      </c>
      <c r="H3753" s="5" t="s">
        <v>21</v>
      </c>
      <c r="I3753" s="5" t="s">
        <v>8583</v>
      </c>
      <c r="J3753" s="12" t="str">
        <f>HYPERLINK("https://www.boe.es/gazeta/dias/1801/12/11/pdfs/GMD-1801-114.pdf#page=11","Abrir facsímil")</f>
        <v>Abrir facsímil</v>
      </c>
      <c r="K3753" s="15" t="s">
        <v>23</v>
      </c>
    </row>
    <row r="3754" spans="1:11" ht="42" customHeight="1">
      <c r="A3754" s="4" t="s">
        <v>8584</v>
      </c>
      <c r="B3754" s="5" t="s">
        <v>8584</v>
      </c>
      <c r="C3754" s="5" t="s">
        <v>32</v>
      </c>
      <c r="D3754" s="5" t="s">
        <v>33</v>
      </c>
      <c r="E3754" s="5" t="s">
        <v>2430</v>
      </c>
      <c r="F3754" s="9">
        <v>27</v>
      </c>
      <c r="G3754" s="9">
        <v>356</v>
      </c>
      <c r="H3754" s="5" t="s">
        <v>21</v>
      </c>
      <c r="I3754" s="5" t="s">
        <v>8585</v>
      </c>
      <c r="J3754" s="12" t="str">
        <f>HYPERLINK("https://www.boe.es/gazeta/dias/1801/04/03/pdfs/GMD-1801-27.pdf#page=8","Abrir facsímil")</f>
        <v>Abrir facsímil</v>
      </c>
      <c r="K3754" s="15" t="s">
        <v>23</v>
      </c>
    </row>
    <row r="3755" spans="1:11" ht="42" customHeight="1">
      <c r="A3755" s="4" t="s">
        <v>8586</v>
      </c>
      <c r="B3755" s="5" t="s">
        <v>8586</v>
      </c>
      <c r="C3755" s="5" t="s">
        <v>32</v>
      </c>
      <c r="D3755" s="5" t="s">
        <v>33</v>
      </c>
      <c r="E3755" s="5" t="s">
        <v>313</v>
      </c>
      <c r="F3755" s="9">
        <v>39</v>
      </c>
      <c r="G3755" s="9">
        <v>507</v>
      </c>
      <c r="H3755" s="5" t="s">
        <v>21</v>
      </c>
      <c r="I3755" s="5" t="s">
        <v>8587</v>
      </c>
      <c r="J3755" s="12" t="str">
        <f>HYPERLINK("https://www.boe.es/gazeta/dias/1801/05/15/pdfs/GMD-1801-39.pdf#page=11","Abrir facsímil")</f>
        <v>Abrir facsímil</v>
      </c>
      <c r="K3755" s="15" t="s">
        <v>23</v>
      </c>
    </row>
    <row r="3756" spans="1:11" ht="42" customHeight="1">
      <c r="A3756" s="4" t="s">
        <v>8588</v>
      </c>
      <c r="B3756" s="5" t="s">
        <v>8588</v>
      </c>
      <c r="C3756" s="5" t="s">
        <v>32</v>
      </c>
      <c r="D3756" s="5" t="s">
        <v>33</v>
      </c>
      <c r="E3756" s="5" t="s">
        <v>82</v>
      </c>
      <c r="F3756" s="9">
        <v>75</v>
      </c>
      <c r="G3756" s="9">
        <v>842</v>
      </c>
      <c r="H3756" s="5" t="s">
        <v>21</v>
      </c>
      <c r="I3756" s="5" t="s">
        <v>8589</v>
      </c>
      <c r="J3756" s="12" t="str">
        <f>HYPERLINK("https://www.boe.es/gazeta/dias/1801/08/04/pdfs/GMD-1801-75.pdf#page=11","Abrir facsímil")</f>
        <v>Abrir facsímil</v>
      </c>
      <c r="K3756" s="15" t="s">
        <v>23</v>
      </c>
    </row>
    <row r="3757" spans="1:11" ht="42" customHeight="1">
      <c r="A3757" s="4" t="s">
        <v>8588</v>
      </c>
      <c r="B3757" s="5" t="s">
        <v>8588</v>
      </c>
      <c r="C3757" s="5" t="s">
        <v>18</v>
      </c>
      <c r="D3757" s="5" t="s">
        <v>19</v>
      </c>
      <c r="E3757" s="5" t="s">
        <v>919</v>
      </c>
      <c r="F3757" s="9">
        <v>91</v>
      </c>
      <c r="G3757" s="9">
        <v>1004</v>
      </c>
      <c r="H3757" s="5" t="s">
        <v>21</v>
      </c>
      <c r="I3757" s="5" t="s">
        <v>8590</v>
      </c>
      <c r="J3757" s="12" t="str">
        <f>HYPERLINK("https://www.boe.es/gazeta/dias/1801/09/22/pdfs/GMD-1801-91.pdf#page=7","Abrir facsímil")</f>
        <v>Abrir facsímil</v>
      </c>
      <c r="K3757" s="15" t="s">
        <v>23</v>
      </c>
    </row>
    <row r="3758" spans="1:11" ht="42" customHeight="1">
      <c r="A3758" s="4" t="s">
        <v>8591</v>
      </c>
      <c r="B3758" s="5" t="s">
        <v>8591</v>
      </c>
      <c r="C3758" s="5" t="s">
        <v>515</v>
      </c>
      <c r="D3758" s="5" t="s">
        <v>516</v>
      </c>
      <c r="E3758" s="5" t="s">
        <v>94</v>
      </c>
      <c r="F3758" s="9">
        <v>19</v>
      </c>
      <c r="G3758" s="9">
        <v>252</v>
      </c>
      <c r="H3758" s="5" t="s">
        <v>21</v>
      </c>
      <c r="I3758" s="5" t="s">
        <v>8592</v>
      </c>
      <c r="J3758" s="12" t="str">
        <f>HYPERLINK("https://www.boe.es/gazeta/dias/1801/03/06/pdfs/GMD-C-1801-19.pdf#page=5","Abrir facsímil")</f>
        <v>Abrir facsímil</v>
      </c>
      <c r="K3758" s="15" t="s">
        <v>23</v>
      </c>
    </row>
    <row r="3759" spans="1:11" ht="42" customHeight="1">
      <c r="A3759" s="4" t="s">
        <v>8591</v>
      </c>
      <c r="B3759" s="5" t="s">
        <v>8591</v>
      </c>
      <c r="C3759" s="5" t="s">
        <v>18</v>
      </c>
      <c r="D3759" s="5" t="s">
        <v>19</v>
      </c>
      <c r="E3759" s="5" t="s">
        <v>48</v>
      </c>
      <c r="F3759" s="9">
        <v>20</v>
      </c>
      <c r="G3759" s="9">
        <v>267</v>
      </c>
      <c r="H3759" s="5" t="s">
        <v>21</v>
      </c>
      <c r="I3759" s="5" t="s">
        <v>8593</v>
      </c>
      <c r="J3759" s="12" t="str">
        <f>HYPERLINK("https://www.boe.es/gazeta/dias/1801/03/10/pdfs/GMD-1801-20.pdf#page=12","Abrir facsímil")</f>
        <v>Abrir facsímil</v>
      </c>
      <c r="K3759" s="15" t="s">
        <v>23</v>
      </c>
    </row>
    <row r="3760" spans="1:11" ht="42" customHeight="1">
      <c r="A3760" s="4" t="s">
        <v>8591</v>
      </c>
      <c r="B3760" s="5" t="s">
        <v>8591</v>
      </c>
      <c r="C3760" s="5" t="s">
        <v>18</v>
      </c>
      <c r="D3760" s="5" t="s">
        <v>19</v>
      </c>
      <c r="E3760" s="5" t="s">
        <v>97</v>
      </c>
      <c r="F3760" s="9">
        <v>31</v>
      </c>
      <c r="G3760" s="9">
        <v>404</v>
      </c>
      <c r="H3760" s="5" t="s">
        <v>21</v>
      </c>
      <c r="I3760" s="5" t="s">
        <v>8594</v>
      </c>
      <c r="J3760" s="12" t="str">
        <f>HYPERLINK("https://www.boe.es/gazeta/dias/1801/04/17/pdfs/GMD-1801-31.pdf#page=8","Abrir facsímil")</f>
        <v>Abrir facsímil</v>
      </c>
      <c r="K3760" s="15" t="s">
        <v>23</v>
      </c>
    </row>
    <row r="3761" spans="1:11" ht="42" customHeight="1">
      <c r="A3761" s="4" t="s">
        <v>8591</v>
      </c>
      <c r="B3761" s="5" t="s">
        <v>8591</v>
      </c>
      <c r="C3761" s="5" t="s">
        <v>32</v>
      </c>
      <c r="D3761" s="5" t="s">
        <v>33</v>
      </c>
      <c r="E3761" s="5" t="s">
        <v>313</v>
      </c>
      <c r="F3761" s="9">
        <v>39</v>
      </c>
      <c r="G3761" s="9">
        <v>507</v>
      </c>
      <c r="H3761" s="5" t="s">
        <v>21</v>
      </c>
      <c r="I3761" s="5" t="s">
        <v>8595</v>
      </c>
      <c r="J3761" s="12" t="str">
        <f>HYPERLINK("https://www.boe.es/gazeta/dias/1801/05/15/pdfs/GMD-1801-39.pdf#page=11","Abrir facsímil")</f>
        <v>Abrir facsímil</v>
      </c>
      <c r="K3761" s="15" t="s">
        <v>23</v>
      </c>
    </row>
    <row r="3762" spans="1:11" ht="42" customHeight="1">
      <c r="A3762" s="4" t="s">
        <v>8591</v>
      </c>
      <c r="B3762" s="5" t="s">
        <v>8591</v>
      </c>
      <c r="C3762" s="5" t="s">
        <v>18</v>
      </c>
      <c r="D3762" s="5" t="s">
        <v>19</v>
      </c>
      <c r="E3762" s="5" t="s">
        <v>66</v>
      </c>
      <c r="F3762" s="9">
        <v>52</v>
      </c>
      <c r="G3762" s="9">
        <v>609</v>
      </c>
      <c r="H3762" s="5" t="s">
        <v>21</v>
      </c>
      <c r="I3762" s="5" t="s">
        <v>8596</v>
      </c>
      <c r="J3762" s="12" t="str">
        <f>HYPERLINK("https://www.boe.es/gazeta/dias/1801/06/12/pdfs/GMD-1801-52.pdf#page=8","Abrir facsímil")</f>
        <v>Abrir facsímil</v>
      </c>
      <c r="K3762" s="15" t="s">
        <v>23</v>
      </c>
    </row>
    <row r="3763" spans="1:11" ht="42" customHeight="1">
      <c r="A3763" s="4" t="s">
        <v>8591</v>
      </c>
      <c r="B3763" s="5" t="s">
        <v>8591</v>
      </c>
      <c r="C3763" s="5" t="s">
        <v>32</v>
      </c>
      <c r="D3763" s="5" t="s">
        <v>33</v>
      </c>
      <c r="E3763" s="5" t="s">
        <v>161</v>
      </c>
      <c r="F3763" s="9">
        <v>58</v>
      </c>
      <c r="G3763" s="9">
        <v>665</v>
      </c>
      <c r="H3763" s="5" t="s">
        <v>21</v>
      </c>
      <c r="I3763" s="5" t="s">
        <v>8597</v>
      </c>
      <c r="J3763" s="12" t="str">
        <f>HYPERLINK("https://www.boe.es/gazeta/dias/1801/06/19/pdfs/GMD-1801-58.pdf#page=10","Abrir facsímil")</f>
        <v>Abrir facsímil</v>
      </c>
      <c r="K3763" s="15" t="s">
        <v>23</v>
      </c>
    </row>
    <row r="3764" spans="1:11" ht="42" customHeight="1">
      <c r="A3764" s="4" t="s">
        <v>8591</v>
      </c>
      <c r="B3764" s="5" t="s">
        <v>8591</v>
      </c>
      <c r="C3764" s="5" t="s">
        <v>18</v>
      </c>
      <c r="D3764" s="5" t="s">
        <v>19</v>
      </c>
      <c r="E3764" s="5" t="s">
        <v>72</v>
      </c>
      <c r="F3764" s="9">
        <v>60</v>
      </c>
      <c r="G3764" s="9">
        <v>690</v>
      </c>
      <c r="H3764" s="5" t="s">
        <v>21</v>
      </c>
      <c r="I3764" s="5" t="s">
        <v>8598</v>
      </c>
      <c r="J3764" s="12" t="str">
        <f>HYPERLINK("https://www.boe.es/gazeta/dias/1801/06/26/pdfs/GMD-1801-60.pdf#page=11","Abrir facsímil")</f>
        <v>Abrir facsímil</v>
      </c>
      <c r="K3764" s="15" t="s">
        <v>23</v>
      </c>
    </row>
    <row r="3765" spans="1:11" ht="42" customHeight="1">
      <c r="A3765" s="4" t="s">
        <v>8591</v>
      </c>
      <c r="B3765" s="5" t="s">
        <v>8591</v>
      </c>
      <c r="C3765" s="5" t="s">
        <v>18</v>
      </c>
      <c r="D3765" s="5" t="s">
        <v>19</v>
      </c>
      <c r="E3765" s="5" t="s">
        <v>702</v>
      </c>
      <c r="F3765" s="9">
        <v>69</v>
      </c>
      <c r="G3765" s="9">
        <v>765</v>
      </c>
      <c r="H3765" s="5" t="s">
        <v>21</v>
      </c>
      <c r="I3765" s="5" t="s">
        <v>8599</v>
      </c>
      <c r="J3765" s="12" t="str">
        <f>HYPERLINK("https://www.boe.es/gazeta/dias/1801/07/14/pdfs/GMD-1801-69.pdf#page=10","Abrir facsímil")</f>
        <v>Abrir facsímil</v>
      </c>
      <c r="K3765" s="15" t="s">
        <v>23</v>
      </c>
    </row>
    <row r="3766" spans="1:11" ht="42" customHeight="1">
      <c r="A3766" s="4" t="s">
        <v>8591</v>
      </c>
      <c r="B3766" s="5" t="s">
        <v>8591</v>
      </c>
      <c r="C3766" s="5" t="s">
        <v>32</v>
      </c>
      <c r="D3766" s="5" t="s">
        <v>33</v>
      </c>
      <c r="E3766" s="5" t="s">
        <v>223</v>
      </c>
      <c r="F3766" s="9">
        <v>74</v>
      </c>
      <c r="G3766" s="9">
        <v>829</v>
      </c>
      <c r="H3766" s="5" t="s">
        <v>21</v>
      </c>
      <c r="I3766" s="5" t="s">
        <v>8600</v>
      </c>
      <c r="J3766" s="12" t="str">
        <f>HYPERLINK("https://www.boe.es/gazeta/dias/1801/07/31/pdfs/GMD-1801-74.pdf#page=10","Abrir facsímil")</f>
        <v>Abrir facsímil</v>
      </c>
      <c r="K3766" s="15" t="s">
        <v>23</v>
      </c>
    </row>
    <row r="3767" spans="1:11" ht="42" customHeight="1">
      <c r="A3767" s="4" t="s">
        <v>8591</v>
      </c>
      <c r="B3767" s="5" t="s">
        <v>8591</v>
      </c>
      <c r="C3767" s="5" t="s">
        <v>18</v>
      </c>
      <c r="D3767" s="5" t="s">
        <v>19</v>
      </c>
      <c r="E3767" s="5" t="s">
        <v>28</v>
      </c>
      <c r="F3767" s="9">
        <v>77</v>
      </c>
      <c r="G3767" s="9">
        <v>866</v>
      </c>
      <c r="H3767" s="5" t="s">
        <v>21</v>
      </c>
      <c r="I3767" s="5" t="s">
        <v>8601</v>
      </c>
      <c r="J3767" s="12" t="str">
        <f>HYPERLINK("https://www.boe.es/gazeta/dias/1801/08/11/pdfs/GMD-1801-77.pdf#page=11","Abrir facsímil")</f>
        <v>Abrir facsímil</v>
      </c>
      <c r="K3767" s="15" t="s">
        <v>23</v>
      </c>
    </row>
    <row r="3768" spans="1:11" ht="42" customHeight="1">
      <c r="A3768" s="4" t="s">
        <v>8591</v>
      </c>
      <c r="B3768" s="5" t="s">
        <v>8591</v>
      </c>
      <c r="C3768" s="5" t="s">
        <v>32</v>
      </c>
      <c r="D3768" s="5" t="s">
        <v>33</v>
      </c>
      <c r="E3768" s="5" t="s">
        <v>256</v>
      </c>
      <c r="F3768" s="9">
        <v>78</v>
      </c>
      <c r="G3768" s="9">
        <v>882</v>
      </c>
      <c r="H3768" s="5" t="s">
        <v>21</v>
      </c>
      <c r="I3768" s="5" t="s">
        <v>8602</v>
      </c>
      <c r="J3768" s="12" t="str">
        <f>HYPERLINK("https://www.boe.es/gazeta/dias/1801/08/14/pdfs/GMD-1801-78.pdf#page=11","Abrir facsímil")</f>
        <v>Abrir facsímil</v>
      </c>
      <c r="K3768" s="15" t="s">
        <v>23</v>
      </c>
    </row>
    <row r="3769" spans="1:11" ht="42" customHeight="1">
      <c r="A3769" s="4" t="s">
        <v>8591</v>
      </c>
      <c r="B3769" s="5" t="s">
        <v>8591</v>
      </c>
      <c r="C3769" s="5" t="s">
        <v>18</v>
      </c>
      <c r="D3769" s="5" t="s">
        <v>19</v>
      </c>
      <c r="E3769" s="5" t="s">
        <v>640</v>
      </c>
      <c r="F3769" s="9">
        <v>81</v>
      </c>
      <c r="G3769" s="9">
        <v>911</v>
      </c>
      <c r="H3769" s="5" t="s">
        <v>21</v>
      </c>
      <c r="I3769" s="5" t="s">
        <v>8603</v>
      </c>
      <c r="J3769" s="12" t="str">
        <f>HYPERLINK("https://www.boe.es/gazeta/dias/1801/08/25/pdfs/GMD-1801-81.pdf#page=8","Abrir facsímil")</f>
        <v>Abrir facsímil</v>
      </c>
      <c r="K3769" s="15" t="s">
        <v>23</v>
      </c>
    </row>
    <row r="3770" spans="1:11" ht="42" customHeight="1">
      <c r="A3770" s="4" t="s">
        <v>8591</v>
      </c>
      <c r="B3770" s="5" t="s">
        <v>8591</v>
      </c>
      <c r="C3770" s="5" t="s">
        <v>18</v>
      </c>
      <c r="D3770" s="5" t="s">
        <v>19</v>
      </c>
      <c r="E3770" s="5" t="s">
        <v>258</v>
      </c>
      <c r="F3770" s="9">
        <v>96</v>
      </c>
      <c r="G3770" s="9">
        <v>1055</v>
      </c>
      <c r="H3770" s="5" t="s">
        <v>21</v>
      </c>
      <c r="I3770" s="5" t="s">
        <v>8604</v>
      </c>
      <c r="J3770" s="12" t="str">
        <f>HYPERLINK("https://www.boe.es/gazeta/dias/1801/10/09/pdfs/GMD-1801-96.pdf#page=11","Abrir facsímil")</f>
        <v>Abrir facsímil</v>
      </c>
      <c r="K3770" s="15" t="s">
        <v>23</v>
      </c>
    </row>
    <row r="3771" spans="1:11" ht="42" customHeight="1">
      <c r="A3771" s="4" t="s">
        <v>8591</v>
      </c>
      <c r="B3771" s="5" t="s">
        <v>8591</v>
      </c>
      <c r="C3771" s="5" t="s">
        <v>69</v>
      </c>
      <c r="D3771" s="5" t="s">
        <v>19</v>
      </c>
      <c r="E3771" s="5" t="s">
        <v>258</v>
      </c>
      <c r="F3771" s="9">
        <v>96</v>
      </c>
      <c r="G3771" s="9">
        <v>1056</v>
      </c>
      <c r="H3771" s="5" t="s">
        <v>21</v>
      </c>
      <c r="I3771" s="5" t="s">
        <v>8605</v>
      </c>
      <c r="J3771" s="12" t="str">
        <f>HYPERLINK("https://www.boe.es/gazeta/dias/1801/10/09/pdfs/GMD-1801-96.pdf#page=12","Abrir facsímil")</f>
        <v>Abrir facsímil</v>
      </c>
      <c r="K3771" s="15" t="s">
        <v>23</v>
      </c>
    </row>
    <row r="3772" spans="1:11" ht="42" customHeight="1">
      <c r="A3772" s="4" t="s">
        <v>8591</v>
      </c>
      <c r="B3772" s="5" t="s">
        <v>8591</v>
      </c>
      <c r="C3772" s="5" t="s">
        <v>32</v>
      </c>
      <c r="D3772" s="5" t="s">
        <v>33</v>
      </c>
      <c r="E3772" s="5" t="s">
        <v>453</v>
      </c>
      <c r="F3772" s="9">
        <v>100</v>
      </c>
      <c r="G3772" s="9">
        <v>1101</v>
      </c>
      <c r="H3772" s="5" t="s">
        <v>21</v>
      </c>
      <c r="I3772" s="5" t="s">
        <v>8606</v>
      </c>
      <c r="J3772" s="12" t="str">
        <f>HYPERLINK("https://www.boe.es/gazeta/dias/1801/10/23/pdfs/GMD-1801-100.pdf#page=10","Abrir facsímil")</f>
        <v>Abrir facsímil</v>
      </c>
      <c r="K3772" s="15" t="s">
        <v>23</v>
      </c>
    </row>
    <row r="3773" spans="1:11" ht="42" customHeight="1">
      <c r="A3773" s="4" t="s">
        <v>8591</v>
      </c>
      <c r="B3773" s="5" t="s">
        <v>8591</v>
      </c>
      <c r="C3773" s="5" t="s">
        <v>32</v>
      </c>
      <c r="D3773" s="5" t="s">
        <v>33</v>
      </c>
      <c r="E3773" s="5" t="s">
        <v>359</v>
      </c>
      <c r="F3773" s="9">
        <v>101</v>
      </c>
      <c r="G3773" s="9">
        <v>1114</v>
      </c>
      <c r="H3773" s="5" t="s">
        <v>21</v>
      </c>
      <c r="I3773" s="5" t="s">
        <v>8607</v>
      </c>
      <c r="J3773" s="12" t="str">
        <f>HYPERLINK("https://www.boe.es/gazeta/dias/1801/10/27/pdfs/GMD-1801-101.pdf#page=7","Abrir facsímil")</f>
        <v>Abrir facsímil</v>
      </c>
      <c r="K3773" s="15" t="s">
        <v>23</v>
      </c>
    </row>
    <row r="3774" spans="1:11" ht="42" customHeight="1">
      <c r="A3774" s="4" t="s">
        <v>8591</v>
      </c>
      <c r="B3774" s="5" t="s">
        <v>8591</v>
      </c>
      <c r="C3774" s="5" t="s">
        <v>18</v>
      </c>
      <c r="D3774" s="5" t="s">
        <v>19</v>
      </c>
      <c r="E3774" s="5" t="s">
        <v>888</v>
      </c>
      <c r="F3774" s="9">
        <v>103</v>
      </c>
      <c r="G3774" s="9">
        <v>1136</v>
      </c>
      <c r="H3774" s="5" t="s">
        <v>21</v>
      </c>
      <c r="I3774" s="5" t="s">
        <v>8608</v>
      </c>
      <c r="J3774" s="12" t="str">
        <f>HYPERLINK("https://www.boe.es/gazeta/dias/1801/11/03/pdfs/GMD-1801-103.pdf#page=9","Abrir facsímil")</f>
        <v>Abrir facsímil</v>
      </c>
      <c r="K3774" s="15" t="s">
        <v>23</v>
      </c>
    </row>
    <row r="3775" spans="1:11" ht="42" customHeight="1">
      <c r="A3775" s="4" t="s">
        <v>8591</v>
      </c>
      <c r="B3775" s="5" t="s">
        <v>8591</v>
      </c>
      <c r="C3775" s="5" t="s">
        <v>18</v>
      </c>
      <c r="D3775" s="5" t="s">
        <v>19</v>
      </c>
      <c r="E3775" s="5" t="s">
        <v>1939</v>
      </c>
      <c r="F3775" s="9">
        <v>107</v>
      </c>
      <c r="G3775" s="9">
        <v>1182</v>
      </c>
      <c r="H3775" s="5" t="s">
        <v>21</v>
      </c>
      <c r="I3775" s="5" t="s">
        <v>8609</v>
      </c>
      <c r="J3775" s="12" t="str">
        <f>HYPERLINK("https://www.boe.es/gazeta/dias/1801/11/17/pdfs/GMD-1801-107.pdf#page=11","Abrir facsímil")</f>
        <v>Abrir facsímil</v>
      </c>
      <c r="K3775" s="15" t="s">
        <v>23</v>
      </c>
    </row>
    <row r="3776" spans="1:11" ht="42" customHeight="1">
      <c r="A3776" s="4" t="s">
        <v>8591</v>
      </c>
      <c r="B3776" s="5" t="s">
        <v>8591</v>
      </c>
      <c r="C3776" s="5" t="s">
        <v>32</v>
      </c>
      <c r="D3776" s="5" t="s">
        <v>33</v>
      </c>
      <c r="E3776" s="5" t="s">
        <v>262</v>
      </c>
      <c r="F3776" s="9">
        <v>109</v>
      </c>
      <c r="G3776" s="9">
        <v>1205</v>
      </c>
      <c r="H3776" s="5" t="s">
        <v>21</v>
      </c>
      <c r="I3776" s="5" t="s">
        <v>8610</v>
      </c>
      <c r="J3776" s="12" t="str">
        <f>HYPERLINK("https://www.boe.es/gazeta/dias/1801/11/24/pdfs/GMD-1801-109.pdf#page=10","Abrir facsímil")</f>
        <v>Abrir facsímil</v>
      </c>
      <c r="K3776" s="15" t="s">
        <v>23</v>
      </c>
    </row>
    <row r="3777" spans="1:11" ht="42" customHeight="1">
      <c r="A3777" s="4" t="s">
        <v>8611</v>
      </c>
      <c r="B3777" s="5" t="s">
        <v>8611</v>
      </c>
      <c r="C3777" s="5" t="s">
        <v>32</v>
      </c>
      <c r="D3777" s="5" t="s">
        <v>33</v>
      </c>
      <c r="E3777" s="5" t="s">
        <v>359</v>
      </c>
      <c r="F3777" s="9">
        <v>101</v>
      </c>
      <c r="G3777" s="9">
        <v>1114</v>
      </c>
      <c r="H3777" s="5" t="s">
        <v>21</v>
      </c>
      <c r="I3777" s="5" t="s">
        <v>8612</v>
      </c>
      <c r="J3777" s="12" t="str">
        <f>HYPERLINK("https://www.boe.es/gazeta/dias/1801/10/27/pdfs/GMD-1801-101.pdf#page=7","Abrir facsímil")</f>
        <v>Abrir facsímil</v>
      </c>
      <c r="K3777" s="15" t="s">
        <v>23</v>
      </c>
    </row>
    <row r="3778" spans="1:11" ht="42" customHeight="1">
      <c r="A3778" s="4" t="s">
        <v>8613</v>
      </c>
      <c r="B3778" s="5" t="s">
        <v>8614</v>
      </c>
      <c r="C3778" s="5" t="s">
        <v>32</v>
      </c>
      <c r="D3778" s="5" t="s">
        <v>33</v>
      </c>
      <c r="E3778" s="5" t="s">
        <v>90</v>
      </c>
      <c r="F3778" s="9">
        <v>1</v>
      </c>
      <c r="G3778" s="9">
        <v>6</v>
      </c>
      <c r="H3778" s="5" t="s">
        <v>21</v>
      </c>
      <c r="I3778" s="5" t="s">
        <v>8615</v>
      </c>
      <c r="J3778" s="12" t="str">
        <f>HYPERLINK("https://www.boe.es/gazeta/dias/1801/01/02/pdfs/GMD-1801-1.pdf#page=6","Abrir facsímil")</f>
        <v>Abrir facsímil</v>
      </c>
      <c r="K3778" s="15" t="s">
        <v>23</v>
      </c>
    </row>
    <row r="3779" spans="1:11" ht="42" customHeight="1">
      <c r="A3779" s="4" t="s">
        <v>8616</v>
      </c>
      <c r="B3779" s="5" t="s">
        <v>8617</v>
      </c>
      <c r="C3779" s="5" t="s">
        <v>32</v>
      </c>
      <c r="D3779" s="5" t="s">
        <v>33</v>
      </c>
      <c r="E3779" s="5" t="s">
        <v>275</v>
      </c>
      <c r="F3779" s="9">
        <v>9</v>
      </c>
      <c r="G3779" s="9">
        <v>107</v>
      </c>
      <c r="H3779" s="5" t="s">
        <v>21</v>
      </c>
      <c r="I3779" s="5" t="s">
        <v>8618</v>
      </c>
      <c r="J3779" s="12" t="str">
        <f>HYPERLINK("https://www.boe.es/gazeta/dias/1801/01/30/pdfs/GMD-1801-9.pdf#page=4","Abrir facsímil")</f>
        <v>Abrir facsímil</v>
      </c>
      <c r="K3779" s="15" t="s">
        <v>23</v>
      </c>
    </row>
    <row r="3780" spans="1:11" ht="42" customHeight="1">
      <c r="A3780" s="4" t="s">
        <v>8619</v>
      </c>
      <c r="B3780" s="5" t="s">
        <v>8619</v>
      </c>
      <c r="C3780" s="5" t="s">
        <v>32</v>
      </c>
      <c r="D3780" s="5" t="s">
        <v>33</v>
      </c>
      <c r="E3780" s="5" t="s">
        <v>349</v>
      </c>
      <c r="F3780" s="9">
        <v>112</v>
      </c>
      <c r="G3780" s="9">
        <v>1226</v>
      </c>
      <c r="H3780" s="5" t="s">
        <v>21</v>
      </c>
      <c r="I3780" s="5" t="s">
        <v>8620</v>
      </c>
      <c r="J3780" s="12" t="str">
        <f>HYPERLINK("https://www.boe.es/gazeta/dias/1801/12/04/pdfs/GMD-1801-112.pdf#page=7","Abrir facsímil")</f>
        <v>Abrir facsímil</v>
      </c>
      <c r="K3780" s="15" t="s">
        <v>23</v>
      </c>
    </row>
    <row r="3781" spans="1:11" ht="42" customHeight="1">
      <c r="A3781" s="4" t="s">
        <v>8621</v>
      </c>
      <c r="B3781" s="5" t="s">
        <v>8621</v>
      </c>
      <c r="C3781" s="5" t="s">
        <v>32</v>
      </c>
      <c r="D3781" s="5" t="s">
        <v>33</v>
      </c>
      <c r="E3781" s="5" t="s">
        <v>378</v>
      </c>
      <c r="F3781" s="9">
        <v>23</v>
      </c>
      <c r="G3781" s="9">
        <v>306</v>
      </c>
      <c r="H3781" s="5" t="s">
        <v>21</v>
      </c>
      <c r="I3781" s="5" t="s">
        <v>8622</v>
      </c>
      <c r="J3781" s="12" t="str">
        <f>HYPERLINK("https://www.boe.es/gazeta/dias/1801/03/20/pdfs/GMD-1801-23.pdf#page=9","Abrir facsímil")</f>
        <v>Abrir facsímil</v>
      </c>
      <c r="K3781" s="15" t="s">
        <v>23</v>
      </c>
    </row>
    <row r="3782" spans="1:11" ht="42" customHeight="1">
      <c r="A3782" s="4" t="s">
        <v>8623</v>
      </c>
      <c r="B3782" s="5" t="s">
        <v>8624</v>
      </c>
      <c r="C3782" s="5" t="s">
        <v>32</v>
      </c>
      <c r="D3782" s="5" t="s">
        <v>33</v>
      </c>
      <c r="E3782" s="5" t="s">
        <v>120</v>
      </c>
      <c r="F3782" s="9">
        <v>7</v>
      </c>
      <c r="G3782" s="9">
        <v>84</v>
      </c>
      <c r="H3782" s="5" t="s">
        <v>21</v>
      </c>
      <c r="I3782" s="5" t="s">
        <v>8625</v>
      </c>
      <c r="J3782" s="12" t="str">
        <f>HYPERLINK("https://www.boe.es/gazeta/dias/1801/01/23/pdfs/GMD-1801-7.pdf#page=8","Abrir facsímil")</f>
        <v>Abrir facsímil</v>
      </c>
      <c r="K3782" s="15" t="s">
        <v>23</v>
      </c>
    </row>
    <row r="3783" spans="1:11" ht="42" customHeight="1">
      <c r="A3783" s="4" t="s">
        <v>8626</v>
      </c>
      <c r="B3783" s="5" t="s">
        <v>8627</v>
      </c>
      <c r="C3783" s="5" t="s">
        <v>515</v>
      </c>
      <c r="D3783" s="5" t="s">
        <v>516</v>
      </c>
      <c r="E3783" s="5" t="s">
        <v>501</v>
      </c>
      <c r="F3783" s="9">
        <v>115</v>
      </c>
      <c r="G3783" s="9" t="s">
        <v>517</v>
      </c>
      <c r="H3783" s="5" t="s">
        <v>21</v>
      </c>
      <c r="I3783" s="5" t="s">
        <v>8628</v>
      </c>
      <c r="J3783" s="12" t="str">
        <f>HYPERLINK("https://www.boe.es/gazeta/dias/1801/12/15/pdfs/GMD-C-1801-115.pdf#page=7","Abrir facsímil")</f>
        <v>Abrir facsímil</v>
      </c>
      <c r="K3783" s="15" t="s">
        <v>23</v>
      </c>
    </row>
    <row r="3784" spans="1:11" ht="42" customHeight="1">
      <c r="A3784" s="4" t="s">
        <v>8629</v>
      </c>
      <c r="B3784" s="5" t="s">
        <v>8630</v>
      </c>
      <c r="C3784" s="5" t="s">
        <v>32</v>
      </c>
      <c r="D3784" s="5" t="s">
        <v>33</v>
      </c>
      <c r="E3784" s="5" t="s">
        <v>275</v>
      </c>
      <c r="F3784" s="9">
        <v>9</v>
      </c>
      <c r="G3784" s="9">
        <v>112</v>
      </c>
      <c r="H3784" s="5" t="s">
        <v>21</v>
      </c>
      <c r="I3784" s="5" t="s">
        <v>8631</v>
      </c>
      <c r="J3784" s="12" t="str">
        <f>HYPERLINK("https://www.boe.es/gazeta/dias/1801/01/30/pdfs/GMD-1801-9.pdf#page=9","Abrir facsímil")</f>
        <v>Abrir facsímil</v>
      </c>
      <c r="K3784" s="15" t="s">
        <v>23</v>
      </c>
    </row>
    <row r="3785" spans="1:11" ht="42" customHeight="1">
      <c r="A3785" s="4" t="s">
        <v>8632</v>
      </c>
      <c r="B3785" s="5" t="s">
        <v>8633</v>
      </c>
      <c r="C3785" s="5" t="s">
        <v>32</v>
      </c>
      <c r="D3785" s="5" t="s">
        <v>33</v>
      </c>
      <c r="E3785" s="5" t="s">
        <v>313</v>
      </c>
      <c r="F3785" s="9">
        <v>39</v>
      </c>
      <c r="G3785" s="9">
        <v>505</v>
      </c>
      <c r="H3785" s="5" t="s">
        <v>21</v>
      </c>
      <c r="I3785" s="5" t="s">
        <v>8634</v>
      </c>
      <c r="J3785" s="12" t="str">
        <f>HYPERLINK("https://www.boe.es/gazeta/dias/1801/05/15/pdfs/GMD-1801-39.pdf#page=9","Abrir facsímil")</f>
        <v>Abrir facsímil</v>
      </c>
      <c r="K3785" s="15" t="s">
        <v>23</v>
      </c>
    </row>
    <row r="3786" spans="1:11" ht="42" customHeight="1">
      <c r="A3786" s="4" t="s">
        <v>8635</v>
      </c>
      <c r="B3786" s="5" t="s">
        <v>8636</v>
      </c>
      <c r="C3786" s="5" t="s">
        <v>32</v>
      </c>
      <c r="D3786" s="5" t="s">
        <v>33</v>
      </c>
      <c r="E3786" s="5" t="s">
        <v>254</v>
      </c>
      <c r="F3786" s="9">
        <v>73</v>
      </c>
      <c r="G3786" s="9">
        <v>811</v>
      </c>
      <c r="H3786" s="5" t="s">
        <v>21</v>
      </c>
      <c r="I3786" s="5" t="s">
        <v>8637</v>
      </c>
      <c r="J3786" s="12" t="str">
        <f>HYPERLINK("https://www.boe.es/gazeta/dias/1801/07/28/pdfs/GMD-1801-73.pdf#page=4","Abrir facsímil")</f>
        <v>Abrir facsímil</v>
      </c>
      <c r="K3786" s="15" t="s">
        <v>23</v>
      </c>
    </row>
    <row r="3787" spans="1:11" ht="42" customHeight="1">
      <c r="A3787" s="4" t="s">
        <v>8638</v>
      </c>
      <c r="B3787" s="5" t="s">
        <v>8639</v>
      </c>
      <c r="C3787" s="5" t="s">
        <v>38</v>
      </c>
      <c r="D3787" s="5" t="s">
        <v>39</v>
      </c>
      <c r="E3787" s="5" t="s">
        <v>702</v>
      </c>
      <c r="F3787" s="9">
        <v>69</v>
      </c>
      <c r="G3787" s="9">
        <v>764</v>
      </c>
      <c r="H3787" s="5" t="s">
        <v>21</v>
      </c>
      <c r="I3787" s="5" t="s">
        <v>8640</v>
      </c>
      <c r="J3787" s="12" t="str">
        <f>HYPERLINK("https://www.boe.es/gazeta/dias/1801/07/14/pdfs/GMD-1801-69.pdf#page=9","Abrir facsímil")</f>
        <v>Abrir facsímil</v>
      </c>
      <c r="K3787" s="15" t="s">
        <v>23</v>
      </c>
    </row>
    <row r="3788" spans="1:11" ht="42" customHeight="1">
      <c r="A3788" s="4" t="s">
        <v>8638</v>
      </c>
      <c r="B3788" s="5" t="s">
        <v>8639</v>
      </c>
      <c r="C3788" s="5" t="s">
        <v>75</v>
      </c>
      <c r="D3788" s="5" t="s">
        <v>76</v>
      </c>
      <c r="E3788" s="5" t="s">
        <v>169</v>
      </c>
      <c r="F3788" s="9">
        <v>70</v>
      </c>
      <c r="G3788" s="9">
        <v>776</v>
      </c>
      <c r="H3788" s="5" t="s">
        <v>21</v>
      </c>
      <c r="I3788" s="5" t="s">
        <v>8641</v>
      </c>
      <c r="J3788" s="12" t="str">
        <f>HYPERLINK("https://www.boe.es/gazeta/dias/1801/07/17/pdfs/GMD-1801-70.pdf#page=9","Abrir facsímil")</f>
        <v>Abrir facsímil</v>
      </c>
      <c r="K3788" s="15" t="s">
        <v>23</v>
      </c>
    </row>
    <row r="3789" spans="1:11" ht="42" customHeight="1">
      <c r="A3789" s="4" t="s">
        <v>8638</v>
      </c>
      <c r="B3789" s="5" t="s">
        <v>8639</v>
      </c>
      <c r="C3789" s="5" t="s">
        <v>38</v>
      </c>
      <c r="D3789" s="5" t="s">
        <v>39</v>
      </c>
      <c r="E3789" s="5" t="s">
        <v>215</v>
      </c>
      <c r="F3789" s="9">
        <v>71</v>
      </c>
      <c r="G3789" s="9">
        <v>788</v>
      </c>
      <c r="H3789" s="5" t="s">
        <v>21</v>
      </c>
      <c r="I3789" s="5" t="s">
        <v>8642</v>
      </c>
      <c r="J3789" s="12" t="str">
        <f>HYPERLINK("https://www.boe.es/gazeta/dias/1801/07/21/pdfs/GMD-1801-71.pdf#page=9","Abrir facsímil")</f>
        <v>Abrir facsímil</v>
      </c>
      <c r="K3789" s="15" t="s">
        <v>23</v>
      </c>
    </row>
    <row r="3790" spans="1:11" ht="42" customHeight="1">
      <c r="A3790" s="4" t="s">
        <v>8638</v>
      </c>
      <c r="B3790" s="5" t="s">
        <v>8639</v>
      </c>
      <c r="C3790" s="5" t="s">
        <v>515</v>
      </c>
      <c r="D3790" s="5" t="s">
        <v>516</v>
      </c>
      <c r="E3790" s="5" t="s">
        <v>751</v>
      </c>
      <c r="F3790" s="9">
        <v>106</v>
      </c>
      <c r="G3790" s="9">
        <v>1169</v>
      </c>
      <c r="H3790" s="5" t="s">
        <v>21</v>
      </c>
      <c r="I3790" s="5" t="s">
        <v>8643</v>
      </c>
      <c r="J3790" s="12" t="str">
        <f>HYPERLINK("https://www.boe.es/gazeta/dias/1801/11/13/pdfs/GMD-C-1801-106.pdf#page=2","Abrir facsímil")</f>
        <v>Abrir facsímil</v>
      </c>
      <c r="K3790" s="15" t="s">
        <v>23</v>
      </c>
    </row>
    <row r="3791" spans="1:11" ht="42" customHeight="1">
      <c r="A3791" s="4" t="s">
        <v>8638</v>
      </c>
      <c r="B3791" s="5" t="s">
        <v>8639</v>
      </c>
      <c r="C3791" s="5" t="s">
        <v>38</v>
      </c>
      <c r="D3791" s="5" t="s">
        <v>39</v>
      </c>
      <c r="E3791" s="5" t="s">
        <v>1058</v>
      </c>
      <c r="F3791" s="9">
        <v>108</v>
      </c>
      <c r="G3791" s="9">
        <v>1193</v>
      </c>
      <c r="H3791" s="5" t="s">
        <v>21</v>
      </c>
      <c r="I3791" s="5" t="s">
        <v>8644</v>
      </c>
      <c r="J3791" s="12" t="str">
        <f>HYPERLINK("https://www.boe.es/gazeta/dias/1801/11/20/pdfs/GMD-1801-108.pdf#page=10","Abrir facsímil")</f>
        <v>Abrir facsímil</v>
      </c>
      <c r="K3791" s="15" t="s">
        <v>23</v>
      </c>
    </row>
    <row r="3792" spans="1:11" ht="42" customHeight="1">
      <c r="A3792" s="4" t="s">
        <v>8645</v>
      </c>
      <c r="B3792" s="5" t="s">
        <v>8646</v>
      </c>
      <c r="C3792" s="5" t="s">
        <v>38</v>
      </c>
      <c r="D3792" s="5" t="s">
        <v>39</v>
      </c>
      <c r="E3792" s="5" t="s">
        <v>211</v>
      </c>
      <c r="F3792" s="9">
        <v>87</v>
      </c>
      <c r="G3792" s="9">
        <v>966</v>
      </c>
      <c r="H3792" s="5" t="s">
        <v>21</v>
      </c>
      <c r="I3792" s="5" t="s">
        <v>8647</v>
      </c>
      <c r="J3792" s="12" t="str">
        <f>HYPERLINK("https://www.boe.es/gazeta/dias/1801/09/11/pdfs/GMD-1801-87.pdf#page=9","Abrir facsímil")</f>
        <v>Abrir facsímil</v>
      </c>
      <c r="K3792" s="15" t="s">
        <v>23</v>
      </c>
    </row>
    <row r="3793" spans="1:11" ht="42" customHeight="1">
      <c r="A3793" s="4" t="s">
        <v>8648</v>
      </c>
      <c r="B3793" s="5" t="s">
        <v>8649</v>
      </c>
      <c r="C3793" s="5" t="s">
        <v>32</v>
      </c>
      <c r="D3793" s="5" t="s">
        <v>33</v>
      </c>
      <c r="E3793" s="5" t="s">
        <v>781</v>
      </c>
      <c r="F3793" s="9">
        <v>14</v>
      </c>
      <c r="G3793" s="9">
        <v>173</v>
      </c>
      <c r="H3793" s="5" t="s">
        <v>21</v>
      </c>
      <c r="I3793" s="5" t="s">
        <v>8650</v>
      </c>
      <c r="J3793" s="12" t="str">
        <f>HYPERLINK("https://www.boe.es/gazeta/dias/1801/02/17/pdfs/GMD-1801-14.pdf#page=8","Abrir facsímil")</f>
        <v>Abrir facsímil</v>
      </c>
      <c r="K3793" s="15" t="s">
        <v>23</v>
      </c>
    </row>
    <row r="3794" spans="1:11" ht="42" customHeight="1">
      <c r="A3794" s="4" t="s">
        <v>8651</v>
      </c>
      <c r="B3794" s="5" t="s">
        <v>8652</v>
      </c>
      <c r="C3794" s="5" t="s">
        <v>38</v>
      </c>
      <c r="D3794" s="5" t="s">
        <v>39</v>
      </c>
      <c r="E3794" s="5" t="s">
        <v>615</v>
      </c>
      <c r="F3794" s="9">
        <v>72</v>
      </c>
      <c r="G3794" s="9">
        <v>806</v>
      </c>
      <c r="H3794" s="5" t="s">
        <v>21</v>
      </c>
      <c r="I3794" s="5" t="s">
        <v>8653</v>
      </c>
      <c r="J3794" s="12" t="str">
        <f>HYPERLINK("https://www.boe.es/gazeta/dias/1801/07/24/pdfs/GMD-1801-72.pdf#page=11","Abrir facsímil")</f>
        <v>Abrir facsímil</v>
      </c>
      <c r="K3794" s="15" t="s">
        <v>23</v>
      </c>
    </row>
    <row r="3795" spans="1:11" ht="42" customHeight="1">
      <c r="A3795" s="4" t="s">
        <v>8654</v>
      </c>
      <c r="B3795" s="5" t="s">
        <v>8655</v>
      </c>
      <c r="C3795" s="5" t="s">
        <v>32</v>
      </c>
      <c r="D3795" s="5" t="s">
        <v>33</v>
      </c>
      <c r="E3795" s="5" t="s">
        <v>1939</v>
      </c>
      <c r="F3795" s="9">
        <v>107</v>
      </c>
      <c r="G3795" s="9">
        <v>1178</v>
      </c>
      <c r="H3795" s="5" t="s">
        <v>21</v>
      </c>
      <c r="I3795" s="5" t="s">
        <v>8656</v>
      </c>
      <c r="J3795" s="12" t="str">
        <f>HYPERLINK("https://www.boe.es/gazeta/dias/1801/11/17/pdfs/GMD-1801-107.pdf#page=7","Abrir facsímil")</f>
        <v>Abrir facsímil</v>
      </c>
      <c r="K3795" s="15" t="s">
        <v>23</v>
      </c>
    </row>
    <row r="3796" spans="1:11" ht="42" customHeight="1">
      <c r="A3796" s="4" t="s">
        <v>8657</v>
      </c>
      <c r="B3796" s="5" t="s">
        <v>8658</v>
      </c>
      <c r="C3796" s="5" t="s">
        <v>80</v>
      </c>
      <c r="D3796" s="5" t="s">
        <v>81</v>
      </c>
      <c r="E3796" s="5" t="s">
        <v>289</v>
      </c>
      <c r="F3796" s="9">
        <v>40</v>
      </c>
      <c r="G3796" s="9" t="s">
        <v>668</v>
      </c>
      <c r="H3796" s="5" t="s">
        <v>21</v>
      </c>
      <c r="I3796" s="5" t="s">
        <v>8659</v>
      </c>
      <c r="J3796" s="12" t="str">
        <f>HYPERLINK("https://www.boe.es/gazeta/dias/1801/05/19/pdfs/GMD-C-1801-40.pdf#page=1","Abrir facsímil")</f>
        <v>Abrir facsímil</v>
      </c>
      <c r="K3796" s="15" t="s">
        <v>23</v>
      </c>
    </row>
    <row r="3797" spans="1:11" ht="42" customHeight="1">
      <c r="A3797" s="4" t="s">
        <v>8660</v>
      </c>
      <c r="B3797" s="5" t="s">
        <v>8660</v>
      </c>
      <c r="C3797" s="5" t="s">
        <v>32</v>
      </c>
      <c r="D3797" s="5" t="s">
        <v>33</v>
      </c>
      <c r="E3797" s="5" t="s">
        <v>155</v>
      </c>
      <c r="F3797" s="9">
        <v>50</v>
      </c>
      <c r="G3797" s="9">
        <v>597</v>
      </c>
      <c r="H3797" s="5" t="s">
        <v>21</v>
      </c>
      <c r="I3797" s="5" t="s">
        <v>8661</v>
      </c>
      <c r="J3797" s="12" t="str">
        <f>HYPERLINK("https://www.boe.es/gazeta/dias/1801/06/09/pdfs/GMD-1801-50.pdf#page=9","Abrir facsímil")</f>
        <v>Abrir facsímil</v>
      </c>
      <c r="K3797" s="15" t="s">
        <v>23</v>
      </c>
    </row>
    <row r="3798" spans="1:11" ht="42" customHeight="1">
      <c r="A3798" s="4" t="s">
        <v>8662</v>
      </c>
      <c r="B3798" s="5" t="s">
        <v>8663</v>
      </c>
      <c r="C3798" s="5" t="s">
        <v>69</v>
      </c>
      <c r="D3798" s="5" t="s">
        <v>19</v>
      </c>
      <c r="E3798" s="5" t="s">
        <v>82</v>
      </c>
      <c r="F3798" s="9">
        <v>75</v>
      </c>
      <c r="G3798" s="9">
        <v>842</v>
      </c>
      <c r="H3798" s="5" t="s">
        <v>21</v>
      </c>
      <c r="I3798" s="5" t="s">
        <v>8664</v>
      </c>
      <c r="J3798" s="12" t="str">
        <f>HYPERLINK("https://www.boe.es/gazeta/dias/1801/08/04/pdfs/GMD-1801-75.pdf#page=11","Abrir facsímil")</f>
        <v>Abrir facsímil</v>
      </c>
      <c r="K3798" s="15" t="s">
        <v>23</v>
      </c>
    </row>
    <row r="3799" spans="1:11" ht="42" customHeight="1">
      <c r="A3799" s="4" t="s">
        <v>8665</v>
      </c>
      <c r="B3799" s="5" t="s">
        <v>8666</v>
      </c>
      <c r="C3799" s="5" t="s">
        <v>80</v>
      </c>
      <c r="D3799" s="5" t="s">
        <v>81</v>
      </c>
      <c r="E3799" s="5" t="s">
        <v>82</v>
      </c>
      <c r="F3799" s="9">
        <v>75</v>
      </c>
      <c r="G3799" s="9" t="s">
        <v>83</v>
      </c>
      <c r="H3799" s="5" t="s">
        <v>21</v>
      </c>
      <c r="I3799" s="5" t="s">
        <v>8667</v>
      </c>
      <c r="J3799" s="12" t="str">
        <f>HYPERLINK("https://www.boe.es/gazeta/dias/1801/08/04/pdfs/GMD-C-1801-75.pdf#page=2","Abrir facsímil")</f>
        <v>Abrir facsímil</v>
      </c>
      <c r="K3799" s="15" t="s">
        <v>23</v>
      </c>
    </row>
    <row r="3800" spans="1:11" ht="42" customHeight="1">
      <c r="A3800" s="4" t="s">
        <v>8668</v>
      </c>
      <c r="B3800" s="5" t="s">
        <v>8669</v>
      </c>
      <c r="C3800" s="5" t="s">
        <v>32</v>
      </c>
      <c r="D3800" s="5" t="s">
        <v>33</v>
      </c>
      <c r="E3800" s="5" t="s">
        <v>179</v>
      </c>
      <c r="F3800" s="9">
        <v>11</v>
      </c>
      <c r="G3800" s="9">
        <v>137</v>
      </c>
      <c r="H3800" s="5" t="s">
        <v>21</v>
      </c>
      <c r="I3800" s="5" t="s">
        <v>8670</v>
      </c>
      <c r="J3800" s="12" t="str">
        <f>HYPERLINK("https://www.boe.es/gazeta/dias/1801/02/06/pdfs/GMD-1801-11.pdf#page=10","Abrir facsímil")</f>
        <v>Abrir facsímil</v>
      </c>
      <c r="K3800" s="15" t="s">
        <v>23</v>
      </c>
    </row>
    <row r="3801" spans="1:11" ht="42" customHeight="1">
      <c r="A3801" s="4" t="s">
        <v>8671</v>
      </c>
      <c r="B3801" s="5" t="s">
        <v>8672</v>
      </c>
      <c r="C3801" s="5" t="s">
        <v>32</v>
      </c>
      <c r="D3801" s="5" t="s">
        <v>33</v>
      </c>
      <c r="E3801" s="5" t="s">
        <v>90</v>
      </c>
      <c r="F3801" s="9">
        <v>1</v>
      </c>
      <c r="G3801" s="9">
        <v>9</v>
      </c>
      <c r="H3801" s="5" t="s">
        <v>21</v>
      </c>
      <c r="I3801" s="5" t="s">
        <v>8673</v>
      </c>
      <c r="J3801" s="12" t="str">
        <f>HYPERLINK("https://www.boe.es/gazeta/dias/1801/01/02/pdfs/GMD-1801-1.pdf#page=9","Abrir facsímil")</f>
        <v>Abrir facsímil</v>
      </c>
      <c r="K3801" s="15" t="s">
        <v>23</v>
      </c>
    </row>
    <row r="3802" spans="1:11" ht="42" customHeight="1">
      <c r="A3802" s="4" t="s">
        <v>8674</v>
      </c>
      <c r="B3802" s="5" t="s">
        <v>8674</v>
      </c>
      <c r="C3802" s="5" t="s">
        <v>75</v>
      </c>
      <c r="D3802" s="5" t="s">
        <v>76</v>
      </c>
      <c r="E3802" s="5" t="s">
        <v>153</v>
      </c>
      <c r="F3802" s="9">
        <v>48</v>
      </c>
      <c r="G3802" s="9">
        <v>581</v>
      </c>
      <c r="H3802" s="5" t="s">
        <v>21</v>
      </c>
      <c r="I3802" s="5" t="s">
        <v>8675</v>
      </c>
      <c r="J3802" s="12" t="str">
        <f>HYPERLINK("https://www.boe.es/gazeta/dias/1801/06/05/pdfs/GMD-1801-48.pdf#page=3","Abrir facsímil")</f>
        <v>Abrir facsímil</v>
      </c>
      <c r="K3802" s="15" t="s">
        <v>23</v>
      </c>
    </row>
    <row r="3803" spans="1:11" ht="42" customHeight="1">
      <c r="A3803" s="4" t="s">
        <v>8676</v>
      </c>
      <c r="B3803" s="5" t="s">
        <v>8677</v>
      </c>
      <c r="C3803" s="5" t="s">
        <v>75</v>
      </c>
      <c r="D3803" s="5" t="s">
        <v>76</v>
      </c>
      <c r="E3803" s="5" t="s">
        <v>70</v>
      </c>
      <c r="F3803" s="9">
        <v>2</v>
      </c>
      <c r="G3803" s="9">
        <v>16</v>
      </c>
      <c r="H3803" s="5" t="s">
        <v>21</v>
      </c>
      <c r="I3803" s="5" t="s">
        <v>8678</v>
      </c>
      <c r="J3803" s="12" t="str">
        <f>HYPERLINK("https://www.boe.es/gazeta/dias/1801/01/06/pdfs/GMD-1801-2.pdf#page=4","Abrir facsímil")</f>
        <v>Abrir facsímil</v>
      </c>
      <c r="K3803" s="15" t="s">
        <v>23</v>
      </c>
    </row>
    <row r="3804" spans="1:11" ht="42" customHeight="1">
      <c r="A3804" s="4" t="s">
        <v>8679</v>
      </c>
      <c r="B3804" s="5" t="s">
        <v>8680</v>
      </c>
      <c r="C3804" s="5" t="s">
        <v>75</v>
      </c>
      <c r="D3804" s="5" t="s">
        <v>76</v>
      </c>
      <c r="E3804" s="5" t="s">
        <v>90</v>
      </c>
      <c r="F3804" s="9">
        <v>1</v>
      </c>
      <c r="G3804" s="9">
        <v>7</v>
      </c>
      <c r="H3804" s="5" t="s">
        <v>21</v>
      </c>
      <c r="I3804" s="5" t="s">
        <v>8681</v>
      </c>
      <c r="J3804" s="12" t="str">
        <f>HYPERLINK("https://www.boe.es/gazeta/dias/1801/01/02/pdfs/GMD-1801-1.pdf#page=7","Abrir facsímil")</f>
        <v>Abrir facsímil</v>
      </c>
      <c r="K3804" s="15" t="s">
        <v>23</v>
      </c>
    </row>
    <row r="3805" spans="1:11" ht="42" customHeight="1">
      <c r="A3805" s="4" t="s">
        <v>8682</v>
      </c>
      <c r="B3805" s="5" t="s">
        <v>8683</v>
      </c>
      <c r="C3805" s="5" t="s">
        <v>38</v>
      </c>
      <c r="D3805" s="5" t="s">
        <v>39</v>
      </c>
      <c r="E3805" s="5" t="s">
        <v>48</v>
      </c>
      <c r="F3805" s="9">
        <v>20</v>
      </c>
      <c r="G3805" s="9">
        <v>265</v>
      </c>
      <c r="H3805" s="5" t="s">
        <v>21</v>
      </c>
      <c r="I3805" s="5" t="s">
        <v>8684</v>
      </c>
      <c r="J3805" s="12" t="str">
        <f>HYPERLINK("https://www.boe.es/gazeta/dias/1801/03/10/pdfs/GMD-1801-20.pdf#page=10","Abrir facsímil")</f>
        <v>Abrir facsímil</v>
      </c>
      <c r="K3805" s="15" t="s">
        <v>23</v>
      </c>
    </row>
    <row r="3806" spans="1:11" ht="42" customHeight="1">
      <c r="A3806" s="4" t="s">
        <v>8685</v>
      </c>
      <c r="B3806" s="5" t="s">
        <v>8686</v>
      </c>
      <c r="C3806" s="5" t="s">
        <v>75</v>
      </c>
      <c r="D3806" s="5" t="s">
        <v>76</v>
      </c>
      <c r="E3806" s="5" t="s">
        <v>90</v>
      </c>
      <c r="F3806" s="9">
        <v>1</v>
      </c>
      <c r="G3806" s="9">
        <v>7</v>
      </c>
      <c r="H3806" s="5" t="s">
        <v>21</v>
      </c>
      <c r="I3806" s="5" t="s">
        <v>8687</v>
      </c>
      <c r="J3806" s="12" t="str">
        <f>HYPERLINK("https://www.boe.es/gazeta/dias/1801/01/02/pdfs/GMD-1801-1.pdf#page=7","Abrir facsímil")</f>
        <v>Abrir facsímil</v>
      </c>
      <c r="K3806" s="15" t="s">
        <v>23</v>
      </c>
    </row>
    <row r="3807" spans="1:11" ht="42" customHeight="1">
      <c r="A3807" s="4" t="s">
        <v>8688</v>
      </c>
      <c r="B3807" s="5" t="s">
        <v>8688</v>
      </c>
      <c r="C3807" s="5" t="s">
        <v>38</v>
      </c>
      <c r="D3807" s="5" t="s">
        <v>39</v>
      </c>
      <c r="E3807" s="5" t="s">
        <v>112</v>
      </c>
      <c r="F3807" s="9">
        <v>114</v>
      </c>
      <c r="G3807" s="9">
        <v>1243</v>
      </c>
      <c r="H3807" s="5" t="s">
        <v>21</v>
      </c>
      <c r="I3807" s="5" t="s">
        <v>8689</v>
      </c>
      <c r="J3807" s="12" t="str">
        <f>HYPERLINK("https://www.boe.es/gazeta/dias/1801/12/11/pdfs/GMD-1801-114.pdf#page=5","Abrir facsímil")</f>
        <v>Abrir facsímil</v>
      </c>
      <c r="K3807" s="15" t="s">
        <v>23</v>
      </c>
    </row>
    <row r="3808" spans="1:11" ht="42" customHeight="1">
      <c r="A3808" s="4" t="s">
        <v>8690</v>
      </c>
      <c r="B3808" s="5" t="s">
        <v>8690</v>
      </c>
      <c r="C3808" s="5" t="s">
        <v>1481</v>
      </c>
      <c r="D3808" s="5" t="s">
        <v>1482</v>
      </c>
      <c r="E3808" s="5" t="s">
        <v>151</v>
      </c>
      <c r="F3808" s="9" t="s">
        <v>1483</v>
      </c>
      <c r="G3808" s="9">
        <v>568</v>
      </c>
      <c r="H3808" s="5" t="s">
        <v>21</v>
      </c>
      <c r="I3808" s="5" t="s">
        <v>8691</v>
      </c>
      <c r="J3808" s="12" t="str">
        <f>HYPERLINK("https://www.boe.es/gazeta/dias/1801/06/02/pdfs/GMD-1801-46E.pdf#page=4","Abrir facsímil")</f>
        <v>Abrir facsímil</v>
      </c>
      <c r="K3808" s="15" t="s">
        <v>23</v>
      </c>
    </row>
    <row r="3809" spans="1:11" ht="42" customHeight="1">
      <c r="A3809" s="4" t="s">
        <v>8692</v>
      </c>
      <c r="B3809" s="5" t="s">
        <v>8692</v>
      </c>
      <c r="C3809" s="5" t="s">
        <v>75</v>
      </c>
      <c r="D3809" s="5" t="s">
        <v>76</v>
      </c>
      <c r="E3809" s="5" t="s">
        <v>448</v>
      </c>
      <c r="F3809" s="9">
        <v>35</v>
      </c>
      <c r="G3809" s="9">
        <v>445</v>
      </c>
      <c r="H3809" s="5" t="s">
        <v>21</v>
      </c>
      <c r="I3809" s="5" t="s">
        <v>8693</v>
      </c>
      <c r="J3809" s="12" t="str">
        <f>HYPERLINK("https://www.boe.es/gazeta/dias/1801/05/01/pdfs/GMD-1801-35.pdf#page=1","Abrir facsímil")</f>
        <v>Abrir facsímil</v>
      </c>
      <c r="K3809" s="15" t="s">
        <v>23</v>
      </c>
    </row>
    <row r="3810" spans="1:11" ht="42" customHeight="1">
      <c r="A3810" s="4" t="s">
        <v>8694</v>
      </c>
      <c r="B3810" s="5" t="s">
        <v>8694</v>
      </c>
      <c r="C3810" s="5" t="s">
        <v>75</v>
      </c>
      <c r="D3810" s="5" t="s">
        <v>76</v>
      </c>
      <c r="E3810" s="5" t="s">
        <v>173</v>
      </c>
      <c r="F3810" s="9">
        <v>98</v>
      </c>
      <c r="G3810" s="9">
        <v>1071</v>
      </c>
      <c r="H3810" s="5" t="s">
        <v>21</v>
      </c>
      <c r="I3810" s="5" t="s">
        <v>8695</v>
      </c>
      <c r="J3810" s="12" t="str">
        <f>HYPERLINK("https://www.boe.es/gazeta/dias/1801/10/16/pdfs/GMD-1801-98.pdf#page=3","Abrir facsímil")</f>
        <v>Abrir facsímil</v>
      </c>
      <c r="K3810" s="15" t="s">
        <v>23</v>
      </c>
    </row>
    <row r="3811" spans="1:11" ht="42" customHeight="1">
      <c r="A3811" s="4" t="s">
        <v>8696</v>
      </c>
      <c r="B3811" s="5" t="s">
        <v>8696</v>
      </c>
      <c r="C3811" s="5" t="s">
        <v>1481</v>
      </c>
      <c r="D3811" s="5" t="s">
        <v>1482</v>
      </c>
      <c r="E3811" s="5" t="s">
        <v>151</v>
      </c>
      <c r="F3811" s="9" t="s">
        <v>1483</v>
      </c>
      <c r="G3811" s="9">
        <v>568</v>
      </c>
      <c r="H3811" s="5" t="s">
        <v>21</v>
      </c>
      <c r="I3811" s="5" t="s">
        <v>8697</v>
      </c>
      <c r="J3811" s="12" t="str">
        <f>HYPERLINK("https://www.boe.es/gazeta/dias/1801/06/02/pdfs/GMD-1801-46E.pdf#page=4","Abrir facsímil")</f>
        <v>Abrir facsímil</v>
      </c>
      <c r="K3811" s="15" t="s">
        <v>23</v>
      </c>
    </row>
    <row r="3812" spans="1:11" ht="42" customHeight="1">
      <c r="A3812" s="4" t="s">
        <v>8698</v>
      </c>
      <c r="B3812" s="5" t="s">
        <v>8698</v>
      </c>
      <c r="C3812" s="5" t="s">
        <v>26</v>
      </c>
      <c r="D3812" s="5" t="s">
        <v>27</v>
      </c>
      <c r="E3812" s="5" t="s">
        <v>151</v>
      </c>
      <c r="F3812" s="9" t="s">
        <v>1483</v>
      </c>
      <c r="G3812" s="9">
        <v>568</v>
      </c>
      <c r="H3812" s="5" t="s">
        <v>21</v>
      </c>
      <c r="I3812" s="5" t="s">
        <v>8699</v>
      </c>
      <c r="J3812" s="12" t="str">
        <f>HYPERLINK("https://www.boe.es/gazeta/dias/1801/06/02/pdfs/GMD-1801-46E.pdf#page=4","Abrir facsímil")</f>
        <v>Abrir facsímil</v>
      </c>
      <c r="K3812" s="15" t="s">
        <v>23</v>
      </c>
    </row>
    <row r="3813" spans="1:11" ht="42" customHeight="1">
      <c r="A3813" s="4" t="s">
        <v>8700</v>
      </c>
      <c r="B3813" s="5" t="s">
        <v>8700</v>
      </c>
      <c r="C3813" s="5" t="s">
        <v>1481</v>
      </c>
      <c r="D3813" s="5" t="s">
        <v>1482</v>
      </c>
      <c r="E3813" s="5" t="s">
        <v>151</v>
      </c>
      <c r="F3813" s="9" t="s">
        <v>1483</v>
      </c>
      <c r="G3813" s="9">
        <v>568</v>
      </c>
      <c r="H3813" s="5" t="s">
        <v>21</v>
      </c>
      <c r="I3813" s="5" t="s">
        <v>8701</v>
      </c>
      <c r="J3813" s="12" t="str">
        <f>HYPERLINK("https://www.boe.es/gazeta/dias/1801/06/02/pdfs/GMD-1801-46E.pdf#page=4","Abrir facsímil")</f>
        <v>Abrir facsímil</v>
      </c>
      <c r="K3813" s="15" t="s">
        <v>23</v>
      </c>
    </row>
    <row r="3814" spans="1:11" ht="42" customHeight="1">
      <c r="A3814" s="4" t="s">
        <v>8702</v>
      </c>
      <c r="B3814" s="5" t="s">
        <v>8702</v>
      </c>
      <c r="C3814" s="5" t="s">
        <v>75</v>
      </c>
      <c r="D3814" s="5" t="s">
        <v>76</v>
      </c>
      <c r="E3814" s="5" t="s">
        <v>40</v>
      </c>
      <c r="F3814" s="9">
        <v>63</v>
      </c>
      <c r="G3814" s="9">
        <v>707</v>
      </c>
      <c r="H3814" s="5" t="s">
        <v>21</v>
      </c>
      <c r="I3814" s="5" t="s">
        <v>8703</v>
      </c>
      <c r="J3814" s="12" t="str">
        <f>HYPERLINK("https://www.boe.es/gazeta/dias/1801/07/03/pdfs/GMD-1801-63.pdf#page=4","Abrir facsímil")</f>
        <v>Abrir facsímil</v>
      </c>
      <c r="K3814" s="15" t="s">
        <v>23</v>
      </c>
    </row>
    <row r="3815" spans="1:11" ht="42" customHeight="1">
      <c r="A3815" s="4" t="s">
        <v>8704</v>
      </c>
      <c r="B3815" s="5" t="s">
        <v>8704</v>
      </c>
      <c r="C3815" s="5" t="s">
        <v>1481</v>
      </c>
      <c r="D3815" s="5" t="s">
        <v>1482</v>
      </c>
      <c r="E3815" s="5" t="s">
        <v>1487</v>
      </c>
      <c r="F3815" s="9" t="s">
        <v>1488</v>
      </c>
      <c r="G3815" s="9">
        <v>644</v>
      </c>
      <c r="H3815" s="5" t="s">
        <v>21</v>
      </c>
      <c r="I3815" s="5" t="s">
        <v>8705</v>
      </c>
      <c r="J3815" s="12" t="str">
        <f>HYPERLINK("https://www.boe.es/gazeta/dias/1801/06/17/pdfs/GMD-1801-56E.pdf#page=4","Abrir facsímil")</f>
        <v>Abrir facsímil</v>
      </c>
      <c r="K3815" s="15" t="s">
        <v>23</v>
      </c>
    </row>
    <row r="3816" spans="1:11" ht="42" customHeight="1">
      <c r="A3816" s="4" t="s">
        <v>8706</v>
      </c>
      <c r="B3816" s="5" t="s">
        <v>8706</v>
      </c>
      <c r="C3816" s="5" t="s">
        <v>75</v>
      </c>
      <c r="D3816" s="5" t="s">
        <v>76</v>
      </c>
      <c r="E3816" s="5" t="s">
        <v>480</v>
      </c>
      <c r="F3816" s="9">
        <v>10</v>
      </c>
      <c r="G3816" s="9">
        <v>116</v>
      </c>
      <c r="H3816" s="5" t="s">
        <v>21</v>
      </c>
      <c r="I3816" s="5" t="s">
        <v>8707</v>
      </c>
      <c r="J3816" s="12" t="str">
        <f>HYPERLINK("https://www.boe.es/gazeta/dias/1801/02/03/pdfs/GMD-1801-10.pdf#page=1","Abrir facsímil")</f>
        <v>Abrir facsímil</v>
      </c>
      <c r="K3816" s="15" t="s">
        <v>23</v>
      </c>
    </row>
    <row r="3817" spans="1:11" ht="42" customHeight="1">
      <c r="A3817" s="4" t="s">
        <v>8708</v>
      </c>
      <c r="B3817" s="5" t="s">
        <v>8708</v>
      </c>
      <c r="C3817" s="5" t="s">
        <v>75</v>
      </c>
      <c r="D3817" s="5" t="s">
        <v>76</v>
      </c>
      <c r="E3817" s="5" t="s">
        <v>764</v>
      </c>
      <c r="F3817" s="9">
        <v>80</v>
      </c>
      <c r="G3817" s="9">
        <v>892</v>
      </c>
      <c r="H3817" s="5" t="s">
        <v>21</v>
      </c>
      <c r="I3817" s="5" t="s">
        <v>8709</v>
      </c>
      <c r="J3817" s="12" t="str">
        <f>HYPERLINK("https://www.boe.es/gazeta/dias/1801/08/21/pdfs/GMD-1801-80.pdf#page=1","Abrir facsímil")</f>
        <v>Abrir facsímil</v>
      </c>
      <c r="K3817" s="15" t="s">
        <v>23</v>
      </c>
    </row>
    <row r="3818" spans="1:11" ht="42" customHeight="1">
      <c r="A3818" s="4" t="s">
        <v>8710</v>
      </c>
      <c r="B3818" s="5" t="s">
        <v>8710</v>
      </c>
      <c r="C3818" s="5" t="s">
        <v>75</v>
      </c>
      <c r="D3818" s="5" t="s">
        <v>76</v>
      </c>
      <c r="E3818" s="5" t="s">
        <v>137</v>
      </c>
      <c r="F3818" s="9">
        <v>30</v>
      </c>
      <c r="G3818" s="9">
        <v>389</v>
      </c>
      <c r="H3818" s="5" t="s">
        <v>21</v>
      </c>
      <c r="I3818" s="5" t="s">
        <v>8711</v>
      </c>
      <c r="J3818" s="12" t="str">
        <f>HYPERLINK("https://www.boe.es/gazeta/dias/1801/04/14/pdfs/GMD-1801-30.pdf#page=5","Abrir facsímil")</f>
        <v>Abrir facsímil</v>
      </c>
      <c r="K3818" s="15" t="s">
        <v>23</v>
      </c>
    </row>
    <row r="3819" spans="1:11" ht="42" customHeight="1">
      <c r="A3819" s="4" t="s">
        <v>8712</v>
      </c>
      <c r="B3819" s="5" t="s">
        <v>8712</v>
      </c>
      <c r="C3819" s="5" t="s">
        <v>26</v>
      </c>
      <c r="D3819" s="5" t="s">
        <v>27</v>
      </c>
      <c r="E3819" s="5" t="s">
        <v>105</v>
      </c>
      <c r="F3819" s="9">
        <v>44</v>
      </c>
      <c r="G3819" s="9">
        <v>550</v>
      </c>
      <c r="H3819" s="5" t="s">
        <v>21</v>
      </c>
      <c r="I3819" s="5" t="s">
        <v>8713</v>
      </c>
      <c r="J3819" s="12" t="str">
        <f>HYPERLINK("https://www.boe.es/gazeta/dias/1801/05/29/pdfs/GMD-1801-44.pdf#page=10","Abrir facsímil")</f>
        <v>Abrir facsímil</v>
      </c>
      <c r="K3819" s="15" t="s">
        <v>23</v>
      </c>
    </row>
    <row r="3820" spans="1:11" ht="42" customHeight="1">
      <c r="A3820" s="4" t="s">
        <v>8714</v>
      </c>
      <c r="B3820" s="5" t="s">
        <v>8714</v>
      </c>
      <c r="C3820" s="5" t="s">
        <v>69</v>
      </c>
      <c r="D3820" s="5" t="s">
        <v>19</v>
      </c>
      <c r="E3820" s="5" t="s">
        <v>131</v>
      </c>
      <c r="F3820" s="9">
        <v>22</v>
      </c>
      <c r="G3820" s="9">
        <v>288</v>
      </c>
      <c r="H3820" s="5" t="s">
        <v>21</v>
      </c>
      <c r="I3820" s="5" t="s">
        <v>8715</v>
      </c>
      <c r="J3820" s="12" t="str">
        <f>HYPERLINK("https://www.boe.es/gazeta/dias/1801/03/17/pdfs/GMD-1801-22.pdf#page=5","Abrir facsímil")</f>
        <v>Abrir facsímil</v>
      </c>
      <c r="K3820" s="15" t="s">
        <v>23</v>
      </c>
    </row>
    <row r="3821" spans="1:11" ht="42" customHeight="1">
      <c r="A3821" s="4" t="s">
        <v>8714</v>
      </c>
      <c r="B3821" s="5" t="s">
        <v>8714</v>
      </c>
      <c r="C3821" s="5" t="s">
        <v>18</v>
      </c>
      <c r="D3821" s="5" t="s">
        <v>19</v>
      </c>
      <c r="E3821" s="5" t="s">
        <v>155</v>
      </c>
      <c r="F3821" s="9">
        <v>50</v>
      </c>
      <c r="G3821" s="9">
        <v>592</v>
      </c>
      <c r="H3821" s="5" t="s">
        <v>21</v>
      </c>
      <c r="I3821" s="5" t="s">
        <v>8716</v>
      </c>
      <c r="J3821" s="12" t="str">
        <f>HYPERLINK("https://www.boe.es/gazeta/dias/1801/06/09/pdfs/GMD-1801-50.pdf#page=4","Abrir facsímil")</f>
        <v>Abrir facsímil</v>
      </c>
      <c r="K3821" s="15" t="s">
        <v>23</v>
      </c>
    </row>
    <row r="3822" spans="1:11" ht="42" customHeight="1">
      <c r="A3822" s="4" t="s">
        <v>8714</v>
      </c>
      <c r="B3822" s="5" t="s">
        <v>8714</v>
      </c>
      <c r="C3822" s="5" t="s">
        <v>26</v>
      </c>
      <c r="D3822" s="5" t="s">
        <v>27</v>
      </c>
      <c r="E3822" s="5" t="s">
        <v>764</v>
      </c>
      <c r="F3822" s="9">
        <v>80</v>
      </c>
      <c r="G3822" s="9">
        <v>897</v>
      </c>
      <c r="H3822" s="5" t="s">
        <v>21</v>
      </c>
      <c r="I3822" s="5" t="s">
        <v>8717</v>
      </c>
      <c r="J3822" s="12" t="str">
        <f>HYPERLINK("https://www.boe.es/gazeta/dias/1801/08/21/pdfs/GMD-1801-80.pdf#page=6","Abrir facsímil")</f>
        <v>Abrir facsímil</v>
      </c>
      <c r="K3822" s="15" t="s">
        <v>23</v>
      </c>
    </row>
    <row r="3823" spans="1:11" ht="42" customHeight="1">
      <c r="A3823" s="4" t="s">
        <v>8718</v>
      </c>
      <c r="B3823" s="5" t="s">
        <v>8718</v>
      </c>
      <c r="C3823" s="5" t="s">
        <v>75</v>
      </c>
      <c r="D3823" s="5" t="s">
        <v>76</v>
      </c>
      <c r="E3823" s="5" t="s">
        <v>1015</v>
      </c>
      <c r="F3823" s="9">
        <v>15</v>
      </c>
      <c r="G3823" s="9">
        <v>184</v>
      </c>
      <c r="H3823" s="5" t="s">
        <v>21</v>
      </c>
      <c r="I3823" s="5" t="s">
        <v>8719</v>
      </c>
      <c r="J3823" s="12" t="str">
        <f>HYPERLINK("https://www.boe.es/gazeta/dias/1801/02/20/pdfs/GMD-1801-15.pdf#page=3","Abrir facsímil")</f>
        <v>Abrir facsímil</v>
      </c>
      <c r="K3823" s="15" t="s">
        <v>23</v>
      </c>
    </row>
    <row r="3824" spans="1:11" ht="42" customHeight="1">
      <c r="A3824" s="4" t="s">
        <v>8720</v>
      </c>
      <c r="B3824" s="5" t="s">
        <v>8720</v>
      </c>
      <c r="C3824" s="5" t="s">
        <v>32</v>
      </c>
      <c r="D3824" s="5" t="s">
        <v>33</v>
      </c>
      <c r="E3824" s="5" t="s">
        <v>28</v>
      </c>
      <c r="F3824" s="9">
        <v>77</v>
      </c>
      <c r="G3824" s="9">
        <v>860</v>
      </c>
      <c r="H3824" s="5" t="s">
        <v>21</v>
      </c>
      <c r="I3824" s="5" t="s">
        <v>8721</v>
      </c>
      <c r="J3824" s="12" t="str">
        <f>HYPERLINK("https://www.boe.es/gazeta/dias/1801/08/11/pdfs/GMD-1801-77.pdf#page=5","Abrir facsímil")</f>
        <v>Abrir facsímil</v>
      </c>
      <c r="K3824" s="15" t="s">
        <v>23</v>
      </c>
    </row>
    <row r="3825" spans="1:11" ht="42" customHeight="1">
      <c r="A3825" s="4" t="s">
        <v>8722</v>
      </c>
      <c r="B3825" s="5" t="s">
        <v>8722</v>
      </c>
      <c r="C3825" s="5" t="s">
        <v>32</v>
      </c>
      <c r="D3825" s="5" t="s">
        <v>33</v>
      </c>
      <c r="E3825" s="5" t="s">
        <v>182</v>
      </c>
      <c r="F3825" s="9">
        <v>18</v>
      </c>
      <c r="G3825" s="9">
        <v>224</v>
      </c>
      <c r="H3825" s="5" t="s">
        <v>21</v>
      </c>
      <c r="I3825" s="5" t="s">
        <v>8723</v>
      </c>
      <c r="J3825" s="12" t="str">
        <f>HYPERLINK("https://www.boe.es/gazeta/dias/1801/03/03/pdfs/GMD-1801-18.pdf#page=5","Abrir facsímil")</f>
        <v>Abrir facsímil</v>
      </c>
      <c r="K3825" s="15" t="s">
        <v>23</v>
      </c>
    </row>
    <row r="3826" spans="1:11" ht="42" customHeight="1">
      <c r="A3826" s="4" t="s">
        <v>8724</v>
      </c>
      <c r="B3826" s="5" t="s">
        <v>8724</v>
      </c>
      <c r="C3826" s="5" t="s">
        <v>38</v>
      </c>
      <c r="D3826" s="5" t="s">
        <v>39</v>
      </c>
      <c r="E3826" s="5" t="s">
        <v>135</v>
      </c>
      <c r="F3826" s="9">
        <v>24</v>
      </c>
      <c r="G3826" s="9">
        <v>318</v>
      </c>
      <c r="H3826" s="5" t="s">
        <v>21</v>
      </c>
      <c r="I3826" s="5" t="s">
        <v>8725</v>
      </c>
      <c r="J3826" s="12" t="str">
        <f>HYPERLINK("https://www.boe.es/gazeta/dias/1801/03/24/pdfs/GMD-1801-24.pdf#page=9","Abrir facsímil")</f>
        <v>Abrir facsímil</v>
      </c>
      <c r="K3826" s="15" t="s">
        <v>23</v>
      </c>
    </row>
    <row r="3827" spans="1:11" ht="42" customHeight="1">
      <c r="A3827" s="4" t="s">
        <v>8724</v>
      </c>
      <c r="B3827" s="5" t="s">
        <v>8724</v>
      </c>
      <c r="C3827" s="5" t="s">
        <v>32</v>
      </c>
      <c r="D3827" s="5" t="s">
        <v>33</v>
      </c>
      <c r="E3827" s="5" t="s">
        <v>2225</v>
      </c>
      <c r="F3827" s="9" t="s">
        <v>2226</v>
      </c>
      <c r="G3827" s="9">
        <v>571</v>
      </c>
      <c r="H3827" s="5" t="s">
        <v>21</v>
      </c>
      <c r="I3827" s="5" t="s">
        <v>8726</v>
      </c>
      <c r="J3827" s="12" t="str">
        <f>HYPERLINK("https://www.boe.es/gazeta/dias/1801/06/03/pdfs/GMD-1801-47E.pdf#page=1","Abrir facsímil")</f>
        <v>Abrir facsímil</v>
      </c>
      <c r="K3827" s="15" t="s">
        <v>23</v>
      </c>
    </row>
    <row r="3828" spans="1:11" ht="42" customHeight="1">
      <c r="A3828" s="4" t="s">
        <v>8727</v>
      </c>
      <c r="B3828" s="5" t="s">
        <v>8727</v>
      </c>
      <c r="C3828" s="5" t="s">
        <v>38</v>
      </c>
      <c r="D3828" s="5" t="s">
        <v>39</v>
      </c>
      <c r="E3828" s="5" t="s">
        <v>82</v>
      </c>
      <c r="F3828" s="9">
        <v>75</v>
      </c>
      <c r="G3828" s="9">
        <v>834</v>
      </c>
      <c r="H3828" s="5" t="s">
        <v>21</v>
      </c>
      <c r="I3828" s="5" t="s">
        <v>8728</v>
      </c>
      <c r="J3828" s="12" t="str">
        <f>HYPERLINK("https://www.boe.es/gazeta/dias/1801/08/04/pdfs/GMD-1801-75.pdf#page=3","Abrir facsímil")</f>
        <v>Abrir facsímil</v>
      </c>
      <c r="K3828" s="15" t="s">
        <v>23</v>
      </c>
    </row>
    <row r="3829" spans="1:11" ht="42" customHeight="1">
      <c r="A3829" s="4" t="s">
        <v>8727</v>
      </c>
      <c r="B3829" s="5" t="s">
        <v>8727</v>
      </c>
      <c r="C3829" s="5" t="s">
        <v>75</v>
      </c>
      <c r="D3829" s="5" t="s">
        <v>76</v>
      </c>
      <c r="E3829" s="5" t="s">
        <v>764</v>
      </c>
      <c r="F3829" s="9">
        <v>80</v>
      </c>
      <c r="G3829" s="9">
        <v>892</v>
      </c>
      <c r="H3829" s="5" t="s">
        <v>21</v>
      </c>
      <c r="I3829" s="5" t="s">
        <v>8729</v>
      </c>
      <c r="J3829" s="12" t="str">
        <f>HYPERLINK("https://www.boe.es/gazeta/dias/1801/08/21/pdfs/GMD-1801-80.pdf#page=1","Abrir facsímil")</f>
        <v>Abrir facsímil</v>
      </c>
      <c r="K3829" s="15" t="s">
        <v>23</v>
      </c>
    </row>
    <row r="3830" spans="1:11" ht="42" customHeight="1">
      <c r="A3830" s="4" t="s">
        <v>8730</v>
      </c>
      <c r="B3830" s="5" t="s">
        <v>8730</v>
      </c>
      <c r="C3830" s="5" t="s">
        <v>75</v>
      </c>
      <c r="D3830" s="5" t="s">
        <v>76</v>
      </c>
      <c r="E3830" s="5" t="s">
        <v>254</v>
      </c>
      <c r="F3830" s="9">
        <v>73</v>
      </c>
      <c r="G3830" s="9">
        <v>812</v>
      </c>
      <c r="H3830" s="5" t="s">
        <v>21</v>
      </c>
      <c r="I3830" s="5" t="s">
        <v>8731</v>
      </c>
      <c r="J3830" s="12" t="str">
        <f>HYPERLINK("https://www.boe.es/gazeta/dias/1801/07/28/pdfs/GMD-1801-73.pdf#page=5","Abrir facsímil")</f>
        <v>Abrir facsímil</v>
      </c>
      <c r="K3830" s="15" t="s">
        <v>23</v>
      </c>
    </row>
    <row r="3831" spans="1:11" ht="42" customHeight="1">
      <c r="A3831" s="4" t="s">
        <v>8732</v>
      </c>
      <c r="B3831" s="5" t="s">
        <v>8732</v>
      </c>
      <c r="C3831" s="5" t="s">
        <v>75</v>
      </c>
      <c r="D3831" s="5" t="s">
        <v>76</v>
      </c>
      <c r="E3831" s="5" t="s">
        <v>254</v>
      </c>
      <c r="F3831" s="9">
        <v>73</v>
      </c>
      <c r="G3831" s="9">
        <v>812</v>
      </c>
      <c r="H3831" s="5" t="s">
        <v>21</v>
      </c>
      <c r="I3831" s="5" t="s">
        <v>8733</v>
      </c>
      <c r="J3831" s="12" t="str">
        <f>HYPERLINK("https://www.boe.es/gazeta/dias/1801/07/28/pdfs/GMD-1801-73.pdf#page=5","Abrir facsímil")</f>
        <v>Abrir facsímil</v>
      </c>
      <c r="K3831" s="15" t="s">
        <v>23</v>
      </c>
    </row>
    <row r="3832" spans="1:11" ht="42" customHeight="1">
      <c r="A3832" s="4" t="s">
        <v>8734</v>
      </c>
      <c r="B3832" s="5" t="s">
        <v>8734</v>
      </c>
      <c r="C3832" s="5" t="s">
        <v>75</v>
      </c>
      <c r="D3832" s="5" t="s">
        <v>76</v>
      </c>
      <c r="E3832" s="5" t="s">
        <v>137</v>
      </c>
      <c r="F3832" s="9">
        <v>30</v>
      </c>
      <c r="G3832" s="9">
        <v>386</v>
      </c>
      <c r="H3832" s="5" t="s">
        <v>21</v>
      </c>
      <c r="I3832" s="5" t="s">
        <v>8735</v>
      </c>
      <c r="J3832" s="12" t="str">
        <f>HYPERLINK("https://www.boe.es/gazeta/dias/1801/04/14/pdfs/GMD-1801-30.pdf#page=2","Abrir facsímil")</f>
        <v>Abrir facsímil</v>
      </c>
      <c r="K3832" s="15" t="s">
        <v>23</v>
      </c>
    </row>
    <row r="3833" spans="1:11" ht="42" customHeight="1">
      <c r="A3833" s="4" t="s">
        <v>8736</v>
      </c>
      <c r="B3833" s="5" t="s">
        <v>8736</v>
      </c>
      <c r="C3833" s="5" t="s">
        <v>75</v>
      </c>
      <c r="D3833" s="5" t="s">
        <v>76</v>
      </c>
      <c r="E3833" s="5" t="s">
        <v>289</v>
      </c>
      <c r="F3833" s="9">
        <v>40</v>
      </c>
      <c r="G3833" s="9">
        <v>509</v>
      </c>
      <c r="H3833" s="5" t="s">
        <v>21</v>
      </c>
      <c r="I3833" s="5" t="s">
        <v>8737</v>
      </c>
      <c r="J3833" s="12" t="str">
        <f>HYPERLINK("https://www.boe.es/gazeta/dias/1801/05/19/pdfs/GMD-1801-40.pdf#page=1","Abrir facsímil")</f>
        <v>Abrir facsímil</v>
      </c>
      <c r="K3833" s="15" t="s">
        <v>23</v>
      </c>
    </row>
    <row r="3834" spans="1:11" ht="42" customHeight="1">
      <c r="A3834" s="4" t="s">
        <v>8738</v>
      </c>
      <c r="B3834" s="5" t="s">
        <v>8738</v>
      </c>
      <c r="C3834" s="5" t="s">
        <v>75</v>
      </c>
      <c r="D3834" s="5" t="s">
        <v>76</v>
      </c>
      <c r="E3834" s="5" t="s">
        <v>48</v>
      </c>
      <c r="F3834" s="9">
        <v>20</v>
      </c>
      <c r="G3834" s="9">
        <v>259</v>
      </c>
      <c r="H3834" s="5" t="s">
        <v>21</v>
      </c>
      <c r="I3834" s="5" t="s">
        <v>8739</v>
      </c>
      <c r="J3834" s="12" t="str">
        <f>HYPERLINK("https://www.boe.es/gazeta/dias/1801/03/10/pdfs/GMD-1801-20.pdf#page=4","Abrir facsímil")</f>
        <v>Abrir facsímil</v>
      </c>
      <c r="K3834" s="15" t="s">
        <v>23</v>
      </c>
    </row>
    <row r="3835" spans="1:11" ht="42" customHeight="1">
      <c r="A3835" s="4" t="s">
        <v>8740</v>
      </c>
      <c r="B3835" s="5" t="s">
        <v>8740</v>
      </c>
      <c r="C3835" s="5" t="s">
        <v>75</v>
      </c>
      <c r="D3835" s="5" t="s">
        <v>76</v>
      </c>
      <c r="E3835" s="5" t="s">
        <v>194</v>
      </c>
      <c r="F3835" s="9">
        <v>92</v>
      </c>
      <c r="G3835" s="9">
        <v>1008</v>
      </c>
      <c r="H3835" s="5" t="s">
        <v>21</v>
      </c>
      <c r="I3835" s="5" t="s">
        <v>8741</v>
      </c>
      <c r="J3835" s="12" t="str">
        <f>HYPERLINK("https://www.boe.es/gazeta/dias/1801/09/25/pdfs/GMD-1801-92.pdf#page=3","Abrir facsímil")</f>
        <v>Abrir facsímil</v>
      </c>
      <c r="K3835" s="15" t="s">
        <v>23</v>
      </c>
    </row>
    <row r="3836" spans="1:11" ht="42" customHeight="1">
      <c r="A3836" s="4" t="s">
        <v>8742</v>
      </c>
      <c r="B3836" s="5" t="s">
        <v>8742</v>
      </c>
      <c r="C3836" s="5" t="s">
        <v>32</v>
      </c>
      <c r="D3836" s="5" t="s">
        <v>33</v>
      </c>
      <c r="E3836" s="5" t="s">
        <v>5420</v>
      </c>
      <c r="F3836" s="9" t="s">
        <v>5421</v>
      </c>
      <c r="G3836" s="9">
        <v>616</v>
      </c>
      <c r="H3836" s="5" t="s">
        <v>21</v>
      </c>
      <c r="I3836" s="5" t="s">
        <v>8743</v>
      </c>
      <c r="J3836" s="12" t="str">
        <f>HYPERLINK("https://www.boe.es/gazeta/dias/1801/06/14/pdfs/GMD-1801-53E.pdf#page=7","Abrir facsímil")</f>
        <v>Abrir facsímil</v>
      </c>
      <c r="K3836" s="15" t="s">
        <v>23</v>
      </c>
    </row>
    <row r="3837" spans="1:11" ht="42" customHeight="1">
      <c r="A3837" s="4" t="s">
        <v>8742</v>
      </c>
      <c r="B3837" s="5" t="s">
        <v>8742</v>
      </c>
      <c r="C3837" s="5" t="s">
        <v>32</v>
      </c>
      <c r="D3837" s="5" t="s">
        <v>33</v>
      </c>
      <c r="E3837" s="5" t="s">
        <v>2339</v>
      </c>
      <c r="F3837" s="9" t="s">
        <v>2340</v>
      </c>
      <c r="G3837" s="9">
        <v>619</v>
      </c>
      <c r="H3837" s="5" t="s">
        <v>21</v>
      </c>
      <c r="I3837" s="5" t="s">
        <v>8744</v>
      </c>
      <c r="J3837" s="12" t="str">
        <f>HYPERLINK("https://www.boe.es/gazeta/dias/1801/06/15/pdfs/GMD-1801-54E.pdf#page=3","Abrir facsímil")</f>
        <v>Abrir facsímil</v>
      </c>
      <c r="K3837" s="15" t="s">
        <v>23</v>
      </c>
    </row>
    <row r="3838" spans="1:11" ht="42" customHeight="1">
      <c r="A3838" s="4" t="s">
        <v>8742</v>
      </c>
      <c r="B3838" s="5" t="s">
        <v>8742</v>
      </c>
      <c r="C3838" s="5" t="s">
        <v>1481</v>
      </c>
      <c r="D3838" s="5" t="s">
        <v>1482</v>
      </c>
      <c r="E3838" s="5" t="s">
        <v>1487</v>
      </c>
      <c r="F3838" s="9" t="s">
        <v>1488</v>
      </c>
      <c r="G3838" s="9">
        <v>644</v>
      </c>
      <c r="H3838" s="5" t="s">
        <v>21</v>
      </c>
      <c r="I3838" s="5" t="s">
        <v>8745</v>
      </c>
      <c r="J3838" s="12" t="str">
        <f>HYPERLINK("https://www.boe.es/gazeta/dias/1801/06/17/pdfs/GMD-1801-56E.pdf#page=4","Abrir facsímil")</f>
        <v>Abrir facsímil</v>
      </c>
      <c r="K3838" s="15" t="s">
        <v>23</v>
      </c>
    </row>
    <row r="3839" spans="1:11" ht="42" customHeight="1">
      <c r="A3839" s="4" t="s">
        <v>8746</v>
      </c>
      <c r="B3839" s="5" t="s">
        <v>8746</v>
      </c>
      <c r="C3839" s="5" t="s">
        <v>32</v>
      </c>
      <c r="D3839" s="5" t="s">
        <v>33</v>
      </c>
      <c r="E3839" s="5" t="s">
        <v>292</v>
      </c>
      <c r="F3839" s="9">
        <v>25</v>
      </c>
      <c r="G3839" s="9">
        <v>324</v>
      </c>
      <c r="H3839" s="5" t="s">
        <v>21</v>
      </c>
      <c r="I3839" s="5" t="s">
        <v>8747</v>
      </c>
      <c r="J3839" s="12" t="str">
        <f>HYPERLINK("https://www.boe.es/gazeta/dias/1801/03/27/pdfs/GMD-1801-25.pdf#page=3","Abrir facsímil")</f>
        <v>Abrir facsímil</v>
      </c>
      <c r="K3839" s="15" t="s">
        <v>23</v>
      </c>
    </row>
    <row r="3840" spans="1:11" ht="42" customHeight="1">
      <c r="A3840" s="4" t="s">
        <v>8748</v>
      </c>
      <c r="B3840" s="5" t="s">
        <v>8748</v>
      </c>
      <c r="C3840" s="5" t="s">
        <v>75</v>
      </c>
      <c r="D3840" s="5" t="s">
        <v>76</v>
      </c>
      <c r="E3840" s="5" t="s">
        <v>888</v>
      </c>
      <c r="F3840" s="9">
        <v>103</v>
      </c>
      <c r="G3840" s="9">
        <v>1131</v>
      </c>
      <c r="H3840" s="5" t="s">
        <v>21</v>
      </c>
      <c r="I3840" s="5" t="s">
        <v>8749</v>
      </c>
      <c r="J3840" s="12" t="str">
        <f>HYPERLINK("https://www.boe.es/gazeta/dias/1801/11/03/pdfs/GMD-1801-103.pdf#page=4","Abrir facsímil")</f>
        <v>Abrir facsímil</v>
      </c>
      <c r="K3840" s="15" t="s">
        <v>23</v>
      </c>
    </row>
    <row r="3841" spans="1:11" ht="42" customHeight="1">
      <c r="A3841" s="4" t="s">
        <v>8750</v>
      </c>
      <c r="B3841" s="5" t="s">
        <v>8750</v>
      </c>
      <c r="C3841" s="5" t="s">
        <v>38</v>
      </c>
      <c r="D3841" s="5" t="s">
        <v>39</v>
      </c>
      <c r="E3841" s="5" t="s">
        <v>155</v>
      </c>
      <c r="F3841" s="9">
        <v>50</v>
      </c>
      <c r="G3841" s="9">
        <v>596</v>
      </c>
      <c r="H3841" s="5" t="s">
        <v>21</v>
      </c>
      <c r="I3841" s="5" t="s">
        <v>8751</v>
      </c>
      <c r="J3841" s="12" t="str">
        <f>HYPERLINK("https://www.boe.es/gazeta/dias/1801/06/09/pdfs/GMD-1801-50.pdf#page=8","Abrir facsímil")</f>
        <v>Abrir facsímil</v>
      </c>
      <c r="K3841" s="15" t="s">
        <v>23</v>
      </c>
    </row>
    <row r="3842" spans="1:11" ht="42" customHeight="1">
      <c r="A3842" s="4" t="s">
        <v>8752</v>
      </c>
      <c r="B3842" s="5" t="s">
        <v>8752</v>
      </c>
      <c r="C3842" s="5" t="s">
        <v>69</v>
      </c>
      <c r="D3842" s="5" t="s">
        <v>19</v>
      </c>
      <c r="E3842" s="5" t="s">
        <v>155</v>
      </c>
      <c r="F3842" s="9">
        <v>50</v>
      </c>
      <c r="G3842" s="9">
        <v>596</v>
      </c>
      <c r="H3842" s="5" t="s">
        <v>21</v>
      </c>
      <c r="I3842" s="5" t="s">
        <v>8753</v>
      </c>
      <c r="J3842" s="12" t="str">
        <f>HYPERLINK("https://www.boe.es/gazeta/dias/1801/06/09/pdfs/GMD-1801-50.pdf#page=8","Abrir facsímil")</f>
        <v>Abrir facsímil</v>
      </c>
      <c r="K3842" s="15" t="s">
        <v>23</v>
      </c>
    </row>
    <row r="3843" spans="1:11" ht="42" customHeight="1">
      <c r="A3843" s="4" t="s">
        <v>8754</v>
      </c>
      <c r="B3843" s="5" t="s">
        <v>8754</v>
      </c>
      <c r="C3843" s="5" t="s">
        <v>32</v>
      </c>
      <c r="D3843" s="5" t="s">
        <v>33</v>
      </c>
      <c r="E3843" s="5" t="s">
        <v>112</v>
      </c>
      <c r="F3843" s="9">
        <v>114</v>
      </c>
      <c r="G3843" s="9">
        <v>1241</v>
      </c>
      <c r="H3843" s="5" t="s">
        <v>21</v>
      </c>
      <c r="I3843" s="5" t="s">
        <v>8755</v>
      </c>
      <c r="J3843" s="12" t="str">
        <f>HYPERLINK("https://www.boe.es/gazeta/dias/1801/12/11/pdfs/GMD-1801-114.pdf#page=3","Abrir facsímil")</f>
        <v>Abrir facsímil</v>
      </c>
      <c r="K3843" s="15" t="s">
        <v>23</v>
      </c>
    </row>
    <row r="3844" spans="1:11" ht="42" customHeight="1">
      <c r="A3844" s="4" t="s">
        <v>8756</v>
      </c>
      <c r="B3844" s="5" t="s">
        <v>8756</v>
      </c>
      <c r="C3844" s="5" t="s">
        <v>32</v>
      </c>
      <c r="D3844" s="5" t="s">
        <v>33</v>
      </c>
      <c r="E3844" s="5" t="s">
        <v>2225</v>
      </c>
      <c r="F3844" s="9" t="s">
        <v>2226</v>
      </c>
      <c r="G3844" s="9">
        <v>572</v>
      </c>
      <c r="H3844" s="5" t="s">
        <v>21</v>
      </c>
      <c r="I3844" s="5" t="s">
        <v>8757</v>
      </c>
      <c r="J3844" s="12" t="str">
        <f>HYPERLINK("https://www.boe.es/gazeta/dias/1801/06/03/pdfs/GMD-1801-47E.pdf#page=2","Abrir facsímil")</f>
        <v>Abrir facsímil</v>
      </c>
      <c r="K3844" s="15" t="s">
        <v>23</v>
      </c>
    </row>
    <row r="3845" spans="1:11" ht="42" customHeight="1">
      <c r="A3845" s="4" t="s">
        <v>8758</v>
      </c>
      <c r="B3845" s="5" t="s">
        <v>8758</v>
      </c>
      <c r="C3845" s="5" t="s">
        <v>32</v>
      </c>
      <c r="D3845" s="5" t="s">
        <v>33</v>
      </c>
      <c r="E3845" s="5" t="s">
        <v>501</v>
      </c>
      <c r="F3845" s="9">
        <v>115</v>
      </c>
      <c r="G3845" s="9">
        <v>1256</v>
      </c>
      <c r="H3845" s="5" t="s">
        <v>21</v>
      </c>
      <c r="I3845" s="5" t="s">
        <v>8759</v>
      </c>
      <c r="J3845" s="12" t="str">
        <f>HYPERLINK("https://www.boe.es/gazeta/dias/1801/12/15/pdfs/GMD-1801-115.pdf#page=6","Abrir facsímil")</f>
        <v>Abrir facsímil</v>
      </c>
      <c r="K3845" s="15" t="s">
        <v>23</v>
      </c>
    </row>
    <row r="3846" spans="1:11" ht="42" customHeight="1">
      <c r="A3846" s="4" t="s">
        <v>8760</v>
      </c>
      <c r="B3846" s="5" t="s">
        <v>8760</v>
      </c>
      <c r="C3846" s="5" t="s">
        <v>75</v>
      </c>
      <c r="D3846" s="5" t="s">
        <v>76</v>
      </c>
      <c r="E3846" s="5" t="s">
        <v>764</v>
      </c>
      <c r="F3846" s="9">
        <v>80</v>
      </c>
      <c r="G3846" s="9">
        <v>892</v>
      </c>
      <c r="H3846" s="5" t="s">
        <v>21</v>
      </c>
      <c r="I3846" s="5" t="s">
        <v>8761</v>
      </c>
      <c r="J3846" s="12" t="str">
        <f>HYPERLINK("https://www.boe.es/gazeta/dias/1801/08/21/pdfs/GMD-1801-80.pdf#page=1","Abrir facsímil")</f>
        <v>Abrir facsímil</v>
      </c>
      <c r="K3846" s="15" t="s">
        <v>23</v>
      </c>
    </row>
    <row r="3847" spans="1:11" ht="42" customHeight="1">
      <c r="A3847" s="4" t="s">
        <v>8762</v>
      </c>
      <c r="B3847" s="5" t="s">
        <v>8762</v>
      </c>
      <c r="C3847" s="5" t="s">
        <v>38</v>
      </c>
      <c r="D3847" s="5" t="s">
        <v>39</v>
      </c>
      <c r="E3847" s="5" t="s">
        <v>155</v>
      </c>
      <c r="F3847" s="9">
        <v>50</v>
      </c>
      <c r="G3847" s="9">
        <v>596</v>
      </c>
      <c r="H3847" s="5" t="s">
        <v>21</v>
      </c>
      <c r="I3847" s="5" t="s">
        <v>8763</v>
      </c>
      <c r="J3847" s="12" t="str">
        <f>HYPERLINK("https://www.boe.es/gazeta/dias/1801/06/09/pdfs/GMD-1801-50.pdf#page=8","Abrir facsímil")</f>
        <v>Abrir facsímil</v>
      </c>
      <c r="K3847" s="15" t="s">
        <v>23</v>
      </c>
    </row>
    <row r="3848" spans="1:11" ht="42" customHeight="1">
      <c r="A3848" s="4" t="s">
        <v>8764</v>
      </c>
      <c r="B3848" s="5" t="s">
        <v>8764</v>
      </c>
      <c r="C3848" s="5" t="s">
        <v>75</v>
      </c>
      <c r="D3848" s="5" t="s">
        <v>76</v>
      </c>
      <c r="E3848" s="5" t="s">
        <v>781</v>
      </c>
      <c r="F3848" s="9">
        <v>14</v>
      </c>
      <c r="G3848" s="9">
        <v>168</v>
      </c>
      <c r="H3848" s="5" t="s">
        <v>21</v>
      </c>
      <c r="I3848" s="5" t="s">
        <v>8765</v>
      </c>
      <c r="J3848" s="12" t="str">
        <f>HYPERLINK("https://www.boe.es/gazeta/dias/1801/02/17/pdfs/GMD-1801-14.pdf#page=3","Abrir facsímil")</f>
        <v>Abrir facsímil</v>
      </c>
      <c r="K3848" s="15" t="s">
        <v>23</v>
      </c>
    </row>
    <row r="3849" spans="1:11" ht="42" customHeight="1">
      <c r="A3849" s="4" t="s">
        <v>8766</v>
      </c>
      <c r="B3849" s="5" t="s">
        <v>8766</v>
      </c>
      <c r="C3849" s="5" t="s">
        <v>32</v>
      </c>
      <c r="D3849" s="5" t="s">
        <v>33</v>
      </c>
      <c r="E3849" s="5" t="s">
        <v>359</v>
      </c>
      <c r="F3849" s="9">
        <v>101</v>
      </c>
      <c r="G3849" s="9">
        <v>1109</v>
      </c>
      <c r="H3849" s="5" t="s">
        <v>21</v>
      </c>
      <c r="I3849" s="5" t="s">
        <v>8767</v>
      </c>
      <c r="J3849" s="12" t="str">
        <f>HYPERLINK("https://www.boe.es/gazeta/dias/1801/10/27/pdfs/GMD-1801-101.pdf#page=2","Abrir facsímil")</f>
        <v>Abrir facsímil</v>
      </c>
      <c r="K3849" s="15" t="s">
        <v>23</v>
      </c>
    </row>
    <row r="3850" spans="1:11" ht="42" customHeight="1">
      <c r="A3850" s="4" t="s">
        <v>8768</v>
      </c>
      <c r="B3850" s="5" t="s">
        <v>8768</v>
      </c>
      <c r="C3850" s="5" t="s">
        <v>75</v>
      </c>
      <c r="D3850" s="5" t="s">
        <v>76</v>
      </c>
      <c r="E3850" s="5" t="s">
        <v>1015</v>
      </c>
      <c r="F3850" s="9">
        <v>15</v>
      </c>
      <c r="G3850" s="9">
        <v>184</v>
      </c>
      <c r="H3850" s="5" t="s">
        <v>21</v>
      </c>
      <c r="I3850" s="5" t="s">
        <v>8769</v>
      </c>
      <c r="J3850" s="12" t="str">
        <f>HYPERLINK("https://www.boe.es/gazeta/dias/1801/02/20/pdfs/GMD-1801-15.pdf#page=3","Abrir facsímil")</f>
        <v>Abrir facsímil</v>
      </c>
      <c r="K3850" s="15" t="s">
        <v>23</v>
      </c>
    </row>
    <row r="3851" spans="1:11" ht="42" customHeight="1">
      <c r="A3851" s="4" t="s">
        <v>8770</v>
      </c>
      <c r="B3851" s="5" t="s">
        <v>8770</v>
      </c>
      <c r="C3851" s="5" t="s">
        <v>26</v>
      </c>
      <c r="D3851" s="5" t="s">
        <v>27</v>
      </c>
      <c r="E3851" s="5" t="s">
        <v>112</v>
      </c>
      <c r="F3851" s="9">
        <v>114</v>
      </c>
      <c r="G3851" s="9">
        <v>1239</v>
      </c>
      <c r="H3851" s="5" t="s">
        <v>21</v>
      </c>
      <c r="I3851" s="5" t="s">
        <v>8771</v>
      </c>
      <c r="J3851" s="12" t="str">
        <f>HYPERLINK("https://www.boe.es/gazeta/dias/1801/12/11/pdfs/GMD-1801-114.pdf#page=1","Abrir facsímil")</f>
        <v>Abrir facsímil</v>
      </c>
      <c r="K3851" s="15" t="s">
        <v>23</v>
      </c>
    </row>
    <row r="3852" spans="1:11" ht="42" customHeight="1">
      <c r="A3852" s="4" t="s">
        <v>8772</v>
      </c>
      <c r="B3852" s="5" t="s">
        <v>8772</v>
      </c>
      <c r="C3852" s="5" t="s">
        <v>32</v>
      </c>
      <c r="D3852" s="5" t="s">
        <v>33</v>
      </c>
      <c r="E3852" s="5" t="s">
        <v>417</v>
      </c>
      <c r="F3852" s="9">
        <v>64</v>
      </c>
      <c r="G3852" s="9">
        <v>720</v>
      </c>
      <c r="H3852" s="5" t="s">
        <v>21</v>
      </c>
      <c r="I3852" s="5" t="s">
        <v>8773</v>
      </c>
      <c r="J3852" s="12" t="str">
        <f>HYPERLINK("https://www.boe.es/gazeta/dias/1801/07/07/pdfs/GMD-1801-64.pdf#page=1","Abrir facsímil")</f>
        <v>Abrir facsímil</v>
      </c>
      <c r="K3852" s="15" t="s">
        <v>23</v>
      </c>
    </row>
    <row r="3853" spans="1:11" ht="42" customHeight="1">
      <c r="A3853" s="4" t="s">
        <v>8774</v>
      </c>
      <c r="B3853" s="5" t="s">
        <v>8774</v>
      </c>
      <c r="C3853" s="5" t="s">
        <v>38</v>
      </c>
      <c r="D3853" s="5" t="s">
        <v>39</v>
      </c>
      <c r="E3853" s="5" t="s">
        <v>211</v>
      </c>
      <c r="F3853" s="9">
        <v>87</v>
      </c>
      <c r="G3853" s="9">
        <v>967</v>
      </c>
      <c r="H3853" s="5" t="s">
        <v>21</v>
      </c>
      <c r="I3853" s="5" t="s">
        <v>8775</v>
      </c>
      <c r="J3853" s="12" t="str">
        <f>HYPERLINK("https://www.boe.es/gazeta/dias/1801/09/11/pdfs/GMD-1801-87.pdf#page=10","Abrir facsímil")</f>
        <v>Abrir facsímil</v>
      </c>
      <c r="K3853" s="15" t="s">
        <v>23</v>
      </c>
    </row>
    <row r="3854" spans="1:11" ht="42" customHeight="1">
      <c r="A3854" s="4" t="s">
        <v>8776</v>
      </c>
      <c r="B3854" s="5" t="s">
        <v>8776</v>
      </c>
      <c r="C3854" s="5" t="s">
        <v>32</v>
      </c>
      <c r="D3854" s="5" t="s">
        <v>33</v>
      </c>
      <c r="E3854" s="5" t="s">
        <v>20</v>
      </c>
      <c r="F3854" s="9">
        <v>37</v>
      </c>
      <c r="G3854" s="9">
        <v>482</v>
      </c>
      <c r="H3854" s="5" t="s">
        <v>21</v>
      </c>
      <c r="I3854" s="5" t="s">
        <v>8777</v>
      </c>
      <c r="J3854" s="12" t="str">
        <f>HYPERLINK("https://www.boe.es/gazeta/dias/1801/05/08/pdfs/GMD-1801-37.pdf#page=10","Abrir facsímil")</f>
        <v>Abrir facsímil</v>
      </c>
      <c r="K3854" s="15" t="s">
        <v>23</v>
      </c>
    </row>
    <row r="3855" spans="1:11" ht="42" customHeight="1">
      <c r="A3855" s="4" t="s">
        <v>8778</v>
      </c>
      <c r="B3855" s="5" t="s">
        <v>8778</v>
      </c>
      <c r="C3855" s="5" t="s">
        <v>32</v>
      </c>
      <c r="D3855" s="5" t="s">
        <v>33</v>
      </c>
      <c r="E3855" s="5" t="s">
        <v>2339</v>
      </c>
      <c r="F3855" s="9" t="s">
        <v>2340</v>
      </c>
      <c r="G3855" s="9">
        <v>617</v>
      </c>
      <c r="H3855" s="5" t="s">
        <v>21</v>
      </c>
      <c r="I3855" s="5" t="s">
        <v>8779</v>
      </c>
      <c r="J3855" s="12" t="str">
        <f>HYPERLINK("https://www.boe.es/gazeta/dias/1801/06/15/pdfs/GMD-1801-54E.pdf#page=1","Abrir facsímil")</f>
        <v>Abrir facsímil</v>
      </c>
      <c r="K3855" s="15" t="s">
        <v>23</v>
      </c>
    </row>
    <row r="3856" spans="1:11" ht="42" customHeight="1">
      <c r="A3856" s="4" t="s">
        <v>8780</v>
      </c>
      <c r="B3856" s="5" t="s">
        <v>8780</v>
      </c>
      <c r="C3856" s="5" t="s">
        <v>32</v>
      </c>
      <c r="D3856" s="5" t="s">
        <v>33</v>
      </c>
      <c r="E3856" s="5" t="s">
        <v>321</v>
      </c>
      <c r="F3856" s="9">
        <v>3</v>
      </c>
      <c r="G3856" s="9">
        <v>30</v>
      </c>
      <c r="H3856" s="5" t="s">
        <v>21</v>
      </c>
      <c r="I3856" s="5" t="s">
        <v>8781</v>
      </c>
      <c r="J3856" s="12" t="str">
        <f>HYPERLINK("https://www.boe.es/gazeta/dias/1801/01/09/pdfs/GMD-1801-3.pdf#page=6","Abrir facsímil")</f>
        <v>Abrir facsímil</v>
      </c>
      <c r="K3856" s="15" t="s">
        <v>23</v>
      </c>
    </row>
    <row r="3857" spans="1:11" ht="42" customHeight="1">
      <c r="A3857" s="4" t="s">
        <v>8782</v>
      </c>
      <c r="B3857" s="5" t="s">
        <v>8782</v>
      </c>
      <c r="C3857" s="5" t="s">
        <v>75</v>
      </c>
      <c r="D3857" s="5" t="s">
        <v>76</v>
      </c>
      <c r="E3857" s="5" t="s">
        <v>62</v>
      </c>
      <c r="F3857" s="9">
        <v>6</v>
      </c>
      <c r="G3857" s="9">
        <v>71</v>
      </c>
      <c r="H3857" s="5" t="s">
        <v>21</v>
      </c>
      <c r="I3857" s="5" t="s">
        <v>8783</v>
      </c>
      <c r="J3857" s="12" t="str">
        <f>HYPERLINK("https://www.boe.es/gazeta/dias/1801/01/20/pdfs/GMD-1801-6.pdf#page=7","Abrir facsímil")</f>
        <v>Abrir facsímil</v>
      </c>
      <c r="K3857" s="15" t="s">
        <v>23</v>
      </c>
    </row>
    <row r="3858" spans="1:11" ht="42" customHeight="1">
      <c r="A3858" s="4" t="s">
        <v>8784</v>
      </c>
      <c r="B3858" s="5" t="s">
        <v>8785</v>
      </c>
      <c r="C3858" s="5" t="s">
        <v>75</v>
      </c>
      <c r="D3858" s="5" t="s">
        <v>76</v>
      </c>
      <c r="E3858" s="5" t="s">
        <v>62</v>
      </c>
      <c r="F3858" s="9">
        <v>6</v>
      </c>
      <c r="G3858" s="9">
        <v>71</v>
      </c>
      <c r="H3858" s="5" t="s">
        <v>21</v>
      </c>
      <c r="I3858" s="5" t="s">
        <v>8786</v>
      </c>
      <c r="J3858" s="12" t="str">
        <f>HYPERLINK("https://www.boe.es/gazeta/dias/1801/01/20/pdfs/GMD-1801-6.pdf#page=7","Abrir facsímil")</f>
        <v>Abrir facsímil</v>
      </c>
      <c r="K3858" s="15" t="s">
        <v>23</v>
      </c>
    </row>
    <row r="3859" spans="1:11" ht="42" customHeight="1">
      <c r="A3859" s="4" t="s">
        <v>8787</v>
      </c>
      <c r="B3859" s="5" t="s">
        <v>8787</v>
      </c>
      <c r="C3859" s="5" t="s">
        <v>32</v>
      </c>
      <c r="D3859" s="5" t="s">
        <v>33</v>
      </c>
      <c r="E3859" s="5" t="s">
        <v>112</v>
      </c>
      <c r="F3859" s="9">
        <v>114</v>
      </c>
      <c r="G3859" s="9">
        <v>1248</v>
      </c>
      <c r="H3859" s="5" t="s">
        <v>21</v>
      </c>
      <c r="I3859" s="5" t="s">
        <v>8788</v>
      </c>
      <c r="J3859" s="12" t="str">
        <f>HYPERLINK("https://www.boe.es/gazeta/dias/1801/12/11/pdfs/GMD-1801-114.pdf#page=10","Abrir facsímil")</f>
        <v>Abrir facsímil</v>
      </c>
      <c r="K3859" s="15" t="s">
        <v>23</v>
      </c>
    </row>
    <row r="3860" spans="1:11" ht="42" customHeight="1">
      <c r="A3860" s="4" t="s">
        <v>8789</v>
      </c>
      <c r="B3860" s="5" t="s">
        <v>8789</v>
      </c>
      <c r="C3860" s="5" t="s">
        <v>32</v>
      </c>
      <c r="D3860" s="5" t="s">
        <v>33</v>
      </c>
      <c r="E3860" s="5" t="s">
        <v>77</v>
      </c>
      <c r="F3860" s="9">
        <v>93</v>
      </c>
      <c r="G3860" s="9">
        <v>1017</v>
      </c>
      <c r="H3860" s="5" t="s">
        <v>21</v>
      </c>
      <c r="I3860" s="5" t="s">
        <v>8790</v>
      </c>
      <c r="J3860" s="12" t="str">
        <f>HYPERLINK("https://www.boe.es/gazeta/dias/1801/09/29/pdfs/GMD-1801-93.pdf#page=4","Abrir facsímil")</f>
        <v>Abrir facsímil</v>
      </c>
      <c r="K3860" s="15" t="s">
        <v>23</v>
      </c>
    </row>
    <row r="3861" spans="1:11" ht="42" customHeight="1">
      <c r="A3861" s="4" t="s">
        <v>8791</v>
      </c>
      <c r="B3861" s="5" t="s">
        <v>8791</v>
      </c>
      <c r="C3861" s="5" t="s">
        <v>75</v>
      </c>
      <c r="D3861" s="5" t="s">
        <v>76</v>
      </c>
      <c r="E3861" s="5" t="s">
        <v>50</v>
      </c>
      <c r="F3861" s="9">
        <v>29</v>
      </c>
      <c r="G3861" s="9">
        <v>373</v>
      </c>
      <c r="H3861" s="5" t="s">
        <v>21</v>
      </c>
      <c r="I3861" s="5" t="s">
        <v>8792</v>
      </c>
      <c r="J3861" s="12" t="str">
        <f>HYPERLINK("https://www.boe.es/gazeta/dias/1801/04/10/pdfs/GMD-1801-29.pdf#page=1","Abrir facsímil")</f>
        <v>Abrir facsímil</v>
      </c>
      <c r="K3861" s="15" t="s">
        <v>23</v>
      </c>
    </row>
    <row r="3862" spans="1:11" ht="42" customHeight="1">
      <c r="A3862" s="4" t="s">
        <v>8793</v>
      </c>
      <c r="B3862" s="5" t="s">
        <v>8793</v>
      </c>
      <c r="C3862" s="5" t="s">
        <v>32</v>
      </c>
      <c r="D3862" s="5" t="s">
        <v>33</v>
      </c>
      <c r="E3862" s="5" t="s">
        <v>171</v>
      </c>
      <c r="F3862" s="9">
        <v>76</v>
      </c>
      <c r="G3862" s="9">
        <v>850</v>
      </c>
      <c r="H3862" s="5" t="s">
        <v>21</v>
      </c>
      <c r="I3862" s="5" t="s">
        <v>8794</v>
      </c>
      <c r="J3862" s="12" t="str">
        <f>HYPERLINK("https://www.boe.es/gazeta/dias/1801/08/07/pdfs/GMD-1801-76.pdf#page=7","Abrir facsímil")</f>
        <v>Abrir facsímil</v>
      </c>
      <c r="K3862" s="15" t="s">
        <v>23</v>
      </c>
    </row>
    <row r="3863" spans="1:11" ht="42" customHeight="1">
      <c r="A3863" s="4" t="s">
        <v>8795</v>
      </c>
      <c r="B3863" s="5" t="s">
        <v>8795</v>
      </c>
      <c r="C3863" s="5" t="s">
        <v>32</v>
      </c>
      <c r="D3863" s="5" t="s">
        <v>33</v>
      </c>
      <c r="E3863" s="5" t="s">
        <v>131</v>
      </c>
      <c r="F3863" s="9">
        <v>22</v>
      </c>
      <c r="G3863" s="9">
        <v>284</v>
      </c>
      <c r="H3863" s="5" t="s">
        <v>21</v>
      </c>
      <c r="I3863" s="5" t="s">
        <v>8796</v>
      </c>
      <c r="J3863" s="12" t="str">
        <f>HYPERLINK("https://www.boe.es/gazeta/dias/1801/03/17/pdfs/GMD-1801-22.pdf#page=1","Abrir facsímil")</f>
        <v>Abrir facsímil</v>
      </c>
      <c r="K3863" s="15" t="s">
        <v>23</v>
      </c>
    </row>
    <row r="3864" spans="1:11" ht="42" customHeight="1">
      <c r="A3864" s="4" t="s">
        <v>8797</v>
      </c>
      <c r="B3864" s="5" t="s">
        <v>8797</v>
      </c>
      <c r="C3864" s="5" t="s">
        <v>38</v>
      </c>
      <c r="D3864" s="5" t="s">
        <v>39</v>
      </c>
      <c r="E3864" s="5" t="s">
        <v>131</v>
      </c>
      <c r="F3864" s="9">
        <v>22</v>
      </c>
      <c r="G3864" s="9">
        <v>292</v>
      </c>
      <c r="H3864" s="5" t="s">
        <v>21</v>
      </c>
      <c r="I3864" s="5" t="s">
        <v>8798</v>
      </c>
      <c r="J3864" s="12" t="str">
        <f>HYPERLINK("https://www.boe.es/gazeta/dias/1801/03/17/pdfs/GMD-1801-22.pdf#page=9","Abrir facsímil")</f>
        <v>Abrir facsímil</v>
      </c>
      <c r="K3864" s="15" t="s">
        <v>23</v>
      </c>
    </row>
    <row r="3865" spans="1:11" ht="42" customHeight="1">
      <c r="A3865" s="4" t="s">
        <v>8799</v>
      </c>
      <c r="B3865" s="5" t="s">
        <v>8799</v>
      </c>
      <c r="C3865" s="5" t="s">
        <v>32</v>
      </c>
      <c r="D3865" s="5" t="s">
        <v>33</v>
      </c>
      <c r="E3865" s="5" t="s">
        <v>417</v>
      </c>
      <c r="F3865" s="9">
        <v>64</v>
      </c>
      <c r="G3865" s="9">
        <v>724</v>
      </c>
      <c r="H3865" s="5" t="s">
        <v>21</v>
      </c>
      <c r="I3865" s="5" t="s">
        <v>8800</v>
      </c>
      <c r="J3865" s="12" t="str">
        <f>HYPERLINK("https://www.boe.es/gazeta/dias/1801/07/07/pdfs/GMD-1801-64.pdf#page=5","Abrir facsímil")</f>
        <v>Abrir facsímil</v>
      </c>
      <c r="K3865" s="15" t="s">
        <v>23</v>
      </c>
    </row>
    <row r="3866" spans="1:11" ht="42" customHeight="1">
      <c r="A3866" s="4" t="s">
        <v>8801</v>
      </c>
      <c r="B3866" s="5" t="s">
        <v>8801</v>
      </c>
      <c r="C3866" s="5" t="s">
        <v>75</v>
      </c>
      <c r="D3866" s="5" t="s">
        <v>76</v>
      </c>
      <c r="E3866" s="5" t="s">
        <v>935</v>
      </c>
      <c r="F3866" s="9">
        <v>116</v>
      </c>
      <c r="G3866" s="9">
        <v>1268</v>
      </c>
      <c r="H3866" s="5" t="s">
        <v>21</v>
      </c>
      <c r="I3866" s="5" t="s">
        <v>8802</v>
      </c>
      <c r="J3866" s="12" t="str">
        <f>HYPERLINK("https://www.boe.es/gazeta/dias/1801/12/18/pdfs/GMD-1801-116.pdf#page=10","Abrir facsímil")</f>
        <v>Abrir facsímil</v>
      </c>
      <c r="K3866" s="15" t="s">
        <v>23</v>
      </c>
    </row>
    <row r="3867" spans="1:11" ht="42" customHeight="1">
      <c r="A3867" s="4" t="s">
        <v>8803</v>
      </c>
      <c r="B3867" s="5" t="s">
        <v>8803</v>
      </c>
      <c r="C3867" s="5" t="s">
        <v>32</v>
      </c>
      <c r="D3867" s="5" t="s">
        <v>33</v>
      </c>
      <c r="E3867" s="5" t="s">
        <v>48</v>
      </c>
      <c r="F3867" s="9">
        <v>20</v>
      </c>
      <c r="G3867" s="9">
        <v>266</v>
      </c>
      <c r="H3867" s="5" t="s">
        <v>21</v>
      </c>
      <c r="I3867" s="5" t="s">
        <v>8804</v>
      </c>
      <c r="J3867" s="12" t="str">
        <f>HYPERLINK("https://www.boe.es/gazeta/dias/1801/03/10/pdfs/GMD-1801-20.pdf#page=11","Abrir facsímil")</f>
        <v>Abrir facsímil</v>
      </c>
      <c r="K3867" s="15" t="s">
        <v>23</v>
      </c>
    </row>
    <row r="3868" spans="1:11" ht="42" customHeight="1">
      <c r="A3868" s="4" t="s">
        <v>8805</v>
      </c>
      <c r="B3868" s="5" t="s">
        <v>8805</v>
      </c>
      <c r="C3868" s="5" t="s">
        <v>38</v>
      </c>
      <c r="D3868" s="5" t="s">
        <v>39</v>
      </c>
      <c r="E3868" s="5" t="s">
        <v>1939</v>
      </c>
      <c r="F3868" s="9">
        <v>107</v>
      </c>
      <c r="G3868" s="9">
        <v>1181</v>
      </c>
      <c r="H3868" s="5" t="s">
        <v>21</v>
      </c>
      <c r="I3868" s="5" t="s">
        <v>8806</v>
      </c>
      <c r="J3868" s="12" t="str">
        <f>HYPERLINK("https://www.boe.es/gazeta/dias/1801/11/17/pdfs/GMD-1801-107.pdf#page=10","Abrir facsímil")</f>
        <v>Abrir facsímil</v>
      </c>
      <c r="K3868" s="15" t="s">
        <v>23</v>
      </c>
    </row>
    <row r="3869" spans="1:11" ht="42" customHeight="1">
      <c r="A3869" s="4" t="s">
        <v>8807</v>
      </c>
      <c r="B3869" s="5" t="s">
        <v>8807</v>
      </c>
      <c r="C3869" s="5" t="s">
        <v>75</v>
      </c>
      <c r="D3869" s="5" t="s">
        <v>76</v>
      </c>
      <c r="E3869" s="5" t="s">
        <v>165</v>
      </c>
      <c r="F3869" s="9">
        <v>59</v>
      </c>
      <c r="G3869" s="9">
        <v>668</v>
      </c>
      <c r="H3869" s="5" t="s">
        <v>21</v>
      </c>
      <c r="I3869" s="5" t="s">
        <v>8808</v>
      </c>
      <c r="J3869" s="12" t="str">
        <f>HYPERLINK("https://www.boe.es/gazeta/dias/1801/06/23/pdfs/GMD-1801-59.pdf#page=1","Abrir facsímil")</f>
        <v>Abrir facsímil</v>
      </c>
      <c r="K3869" s="15" t="s">
        <v>23</v>
      </c>
    </row>
    <row r="3870" spans="1:11" ht="42" customHeight="1">
      <c r="A3870" s="4" t="s">
        <v>8809</v>
      </c>
      <c r="B3870" s="5" t="s">
        <v>8809</v>
      </c>
      <c r="C3870" s="5" t="s">
        <v>75</v>
      </c>
      <c r="D3870" s="5" t="s">
        <v>76</v>
      </c>
      <c r="E3870" s="5" t="s">
        <v>194</v>
      </c>
      <c r="F3870" s="9">
        <v>92</v>
      </c>
      <c r="G3870" s="9">
        <v>1008</v>
      </c>
      <c r="H3870" s="5" t="s">
        <v>21</v>
      </c>
      <c r="I3870" s="5" t="s">
        <v>8810</v>
      </c>
      <c r="J3870" s="12" t="str">
        <f>HYPERLINK("https://www.boe.es/gazeta/dias/1801/09/25/pdfs/GMD-1801-92.pdf#page=3","Abrir facsímil")</f>
        <v>Abrir facsímil</v>
      </c>
      <c r="K3870" s="15" t="s">
        <v>23</v>
      </c>
    </row>
    <row r="3871" spans="1:11" ht="42" customHeight="1">
      <c r="A3871" s="4" t="s">
        <v>8811</v>
      </c>
      <c r="B3871" s="5" t="s">
        <v>8811</v>
      </c>
      <c r="C3871" s="5" t="s">
        <v>75</v>
      </c>
      <c r="D3871" s="5" t="s">
        <v>76</v>
      </c>
      <c r="E3871" s="5" t="s">
        <v>182</v>
      </c>
      <c r="F3871" s="9">
        <v>18</v>
      </c>
      <c r="G3871" s="9">
        <v>224</v>
      </c>
      <c r="H3871" s="5" t="s">
        <v>21</v>
      </c>
      <c r="I3871" s="5" t="s">
        <v>8812</v>
      </c>
      <c r="J3871" s="12" t="str">
        <f>HYPERLINK("https://www.boe.es/gazeta/dias/1801/03/03/pdfs/GMD-1801-18.pdf#page=5","Abrir facsímil")</f>
        <v>Abrir facsímil</v>
      </c>
      <c r="K3871" s="15" t="s">
        <v>23</v>
      </c>
    </row>
    <row r="3872" spans="1:11" ht="42" customHeight="1">
      <c r="A3872" s="4" t="s">
        <v>8813</v>
      </c>
      <c r="B3872" s="5" t="s">
        <v>8813</v>
      </c>
      <c r="C3872" s="5" t="s">
        <v>32</v>
      </c>
      <c r="D3872" s="5" t="s">
        <v>33</v>
      </c>
      <c r="E3872" s="5" t="s">
        <v>2225</v>
      </c>
      <c r="F3872" s="9" t="s">
        <v>2226</v>
      </c>
      <c r="G3872" s="9">
        <v>574</v>
      </c>
      <c r="H3872" s="5" t="s">
        <v>21</v>
      </c>
      <c r="I3872" s="5" t="s">
        <v>8814</v>
      </c>
      <c r="J3872" s="12" t="str">
        <f>HYPERLINK("https://www.boe.es/gazeta/dias/1801/06/03/pdfs/GMD-1801-47E.pdf#page=4","Abrir facsímil")</f>
        <v>Abrir facsímil</v>
      </c>
      <c r="K3872" s="15" t="s">
        <v>23</v>
      </c>
    </row>
    <row r="3873" spans="1:11" ht="42" customHeight="1">
      <c r="A3873" s="4" t="s">
        <v>8815</v>
      </c>
      <c r="B3873" s="5" t="s">
        <v>8815</v>
      </c>
      <c r="C3873" s="5" t="s">
        <v>38</v>
      </c>
      <c r="D3873" s="5" t="s">
        <v>39</v>
      </c>
      <c r="E3873" s="5" t="s">
        <v>328</v>
      </c>
      <c r="F3873" s="9">
        <v>89</v>
      </c>
      <c r="G3873" s="9">
        <v>981</v>
      </c>
      <c r="H3873" s="5" t="s">
        <v>21</v>
      </c>
      <c r="I3873" s="5" t="s">
        <v>8816</v>
      </c>
      <c r="J3873" s="12" t="str">
        <f>HYPERLINK("https://www.boe.es/gazeta/dias/1801/09/15/pdfs/GMD-1801-89.pdf#page=8","Abrir facsímil")</f>
        <v>Abrir facsímil</v>
      </c>
      <c r="K3873" s="15" t="s">
        <v>23</v>
      </c>
    </row>
    <row r="3874" spans="1:11" ht="42" customHeight="1">
      <c r="A3874" s="4" t="s">
        <v>8817</v>
      </c>
      <c r="B3874" s="5" t="s">
        <v>8817</v>
      </c>
      <c r="C3874" s="5" t="s">
        <v>26</v>
      </c>
      <c r="D3874" s="5" t="s">
        <v>27</v>
      </c>
      <c r="E3874" s="5" t="s">
        <v>169</v>
      </c>
      <c r="F3874" s="9">
        <v>70</v>
      </c>
      <c r="G3874" s="9">
        <v>779</v>
      </c>
      <c r="H3874" s="5" t="s">
        <v>21</v>
      </c>
      <c r="I3874" s="5" t="s">
        <v>8818</v>
      </c>
      <c r="J3874" s="12" t="str">
        <f>HYPERLINK("https://www.boe.es/gazeta/dias/1801/07/17/pdfs/GMD-1801-70.pdf#page=12","Abrir facsímil")</f>
        <v>Abrir facsímil</v>
      </c>
      <c r="K3874" s="15" t="s">
        <v>23</v>
      </c>
    </row>
    <row r="3875" spans="1:11" ht="42" customHeight="1">
      <c r="A3875" s="4" t="s">
        <v>8819</v>
      </c>
      <c r="B3875" s="5" t="s">
        <v>8820</v>
      </c>
      <c r="C3875" s="5" t="s">
        <v>80</v>
      </c>
      <c r="D3875" s="5" t="s">
        <v>81</v>
      </c>
      <c r="E3875" s="5" t="s">
        <v>82</v>
      </c>
      <c r="F3875" s="9">
        <v>75</v>
      </c>
      <c r="G3875" s="9" t="s">
        <v>305</v>
      </c>
      <c r="H3875" s="5" t="s">
        <v>21</v>
      </c>
      <c r="I3875" s="5" t="s">
        <v>8821</v>
      </c>
      <c r="J3875" s="12" t="str">
        <f>HYPERLINK("https://www.boe.es/gazeta/dias/1801/08/04/pdfs/GMD-C-1801-75.pdf#page=4","Abrir facsímil")</f>
        <v>Abrir facsímil</v>
      </c>
      <c r="K3875" s="15" t="s">
        <v>23</v>
      </c>
    </row>
    <row r="3876" spans="1:11" ht="42" customHeight="1">
      <c r="A3876" s="4" t="s">
        <v>8822</v>
      </c>
      <c r="B3876" s="5" t="s">
        <v>8823</v>
      </c>
      <c r="C3876" s="5" t="s">
        <v>38</v>
      </c>
      <c r="D3876" s="5" t="s">
        <v>39</v>
      </c>
      <c r="E3876" s="5" t="s">
        <v>151</v>
      </c>
      <c r="F3876" s="9">
        <v>45</v>
      </c>
      <c r="G3876" s="9">
        <v>561</v>
      </c>
      <c r="H3876" s="5" t="s">
        <v>21</v>
      </c>
      <c r="I3876" s="5" t="s">
        <v>8824</v>
      </c>
      <c r="J3876" s="12" t="str">
        <f>HYPERLINK("https://www.boe.es/gazeta/dias/1801/06/02/pdfs/GMD-1801-45.pdf#page=9","Abrir facsímil")</f>
        <v>Abrir facsímil</v>
      </c>
      <c r="K3876" s="15" t="s">
        <v>23</v>
      </c>
    </row>
    <row r="3877" spans="1:11" ht="42" customHeight="1">
      <c r="A3877" s="4" t="s">
        <v>8825</v>
      </c>
      <c r="B3877" s="5" t="s">
        <v>8826</v>
      </c>
      <c r="C3877" s="5" t="s">
        <v>38</v>
      </c>
      <c r="D3877" s="5" t="s">
        <v>39</v>
      </c>
      <c r="E3877" s="5" t="s">
        <v>155</v>
      </c>
      <c r="F3877" s="9">
        <v>50</v>
      </c>
      <c r="G3877" s="9">
        <v>598</v>
      </c>
      <c r="H3877" s="5" t="s">
        <v>21</v>
      </c>
      <c r="I3877" s="5" t="s">
        <v>8827</v>
      </c>
      <c r="J3877" s="12" t="str">
        <f>HYPERLINK("https://www.boe.es/gazeta/dias/1801/06/09/pdfs/GMD-1801-50.pdf#page=10","Abrir facsímil")</f>
        <v>Abrir facsímil</v>
      </c>
      <c r="K3877" s="15" t="s">
        <v>23</v>
      </c>
    </row>
    <row r="3878" spans="1:11" ht="42" customHeight="1">
      <c r="A3878" s="4" t="s">
        <v>8828</v>
      </c>
      <c r="B3878" s="5" t="s">
        <v>8829</v>
      </c>
      <c r="C3878" s="5" t="s">
        <v>1481</v>
      </c>
      <c r="D3878" s="5" t="s">
        <v>1482</v>
      </c>
      <c r="E3878" s="5" t="s">
        <v>8830</v>
      </c>
      <c r="F3878" s="9" t="s">
        <v>8831</v>
      </c>
      <c r="G3878" s="9">
        <v>601</v>
      </c>
      <c r="H3878" s="5" t="s">
        <v>21</v>
      </c>
      <c r="I3878" s="5" t="s">
        <v>8832</v>
      </c>
      <c r="J3878" s="12" t="str">
        <f>HYPERLINK("https://www.boe.es/gazeta/dias/1801/06/10/pdfs/GMD-1801-51E.pdf#page=1","Abrir facsímil")</f>
        <v>Abrir facsímil</v>
      </c>
      <c r="K3878" s="15" t="s">
        <v>23</v>
      </c>
    </row>
    <row r="3879" spans="1:11" ht="42" customHeight="1">
      <c r="A3879" s="4" t="s">
        <v>8828</v>
      </c>
      <c r="B3879" s="5" t="s">
        <v>8829</v>
      </c>
      <c r="C3879" s="5" t="s">
        <v>1481</v>
      </c>
      <c r="D3879" s="5" t="s">
        <v>1482</v>
      </c>
      <c r="E3879" s="5" t="s">
        <v>8490</v>
      </c>
      <c r="F3879" s="9" t="s">
        <v>8491</v>
      </c>
      <c r="G3879" s="9">
        <v>753</v>
      </c>
      <c r="H3879" s="5" t="s">
        <v>21</v>
      </c>
      <c r="I3879" s="5" t="s">
        <v>8833</v>
      </c>
      <c r="J3879" s="12" t="str">
        <f>HYPERLINK("https://www.boe.es/gazeta/dias/1801/07/11/pdfs/GMD-1801-67E.pdf#page=4","Abrir facsímil")</f>
        <v>Abrir facsímil</v>
      </c>
      <c r="K3879" s="15" t="s">
        <v>23</v>
      </c>
    </row>
    <row r="3880" spans="1:11" ht="42" customHeight="1">
      <c r="A3880" s="4" t="s">
        <v>8834</v>
      </c>
      <c r="B3880" s="5" t="s">
        <v>8834</v>
      </c>
      <c r="C3880" s="5" t="s">
        <v>38</v>
      </c>
      <c r="D3880" s="5" t="s">
        <v>39</v>
      </c>
      <c r="E3880" s="5" t="s">
        <v>72</v>
      </c>
      <c r="F3880" s="9">
        <v>60</v>
      </c>
      <c r="G3880" s="9">
        <v>683</v>
      </c>
      <c r="H3880" s="5" t="s">
        <v>21</v>
      </c>
      <c r="I3880" s="5" t="s">
        <v>8835</v>
      </c>
      <c r="J3880" s="12" t="str">
        <f>HYPERLINK("https://www.boe.es/gazeta/dias/1801/06/26/pdfs/GMD-1801-60.pdf#page=4","Abrir facsímil")</f>
        <v>Abrir facsímil</v>
      </c>
      <c r="K3880" s="15" t="s">
        <v>23</v>
      </c>
    </row>
    <row r="3881" spans="1:11" ht="42" customHeight="1">
      <c r="A3881" s="4" t="s">
        <v>8836</v>
      </c>
      <c r="B3881" s="5" t="s">
        <v>8836</v>
      </c>
      <c r="C3881" s="5" t="s">
        <v>75</v>
      </c>
      <c r="D3881" s="5" t="s">
        <v>76</v>
      </c>
      <c r="E3881" s="5" t="s">
        <v>1939</v>
      </c>
      <c r="F3881" s="9">
        <v>107</v>
      </c>
      <c r="G3881" s="9">
        <v>1173</v>
      </c>
      <c r="H3881" s="5" t="s">
        <v>21</v>
      </c>
      <c r="I3881" s="5" t="s">
        <v>8837</v>
      </c>
      <c r="J3881" s="12" t="str">
        <f>HYPERLINK("https://www.boe.es/gazeta/dias/1801/11/17/pdfs/GMD-1801-107.pdf#page=2","Abrir facsímil")</f>
        <v>Abrir facsímil</v>
      </c>
      <c r="K3881" s="15" t="s">
        <v>23</v>
      </c>
    </row>
    <row r="3882" spans="1:11" ht="42" customHeight="1">
      <c r="A3882" s="4" t="s">
        <v>8838</v>
      </c>
      <c r="B3882" s="5" t="s">
        <v>8839</v>
      </c>
      <c r="C3882" s="5" t="s">
        <v>32</v>
      </c>
      <c r="D3882" s="5" t="s">
        <v>33</v>
      </c>
      <c r="E3882" s="5" t="s">
        <v>328</v>
      </c>
      <c r="F3882" s="9">
        <v>89</v>
      </c>
      <c r="G3882" s="9">
        <v>983</v>
      </c>
      <c r="H3882" s="5" t="s">
        <v>21</v>
      </c>
      <c r="I3882" s="5" t="s">
        <v>8840</v>
      </c>
      <c r="J3882" s="12" t="str">
        <f>HYPERLINK("https://www.boe.es/gazeta/dias/1801/09/15/pdfs/GMD-1801-89.pdf#page=10","Abrir facsímil")</f>
        <v>Abrir facsímil</v>
      </c>
      <c r="K3882" s="15" t="s">
        <v>23</v>
      </c>
    </row>
    <row r="3883" spans="1:11" ht="42" customHeight="1">
      <c r="A3883" s="4" t="s">
        <v>8841</v>
      </c>
      <c r="B3883" s="5" t="s">
        <v>8842</v>
      </c>
      <c r="C3883" s="5" t="s">
        <v>18</v>
      </c>
      <c r="D3883" s="5" t="s">
        <v>19</v>
      </c>
      <c r="E3883" s="5" t="s">
        <v>292</v>
      </c>
      <c r="F3883" s="9">
        <v>25</v>
      </c>
      <c r="G3883" s="9">
        <v>332</v>
      </c>
      <c r="H3883" s="5" t="s">
        <v>21</v>
      </c>
      <c r="I3883" s="5" t="s">
        <v>8843</v>
      </c>
      <c r="J3883" s="12" t="str">
        <f>HYPERLINK("https://www.boe.es/gazeta/dias/1801/03/27/pdfs/GMD-1801-25.pdf#page=11","Abrir facsímil")</f>
        <v>Abrir facsímil</v>
      </c>
      <c r="K3883" s="15" t="s">
        <v>23</v>
      </c>
    </row>
    <row r="3884" spans="1:11" ht="42" customHeight="1">
      <c r="A3884" s="4" t="s">
        <v>8844</v>
      </c>
      <c r="B3884" s="5" t="s">
        <v>8845</v>
      </c>
      <c r="C3884" s="5" t="s">
        <v>18</v>
      </c>
      <c r="D3884" s="5" t="s">
        <v>19</v>
      </c>
      <c r="E3884" s="5" t="s">
        <v>94</v>
      </c>
      <c r="F3884" s="9">
        <v>19</v>
      </c>
      <c r="G3884" s="9">
        <v>245</v>
      </c>
      <c r="H3884" s="5" t="s">
        <v>21</v>
      </c>
      <c r="I3884" s="5" t="s">
        <v>8846</v>
      </c>
      <c r="J3884" s="12" t="str">
        <f>HYPERLINK("https://www.boe.es/gazeta/dias/1801/03/06/pdfs/GMD-1801-19.pdf#page=10","Abrir facsímil")</f>
        <v>Abrir facsímil</v>
      </c>
      <c r="K3884" s="15" t="s">
        <v>23</v>
      </c>
    </row>
    <row r="3885" spans="1:11" ht="42" customHeight="1">
      <c r="A3885" s="4" t="s">
        <v>8847</v>
      </c>
      <c r="B3885" s="5" t="s">
        <v>8848</v>
      </c>
      <c r="C3885" s="5" t="s">
        <v>38</v>
      </c>
      <c r="D3885" s="5" t="s">
        <v>39</v>
      </c>
      <c r="E3885" s="5" t="s">
        <v>165</v>
      </c>
      <c r="F3885" s="9">
        <v>59</v>
      </c>
      <c r="G3885" s="9">
        <v>676</v>
      </c>
      <c r="H3885" s="5" t="s">
        <v>21</v>
      </c>
      <c r="I3885" s="5" t="s">
        <v>8849</v>
      </c>
      <c r="J3885" s="12" t="str">
        <f>HYPERLINK("https://www.boe.es/gazeta/dias/1801/06/23/pdfs/GMD-1801-59.pdf#page=9","Abrir facsímil")</f>
        <v>Abrir facsímil</v>
      </c>
      <c r="K3885" s="15" t="s">
        <v>23</v>
      </c>
    </row>
    <row r="3886" spans="1:11" ht="42" customHeight="1">
      <c r="A3886" s="4" t="s">
        <v>8850</v>
      </c>
      <c r="B3886" s="5" t="s">
        <v>8851</v>
      </c>
      <c r="C3886" s="5" t="s">
        <v>32</v>
      </c>
      <c r="D3886" s="5" t="s">
        <v>33</v>
      </c>
      <c r="E3886" s="5" t="s">
        <v>165</v>
      </c>
      <c r="F3886" s="9">
        <v>59</v>
      </c>
      <c r="G3886" s="9">
        <v>676</v>
      </c>
      <c r="H3886" s="5" t="s">
        <v>21</v>
      </c>
      <c r="I3886" s="5" t="s">
        <v>8852</v>
      </c>
      <c r="J3886" s="12" t="str">
        <f>HYPERLINK("https://www.boe.es/gazeta/dias/1801/06/23/pdfs/GMD-1801-59.pdf#page=9","Abrir facsímil")</f>
        <v>Abrir facsímil</v>
      </c>
      <c r="K3886" s="15" t="s">
        <v>23</v>
      </c>
    </row>
    <row r="3887" spans="1:11" ht="42" customHeight="1">
      <c r="A3887" s="4" t="s">
        <v>8853</v>
      </c>
      <c r="B3887" s="5" t="s">
        <v>8854</v>
      </c>
      <c r="C3887" s="5" t="s">
        <v>38</v>
      </c>
      <c r="D3887" s="5" t="s">
        <v>39</v>
      </c>
      <c r="E3887" s="5" t="s">
        <v>161</v>
      </c>
      <c r="F3887" s="9">
        <v>58</v>
      </c>
      <c r="G3887" s="9">
        <v>664</v>
      </c>
      <c r="H3887" s="5" t="s">
        <v>21</v>
      </c>
      <c r="I3887" s="5" t="s">
        <v>8855</v>
      </c>
      <c r="J3887" s="12" t="str">
        <f>HYPERLINK("https://www.boe.es/gazeta/dias/1801/06/19/pdfs/GMD-1801-58.pdf#page=9","Abrir facsímil")</f>
        <v>Abrir facsímil</v>
      </c>
      <c r="K3887" s="15" t="s">
        <v>23</v>
      </c>
    </row>
    <row r="3888" spans="1:11" ht="42" customHeight="1">
      <c r="A3888" s="4" t="s">
        <v>8856</v>
      </c>
      <c r="B3888" s="5" t="s">
        <v>8857</v>
      </c>
      <c r="C3888" s="5" t="s">
        <v>69</v>
      </c>
      <c r="D3888" s="5" t="s">
        <v>19</v>
      </c>
      <c r="E3888" s="5" t="s">
        <v>723</v>
      </c>
      <c r="F3888" s="9">
        <v>113</v>
      </c>
      <c r="G3888" s="9">
        <v>1234</v>
      </c>
      <c r="H3888" s="5" t="s">
        <v>21</v>
      </c>
      <c r="I3888" s="5" t="s">
        <v>8858</v>
      </c>
      <c r="J3888" s="12" t="str">
        <f>HYPERLINK("https://www.boe.es/gazeta/dias/1801/12/08/pdfs/GMD-1801-113.pdf#page=7","Abrir facsímil")</f>
        <v>Abrir facsímil</v>
      </c>
      <c r="K3888" s="15" t="s">
        <v>23</v>
      </c>
    </row>
    <row r="3889" spans="1:11" ht="42" customHeight="1">
      <c r="A3889" s="4" t="s">
        <v>8856</v>
      </c>
      <c r="B3889" s="5" t="s">
        <v>8857</v>
      </c>
      <c r="C3889" s="5" t="s">
        <v>18</v>
      </c>
      <c r="D3889" s="5" t="s">
        <v>19</v>
      </c>
      <c r="E3889" s="5" t="s">
        <v>501</v>
      </c>
      <c r="F3889" s="9">
        <v>115</v>
      </c>
      <c r="G3889" s="9">
        <v>1256</v>
      </c>
      <c r="H3889" s="5" t="s">
        <v>21</v>
      </c>
      <c r="I3889" s="5" t="s">
        <v>8859</v>
      </c>
      <c r="J3889" s="12" t="str">
        <f>HYPERLINK("https://www.boe.es/gazeta/dias/1801/12/15/pdfs/GMD-1801-115.pdf#page=6","Abrir facsímil")</f>
        <v>Abrir facsímil</v>
      </c>
      <c r="K3889" s="15" t="s">
        <v>23</v>
      </c>
    </row>
    <row r="3890" spans="1:11" ht="42" customHeight="1">
      <c r="A3890" s="4" t="s">
        <v>8860</v>
      </c>
      <c r="B3890" s="5" t="s">
        <v>8861</v>
      </c>
      <c r="C3890" s="5" t="s">
        <v>69</v>
      </c>
      <c r="D3890" s="5" t="s">
        <v>19</v>
      </c>
      <c r="E3890" s="5" t="s">
        <v>505</v>
      </c>
      <c r="F3890" s="9">
        <v>94</v>
      </c>
      <c r="G3890" s="9">
        <v>1033</v>
      </c>
      <c r="H3890" s="5" t="s">
        <v>21</v>
      </c>
      <c r="I3890" s="5" t="s">
        <v>8862</v>
      </c>
      <c r="J3890" s="12" t="str">
        <f>HYPERLINK("https://www.boe.es/gazeta/dias/1801/10/02/pdfs/GMD-1801-94.pdf#page=9","Abrir facsímil")</f>
        <v>Abrir facsímil</v>
      </c>
      <c r="K3890" s="15" t="s">
        <v>23</v>
      </c>
    </row>
    <row r="3891" spans="1:11" ht="42" customHeight="1">
      <c r="A3891" s="4" t="s">
        <v>8863</v>
      </c>
      <c r="B3891" s="5" t="s">
        <v>8864</v>
      </c>
      <c r="C3891" s="5" t="s">
        <v>38</v>
      </c>
      <c r="D3891" s="5" t="s">
        <v>39</v>
      </c>
      <c r="E3891" s="5" t="s">
        <v>223</v>
      </c>
      <c r="F3891" s="9">
        <v>74</v>
      </c>
      <c r="G3891" s="9">
        <v>830</v>
      </c>
      <c r="H3891" s="5" t="s">
        <v>21</v>
      </c>
      <c r="I3891" s="5" t="s">
        <v>8865</v>
      </c>
      <c r="J3891" s="12" t="str">
        <f>HYPERLINK("https://www.boe.es/gazeta/dias/1801/07/31/pdfs/GMD-1801-74.pdf#page=11","Abrir facsímil")</f>
        <v>Abrir facsímil</v>
      </c>
      <c r="K3891" s="15" t="s">
        <v>23</v>
      </c>
    </row>
    <row r="3892" spans="1:11" ht="42" customHeight="1">
      <c r="A3892" s="4" t="s">
        <v>8866</v>
      </c>
      <c r="B3892" s="5" t="s">
        <v>8867</v>
      </c>
      <c r="C3892" s="5" t="s">
        <v>32</v>
      </c>
      <c r="D3892" s="5" t="s">
        <v>33</v>
      </c>
      <c r="E3892" s="5" t="s">
        <v>505</v>
      </c>
      <c r="F3892" s="9">
        <v>94</v>
      </c>
      <c r="G3892" s="9">
        <v>1033</v>
      </c>
      <c r="H3892" s="5" t="s">
        <v>21</v>
      </c>
      <c r="I3892" s="5" t="s">
        <v>8868</v>
      </c>
      <c r="J3892" s="12" t="str">
        <f>HYPERLINK("https://www.boe.es/gazeta/dias/1801/10/02/pdfs/GMD-1801-94.pdf#page=9","Abrir facsímil")</f>
        <v>Abrir facsímil</v>
      </c>
      <c r="K3892" s="15" t="s">
        <v>23</v>
      </c>
    </row>
    <row r="3893" spans="1:11" ht="42" customHeight="1">
      <c r="A3893" s="4" t="s">
        <v>8869</v>
      </c>
      <c r="B3893" s="5" t="s">
        <v>8870</v>
      </c>
      <c r="C3893" s="5" t="s">
        <v>69</v>
      </c>
      <c r="D3893" s="5" t="s">
        <v>19</v>
      </c>
      <c r="E3893" s="5" t="s">
        <v>94</v>
      </c>
      <c r="F3893" s="9">
        <v>19</v>
      </c>
      <c r="G3893" s="9">
        <v>244</v>
      </c>
      <c r="H3893" s="5" t="s">
        <v>21</v>
      </c>
      <c r="I3893" s="5" t="s">
        <v>8871</v>
      </c>
      <c r="J3893" s="12" t="str">
        <f>HYPERLINK("https://www.boe.es/gazeta/dias/1801/03/06/pdfs/GMD-1801-19.pdf#page=9","Abrir facsímil")</f>
        <v>Abrir facsímil</v>
      </c>
      <c r="K3893" s="15" t="s">
        <v>23</v>
      </c>
    </row>
    <row r="3894" spans="1:11" ht="42" customHeight="1">
      <c r="A3894" s="4" t="s">
        <v>8872</v>
      </c>
      <c r="B3894" s="5" t="s">
        <v>8873</v>
      </c>
      <c r="C3894" s="5" t="s">
        <v>32</v>
      </c>
      <c r="D3894" s="5" t="s">
        <v>33</v>
      </c>
      <c r="E3894" s="5" t="s">
        <v>480</v>
      </c>
      <c r="F3894" s="9">
        <v>10</v>
      </c>
      <c r="G3894" s="9">
        <v>123</v>
      </c>
      <c r="H3894" s="5" t="s">
        <v>21</v>
      </c>
      <c r="I3894" s="5" t="s">
        <v>8874</v>
      </c>
      <c r="J3894" s="12" t="str">
        <f>HYPERLINK("https://www.boe.es/gazeta/dias/1801/02/03/pdfs/GMD-1801-10.pdf#page=8","Abrir facsímil")</f>
        <v>Abrir facsímil</v>
      </c>
      <c r="K3894" s="15" t="s">
        <v>23</v>
      </c>
    </row>
    <row r="3895" spans="1:11" ht="42" customHeight="1">
      <c r="A3895" s="4" t="s">
        <v>8875</v>
      </c>
      <c r="B3895" s="5" t="s">
        <v>8876</v>
      </c>
      <c r="C3895" s="5" t="s">
        <v>18</v>
      </c>
      <c r="D3895" s="5" t="s">
        <v>19</v>
      </c>
      <c r="E3895" s="5" t="s">
        <v>126</v>
      </c>
      <c r="F3895" s="9">
        <v>13</v>
      </c>
      <c r="G3895" s="9">
        <v>162</v>
      </c>
      <c r="H3895" s="5" t="s">
        <v>21</v>
      </c>
      <c r="I3895" s="5" t="s">
        <v>8877</v>
      </c>
      <c r="J3895" s="12" t="str">
        <f>HYPERLINK("https://www.boe.es/gazeta/dias/1801/02/13/pdfs/GMD-1801-13.pdf#page=9","Abrir facsímil")</f>
        <v>Abrir facsímil</v>
      </c>
      <c r="K3895" s="15" t="s">
        <v>23</v>
      </c>
    </row>
    <row r="3896" spans="1:11" ht="42" customHeight="1">
      <c r="A3896" s="4" t="s">
        <v>8875</v>
      </c>
      <c r="B3896" s="5" t="s">
        <v>8876</v>
      </c>
      <c r="C3896" s="5" t="s">
        <v>69</v>
      </c>
      <c r="D3896" s="5" t="s">
        <v>19</v>
      </c>
      <c r="E3896" s="5" t="s">
        <v>328</v>
      </c>
      <c r="F3896" s="9">
        <v>89</v>
      </c>
      <c r="G3896" s="9">
        <v>981</v>
      </c>
      <c r="H3896" s="5" t="s">
        <v>21</v>
      </c>
      <c r="I3896" s="5" t="s">
        <v>8878</v>
      </c>
      <c r="J3896" s="12" t="str">
        <f>HYPERLINK("https://www.boe.es/gazeta/dias/1801/09/15/pdfs/GMD-1801-89.pdf#page=8","Abrir facsímil")</f>
        <v>Abrir facsímil</v>
      </c>
      <c r="K3896" s="15" t="s">
        <v>23</v>
      </c>
    </row>
    <row r="3897" spans="1:11" ht="42" customHeight="1">
      <c r="A3897" s="4" t="s">
        <v>8879</v>
      </c>
      <c r="B3897" s="5" t="s">
        <v>8880</v>
      </c>
      <c r="C3897" s="5" t="s">
        <v>69</v>
      </c>
      <c r="D3897" s="5" t="s">
        <v>19</v>
      </c>
      <c r="E3897" s="5" t="s">
        <v>448</v>
      </c>
      <c r="F3897" s="9">
        <v>35</v>
      </c>
      <c r="G3897" s="9">
        <v>454</v>
      </c>
      <c r="H3897" s="5" t="s">
        <v>21</v>
      </c>
      <c r="I3897" s="5" t="s">
        <v>8881</v>
      </c>
      <c r="J3897" s="12" t="str">
        <f>HYPERLINK("https://www.boe.es/gazeta/dias/1801/05/01/pdfs/GMD-1801-35.pdf#page=10","Abrir facsímil")</f>
        <v>Abrir facsímil</v>
      </c>
      <c r="K3897" s="15" t="s">
        <v>23</v>
      </c>
    </row>
    <row r="3898" spans="1:11" ht="42" customHeight="1">
      <c r="A3898" s="4" t="s">
        <v>8882</v>
      </c>
      <c r="B3898" s="5" t="s">
        <v>8883</v>
      </c>
      <c r="C3898" s="5" t="s">
        <v>26</v>
      </c>
      <c r="D3898" s="5" t="s">
        <v>27</v>
      </c>
      <c r="E3898" s="5" t="s">
        <v>264</v>
      </c>
      <c r="F3898" s="9">
        <v>111</v>
      </c>
      <c r="G3898" s="9">
        <v>1218</v>
      </c>
      <c r="H3898" s="5" t="s">
        <v>21</v>
      </c>
      <c r="I3898" s="5" t="s">
        <v>8884</v>
      </c>
      <c r="J3898" s="12" t="str">
        <f>HYPERLINK("https://www.boe.es/gazeta/dias/1801/12/01/pdfs/GMD-1801-111.pdf#page=7","Abrir facsímil")</f>
        <v>Abrir facsímil</v>
      </c>
      <c r="K3898" s="15" t="s">
        <v>23</v>
      </c>
    </row>
    <row r="3899" spans="1:11" ht="42" customHeight="1">
      <c r="A3899" s="4" t="s">
        <v>8885</v>
      </c>
      <c r="B3899" s="5" t="s">
        <v>8886</v>
      </c>
      <c r="C3899" s="5" t="s">
        <v>80</v>
      </c>
      <c r="D3899" s="5" t="s">
        <v>81</v>
      </c>
      <c r="E3899" s="5" t="s">
        <v>289</v>
      </c>
      <c r="F3899" s="9">
        <v>40</v>
      </c>
      <c r="G3899" s="9" t="s">
        <v>668</v>
      </c>
      <c r="H3899" s="5" t="s">
        <v>21</v>
      </c>
      <c r="I3899" s="5" t="s">
        <v>8887</v>
      </c>
      <c r="J3899" s="12" t="str">
        <f>HYPERLINK("https://www.boe.es/gazeta/dias/1801/05/19/pdfs/GMD-C-1801-40.pdf#page=1","Abrir facsímil")</f>
        <v>Abrir facsímil</v>
      </c>
      <c r="K3899" s="15" t="s">
        <v>23</v>
      </c>
    </row>
    <row r="3900" spans="1:11" ht="42" customHeight="1">
      <c r="A3900" s="4" t="s">
        <v>8888</v>
      </c>
      <c r="B3900" s="5" t="s">
        <v>8889</v>
      </c>
      <c r="C3900" s="5" t="s">
        <v>38</v>
      </c>
      <c r="D3900" s="5" t="s">
        <v>39</v>
      </c>
      <c r="E3900" s="5" t="s">
        <v>48</v>
      </c>
      <c r="F3900" s="9">
        <v>20</v>
      </c>
      <c r="G3900" s="9">
        <v>264</v>
      </c>
      <c r="H3900" s="5" t="s">
        <v>21</v>
      </c>
      <c r="I3900" s="5" t="s">
        <v>8890</v>
      </c>
      <c r="J3900" s="12" t="str">
        <f>HYPERLINK("https://www.boe.es/gazeta/dias/1801/03/10/pdfs/GMD-1801-20.pdf#page=9","Abrir facsímil")</f>
        <v>Abrir facsímil</v>
      </c>
      <c r="K3900" s="15" t="s">
        <v>23</v>
      </c>
    </row>
    <row r="3901" spans="1:11" ht="42" customHeight="1">
      <c r="A3901" s="4" t="s">
        <v>8891</v>
      </c>
      <c r="B3901" s="5" t="s">
        <v>8892</v>
      </c>
      <c r="C3901" s="5" t="s">
        <v>69</v>
      </c>
      <c r="D3901" s="5" t="s">
        <v>19</v>
      </c>
      <c r="E3901" s="5" t="s">
        <v>292</v>
      </c>
      <c r="F3901" s="9">
        <v>25</v>
      </c>
      <c r="G3901" s="9">
        <v>331</v>
      </c>
      <c r="H3901" s="5" t="s">
        <v>21</v>
      </c>
      <c r="I3901" s="5" t="s">
        <v>8893</v>
      </c>
      <c r="J3901" s="12" t="str">
        <f>HYPERLINK("https://www.boe.es/gazeta/dias/1801/03/27/pdfs/GMD-1801-25.pdf#page=10","Abrir facsímil")</f>
        <v>Abrir facsímil</v>
      </c>
      <c r="K3901" s="15" t="s">
        <v>23</v>
      </c>
    </row>
    <row r="3902" spans="1:11" ht="42" customHeight="1">
      <c r="A3902" s="4" t="s">
        <v>8891</v>
      </c>
      <c r="B3902" s="5" t="s">
        <v>8892</v>
      </c>
      <c r="C3902" s="5" t="s">
        <v>26</v>
      </c>
      <c r="D3902" s="5" t="s">
        <v>27</v>
      </c>
      <c r="E3902" s="5" t="s">
        <v>34</v>
      </c>
      <c r="F3902" s="9">
        <v>38</v>
      </c>
      <c r="G3902" s="9">
        <v>496</v>
      </c>
      <c r="H3902" s="5" t="s">
        <v>21</v>
      </c>
      <c r="I3902" s="5" t="s">
        <v>8894</v>
      </c>
      <c r="J3902" s="12" t="str">
        <f>HYPERLINK("https://www.boe.es/gazeta/dias/1801/05/12/pdfs/GMD-1801-38.pdf#page=12","Abrir facsímil")</f>
        <v>Abrir facsímil</v>
      </c>
      <c r="K3902" s="15" t="s">
        <v>23</v>
      </c>
    </row>
    <row r="3903" spans="1:11" ht="42" customHeight="1">
      <c r="A3903" s="4" t="s">
        <v>8895</v>
      </c>
      <c r="B3903" s="5" t="s">
        <v>8896</v>
      </c>
      <c r="C3903" s="5" t="s">
        <v>32</v>
      </c>
      <c r="D3903" s="5" t="s">
        <v>33</v>
      </c>
      <c r="E3903" s="5" t="s">
        <v>131</v>
      </c>
      <c r="F3903" s="9">
        <v>22</v>
      </c>
      <c r="G3903" s="9">
        <v>289</v>
      </c>
      <c r="H3903" s="5" t="s">
        <v>21</v>
      </c>
      <c r="I3903" s="5" t="s">
        <v>8897</v>
      </c>
      <c r="J3903" s="12" t="str">
        <f>HYPERLINK("https://www.boe.es/gazeta/dias/1801/03/17/pdfs/GMD-1801-22.pdf#page=6","Abrir facsímil")</f>
        <v>Abrir facsímil</v>
      </c>
      <c r="K3903" s="15" t="s">
        <v>23</v>
      </c>
    </row>
    <row r="3904" spans="1:11" ht="42" customHeight="1">
      <c r="A3904" s="4" t="s">
        <v>8898</v>
      </c>
      <c r="B3904" s="5" t="s">
        <v>8899</v>
      </c>
      <c r="C3904" s="5" t="s">
        <v>32</v>
      </c>
      <c r="D3904" s="5" t="s">
        <v>33</v>
      </c>
      <c r="E3904" s="5" t="s">
        <v>90</v>
      </c>
      <c r="F3904" s="9">
        <v>1</v>
      </c>
      <c r="G3904" s="9">
        <v>10</v>
      </c>
      <c r="H3904" s="5" t="s">
        <v>21</v>
      </c>
      <c r="I3904" s="5" t="s">
        <v>8900</v>
      </c>
      <c r="J3904" s="12" t="str">
        <f>HYPERLINK("https://www.boe.es/gazeta/dias/1801/01/02/pdfs/GMD-1801-1.pdf#page=10","Abrir facsímil")</f>
        <v>Abrir facsímil</v>
      </c>
      <c r="K3904" s="15" t="s">
        <v>23</v>
      </c>
    </row>
    <row r="3905" spans="1:11" ht="42" customHeight="1">
      <c r="A3905" s="4" t="s">
        <v>8901</v>
      </c>
      <c r="B3905" s="5" t="s">
        <v>8902</v>
      </c>
      <c r="C3905" s="5" t="s">
        <v>18</v>
      </c>
      <c r="D3905" s="5" t="s">
        <v>19</v>
      </c>
      <c r="E3905" s="5" t="s">
        <v>44</v>
      </c>
      <c r="F3905" s="9">
        <v>117</v>
      </c>
      <c r="G3905" s="9">
        <v>1280</v>
      </c>
      <c r="H3905" s="5" t="s">
        <v>21</v>
      </c>
      <c r="I3905" s="5" t="s">
        <v>8903</v>
      </c>
      <c r="J3905" s="12" t="str">
        <f>HYPERLINK("https://www.boe.es/gazeta/dias/1801/12/22/pdfs/GMD-1801-117.pdf#page=7","Abrir facsímil")</f>
        <v>Abrir facsímil</v>
      </c>
      <c r="K3905" s="15" t="s">
        <v>23</v>
      </c>
    </row>
    <row r="3906" spans="1:11" ht="42" customHeight="1">
      <c r="A3906" s="4" t="s">
        <v>8904</v>
      </c>
      <c r="B3906" s="5" t="s">
        <v>8905</v>
      </c>
      <c r="C3906" s="5" t="s">
        <v>18</v>
      </c>
      <c r="D3906" s="5" t="s">
        <v>19</v>
      </c>
      <c r="E3906" s="5" t="s">
        <v>702</v>
      </c>
      <c r="F3906" s="9">
        <v>69</v>
      </c>
      <c r="G3906" s="9">
        <v>764</v>
      </c>
      <c r="H3906" s="5" t="s">
        <v>21</v>
      </c>
      <c r="I3906" s="5" t="s">
        <v>8906</v>
      </c>
      <c r="J3906" s="12" t="str">
        <f>HYPERLINK("https://www.boe.es/gazeta/dias/1801/07/14/pdfs/GMD-1801-69.pdf#page=9","Abrir facsímil")</f>
        <v>Abrir facsímil</v>
      </c>
      <c r="K3906" s="15" t="s">
        <v>23</v>
      </c>
    </row>
    <row r="3907" spans="1:11" ht="42" customHeight="1">
      <c r="A3907" s="4" t="s">
        <v>8904</v>
      </c>
      <c r="B3907" s="5" t="s">
        <v>8905</v>
      </c>
      <c r="C3907" s="5" t="s">
        <v>75</v>
      </c>
      <c r="D3907" s="5" t="s">
        <v>76</v>
      </c>
      <c r="E3907" s="5" t="s">
        <v>169</v>
      </c>
      <c r="F3907" s="9">
        <v>70</v>
      </c>
      <c r="G3907" s="9">
        <v>776</v>
      </c>
      <c r="H3907" s="5" t="s">
        <v>21</v>
      </c>
      <c r="I3907" s="5" t="s">
        <v>8907</v>
      </c>
      <c r="J3907" s="12" t="str">
        <f>HYPERLINK("https://www.boe.es/gazeta/dias/1801/07/17/pdfs/GMD-1801-70.pdf#page=9","Abrir facsímil")</f>
        <v>Abrir facsímil</v>
      </c>
      <c r="K3907" s="15" t="s">
        <v>23</v>
      </c>
    </row>
    <row r="3908" spans="1:11" ht="42" customHeight="1">
      <c r="A3908" s="4" t="s">
        <v>8904</v>
      </c>
      <c r="B3908" s="5" t="s">
        <v>8905</v>
      </c>
      <c r="C3908" s="5" t="s">
        <v>18</v>
      </c>
      <c r="D3908" s="5" t="s">
        <v>19</v>
      </c>
      <c r="E3908" s="5" t="s">
        <v>215</v>
      </c>
      <c r="F3908" s="9">
        <v>71</v>
      </c>
      <c r="G3908" s="9">
        <v>788</v>
      </c>
      <c r="H3908" s="5" t="s">
        <v>21</v>
      </c>
      <c r="I3908" s="5" t="s">
        <v>8908</v>
      </c>
      <c r="J3908" s="12" t="str">
        <f>HYPERLINK("https://www.boe.es/gazeta/dias/1801/07/21/pdfs/GMD-1801-71.pdf#page=9","Abrir facsímil")</f>
        <v>Abrir facsímil</v>
      </c>
      <c r="K3908" s="15" t="s">
        <v>23</v>
      </c>
    </row>
    <row r="3909" spans="1:11" ht="42" customHeight="1">
      <c r="A3909" s="4" t="s">
        <v>8904</v>
      </c>
      <c r="B3909" s="5" t="s">
        <v>8905</v>
      </c>
      <c r="C3909" s="5" t="s">
        <v>18</v>
      </c>
      <c r="D3909" s="5" t="s">
        <v>19</v>
      </c>
      <c r="E3909" s="5" t="s">
        <v>751</v>
      </c>
      <c r="F3909" s="9">
        <v>106</v>
      </c>
      <c r="G3909" s="9">
        <v>1169</v>
      </c>
      <c r="H3909" s="5" t="s">
        <v>21</v>
      </c>
      <c r="I3909" s="5" t="s">
        <v>8909</v>
      </c>
      <c r="J3909" s="12" t="str">
        <f>HYPERLINK("https://www.boe.es/gazeta/dias/1801/11/13/pdfs/GMD-C-1801-106.pdf#page=2","Abrir facsímil")</f>
        <v>Abrir facsímil</v>
      </c>
      <c r="K3909" s="15" t="s">
        <v>23</v>
      </c>
    </row>
    <row r="3910" spans="1:11" ht="42" customHeight="1">
      <c r="A3910" s="4" t="s">
        <v>8904</v>
      </c>
      <c r="B3910" s="5" t="s">
        <v>8905</v>
      </c>
      <c r="C3910" s="5" t="s">
        <v>18</v>
      </c>
      <c r="D3910" s="5" t="s">
        <v>19</v>
      </c>
      <c r="E3910" s="5" t="s">
        <v>1939</v>
      </c>
      <c r="F3910" s="9">
        <v>107</v>
      </c>
      <c r="G3910" s="9">
        <v>1180</v>
      </c>
      <c r="H3910" s="5" t="s">
        <v>21</v>
      </c>
      <c r="I3910" s="5" t="s">
        <v>8910</v>
      </c>
      <c r="J3910" s="12" t="str">
        <f>HYPERLINK("https://www.boe.es/gazeta/dias/1801/11/17/pdfs/GMD-1801-107.pdf#page=9","Abrir facsímil")</f>
        <v>Abrir facsímil</v>
      </c>
      <c r="K3910" s="15" t="s">
        <v>23</v>
      </c>
    </row>
    <row r="3911" spans="1:11" ht="42" customHeight="1">
      <c r="A3911" s="4" t="s">
        <v>8911</v>
      </c>
      <c r="B3911" s="5" t="s">
        <v>8912</v>
      </c>
      <c r="C3911" s="5" t="s">
        <v>80</v>
      </c>
      <c r="D3911" s="5" t="s">
        <v>81</v>
      </c>
      <c r="E3911" s="5" t="s">
        <v>289</v>
      </c>
      <c r="F3911" s="9">
        <v>40</v>
      </c>
      <c r="G3911" s="9" t="s">
        <v>83</v>
      </c>
      <c r="H3911" s="5" t="s">
        <v>21</v>
      </c>
      <c r="I3911" s="5" t="s">
        <v>8913</v>
      </c>
      <c r="J3911" s="12" t="str">
        <f>HYPERLINK("https://www.boe.es/gazeta/dias/1801/05/19/pdfs/GMD-C-1801-40.pdf#page=2","Abrir facsímil")</f>
        <v>Abrir facsímil</v>
      </c>
      <c r="K3911" s="15" t="s">
        <v>23</v>
      </c>
    </row>
    <row r="3912" spans="1:11" ht="42" customHeight="1">
      <c r="A3912" s="4" t="s">
        <v>8911</v>
      </c>
      <c r="B3912" s="5" t="s">
        <v>8912</v>
      </c>
      <c r="C3912" s="5" t="s">
        <v>32</v>
      </c>
      <c r="D3912" s="5" t="s">
        <v>33</v>
      </c>
      <c r="E3912" s="5" t="s">
        <v>256</v>
      </c>
      <c r="F3912" s="9">
        <v>78</v>
      </c>
      <c r="G3912" s="9">
        <v>881</v>
      </c>
      <c r="H3912" s="5" t="s">
        <v>21</v>
      </c>
      <c r="I3912" s="5" t="s">
        <v>8914</v>
      </c>
      <c r="J3912" s="12" t="str">
        <f>HYPERLINK("https://www.boe.es/gazeta/dias/1801/08/14/pdfs/GMD-1801-78.pdf#page=10","Abrir facsímil")</f>
        <v>Abrir facsímil</v>
      </c>
      <c r="K3912" s="15" t="s">
        <v>23</v>
      </c>
    </row>
    <row r="3913" spans="1:11" ht="42" customHeight="1">
      <c r="A3913" s="4" t="s">
        <v>8915</v>
      </c>
      <c r="B3913" s="5" t="s">
        <v>8916</v>
      </c>
      <c r="C3913" s="5" t="s">
        <v>32</v>
      </c>
      <c r="D3913" s="5" t="s">
        <v>33</v>
      </c>
      <c r="E3913" s="5" t="s">
        <v>2237</v>
      </c>
      <c r="F3913" s="9">
        <v>82</v>
      </c>
      <c r="G3913" s="9">
        <v>917</v>
      </c>
      <c r="H3913" s="5" t="s">
        <v>21</v>
      </c>
      <c r="I3913" s="5" t="s">
        <v>8917</v>
      </c>
      <c r="J3913" s="12" t="str">
        <f>HYPERLINK("https://www.boe.es/gazeta/dias/1801/08/28/pdfs/GMD-1801-82.pdf#page=6","Abrir facsímil")</f>
        <v>Abrir facsímil</v>
      </c>
      <c r="K3913" s="15" t="s">
        <v>23</v>
      </c>
    </row>
    <row r="3914" spans="1:11" ht="42" customHeight="1">
      <c r="A3914" s="4" t="s">
        <v>8918</v>
      </c>
      <c r="B3914" s="5" t="s">
        <v>8919</v>
      </c>
      <c r="C3914" s="5" t="s">
        <v>80</v>
      </c>
      <c r="D3914" s="5" t="s">
        <v>81</v>
      </c>
      <c r="E3914" s="5" t="s">
        <v>289</v>
      </c>
      <c r="F3914" s="9">
        <v>40</v>
      </c>
      <c r="G3914" s="9" t="s">
        <v>299</v>
      </c>
      <c r="H3914" s="5" t="s">
        <v>21</v>
      </c>
      <c r="I3914" s="5" t="s">
        <v>8920</v>
      </c>
      <c r="J3914" s="12" t="str">
        <f>HYPERLINK("https://www.boe.es/gazeta/dias/1801/05/19/pdfs/GMD-C-1801-40.pdf#page=5","Abrir facsímil")</f>
        <v>Abrir facsímil</v>
      </c>
      <c r="K3914" s="15" t="s">
        <v>23</v>
      </c>
    </row>
    <row r="3915" spans="1:11" ht="42" customHeight="1">
      <c r="A3915" s="4" t="s">
        <v>8921</v>
      </c>
      <c r="B3915" s="5" t="s">
        <v>8922</v>
      </c>
      <c r="C3915" s="5" t="s">
        <v>80</v>
      </c>
      <c r="D3915" s="5" t="s">
        <v>81</v>
      </c>
      <c r="E3915" s="5" t="s">
        <v>289</v>
      </c>
      <c r="F3915" s="9">
        <v>40</v>
      </c>
      <c r="G3915" s="9" t="s">
        <v>668</v>
      </c>
      <c r="H3915" s="5" t="s">
        <v>21</v>
      </c>
      <c r="I3915" s="5" t="s">
        <v>8923</v>
      </c>
      <c r="J3915" s="12" t="str">
        <f>HYPERLINK("https://www.boe.es/gazeta/dias/1801/05/19/pdfs/GMD-C-1801-40.pdf#page=1","Abrir facsímil")</f>
        <v>Abrir facsímil</v>
      </c>
      <c r="K3915" s="15" t="s">
        <v>23</v>
      </c>
    </row>
    <row r="3916" spans="1:11" ht="42" customHeight="1">
      <c r="A3916" s="4" t="s">
        <v>8924</v>
      </c>
      <c r="B3916" s="5" t="s">
        <v>8925</v>
      </c>
      <c r="C3916" s="5" t="s">
        <v>80</v>
      </c>
      <c r="D3916" s="5" t="s">
        <v>81</v>
      </c>
      <c r="E3916" s="5" t="s">
        <v>289</v>
      </c>
      <c r="F3916" s="9">
        <v>40</v>
      </c>
      <c r="G3916" s="9" t="s">
        <v>305</v>
      </c>
      <c r="H3916" s="5" t="s">
        <v>21</v>
      </c>
      <c r="I3916" s="5" t="s">
        <v>8926</v>
      </c>
      <c r="J3916" s="12" t="str">
        <f>HYPERLINK("https://www.boe.es/gazeta/dias/1801/05/19/pdfs/GMD-C-1801-40.pdf#page=4","Abrir facsímil")</f>
        <v>Abrir facsímil</v>
      </c>
      <c r="K3916" s="15" t="s">
        <v>23</v>
      </c>
    </row>
    <row r="3917" spans="1:11" ht="42" customHeight="1">
      <c r="A3917" s="4" t="s">
        <v>8927</v>
      </c>
      <c r="B3917" s="5" t="s">
        <v>8928</v>
      </c>
      <c r="C3917" s="5" t="s">
        <v>515</v>
      </c>
      <c r="D3917" s="5" t="s">
        <v>516</v>
      </c>
      <c r="E3917" s="5" t="s">
        <v>501</v>
      </c>
      <c r="F3917" s="9">
        <v>115</v>
      </c>
      <c r="G3917" s="9" t="s">
        <v>517</v>
      </c>
      <c r="H3917" s="5" t="s">
        <v>21</v>
      </c>
      <c r="I3917" s="5" t="s">
        <v>8929</v>
      </c>
      <c r="J3917" s="12" t="str">
        <f>HYPERLINK("https://www.boe.es/gazeta/dias/1801/12/15/pdfs/GMD-C-1801-115.pdf#page=7","Abrir facsímil")</f>
        <v>Abrir facsímil</v>
      </c>
      <c r="K3917" s="15" t="s">
        <v>23</v>
      </c>
    </row>
    <row r="3918" spans="1:11" ht="42" customHeight="1">
      <c r="A3918" s="4" t="s">
        <v>8930</v>
      </c>
      <c r="B3918" s="5" t="s">
        <v>8931</v>
      </c>
      <c r="C3918" s="5" t="s">
        <v>26</v>
      </c>
      <c r="D3918" s="5" t="s">
        <v>27</v>
      </c>
      <c r="E3918" s="5" t="s">
        <v>501</v>
      </c>
      <c r="F3918" s="9">
        <v>115</v>
      </c>
      <c r="G3918" s="9" t="s">
        <v>502</v>
      </c>
      <c r="H3918" s="5" t="s">
        <v>21</v>
      </c>
      <c r="I3918" s="5" t="s">
        <v>8932</v>
      </c>
      <c r="J3918" s="12" t="str">
        <f>HYPERLINK("https://www.boe.es/gazeta/dias/1801/12/15/pdfs/GMD-C-1801-115.pdf#page=8","Abrir facsímil")</f>
        <v>Abrir facsímil</v>
      </c>
      <c r="K3918" s="15" t="s">
        <v>23</v>
      </c>
    </row>
    <row r="3919" spans="1:11" ht="42" customHeight="1">
      <c r="A3919" s="4" t="s">
        <v>8933</v>
      </c>
      <c r="B3919" s="5" t="s">
        <v>8934</v>
      </c>
      <c r="C3919" s="5" t="s">
        <v>38</v>
      </c>
      <c r="D3919" s="5" t="s">
        <v>39</v>
      </c>
      <c r="E3919" s="5" t="s">
        <v>2185</v>
      </c>
      <c r="F3919" s="9">
        <v>84</v>
      </c>
      <c r="G3919" s="9">
        <v>940</v>
      </c>
      <c r="H3919" s="5" t="s">
        <v>21</v>
      </c>
      <c r="I3919" s="5" t="s">
        <v>8935</v>
      </c>
      <c r="J3919" s="12" t="str">
        <f>HYPERLINK("https://www.boe.es/gazeta/dias/1801/09/04/pdfs/GMD-1801-84.pdf#page=3","Abrir facsímil")</f>
        <v>Abrir facsímil</v>
      </c>
      <c r="K3919" s="15" t="s">
        <v>23</v>
      </c>
    </row>
    <row r="3920" spans="1:11" ht="42" customHeight="1">
      <c r="A3920" s="4" t="s">
        <v>8933</v>
      </c>
      <c r="B3920" s="5" t="s">
        <v>8934</v>
      </c>
      <c r="C3920" s="5" t="s">
        <v>18</v>
      </c>
      <c r="D3920" s="5" t="s">
        <v>19</v>
      </c>
      <c r="E3920" s="5" t="s">
        <v>77</v>
      </c>
      <c r="F3920" s="9">
        <v>93</v>
      </c>
      <c r="G3920" s="9">
        <v>1018</v>
      </c>
      <c r="H3920" s="5" t="s">
        <v>21</v>
      </c>
      <c r="I3920" s="5" t="s">
        <v>8936</v>
      </c>
      <c r="J3920" s="12" t="str">
        <f>HYPERLINK("https://www.boe.es/gazeta/dias/1801/09/29/pdfs/GMD-1801-93.pdf#page=5","Abrir facsímil")</f>
        <v>Abrir facsímil</v>
      </c>
      <c r="K3920" s="15" t="s">
        <v>23</v>
      </c>
    </row>
    <row r="3921" spans="1:11" ht="42" customHeight="1">
      <c r="A3921" s="4" t="s">
        <v>8937</v>
      </c>
      <c r="B3921" s="5" t="s">
        <v>8938</v>
      </c>
      <c r="C3921" s="5" t="s">
        <v>38</v>
      </c>
      <c r="D3921" s="5" t="s">
        <v>39</v>
      </c>
      <c r="E3921" s="5" t="s">
        <v>292</v>
      </c>
      <c r="F3921" s="9">
        <v>25</v>
      </c>
      <c r="G3921" s="9">
        <v>332</v>
      </c>
      <c r="H3921" s="5" t="s">
        <v>21</v>
      </c>
      <c r="I3921" s="5" t="s">
        <v>8939</v>
      </c>
      <c r="J3921" s="12" t="str">
        <f>HYPERLINK("https://www.boe.es/gazeta/dias/1801/03/27/pdfs/GMD-1801-25.pdf#page=11","Abrir facsímil")</f>
        <v>Abrir facsímil</v>
      </c>
      <c r="K3921" s="15" t="s">
        <v>23</v>
      </c>
    </row>
    <row r="3922" spans="1:11" ht="42" customHeight="1">
      <c r="A3922" s="4" t="s">
        <v>8940</v>
      </c>
      <c r="B3922" s="5" t="s">
        <v>8941</v>
      </c>
      <c r="C3922" s="5" t="s">
        <v>32</v>
      </c>
      <c r="D3922" s="5" t="s">
        <v>33</v>
      </c>
      <c r="E3922" s="5" t="s">
        <v>313</v>
      </c>
      <c r="F3922" s="9">
        <v>39</v>
      </c>
      <c r="G3922" s="9">
        <v>506</v>
      </c>
      <c r="H3922" s="5" t="s">
        <v>21</v>
      </c>
      <c r="I3922" s="5" t="s">
        <v>8942</v>
      </c>
      <c r="J3922" s="12" t="str">
        <f>HYPERLINK("https://www.boe.es/gazeta/dias/1801/05/15/pdfs/GMD-1801-39.pdf#page=10","Abrir facsímil")</f>
        <v>Abrir facsímil</v>
      </c>
      <c r="K3922" s="15" t="s">
        <v>23</v>
      </c>
    </row>
    <row r="3923" spans="1:11" ht="42" customHeight="1">
      <c r="A3923" s="4" t="s">
        <v>8943</v>
      </c>
      <c r="B3923" s="5" t="s">
        <v>8944</v>
      </c>
      <c r="C3923" s="5" t="s">
        <v>18</v>
      </c>
      <c r="D3923" s="5" t="s">
        <v>19</v>
      </c>
      <c r="E3923" s="5" t="s">
        <v>292</v>
      </c>
      <c r="F3923" s="9">
        <v>25</v>
      </c>
      <c r="G3923" s="9">
        <v>332</v>
      </c>
      <c r="H3923" s="5" t="s">
        <v>21</v>
      </c>
      <c r="I3923" s="5" t="s">
        <v>8945</v>
      </c>
      <c r="J3923" s="12" t="str">
        <f>HYPERLINK("https://www.boe.es/gazeta/dias/1801/03/27/pdfs/GMD-1801-25.pdf#page=11","Abrir facsímil")</f>
        <v>Abrir facsímil</v>
      </c>
      <c r="K3923" s="15" t="s">
        <v>23</v>
      </c>
    </row>
    <row r="3924" spans="1:11" ht="42" customHeight="1">
      <c r="A3924" s="4" t="s">
        <v>8946</v>
      </c>
      <c r="B3924" s="5" t="s">
        <v>8947</v>
      </c>
      <c r="C3924" s="5" t="s">
        <v>69</v>
      </c>
      <c r="D3924" s="5" t="s">
        <v>19</v>
      </c>
      <c r="E3924" s="5" t="s">
        <v>275</v>
      </c>
      <c r="F3924" s="9">
        <v>9</v>
      </c>
      <c r="G3924" s="9">
        <v>112</v>
      </c>
      <c r="H3924" s="5" t="s">
        <v>21</v>
      </c>
      <c r="I3924" s="5" t="s">
        <v>8948</v>
      </c>
      <c r="J3924" s="12" t="str">
        <f>HYPERLINK("https://www.boe.es/gazeta/dias/1801/01/30/pdfs/GMD-1801-9.pdf#page=9","Abrir facsímil")</f>
        <v>Abrir facsímil</v>
      </c>
      <c r="K3924" s="15" t="s">
        <v>23</v>
      </c>
    </row>
    <row r="3925" spans="1:11" ht="42" customHeight="1">
      <c r="A3925" s="4" t="s">
        <v>8949</v>
      </c>
      <c r="B3925" s="5" t="s">
        <v>8950</v>
      </c>
      <c r="C3925" s="5" t="s">
        <v>18</v>
      </c>
      <c r="D3925" s="5" t="s">
        <v>19</v>
      </c>
      <c r="E3925" s="5" t="s">
        <v>321</v>
      </c>
      <c r="F3925" s="9">
        <v>3</v>
      </c>
      <c r="G3925" s="9">
        <v>35</v>
      </c>
      <c r="H3925" s="5" t="s">
        <v>21</v>
      </c>
      <c r="I3925" s="5" t="s">
        <v>8951</v>
      </c>
      <c r="J3925" s="12" t="str">
        <f>HYPERLINK("https://www.boe.es/gazeta/dias/1801/01/09/pdfs/GMD-1801-3.pdf#page=11","Abrir facsímil")</f>
        <v>Abrir facsímil</v>
      </c>
      <c r="K3925" s="15" t="s">
        <v>23</v>
      </c>
    </row>
    <row r="3926" spans="1:11" ht="42" customHeight="1">
      <c r="A3926" s="4" t="s">
        <v>8949</v>
      </c>
      <c r="B3926" s="5" t="s">
        <v>8950</v>
      </c>
      <c r="C3926" s="5" t="s">
        <v>32</v>
      </c>
      <c r="D3926" s="5" t="s">
        <v>33</v>
      </c>
      <c r="E3926" s="5" t="s">
        <v>120</v>
      </c>
      <c r="F3926" s="9">
        <v>7</v>
      </c>
      <c r="G3926" s="9">
        <v>87</v>
      </c>
      <c r="H3926" s="5" t="s">
        <v>21</v>
      </c>
      <c r="I3926" s="5" t="s">
        <v>8952</v>
      </c>
      <c r="J3926" s="12" t="str">
        <f>HYPERLINK("https://www.boe.es/gazeta/dias/1801/01/23/pdfs/GMD-1801-7.pdf#page=11","Abrir facsímil")</f>
        <v>Abrir facsímil</v>
      </c>
      <c r="K3926" s="15" t="s">
        <v>23</v>
      </c>
    </row>
    <row r="3927" spans="1:11" ht="42" customHeight="1">
      <c r="A3927" s="4" t="s">
        <v>8949</v>
      </c>
      <c r="B3927" s="5" t="s">
        <v>8950</v>
      </c>
      <c r="C3927" s="5" t="s">
        <v>32</v>
      </c>
      <c r="D3927" s="5" t="s">
        <v>33</v>
      </c>
      <c r="E3927" s="5" t="s">
        <v>120</v>
      </c>
      <c r="F3927" s="9">
        <v>7</v>
      </c>
      <c r="G3927" s="9">
        <v>88</v>
      </c>
      <c r="H3927" s="5" t="s">
        <v>21</v>
      </c>
      <c r="I3927" s="5" t="s">
        <v>8953</v>
      </c>
      <c r="J3927" s="12" t="str">
        <f>HYPERLINK("https://www.boe.es/gazeta/dias/1801/01/23/pdfs/GMD-1801-7.pdf#page=12","Abrir facsímil")</f>
        <v>Abrir facsímil</v>
      </c>
      <c r="K3927" s="15" t="s">
        <v>23</v>
      </c>
    </row>
    <row r="3928" spans="1:11" ht="42" customHeight="1">
      <c r="A3928" s="4" t="s">
        <v>8949</v>
      </c>
      <c r="B3928" s="5" t="s">
        <v>8950</v>
      </c>
      <c r="C3928" s="5" t="s">
        <v>32</v>
      </c>
      <c r="D3928" s="5" t="s">
        <v>33</v>
      </c>
      <c r="E3928" s="5" t="s">
        <v>781</v>
      </c>
      <c r="F3928" s="9">
        <v>14</v>
      </c>
      <c r="G3928" s="9">
        <v>175</v>
      </c>
      <c r="H3928" s="5" t="s">
        <v>21</v>
      </c>
      <c r="I3928" s="5" t="s">
        <v>8954</v>
      </c>
      <c r="J3928" s="12" t="str">
        <f>HYPERLINK("https://www.boe.es/gazeta/dias/1801/02/17/pdfs/GMD-1801-14.pdf#page=10","Abrir facsímil")</f>
        <v>Abrir facsímil</v>
      </c>
      <c r="K3928" s="15" t="s">
        <v>23</v>
      </c>
    </row>
    <row r="3929" spans="1:11" ht="42" customHeight="1">
      <c r="A3929" s="4" t="s">
        <v>8949</v>
      </c>
      <c r="B3929" s="5" t="s">
        <v>8950</v>
      </c>
      <c r="C3929" s="5" t="s">
        <v>32</v>
      </c>
      <c r="D3929" s="5" t="s">
        <v>33</v>
      </c>
      <c r="E3929" s="5" t="s">
        <v>128</v>
      </c>
      <c r="F3929" s="9">
        <v>17</v>
      </c>
      <c r="G3929" s="9">
        <v>215</v>
      </c>
      <c r="H3929" s="5" t="s">
        <v>21</v>
      </c>
      <c r="I3929" s="5" t="s">
        <v>8955</v>
      </c>
      <c r="J3929" s="12" t="str">
        <f>HYPERLINK("https://www.boe.es/gazeta/dias/1801/02/27/pdfs/GMD-1801-17.pdf#page=10","Abrir facsímil")</f>
        <v>Abrir facsímil</v>
      </c>
      <c r="K3929" s="15" t="s">
        <v>23</v>
      </c>
    </row>
    <row r="3930" spans="1:11" ht="42" customHeight="1">
      <c r="A3930" s="4" t="s">
        <v>8949</v>
      </c>
      <c r="B3930" s="5" t="s">
        <v>8950</v>
      </c>
      <c r="C3930" s="5" t="s">
        <v>32</v>
      </c>
      <c r="D3930" s="5" t="s">
        <v>33</v>
      </c>
      <c r="E3930" s="5" t="s">
        <v>153</v>
      </c>
      <c r="F3930" s="9">
        <v>48</v>
      </c>
      <c r="G3930" s="9">
        <v>586</v>
      </c>
      <c r="H3930" s="5" t="s">
        <v>21</v>
      </c>
      <c r="I3930" s="5" t="s">
        <v>8956</v>
      </c>
      <c r="J3930" s="12" t="str">
        <f>HYPERLINK("https://www.boe.es/gazeta/dias/1801/06/05/pdfs/GMD-1801-48.pdf#page=8","Abrir facsímil")</f>
        <v>Abrir facsímil</v>
      </c>
      <c r="K3930" s="15" t="s">
        <v>23</v>
      </c>
    </row>
    <row r="3931" spans="1:11" ht="42" customHeight="1">
      <c r="A3931" s="4" t="s">
        <v>8949</v>
      </c>
      <c r="B3931" s="5" t="s">
        <v>8950</v>
      </c>
      <c r="C3931" s="5" t="s">
        <v>32</v>
      </c>
      <c r="D3931" s="5" t="s">
        <v>33</v>
      </c>
      <c r="E3931" s="5" t="s">
        <v>223</v>
      </c>
      <c r="F3931" s="9">
        <v>74</v>
      </c>
      <c r="G3931" s="9">
        <v>829</v>
      </c>
      <c r="H3931" s="5" t="s">
        <v>21</v>
      </c>
      <c r="I3931" s="5" t="s">
        <v>8957</v>
      </c>
      <c r="J3931" s="12" t="str">
        <f>HYPERLINK("https://www.boe.es/gazeta/dias/1801/07/31/pdfs/GMD-1801-74.pdf#page=10","Abrir facsímil")</f>
        <v>Abrir facsímil</v>
      </c>
      <c r="K3931" s="15" t="s">
        <v>23</v>
      </c>
    </row>
    <row r="3932" spans="1:11" ht="42" customHeight="1">
      <c r="A3932" s="4" t="s">
        <v>8949</v>
      </c>
      <c r="B3932" s="5" t="s">
        <v>8950</v>
      </c>
      <c r="C3932" s="5" t="s">
        <v>32</v>
      </c>
      <c r="D3932" s="5" t="s">
        <v>33</v>
      </c>
      <c r="E3932" s="5" t="s">
        <v>640</v>
      </c>
      <c r="F3932" s="9">
        <v>81</v>
      </c>
      <c r="G3932" s="9">
        <v>910</v>
      </c>
      <c r="H3932" s="5" t="s">
        <v>21</v>
      </c>
      <c r="I3932" s="5" t="s">
        <v>8958</v>
      </c>
      <c r="J3932" s="12" t="str">
        <f>HYPERLINK("https://www.boe.es/gazeta/dias/1801/08/25/pdfs/GMD-1801-81.pdf#page=7","Abrir facsímil")</f>
        <v>Abrir facsímil</v>
      </c>
      <c r="K3932" s="15" t="s">
        <v>23</v>
      </c>
    </row>
    <row r="3933" spans="1:11" ht="42" customHeight="1">
      <c r="A3933" s="4" t="s">
        <v>8959</v>
      </c>
      <c r="B3933" s="5" t="s">
        <v>8960</v>
      </c>
      <c r="C3933" s="5" t="s">
        <v>38</v>
      </c>
      <c r="D3933" s="5" t="s">
        <v>39</v>
      </c>
      <c r="E3933" s="5" t="s">
        <v>888</v>
      </c>
      <c r="F3933" s="9">
        <v>103</v>
      </c>
      <c r="G3933" s="9">
        <v>1136</v>
      </c>
      <c r="H3933" s="5" t="s">
        <v>21</v>
      </c>
      <c r="I3933" s="5" t="s">
        <v>8961</v>
      </c>
      <c r="J3933" s="12" t="str">
        <f>HYPERLINK("https://www.boe.es/gazeta/dias/1801/11/03/pdfs/GMD-1801-103.pdf#page=9","Abrir facsímil")</f>
        <v>Abrir facsímil</v>
      </c>
      <c r="K3933" s="15" t="s">
        <v>23</v>
      </c>
    </row>
    <row r="3934" spans="1:11" ht="42" customHeight="1">
      <c r="A3934" s="4" t="s">
        <v>8962</v>
      </c>
      <c r="B3934" s="5" t="s">
        <v>8963</v>
      </c>
      <c r="C3934" s="5" t="s">
        <v>26</v>
      </c>
      <c r="D3934" s="5" t="s">
        <v>27</v>
      </c>
      <c r="E3934" s="5" t="s">
        <v>94</v>
      </c>
      <c r="F3934" s="9">
        <v>19</v>
      </c>
      <c r="G3934" s="9">
        <v>246</v>
      </c>
      <c r="H3934" s="5" t="s">
        <v>21</v>
      </c>
      <c r="I3934" s="5" t="s">
        <v>8964</v>
      </c>
      <c r="J3934" s="12" t="str">
        <f>HYPERLINK("https://www.boe.es/gazeta/dias/1801/03/06/pdfs/GMD-1801-19.pdf#page=11","Abrir facsímil")</f>
        <v>Abrir facsímil</v>
      </c>
      <c r="K3934" s="15" t="s">
        <v>23</v>
      </c>
    </row>
    <row r="3935" spans="1:11" ht="42" customHeight="1">
      <c r="A3935" s="4" t="s">
        <v>8962</v>
      </c>
      <c r="B3935" s="5" t="s">
        <v>8963</v>
      </c>
      <c r="C3935" s="5" t="s">
        <v>32</v>
      </c>
      <c r="D3935" s="5" t="s">
        <v>33</v>
      </c>
      <c r="E3935" s="5" t="s">
        <v>55</v>
      </c>
      <c r="F3935" s="9">
        <v>104</v>
      </c>
      <c r="G3935" s="9">
        <v>1146</v>
      </c>
      <c r="H3935" s="5" t="s">
        <v>21</v>
      </c>
      <c r="I3935" s="5" t="s">
        <v>8965</v>
      </c>
      <c r="J3935" s="12" t="str">
        <f>HYPERLINK("https://www.boe.es/gazeta/dias/1801/11/06/pdfs/GMD-1801-104.pdf#page=7","Abrir facsímil")</f>
        <v>Abrir facsímil</v>
      </c>
      <c r="K3935" s="15" t="s">
        <v>23</v>
      </c>
    </row>
    <row r="3936" spans="1:11" ht="42" customHeight="1">
      <c r="A3936" s="4" t="s">
        <v>8966</v>
      </c>
      <c r="B3936" s="5" t="s">
        <v>8967</v>
      </c>
      <c r="C3936" s="5" t="s">
        <v>38</v>
      </c>
      <c r="D3936" s="5" t="s">
        <v>39</v>
      </c>
      <c r="E3936" s="5" t="s">
        <v>292</v>
      </c>
      <c r="F3936" s="9">
        <v>25</v>
      </c>
      <c r="G3936" s="9">
        <v>332</v>
      </c>
      <c r="H3936" s="5" t="s">
        <v>21</v>
      </c>
      <c r="I3936" s="5" t="s">
        <v>8968</v>
      </c>
      <c r="J3936" s="12" t="str">
        <f>HYPERLINK("https://www.boe.es/gazeta/dias/1801/03/27/pdfs/GMD-1801-25.pdf#page=11","Abrir facsímil")</f>
        <v>Abrir facsímil</v>
      </c>
      <c r="K3936" s="15" t="s">
        <v>23</v>
      </c>
    </row>
    <row r="3937" spans="1:11" ht="42" customHeight="1">
      <c r="A3937" s="4" t="s">
        <v>8969</v>
      </c>
      <c r="B3937" s="5" t="s">
        <v>8970</v>
      </c>
      <c r="C3937" s="5" t="s">
        <v>32</v>
      </c>
      <c r="D3937" s="5" t="s">
        <v>33</v>
      </c>
      <c r="E3937" s="5" t="s">
        <v>266</v>
      </c>
      <c r="F3937" s="9">
        <v>119</v>
      </c>
      <c r="G3937" s="9">
        <v>1304</v>
      </c>
      <c r="H3937" s="5" t="s">
        <v>21</v>
      </c>
      <c r="I3937" s="5" t="s">
        <v>8971</v>
      </c>
      <c r="J3937" s="12" t="str">
        <f>HYPERLINK("https://www.boe.es/gazeta/dias/1801/12/29/pdfs/GMD-1801-119.pdf#page=8","Abrir facsímil")</f>
        <v>Abrir facsímil</v>
      </c>
      <c r="K3937" s="15" t="s">
        <v>23</v>
      </c>
    </row>
    <row r="3938" spans="1:11" ht="42" customHeight="1">
      <c r="A3938" s="4" t="s">
        <v>8972</v>
      </c>
      <c r="B3938" s="5" t="s">
        <v>8973</v>
      </c>
      <c r="C3938" s="5" t="s">
        <v>18</v>
      </c>
      <c r="D3938" s="5" t="s">
        <v>19</v>
      </c>
      <c r="E3938" s="5" t="s">
        <v>462</v>
      </c>
      <c r="F3938" s="9">
        <v>5</v>
      </c>
      <c r="G3938" s="9">
        <v>58</v>
      </c>
      <c r="H3938" s="5" t="s">
        <v>21</v>
      </c>
      <c r="I3938" s="5" t="s">
        <v>8974</v>
      </c>
      <c r="J3938" s="12" t="str">
        <f>HYPERLINK("https://www.boe.es/gazeta/dias/1801/01/16/pdfs/GMD-1801-5.pdf#page=10","Abrir facsímil")</f>
        <v>Abrir facsímil</v>
      </c>
      <c r="K3938" s="15" t="s">
        <v>23</v>
      </c>
    </row>
    <row r="3939" spans="1:11" ht="42" customHeight="1">
      <c r="A3939" s="4" t="s">
        <v>8975</v>
      </c>
      <c r="B3939" s="5" t="s">
        <v>8976</v>
      </c>
      <c r="C3939" s="5" t="s">
        <v>38</v>
      </c>
      <c r="D3939" s="5" t="s">
        <v>39</v>
      </c>
      <c r="E3939" s="5" t="s">
        <v>82</v>
      </c>
      <c r="F3939" s="9">
        <v>75</v>
      </c>
      <c r="G3939" s="9">
        <v>841</v>
      </c>
      <c r="H3939" s="5" t="s">
        <v>21</v>
      </c>
      <c r="I3939" s="5" t="s">
        <v>8977</v>
      </c>
      <c r="J3939" s="12" t="str">
        <f>HYPERLINK("https://www.boe.es/gazeta/dias/1801/08/04/pdfs/GMD-1801-75.pdf#page=10","Abrir facsímil")</f>
        <v>Abrir facsímil</v>
      </c>
      <c r="K3939" s="15" t="s">
        <v>23</v>
      </c>
    </row>
    <row r="3940" spans="1:11" ht="42" customHeight="1">
      <c r="A3940" s="4" t="s">
        <v>8978</v>
      </c>
      <c r="B3940" s="5" t="s">
        <v>8979</v>
      </c>
      <c r="C3940" s="5" t="s">
        <v>32</v>
      </c>
      <c r="D3940" s="5" t="s">
        <v>33</v>
      </c>
      <c r="E3940" s="5" t="s">
        <v>453</v>
      </c>
      <c r="F3940" s="9">
        <v>100</v>
      </c>
      <c r="G3940" s="9">
        <v>1101</v>
      </c>
      <c r="H3940" s="5" t="s">
        <v>21</v>
      </c>
      <c r="I3940" s="5" t="s">
        <v>8980</v>
      </c>
      <c r="J3940" s="12" t="str">
        <f>HYPERLINK("https://www.boe.es/gazeta/dias/1801/10/23/pdfs/GMD-1801-100.pdf#page=10","Abrir facsímil")</f>
        <v>Abrir facsímil</v>
      </c>
      <c r="K3940" s="15" t="s">
        <v>23</v>
      </c>
    </row>
    <row r="3941" spans="1:11" ht="42" customHeight="1">
      <c r="A3941" s="4" t="s">
        <v>8981</v>
      </c>
      <c r="B3941" s="5" t="s">
        <v>8982</v>
      </c>
      <c r="C3941" s="5" t="s">
        <v>32</v>
      </c>
      <c r="D3941" s="5" t="s">
        <v>33</v>
      </c>
      <c r="E3941" s="5" t="s">
        <v>465</v>
      </c>
      <c r="F3941" s="9">
        <v>4</v>
      </c>
      <c r="G3941" s="9">
        <v>45</v>
      </c>
      <c r="H3941" s="5" t="s">
        <v>21</v>
      </c>
      <c r="I3941" s="5" t="s">
        <v>8983</v>
      </c>
      <c r="J3941" s="12" t="str">
        <f>HYPERLINK("https://www.boe.es/gazeta/dias/1801/01/13/pdfs/GMD-1801-4.pdf#page=9","Abrir facsímil")</f>
        <v>Abrir facsímil</v>
      </c>
      <c r="K3941" s="15" t="s">
        <v>23</v>
      </c>
    </row>
    <row r="3942" spans="1:11" ht="42" customHeight="1">
      <c r="A3942" s="4" t="s">
        <v>8984</v>
      </c>
      <c r="B3942" s="5" t="s">
        <v>8985</v>
      </c>
      <c r="C3942" s="5" t="s">
        <v>38</v>
      </c>
      <c r="D3942" s="5" t="s">
        <v>39</v>
      </c>
      <c r="E3942" s="5" t="s">
        <v>77</v>
      </c>
      <c r="F3942" s="9">
        <v>93</v>
      </c>
      <c r="G3942" s="9">
        <v>1020</v>
      </c>
      <c r="H3942" s="5" t="s">
        <v>21</v>
      </c>
      <c r="I3942" s="5" t="s">
        <v>8986</v>
      </c>
      <c r="J3942" s="12" t="str">
        <f>HYPERLINK("https://www.boe.es/gazeta/dias/1801/09/29/pdfs/GMD-1801-93.pdf#page=7","Abrir facsímil")</f>
        <v>Abrir facsímil</v>
      </c>
      <c r="K3942" s="15" t="s">
        <v>23</v>
      </c>
    </row>
    <row r="3943" spans="1:11" ht="42" customHeight="1">
      <c r="A3943" s="4" t="s">
        <v>8987</v>
      </c>
      <c r="B3943" s="5" t="s">
        <v>8988</v>
      </c>
      <c r="C3943" s="5" t="s">
        <v>80</v>
      </c>
      <c r="D3943" s="5" t="s">
        <v>81</v>
      </c>
      <c r="E3943" s="5" t="s">
        <v>289</v>
      </c>
      <c r="F3943" s="9">
        <v>40</v>
      </c>
      <c r="G3943" s="9" t="s">
        <v>83</v>
      </c>
      <c r="H3943" s="5" t="s">
        <v>21</v>
      </c>
      <c r="I3943" s="5" t="s">
        <v>8989</v>
      </c>
      <c r="J3943" s="12" t="str">
        <f>HYPERLINK("https://www.boe.es/gazeta/dias/1801/05/19/pdfs/GMD-C-1801-40.pdf#page=2","Abrir facsímil")</f>
        <v>Abrir facsímil</v>
      </c>
      <c r="K3943" s="15" t="s">
        <v>23</v>
      </c>
    </row>
    <row r="3944" spans="1:11" ht="42" customHeight="1">
      <c r="A3944" s="4" t="s">
        <v>8990</v>
      </c>
      <c r="B3944" s="5" t="s">
        <v>8991</v>
      </c>
      <c r="C3944" s="5" t="s">
        <v>32</v>
      </c>
      <c r="D3944" s="5" t="s">
        <v>33</v>
      </c>
      <c r="E3944" s="5" t="s">
        <v>292</v>
      </c>
      <c r="F3944" s="9">
        <v>25</v>
      </c>
      <c r="G3944" s="9">
        <v>331</v>
      </c>
      <c r="H3944" s="5" t="s">
        <v>21</v>
      </c>
      <c r="I3944" s="5" t="s">
        <v>8992</v>
      </c>
      <c r="J3944" s="12" t="str">
        <f>HYPERLINK("https://www.boe.es/gazeta/dias/1801/03/27/pdfs/GMD-1801-25.pdf#page=10","Abrir facsímil")</f>
        <v>Abrir facsímil</v>
      </c>
      <c r="K3944" s="15" t="s">
        <v>23</v>
      </c>
    </row>
    <row r="3945" spans="1:11" ht="42" customHeight="1">
      <c r="A3945" s="4" t="s">
        <v>8993</v>
      </c>
      <c r="B3945" s="5" t="s">
        <v>8994</v>
      </c>
      <c r="C3945" s="5" t="s">
        <v>18</v>
      </c>
      <c r="D3945" s="5" t="s">
        <v>19</v>
      </c>
      <c r="E3945" s="5" t="s">
        <v>70</v>
      </c>
      <c r="F3945" s="9">
        <v>2</v>
      </c>
      <c r="G3945" s="9">
        <v>23</v>
      </c>
      <c r="H3945" s="5" t="s">
        <v>21</v>
      </c>
      <c r="I3945" s="5" t="s">
        <v>8995</v>
      </c>
      <c r="J3945" s="12" t="str">
        <f>HYPERLINK("https://www.boe.es/gazeta/dias/1801/01/06/pdfs/GMD-1801-2.pdf#page=11","Abrir facsímil")</f>
        <v>Abrir facsímil</v>
      </c>
      <c r="K3945" s="15" t="s">
        <v>23</v>
      </c>
    </row>
    <row r="3946" spans="1:11" ht="42" customHeight="1">
      <c r="A3946" s="4" t="s">
        <v>8993</v>
      </c>
      <c r="B3946" s="5" t="s">
        <v>8994</v>
      </c>
      <c r="C3946" s="5" t="s">
        <v>26</v>
      </c>
      <c r="D3946" s="5" t="s">
        <v>27</v>
      </c>
      <c r="E3946" s="5" t="s">
        <v>186</v>
      </c>
      <c r="F3946" s="9">
        <v>21</v>
      </c>
      <c r="G3946" s="9">
        <v>282</v>
      </c>
      <c r="H3946" s="5" t="s">
        <v>21</v>
      </c>
      <c r="I3946" s="5" t="s">
        <v>8996</v>
      </c>
      <c r="J3946" s="12" t="str">
        <f>HYPERLINK("https://www.boe.es/gazeta/dias/1801/03/13/pdfs/GMD-1801-21.pdf#page=11","Abrir facsímil")</f>
        <v>Abrir facsímil</v>
      </c>
      <c r="K3946" s="15" t="s">
        <v>23</v>
      </c>
    </row>
    <row r="3947" spans="1:11" ht="42" customHeight="1">
      <c r="A3947" s="4" t="s">
        <v>8997</v>
      </c>
      <c r="B3947" s="5" t="s">
        <v>8998</v>
      </c>
      <c r="C3947" s="5" t="s">
        <v>26</v>
      </c>
      <c r="D3947" s="5" t="s">
        <v>27</v>
      </c>
      <c r="E3947" s="5" t="s">
        <v>194</v>
      </c>
      <c r="F3947" s="9">
        <v>92</v>
      </c>
      <c r="G3947" s="9">
        <v>1012</v>
      </c>
      <c r="H3947" s="5" t="s">
        <v>21</v>
      </c>
      <c r="I3947" s="5" t="s">
        <v>8999</v>
      </c>
      <c r="J3947" s="12" t="str">
        <f>HYPERLINK("https://www.boe.es/gazeta/dias/1801/09/25/pdfs/GMD-1801-92.pdf#page=7","Abrir facsímil")</f>
        <v>Abrir facsímil</v>
      </c>
      <c r="K3947" s="15" t="s">
        <v>23</v>
      </c>
    </row>
    <row r="3948" spans="1:11" ht="42" customHeight="1">
      <c r="A3948" s="4" t="s">
        <v>9000</v>
      </c>
      <c r="B3948" s="5" t="s">
        <v>9001</v>
      </c>
      <c r="C3948" s="5" t="s">
        <v>32</v>
      </c>
      <c r="D3948" s="5" t="s">
        <v>33</v>
      </c>
      <c r="E3948" s="5" t="s">
        <v>219</v>
      </c>
      <c r="F3948" s="9">
        <v>26</v>
      </c>
      <c r="G3948" s="9">
        <v>346</v>
      </c>
      <c r="H3948" s="5" t="s">
        <v>21</v>
      </c>
      <c r="I3948" s="5" t="s">
        <v>9002</v>
      </c>
      <c r="J3948" s="12" t="str">
        <f>HYPERLINK("https://www.boe.es/gazeta/dias/1801/03/31/pdfs/GMD-1801-26.pdf#page=10","Abrir facsímil")</f>
        <v>Abrir facsímil</v>
      </c>
      <c r="K3948" s="15" t="s">
        <v>23</v>
      </c>
    </row>
    <row r="3949" spans="1:11" ht="42" customHeight="1">
      <c r="A3949" s="4" t="s">
        <v>9003</v>
      </c>
      <c r="B3949" s="5" t="s">
        <v>9004</v>
      </c>
      <c r="C3949" s="5" t="s">
        <v>32</v>
      </c>
      <c r="D3949" s="5" t="s">
        <v>33</v>
      </c>
      <c r="E3949" s="5" t="s">
        <v>90</v>
      </c>
      <c r="F3949" s="9">
        <v>1</v>
      </c>
      <c r="G3949" s="9">
        <v>8</v>
      </c>
      <c r="H3949" s="5" t="s">
        <v>21</v>
      </c>
      <c r="I3949" s="5" t="s">
        <v>9005</v>
      </c>
      <c r="J3949" s="12" t="str">
        <f>HYPERLINK("https://www.boe.es/gazeta/dias/1801/01/02/pdfs/GMD-1801-1.pdf#page=8","Abrir facsímil")</f>
        <v>Abrir facsímil</v>
      </c>
      <c r="K3949" s="15" t="s">
        <v>23</v>
      </c>
    </row>
    <row r="3950" spans="1:11" ht="42" customHeight="1">
      <c r="A3950" s="4" t="s">
        <v>9006</v>
      </c>
      <c r="B3950" s="5" t="s">
        <v>9007</v>
      </c>
      <c r="C3950" s="5" t="s">
        <v>32</v>
      </c>
      <c r="D3950" s="5" t="s">
        <v>33</v>
      </c>
      <c r="E3950" s="5" t="s">
        <v>90</v>
      </c>
      <c r="F3950" s="9">
        <v>1</v>
      </c>
      <c r="G3950" s="9">
        <v>9</v>
      </c>
      <c r="H3950" s="5" t="s">
        <v>21</v>
      </c>
      <c r="I3950" s="5" t="s">
        <v>9008</v>
      </c>
      <c r="J3950" s="12" t="str">
        <f>HYPERLINK("https://www.boe.es/gazeta/dias/1801/01/02/pdfs/GMD-1801-1.pdf#page=9","Abrir facsímil")</f>
        <v>Abrir facsímil</v>
      </c>
      <c r="K3950" s="15" t="s">
        <v>23</v>
      </c>
    </row>
    <row r="3951" spans="1:11" ht="42" customHeight="1">
      <c r="A3951" s="4" t="s">
        <v>9009</v>
      </c>
      <c r="B3951" s="5" t="s">
        <v>9010</v>
      </c>
      <c r="C3951" s="5" t="s">
        <v>32</v>
      </c>
      <c r="D3951" s="5" t="s">
        <v>33</v>
      </c>
      <c r="E3951" s="5" t="s">
        <v>169</v>
      </c>
      <c r="F3951" s="9">
        <v>70</v>
      </c>
      <c r="G3951" s="9">
        <v>777</v>
      </c>
      <c r="H3951" s="5" t="s">
        <v>21</v>
      </c>
      <c r="I3951" s="5" t="s">
        <v>9011</v>
      </c>
      <c r="J3951" s="12" t="str">
        <f>HYPERLINK("https://www.boe.es/gazeta/dias/1801/07/17/pdfs/GMD-1801-70.pdf#page=10","Abrir facsímil")</f>
        <v>Abrir facsímil</v>
      </c>
      <c r="K3951" s="15" t="s">
        <v>23</v>
      </c>
    </row>
    <row r="3952" spans="1:11" ht="42" customHeight="1">
      <c r="A3952" s="4" t="s">
        <v>9012</v>
      </c>
      <c r="B3952" s="5" t="s">
        <v>9013</v>
      </c>
      <c r="C3952" s="5" t="s">
        <v>18</v>
      </c>
      <c r="D3952" s="5" t="s">
        <v>19</v>
      </c>
      <c r="E3952" s="5" t="s">
        <v>215</v>
      </c>
      <c r="F3952" s="9">
        <v>71</v>
      </c>
      <c r="G3952" s="9">
        <v>790</v>
      </c>
      <c r="H3952" s="5" t="s">
        <v>21</v>
      </c>
      <c r="I3952" s="5" t="s">
        <v>9014</v>
      </c>
      <c r="J3952" s="12" t="str">
        <f>HYPERLINK("https://www.boe.es/gazeta/dias/1801/07/21/pdfs/GMD-1801-71.pdf#page=11","Abrir facsímil")</f>
        <v>Abrir facsímil</v>
      </c>
      <c r="K3952" s="15" t="s">
        <v>23</v>
      </c>
    </row>
    <row r="3953" spans="1:11" ht="42" customHeight="1">
      <c r="A3953" s="4" t="s">
        <v>9015</v>
      </c>
      <c r="B3953" s="5" t="s">
        <v>9016</v>
      </c>
      <c r="C3953" s="5" t="s">
        <v>26</v>
      </c>
      <c r="D3953" s="5" t="s">
        <v>27</v>
      </c>
      <c r="E3953" s="5" t="s">
        <v>751</v>
      </c>
      <c r="F3953" s="9">
        <v>106</v>
      </c>
      <c r="G3953" s="9">
        <v>1167</v>
      </c>
      <c r="H3953" s="5" t="s">
        <v>21</v>
      </c>
      <c r="I3953" s="5" t="s">
        <v>9017</v>
      </c>
      <c r="J3953" s="12" t="str">
        <f>HYPERLINK("https://www.boe.es/gazeta/dias/1801/11/13/pdfs/GMD-1801-106.pdf#page=8","Abrir facsímil")</f>
        <v>Abrir facsímil</v>
      </c>
      <c r="K3953" s="15" t="s">
        <v>23</v>
      </c>
    </row>
    <row r="3954" spans="1:11" ht="42" customHeight="1">
      <c r="A3954" s="4" t="s">
        <v>9018</v>
      </c>
      <c r="B3954" s="5" t="s">
        <v>9019</v>
      </c>
      <c r="C3954" s="5" t="s">
        <v>32</v>
      </c>
      <c r="D3954" s="5" t="s">
        <v>33</v>
      </c>
      <c r="E3954" s="5" t="s">
        <v>165</v>
      </c>
      <c r="F3954" s="9">
        <v>59</v>
      </c>
      <c r="G3954" s="9">
        <v>676</v>
      </c>
      <c r="H3954" s="5" t="s">
        <v>21</v>
      </c>
      <c r="I3954" s="5" t="s">
        <v>9020</v>
      </c>
      <c r="J3954" s="12" t="str">
        <f>HYPERLINK("https://www.boe.es/gazeta/dias/1801/06/23/pdfs/GMD-1801-59.pdf#page=9","Abrir facsímil")</f>
        <v>Abrir facsímil</v>
      </c>
      <c r="K3954" s="15" t="s">
        <v>23</v>
      </c>
    </row>
    <row r="3955" spans="1:11" ht="42" customHeight="1">
      <c r="A3955" s="4" t="s">
        <v>9021</v>
      </c>
      <c r="B3955" s="5" t="s">
        <v>9022</v>
      </c>
      <c r="C3955" s="5" t="s">
        <v>32</v>
      </c>
      <c r="D3955" s="5" t="s">
        <v>33</v>
      </c>
      <c r="E3955" s="5" t="s">
        <v>48</v>
      </c>
      <c r="F3955" s="9">
        <v>20</v>
      </c>
      <c r="G3955" s="9">
        <v>265</v>
      </c>
      <c r="H3955" s="5" t="s">
        <v>21</v>
      </c>
      <c r="I3955" s="5" t="s">
        <v>9023</v>
      </c>
      <c r="J3955" s="12" t="str">
        <f>HYPERLINK("https://www.boe.es/gazeta/dias/1801/03/10/pdfs/GMD-1801-20.pdf#page=10","Abrir facsímil")</f>
        <v>Abrir facsímil</v>
      </c>
      <c r="K3955" s="15" t="s">
        <v>23</v>
      </c>
    </row>
    <row r="3956" spans="1:11" ht="42" customHeight="1">
      <c r="A3956" s="4" t="s">
        <v>9024</v>
      </c>
      <c r="B3956" s="5" t="s">
        <v>9025</v>
      </c>
      <c r="C3956" s="5" t="s">
        <v>32</v>
      </c>
      <c r="D3956" s="5" t="s">
        <v>33</v>
      </c>
      <c r="E3956" s="5" t="s">
        <v>179</v>
      </c>
      <c r="F3956" s="9">
        <v>11</v>
      </c>
      <c r="G3956" s="9">
        <v>137</v>
      </c>
      <c r="H3956" s="5" t="s">
        <v>21</v>
      </c>
      <c r="I3956" s="5" t="s">
        <v>9026</v>
      </c>
      <c r="J3956" s="12" t="str">
        <f>HYPERLINK("https://www.boe.es/gazeta/dias/1801/02/06/pdfs/GMD-1801-11.pdf#page=10","Abrir facsímil")</f>
        <v>Abrir facsímil</v>
      </c>
      <c r="K3956" s="15" t="s">
        <v>23</v>
      </c>
    </row>
    <row r="3957" spans="1:11" ht="42" customHeight="1">
      <c r="A3957" s="4" t="s">
        <v>9027</v>
      </c>
      <c r="B3957" s="5" t="s">
        <v>9028</v>
      </c>
      <c r="C3957" s="5" t="s">
        <v>32</v>
      </c>
      <c r="D3957" s="5" t="s">
        <v>33</v>
      </c>
      <c r="E3957" s="5" t="s">
        <v>171</v>
      </c>
      <c r="F3957" s="9">
        <v>76</v>
      </c>
      <c r="G3957" s="9">
        <v>853</v>
      </c>
      <c r="H3957" s="5" t="s">
        <v>21</v>
      </c>
      <c r="I3957" s="5" t="s">
        <v>9029</v>
      </c>
      <c r="J3957" s="12" t="str">
        <f>HYPERLINK("https://www.boe.es/gazeta/dias/1801/08/07/pdfs/GMD-1801-76.pdf#page=10","Abrir facsímil")</f>
        <v>Abrir facsímil</v>
      </c>
      <c r="K3957" s="15" t="s">
        <v>23</v>
      </c>
    </row>
    <row r="3958" spans="1:11" ht="42" customHeight="1">
      <c r="A3958" s="4" t="s">
        <v>9030</v>
      </c>
      <c r="B3958" s="5" t="s">
        <v>9031</v>
      </c>
      <c r="C3958" s="5" t="s">
        <v>32</v>
      </c>
      <c r="D3958" s="5" t="s">
        <v>33</v>
      </c>
      <c r="E3958" s="5" t="s">
        <v>131</v>
      </c>
      <c r="F3958" s="9">
        <v>22</v>
      </c>
      <c r="G3958" s="9">
        <v>289</v>
      </c>
      <c r="H3958" s="5" t="s">
        <v>21</v>
      </c>
      <c r="I3958" s="5" t="s">
        <v>9032</v>
      </c>
      <c r="J3958" s="12" t="str">
        <f>HYPERLINK("https://www.boe.es/gazeta/dias/1801/03/17/pdfs/GMD-1801-22.pdf#page=6","Abrir facsímil")</f>
        <v>Abrir facsímil</v>
      </c>
      <c r="K3958" s="15" t="s">
        <v>23</v>
      </c>
    </row>
    <row r="3959" spans="1:11" ht="42" customHeight="1">
      <c r="A3959" s="4" t="s">
        <v>9033</v>
      </c>
      <c r="B3959" s="5" t="s">
        <v>9034</v>
      </c>
      <c r="C3959" s="5" t="s">
        <v>32</v>
      </c>
      <c r="D3959" s="5" t="s">
        <v>33</v>
      </c>
      <c r="E3959" s="5" t="s">
        <v>321</v>
      </c>
      <c r="F3959" s="9">
        <v>3</v>
      </c>
      <c r="G3959" s="9">
        <v>33</v>
      </c>
      <c r="H3959" s="5" t="s">
        <v>21</v>
      </c>
      <c r="I3959" s="5" t="s">
        <v>9035</v>
      </c>
      <c r="J3959" s="12" t="str">
        <f>HYPERLINK("https://www.boe.es/gazeta/dias/1801/01/09/pdfs/GMD-1801-3.pdf#page=9","Abrir facsímil")</f>
        <v>Abrir facsímil</v>
      </c>
      <c r="K3959" s="15" t="s">
        <v>23</v>
      </c>
    </row>
    <row r="3960" spans="1:11" ht="42" customHeight="1">
      <c r="A3960" s="4" t="s">
        <v>9033</v>
      </c>
      <c r="B3960" s="5" t="s">
        <v>9034</v>
      </c>
      <c r="C3960" s="5" t="s">
        <v>69</v>
      </c>
      <c r="D3960" s="5" t="s">
        <v>19</v>
      </c>
      <c r="E3960" s="5" t="s">
        <v>122</v>
      </c>
      <c r="F3960" s="9">
        <v>8</v>
      </c>
      <c r="G3960" s="9">
        <v>97</v>
      </c>
      <c r="H3960" s="5" t="s">
        <v>21</v>
      </c>
      <c r="I3960" s="5" t="s">
        <v>9036</v>
      </c>
      <c r="J3960" s="12" t="str">
        <f>HYPERLINK("https://www.boe.es/gazeta/dias/1801/01/27/pdfs/GMD-1801-8.pdf#page=9","Abrir facsímil")</f>
        <v>Abrir facsímil</v>
      </c>
      <c r="K3960" s="15" t="s">
        <v>23</v>
      </c>
    </row>
    <row r="3961" spans="1:11" ht="42" customHeight="1">
      <c r="A3961" s="4" t="s">
        <v>9033</v>
      </c>
      <c r="B3961" s="5" t="s">
        <v>9034</v>
      </c>
      <c r="C3961" s="5" t="s">
        <v>18</v>
      </c>
      <c r="D3961" s="5" t="s">
        <v>19</v>
      </c>
      <c r="E3961" s="5" t="s">
        <v>131</v>
      </c>
      <c r="F3961" s="9">
        <v>22</v>
      </c>
      <c r="G3961" s="9">
        <v>293</v>
      </c>
      <c r="H3961" s="5" t="s">
        <v>21</v>
      </c>
      <c r="I3961" s="5" t="s">
        <v>9037</v>
      </c>
      <c r="J3961" s="12" t="str">
        <f>HYPERLINK("https://www.boe.es/gazeta/dias/1801/03/17/pdfs/GMD-1801-22.pdf#page=10","Abrir facsímil")</f>
        <v>Abrir facsímil</v>
      </c>
      <c r="K3961" s="15" t="s">
        <v>23</v>
      </c>
    </row>
    <row r="3962" spans="1:11" ht="42" customHeight="1">
      <c r="A3962" s="4" t="s">
        <v>9038</v>
      </c>
      <c r="B3962" s="5" t="s">
        <v>9039</v>
      </c>
      <c r="C3962" s="5" t="s">
        <v>38</v>
      </c>
      <c r="D3962" s="5" t="s">
        <v>39</v>
      </c>
      <c r="E3962" s="5" t="s">
        <v>90</v>
      </c>
      <c r="F3962" s="9">
        <v>1</v>
      </c>
      <c r="G3962" s="9">
        <v>9</v>
      </c>
      <c r="H3962" s="5" t="s">
        <v>21</v>
      </c>
      <c r="I3962" s="5" t="s">
        <v>9040</v>
      </c>
      <c r="J3962" s="12" t="str">
        <f>HYPERLINK("https://www.boe.es/gazeta/dias/1801/01/02/pdfs/GMD-1801-1.pdf#page=9","Abrir facsímil")</f>
        <v>Abrir facsímil</v>
      </c>
      <c r="K3962" s="15" t="s">
        <v>23</v>
      </c>
    </row>
    <row r="3963" spans="1:11" ht="42" customHeight="1">
      <c r="A3963" s="4" t="s">
        <v>9041</v>
      </c>
      <c r="B3963" s="5" t="s">
        <v>9042</v>
      </c>
      <c r="C3963" s="5" t="s">
        <v>32</v>
      </c>
      <c r="D3963" s="5" t="s">
        <v>33</v>
      </c>
      <c r="E3963" s="5" t="s">
        <v>366</v>
      </c>
      <c r="F3963" s="9">
        <v>86</v>
      </c>
      <c r="G3963" s="9">
        <v>955</v>
      </c>
      <c r="H3963" s="5" t="s">
        <v>21</v>
      </c>
      <c r="I3963" s="5" t="s">
        <v>9043</v>
      </c>
      <c r="J3963" s="12" t="str">
        <f>HYPERLINK("https://www.boe.es/gazeta/dias/1801/09/08/pdfs/GMD-1801-86.pdf#page=6","Abrir facsímil")</f>
        <v>Abrir facsímil</v>
      </c>
      <c r="K3963" s="15" t="s">
        <v>23</v>
      </c>
    </row>
    <row r="3964" spans="1:11" ht="42" customHeight="1">
      <c r="A3964" s="4" t="s">
        <v>9044</v>
      </c>
      <c r="B3964" s="5" t="s">
        <v>9045</v>
      </c>
      <c r="C3964" s="5" t="s">
        <v>69</v>
      </c>
      <c r="D3964" s="5" t="s">
        <v>19</v>
      </c>
      <c r="E3964" s="5" t="s">
        <v>309</v>
      </c>
      <c r="F3964" s="9">
        <v>118</v>
      </c>
      <c r="G3964" s="9">
        <v>1292</v>
      </c>
      <c r="H3964" s="5" t="s">
        <v>21</v>
      </c>
      <c r="I3964" s="5" t="s">
        <v>9046</v>
      </c>
      <c r="J3964" s="12" t="str">
        <f>HYPERLINK("https://www.boe.es/gazeta/dias/1801/12/25/pdfs/GMD-1801-118.pdf#page=7","Abrir facsímil")</f>
        <v>Abrir facsímil</v>
      </c>
      <c r="K3964" s="15" t="s">
        <v>23</v>
      </c>
    </row>
    <row r="3965" spans="1:11" ht="42" customHeight="1">
      <c r="A3965" s="4" t="s">
        <v>9047</v>
      </c>
      <c r="B3965" s="5" t="s">
        <v>9048</v>
      </c>
      <c r="C3965" s="5" t="s">
        <v>32</v>
      </c>
      <c r="D3965" s="5" t="s">
        <v>33</v>
      </c>
      <c r="E3965" s="5" t="s">
        <v>62</v>
      </c>
      <c r="F3965" s="9">
        <v>6</v>
      </c>
      <c r="G3965" s="9">
        <v>73</v>
      </c>
      <c r="H3965" s="5" t="s">
        <v>21</v>
      </c>
      <c r="I3965" s="5" t="s">
        <v>9049</v>
      </c>
      <c r="J3965" s="12" t="str">
        <f>HYPERLINK("https://www.boe.es/gazeta/dias/1801/01/20/pdfs/GMD-1801-6.pdf#page=9","Abrir facsímil")</f>
        <v>Abrir facsímil</v>
      </c>
      <c r="K3965" s="15" t="s">
        <v>23</v>
      </c>
    </row>
    <row r="3966" spans="1:11" ht="42" customHeight="1">
      <c r="A3966" s="4" t="s">
        <v>9047</v>
      </c>
      <c r="B3966" s="5" t="s">
        <v>9048</v>
      </c>
      <c r="C3966" s="5" t="s">
        <v>38</v>
      </c>
      <c r="D3966" s="5" t="s">
        <v>39</v>
      </c>
      <c r="E3966" s="5" t="s">
        <v>366</v>
      </c>
      <c r="F3966" s="9">
        <v>86</v>
      </c>
      <c r="G3966" s="9">
        <v>956</v>
      </c>
      <c r="H3966" s="5" t="s">
        <v>21</v>
      </c>
      <c r="I3966" s="5" t="s">
        <v>9050</v>
      </c>
      <c r="J3966" s="12" t="str">
        <f>HYPERLINK("https://www.boe.es/gazeta/dias/1801/09/08/pdfs/GMD-1801-86.pdf#page=7","Abrir facsímil")</f>
        <v>Abrir facsímil</v>
      </c>
      <c r="K3966" s="15" t="s">
        <v>23</v>
      </c>
    </row>
    <row r="3967" spans="1:11" ht="42" customHeight="1">
      <c r="A3967" s="4" t="s">
        <v>9051</v>
      </c>
      <c r="B3967" s="5" t="s">
        <v>9052</v>
      </c>
      <c r="C3967" s="5" t="s">
        <v>32</v>
      </c>
      <c r="D3967" s="5" t="s">
        <v>33</v>
      </c>
      <c r="E3967" s="5" t="s">
        <v>453</v>
      </c>
      <c r="F3967" s="9">
        <v>100</v>
      </c>
      <c r="G3967" s="9">
        <v>1100</v>
      </c>
      <c r="H3967" s="5" t="s">
        <v>21</v>
      </c>
      <c r="I3967" s="5" t="s">
        <v>9053</v>
      </c>
      <c r="J3967" s="12" t="str">
        <f>HYPERLINK("https://www.boe.es/gazeta/dias/1801/10/23/pdfs/GMD-1801-100.pdf#page=9","Abrir facsímil")</f>
        <v>Abrir facsímil</v>
      </c>
      <c r="K3967" s="15" t="s">
        <v>23</v>
      </c>
    </row>
    <row r="3968" spans="1:11" ht="42" customHeight="1">
      <c r="A3968" s="4" t="s">
        <v>9054</v>
      </c>
      <c r="B3968" s="5" t="s">
        <v>9055</v>
      </c>
      <c r="C3968" s="5" t="s">
        <v>32</v>
      </c>
      <c r="D3968" s="5" t="s">
        <v>33</v>
      </c>
      <c r="E3968" s="5" t="s">
        <v>712</v>
      </c>
      <c r="F3968" s="9">
        <v>105</v>
      </c>
      <c r="G3968" s="9">
        <v>1155</v>
      </c>
      <c r="H3968" s="5" t="s">
        <v>21</v>
      </c>
      <c r="I3968" s="5" t="s">
        <v>9056</v>
      </c>
      <c r="J3968" s="12" t="str">
        <f>HYPERLINK("https://www.boe.es/gazeta/dias/1801/11/10/pdfs/GMD-1801-105.pdf#page=8","Abrir facsímil")</f>
        <v>Abrir facsímil</v>
      </c>
      <c r="K3968" s="15" t="s">
        <v>23</v>
      </c>
    </row>
    <row r="3969" spans="1:11" ht="42" customHeight="1">
      <c r="A3969" s="4" t="s">
        <v>9057</v>
      </c>
      <c r="B3969" s="5" t="s">
        <v>9058</v>
      </c>
      <c r="C3969" s="5" t="s">
        <v>69</v>
      </c>
      <c r="D3969" s="5" t="s">
        <v>19</v>
      </c>
      <c r="E3969" s="5" t="s">
        <v>171</v>
      </c>
      <c r="F3969" s="9">
        <v>76</v>
      </c>
      <c r="G3969" s="9">
        <v>852</v>
      </c>
      <c r="H3969" s="5" t="s">
        <v>21</v>
      </c>
      <c r="I3969" s="5" t="s">
        <v>9059</v>
      </c>
      <c r="J3969" s="12" t="str">
        <f>HYPERLINK("https://www.boe.es/gazeta/dias/1801/08/07/pdfs/GMD-1801-76.pdf#page=9","Abrir facsímil")</f>
        <v>Abrir facsímil</v>
      </c>
      <c r="K3969" s="15" t="s">
        <v>23</v>
      </c>
    </row>
    <row r="3970" spans="1:11" ht="42" customHeight="1">
      <c r="A3970" s="4" t="s">
        <v>9060</v>
      </c>
      <c r="B3970" s="5" t="s">
        <v>9061</v>
      </c>
      <c r="C3970" s="5" t="s">
        <v>69</v>
      </c>
      <c r="D3970" s="5" t="s">
        <v>19</v>
      </c>
      <c r="E3970" s="5" t="s">
        <v>702</v>
      </c>
      <c r="F3970" s="9">
        <v>69</v>
      </c>
      <c r="G3970" s="9">
        <v>763</v>
      </c>
      <c r="H3970" s="5" t="s">
        <v>21</v>
      </c>
      <c r="I3970" s="5" t="s">
        <v>9062</v>
      </c>
      <c r="J3970" s="12" t="str">
        <f>HYPERLINK("https://www.boe.es/gazeta/dias/1801/07/14/pdfs/GMD-1801-69.pdf#page=8","Abrir facsímil")</f>
        <v>Abrir facsímil</v>
      </c>
      <c r="K3970" s="15" t="s">
        <v>23</v>
      </c>
    </row>
    <row r="3971" spans="1:11" ht="42" customHeight="1">
      <c r="A3971" s="4" t="s">
        <v>9063</v>
      </c>
      <c r="B3971" s="5" t="s">
        <v>9064</v>
      </c>
      <c r="C3971" s="5" t="s">
        <v>18</v>
      </c>
      <c r="D3971" s="5" t="s">
        <v>19</v>
      </c>
      <c r="E3971" s="5" t="s">
        <v>919</v>
      </c>
      <c r="F3971" s="9">
        <v>91</v>
      </c>
      <c r="G3971" s="9">
        <v>1004</v>
      </c>
      <c r="H3971" s="5" t="s">
        <v>21</v>
      </c>
      <c r="I3971" s="5" t="s">
        <v>9065</v>
      </c>
      <c r="J3971" s="12" t="str">
        <f>HYPERLINK("https://www.boe.es/gazeta/dias/1801/09/22/pdfs/GMD-1801-91.pdf#page=7","Abrir facsímil")</f>
        <v>Abrir facsímil</v>
      </c>
      <c r="K3971" s="15" t="s">
        <v>23</v>
      </c>
    </row>
    <row r="3972" spans="1:11" ht="42" customHeight="1">
      <c r="A3972" s="4" t="s">
        <v>9066</v>
      </c>
      <c r="B3972" s="5" t="s">
        <v>9067</v>
      </c>
      <c r="C3972" s="5" t="s">
        <v>32</v>
      </c>
      <c r="D3972" s="5" t="s">
        <v>33</v>
      </c>
      <c r="E3972" s="5" t="s">
        <v>131</v>
      </c>
      <c r="F3972" s="9">
        <v>22</v>
      </c>
      <c r="G3972" s="9">
        <v>289</v>
      </c>
      <c r="H3972" s="5" t="s">
        <v>21</v>
      </c>
      <c r="I3972" s="5" t="s">
        <v>9068</v>
      </c>
      <c r="J3972" s="12" t="str">
        <f>HYPERLINK("https://www.boe.es/gazeta/dias/1801/03/17/pdfs/GMD-1801-22.pdf#page=6","Abrir facsímil")</f>
        <v>Abrir facsímil</v>
      </c>
      <c r="K3972" s="15" t="s">
        <v>23</v>
      </c>
    </row>
    <row r="3973" spans="1:11" ht="42" customHeight="1">
      <c r="A3973" s="4" t="s">
        <v>9069</v>
      </c>
      <c r="B3973" s="5" t="s">
        <v>9069</v>
      </c>
      <c r="C3973" s="5" t="s">
        <v>38</v>
      </c>
      <c r="D3973" s="5" t="s">
        <v>39</v>
      </c>
      <c r="E3973" s="5" t="s">
        <v>251</v>
      </c>
      <c r="F3973" s="9">
        <v>66</v>
      </c>
      <c r="G3973" s="9">
        <v>743</v>
      </c>
      <c r="H3973" s="5" t="s">
        <v>21</v>
      </c>
      <c r="I3973" s="5" t="s">
        <v>9070</v>
      </c>
      <c r="J3973" s="12" t="str">
        <f>HYPERLINK("https://www.boe.es/gazeta/dias/1801/07/10/pdfs/GMD-1801-66.pdf#page=8","Abrir facsímil")</f>
        <v>Abrir facsímil</v>
      </c>
      <c r="K3973" s="15" t="s">
        <v>23</v>
      </c>
    </row>
    <row r="3974" spans="1:11" ht="42" customHeight="1">
      <c r="A3974" s="4" t="s">
        <v>9071</v>
      </c>
      <c r="B3974" s="5" t="s">
        <v>9072</v>
      </c>
      <c r="C3974" s="5" t="s">
        <v>80</v>
      </c>
      <c r="D3974" s="5" t="s">
        <v>81</v>
      </c>
      <c r="E3974" s="5" t="s">
        <v>82</v>
      </c>
      <c r="F3974" s="9">
        <v>75</v>
      </c>
      <c r="G3974" s="9" t="s">
        <v>83</v>
      </c>
      <c r="H3974" s="5" t="s">
        <v>21</v>
      </c>
      <c r="I3974" s="5" t="s">
        <v>9073</v>
      </c>
      <c r="J3974" s="12" t="str">
        <f>HYPERLINK("https://www.boe.es/gazeta/dias/1801/08/04/pdfs/GMD-C-1801-75.pdf#page=2","Abrir facsímil")</f>
        <v>Abrir facsímil</v>
      </c>
      <c r="K3974" s="15" t="s">
        <v>23</v>
      </c>
    </row>
    <row r="3975" spans="1:11" ht="42" customHeight="1">
      <c r="A3975" s="4" t="s">
        <v>9074</v>
      </c>
      <c r="B3975" s="5" t="s">
        <v>9074</v>
      </c>
      <c r="C3975" s="5" t="s">
        <v>69</v>
      </c>
      <c r="D3975" s="5" t="s">
        <v>19</v>
      </c>
      <c r="E3975" s="5" t="s">
        <v>105</v>
      </c>
      <c r="F3975" s="9">
        <v>44</v>
      </c>
      <c r="G3975" s="9">
        <v>549</v>
      </c>
      <c r="H3975" s="5" t="s">
        <v>21</v>
      </c>
      <c r="I3975" s="5" t="s">
        <v>9075</v>
      </c>
      <c r="J3975" s="12" t="str">
        <f>HYPERLINK("https://www.boe.es/gazeta/dias/1801/05/29/pdfs/GMD-1801-44.pdf#page=9","Abrir facsímil")</f>
        <v>Abrir facsímil</v>
      </c>
      <c r="K3975" s="15" t="s">
        <v>23</v>
      </c>
    </row>
    <row r="3976" spans="1:11" ht="42" customHeight="1">
      <c r="A3976" s="4" t="s">
        <v>9076</v>
      </c>
      <c r="B3976" s="5" t="s">
        <v>9077</v>
      </c>
      <c r="C3976" s="5" t="s">
        <v>38</v>
      </c>
      <c r="D3976" s="5" t="s">
        <v>39</v>
      </c>
      <c r="E3976" s="5" t="s">
        <v>328</v>
      </c>
      <c r="F3976" s="9">
        <v>89</v>
      </c>
      <c r="G3976" s="9">
        <v>981</v>
      </c>
      <c r="H3976" s="5" t="s">
        <v>21</v>
      </c>
      <c r="I3976" s="5" t="s">
        <v>9078</v>
      </c>
      <c r="J3976" s="12" t="str">
        <f>HYPERLINK("https://www.boe.es/gazeta/dias/1801/09/15/pdfs/GMD-1801-89.pdf#page=8","Abrir facsímil")</f>
        <v>Abrir facsímil</v>
      </c>
      <c r="K3976" s="15" t="s">
        <v>23</v>
      </c>
    </row>
    <row r="3977" spans="1:11" ht="42" customHeight="1">
      <c r="A3977" s="4" t="s">
        <v>9079</v>
      </c>
      <c r="B3977" s="5" t="s">
        <v>9080</v>
      </c>
      <c r="C3977" s="5" t="s">
        <v>75</v>
      </c>
      <c r="D3977" s="5" t="s">
        <v>76</v>
      </c>
      <c r="E3977" s="5" t="s">
        <v>924</v>
      </c>
      <c r="F3977" s="9">
        <v>90</v>
      </c>
      <c r="G3977" s="9">
        <v>986</v>
      </c>
      <c r="H3977" s="5" t="s">
        <v>21</v>
      </c>
      <c r="I3977" s="5" t="s">
        <v>9081</v>
      </c>
      <c r="J3977" s="12" t="str">
        <f>HYPERLINK("https://www.boe.es/gazeta/dias/1801/09/18/pdfs/GMD-1801-90.pdf#page=1","Abrir facsímil")</f>
        <v>Abrir facsímil</v>
      </c>
      <c r="K3977" s="15" t="s">
        <v>23</v>
      </c>
    </row>
    <row r="3978" spans="1:11" ht="42" customHeight="1">
      <c r="A3978" s="4" t="s">
        <v>9079</v>
      </c>
      <c r="B3978" s="5" t="s">
        <v>9080</v>
      </c>
      <c r="C3978" s="5" t="s">
        <v>38</v>
      </c>
      <c r="D3978" s="5" t="s">
        <v>39</v>
      </c>
      <c r="E3978" s="5" t="s">
        <v>453</v>
      </c>
      <c r="F3978" s="9">
        <v>100</v>
      </c>
      <c r="G3978" s="9">
        <v>1095</v>
      </c>
      <c r="H3978" s="5" t="s">
        <v>21</v>
      </c>
      <c r="I3978" s="5" t="s">
        <v>9082</v>
      </c>
      <c r="J3978" s="12" t="str">
        <f>HYPERLINK("https://www.boe.es/gazeta/dias/1801/10/23/pdfs/GMD-1801-100.pdf#page=4","Abrir facsímil")</f>
        <v>Abrir facsímil</v>
      </c>
      <c r="K3978" s="15" t="s">
        <v>23</v>
      </c>
    </row>
    <row r="3979" spans="1:11" ht="42" customHeight="1">
      <c r="A3979" s="4" t="s">
        <v>9079</v>
      </c>
      <c r="B3979" s="5" t="s">
        <v>9080</v>
      </c>
      <c r="C3979" s="5" t="s">
        <v>32</v>
      </c>
      <c r="D3979" s="5" t="s">
        <v>33</v>
      </c>
      <c r="E3979" s="5" t="s">
        <v>264</v>
      </c>
      <c r="F3979" s="9">
        <v>111</v>
      </c>
      <c r="G3979" s="9">
        <v>1213</v>
      </c>
      <c r="H3979" s="5" t="s">
        <v>21</v>
      </c>
      <c r="I3979" s="5" t="s">
        <v>9083</v>
      </c>
      <c r="J3979" s="12" t="str">
        <f>HYPERLINK("https://www.boe.es/gazeta/dias/1801/12/01/pdfs/GMD-1801-111.pdf#page=2","Abrir facsímil")</f>
        <v>Abrir facsímil</v>
      </c>
      <c r="K3979" s="15" t="s">
        <v>23</v>
      </c>
    </row>
    <row r="3980" spans="1:11" ht="42" customHeight="1">
      <c r="A3980" s="4" t="s">
        <v>9079</v>
      </c>
      <c r="B3980" s="5" t="s">
        <v>9080</v>
      </c>
      <c r="C3980" s="5" t="s">
        <v>75</v>
      </c>
      <c r="D3980" s="5" t="s">
        <v>76</v>
      </c>
      <c r="E3980" s="5" t="s">
        <v>266</v>
      </c>
      <c r="F3980" s="9">
        <v>119</v>
      </c>
      <c r="G3980" s="9">
        <v>1298</v>
      </c>
      <c r="H3980" s="5" t="s">
        <v>21</v>
      </c>
      <c r="I3980" s="5" t="s">
        <v>9084</v>
      </c>
      <c r="J3980" s="12" t="str">
        <f>HYPERLINK("https://www.boe.es/gazeta/dias/1801/12/29/pdfs/GMD-1801-119.pdf#page=2","Abrir facsímil")</f>
        <v>Abrir facsímil</v>
      </c>
      <c r="K3980" s="15" t="s">
        <v>23</v>
      </c>
    </row>
    <row r="3981" spans="1:11" ht="42" customHeight="1">
      <c r="A3981" s="4" t="s">
        <v>9085</v>
      </c>
      <c r="B3981" s="5" t="s">
        <v>9086</v>
      </c>
      <c r="C3981" s="5" t="s">
        <v>69</v>
      </c>
      <c r="D3981" s="5" t="s">
        <v>19</v>
      </c>
      <c r="E3981" s="5" t="s">
        <v>275</v>
      </c>
      <c r="F3981" s="9">
        <v>9</v>
      </c>
      <c r="G3981" s="9">
        <v>112</v>
      </c>
      <c r="H3981" s="5" t="s">
        <v>21</v>
      </c>
      <c r="I3981" s="5" t="s">
        <v>9087</v>
      </c>
      <c r="J3981" s="12" t="str">
        <f>HYPERLINK("https://www.boe.es/gazeta/dias/1801/01/30/pdfs/GMD-1801-9.pdf#page=9","Abrir facsímil")</f>
        <v>Abrir facsímil</v>
      </c>
      <c r="K3981" s="15" t="s">
        <v>23</v>
      </c>
    </row>
    <row r="3982" spans="1:11" ht="42" customHeight="1">
      <c r="A3982" s="4" t="s">
        <v>9088</v>
      </c>
      <c r="B3982" s="5" t="s">
        <v>9089</v>
      </c>
      <c r="C3982" s="5" t="s">
        <v>32</v>
      </c>
      <c r="D3982" s="5" t="s">
        <v>33</v>
      </c>
      <c r="E3982" s="5" t="s">
        <v>145</v>
      </c>
      <c r="F3982" s="9">
        <v>36</v>
      </c>
      <c r="G3982" s="9">
        <v>468</v>
      </c>
      <c r="H3982" s="5" t="s">
        <v>21</v>
      </c>
      <c r="I3982" s="5" t="s">
        <v>9090</v>
      </c>
      <c r="J3982" s="12" t="str">
        <f>HYPERLINK("https://www.boe.es/gazeta/dias/1801/05/05/pdfs/GMD-1801-36.pdf#page=12","Abrir facsímil")</f>
        <v>Abrir facsímil</v>
      </c>
      <c r="K3982" s="15" t="s">
        <v>23</v>
      </c>
    </row>
    <row r="3983" spans="1:11" ht="42" customHeight="1">
      <c r="A3983" s="4" t="s">
        <v>9091</v>
      </c>
      <c r="B3983" s="5" t="s">
        <v>9092</v>
      </c>
      <c r="C3983" s="5" t="s">
        <v>32</v>
      </c>
      <c r="D3983" s="5" t="s">
        <v>33</v>
      </c>
      <c r="E3983" s="5" t="s">
        <v>171</v>
      </c>
      <c r="F3983" s="9">
        <v>76</v>
      </c>
      <c r="G3983" s="9">
        <v>854</v>
      </c>
      <c r="H3983" s="5" t="s">
        <v>21</v>
      </c>
      <c r="I3983" s="5" t="s">
        <v>9093</v>
      </c>
      <c r="J3983" s="12" t="str">
        <f>HYPERLINK("https://www.boe.es/gazeta/dias/1801/08/07/pdfs/GMD-1801-76.pdf#page=11","Abrir facsímil")</f>
        <v>Abrir facsímil</v>
      </c>
      <c r="K3983" s="15" t="s">
        <v>23</v>
      </c>
    </row>
    <row r="3984" spans="1:11" ht="42" customHeight="1">
      <c r="A3984" s="4" t="s">
        <v>9094</v>
      </c>
      <c r="B3984" s="5" t="s">
        <v>9095</v>
      </c>
      <c r="C3984" s="5" t="s">
        <v>75</v>
      </c>
      <c r="D3984" s="5" t="s">
        <v>76</v>
      </c>
      <c r="E3984" s="5" t="s">
        <v>90</v>
      </c>
      <c r="F3984" s="9">
        <v>1</v>
      </c>
      <c r="G3984" s="9">
        <v>6</v>
      </c>
      <c r="H3984" s="5" t="s">
        <v>21</v>
      </c>
      <c r="I3984" s="5" t="s">
        <v>9096</v>
      </c>
      <c r="J3984" s="12" t="str">
        <f>HYPERLINK("https://www.boe.es/gazeta/dias/1801/01/02/pdfs/GMD-1801-1.pdf#page=6","Abrir facsímil")</f>
        <v>Abrir facsímil</v>
      </c>
      <c r="K3984" s="15" t="s">
        <v>23</v>
      </c>
    </row>
    <row r="3985" spans="1:11" ht="42" customHeight="1">
      <c r="A3985" s="4" t="s">
        <v>9097</v>
      </c>
      <c r="B3985" s="5" t="s">
        <v>9098</v>
      </c>
      <c r="C3985" s="5" t="s">
        <v>32</v>
      </c>
      <c r="D3985" s="5" t="s">
        <v>33</v>
      </c>
      <c r="E3985" s="5" t="s">
        <v>256</v>
      </c>
      <c r="F3985" s="9">
        <v>78</v>
      </c>
      <c r="G3985" s="9">
        <v>881</v>
      </c>
      <c r="H3985" s="5" t="s">
        <v>21</v>
      </c>
      <c r="I3985" s="5" t="s">
        <v>9099</v>
      </c>
      <c r="J3985" s="12" t="str">
        <f>HYPERLINK("https://www.boe.es/gazeta/dias/1801/08/14/pdfs/GMD-1801-78.pdf#page=10","Abrir facsímil")</f>
        <v>Abrir facsímil</v>
      </c>
      <c r="K3985" s="15" t="s">
        <v>23</v>
      </c>
    </row>
    <row r="3986" spans="1:11" ht="42" customHeight="1">
      <c r="A3986" s="4" t="s">
        <v>9100</v>
      </c>
      <c r="B3986" s="5" t="s">
        <v>9101</v>
      </c>
      <c r="C3986" s="5" t="s">
        <v>32</v>
      </c>
      <c r="D3986" s="5" t="s">
        <v>33</v>
      </c>
      <c r="E3986" s="5" t="s">
        <v>171</v>
      </c>
      <c r="F3986" s="9">
        <v>76</v>
      </c>
      <c r="G3986" s="9">
        <v>852</v>
      </c>
      <c r="H3986" s="5" t="s">
        <v>21</v>
      </c>
      <c r="I3986" s="5" t="s">
        <v>9102</v>
      </c>
      <c r="J3986" s="12" t="str">
        <f>HYPERLINK("https://www.boe.es/gazeta/dias/1801/08/07/pdfs/GMD-1801-76.pdf#page=9","Abrir facsímil")</f>
        <v>Abrir facsímil</v>
      </c>
      <c r="K3986" s="15" t="s">
        <v>23</v>
      </c>
    </row>
    <row r="3987" spans="1:11" ht="42" customHeight="1">
      <c r="A3987" s="4" t="s">
        <v>9103</v>
      </c>
      <c r="B3987" s="5" t="s">
        <v>9103</v>
      </c>
      <c r="C3987" s="5" t="s">
        <v>26</v>
      </c>
      <c r="D3987" s="5" t="s">
        <v>27</v>
      </c>
      <c r="E3987" s="5" t="s">
        <v>215</v>
      </c>
      <c r="F3987" s="9">
        <v>71</v>
      </c>
      <c r="G3987" s="9">
        <v>783</v>
      </c>
      <c r="H3987" s="5" t="s">
        <v>21</v>
      </c>
      <c r="I3987" s="5" t="s">
        <v>9104</v>
      </c>
      <c r="J3987" s="12" t="str">
        <f>HYPERLINK("https://www.boe.es/gazeta/dias/1801/07/21/pdfs/GMD-1801-71.pdf#page=4","Abrir facsímil")</f>
        <v>Abrir facsímil</v>
      </c>
      <c r="K3987" s="15" t="s">
        <v>23</v>
      </c>
    </row>
    <row r="3988" spans="1:11" ht="42" customHeight="1">
      <c r="A3988" s="4" t="s">
        <v>9105</v>
      </c>
      <c r="B3988" s="5" t="s">
        <v>9106</v>
      </c>
      <c r="C3988" s="5" t="s">
        <v>75</v>
      </c>
      <c r="D3988" s="5" t="s">
        <v>76</v>
      </c>
      <c r="E3988" s="5" t="s">
        <v>201</v>
      </c>
      <c r="F3988" s="9">
        <v>79</v>
      </c>
      <c r="G3988" s="9">
        <v>884</v>
      </c>
      <c r="H3988" s="5" t="s">
        <v>21</v>
      </c>
      <c r="I3988" s="5" t="s">
        <v>9107</v>
      </c>
      <c r="J3988" s="12" t="str">
        <f>HYPERLINK("https://www.boe.es/gazeta/dias/1801/08/18/pdfs/GMD-1801-79.pdf#page=1","Abrir facsímil")</f>
        <v>Abrir facsímil</v>
      </c>
      <c r="K3988" s="15" t="s">
        <v>23</v>
      </c>
    </row>
    <row r="3989" spans="1:11" ht="42" customHeight="1">
      <c r="A3989" s="4" t="s">
        <v>9105</v>
      </c>
      <c r="B3989" s="5" t="s">
        <v>9106</v>
      </c>
      <c r="C3989" s="5" t="s">
        <v>75</v>
      </c>
      <c r="D3989" s="5" t="s">
        <v>76</v>
      </c>
      <c r="E3989" s="5" t="s">
        <v>2237</v>
      </c>
      <c r="F3989" s="9">
        <v>82</v>
      </c>
      <c r="G3989" s="9">
        <v>914</v>
      </c>
      <c r="H3989" s="5" t="s">
        <v>21</v>
      </c>
      <c r="I3989" s="5" t="s">
        <v>9108</v>
      </c>
      <c r="J3989" s="12" t="str">
        <f>HYPERLINK("https://www.boe.es/gazeta/dias/1801/08/28/pdfs/GMD-1801-82.pdf#page=3","Abrir facsímil")</f>
        <v>Abrir facsímil</v>
      </c>
      <c r="K3989" s="15" t="s">
        <v>23</v>
      </c>
    </row>
    <row r="3990" spans="1:11" ht="42" customHeight="1">
      <c r="A3990" s="4" t="s">
        <v>9105</v>
      </c>
      <c r="B3990" s="5" t="s">
        <v>9106</v>
      </c>
      <c r="C3990" s="5" t="s">
        <v>32</v>
      </c>
      <c r="D3990" s="5" t="s">
        <v>33</v>
      </c>
      <c r="E3990" s="5" t="s">
        <v>211</v>
      </c>
      <c r="F3990" s="9">
        <v>87</v>
      </c>
      <c r="G3990" s="9">
        <v>963</v>
      </c>
      <c r="H3990" s="5" t="s">
        <v>21</v>
      </c>
      <c r="I3990" s="5" t="s">
        <v>9109</v>
      </c>
      <c r="J3990" s="12" t="str">
        <f>HYPERLINK("https://www.boe.es/gazeta/dias/1801/09/11/pdfs/GMD-1801-87.pdf#page=6","Abrir facsímil")</f>
        <v>Abrir facsímil</v>
      </c>
      <c r="K3990" s="15" t="s">
        <v>23</v>
      </c>
    </row>
    <row r="3991" spans="1:11" ht="42" customHeight="1">
      <c r="A3991" s="4" t="s">
        <v>9105</v>
      </c>
      <c r="B3991" s="5" t="s">
        <v>9106</v>
      </c>
      <c r="C3991" s="5" t="s">
        <v>75</v>
      </c>
      <c r="D3991" s="5" t="s">
        <v>76</v>
      </c>
      <c r="E3991" s="5" t="s">
        <v>328</v>
      </c>
      <c r="F3991" s="9">
        <v>89</v>
      </c>
      <c r="G3991" s="9">
        <v>977</v>
      </c>
      <c r="H3991" s="5" t="s">
        <v>21</v>
      </c>
      <c r="I3991" s="5" t="s">
        <v>9110</v>
      </c>
      <c r="J3991" s="12" t="str">
        <f>HYPERLINK("https://www.boe.es/gazeta/dias/1801/09/15/pdfs/GMD-1801-89.pdf#page=4","Abrir facsímil")</f>
        <v>Abrir facsímil</v>
      </c>
      <c r="K3991" s="15" t="s">
        <v>23</v>
      </c>
    </row>
    <row r="3992" spans="1:11" ht="42" customHeight="1">
      <c r="A3992" s="4" t="s">
        <v>9105</v>
      </c>
      <c r="B3992" s="5" t="s">
        <v>9106</v>
      </c>
      <c r="C3992" s="5" t="s">
        <v>38</v>
      </c>
      <c r="D3992" s="5" t="s">
        <v>39</v>
      </c>
      <c r="E3992" s="5" t="s">
        <v>55</v>
      </c>
      <c r="F3992" s="9">
        <v>104</v>
      </c>
      <c r="G3992" s="9">
        <v>1142</v>
      </c>
      <c r="H3992" s="5" t="s">
        <v>21</v>
      </c>
      <c r="I3992" s="5" t="s">
        <v>9111</v>
      </c>
      <c r="J3992" s="12" t="str">
        <f>HYPERLINK("https://www.boe.es/gazeta/dias/1801/11/06/pdfs/GMD-1801-104.pdf#page=3","Abrir facsímil")</f>
        <v>Abrir facsímil</v>
      </c>
      <c r="K3992" s="15" t="s">
        <v>23</v>
      </c>
    </row>
    <row r="3993" spans="1:11" ht="42" customHeight="1">
      <c r="A3993" s="4" t="s">
        <v>9112</v>
      </c>
      <c r="B3993" s="5" t="s">
        <v>9113</v>
      </c>
      <c r="C3993" s="5" t="s">
        <v>32</v>
      </c>
      <c r="D3993" s="5" t="s">
        <v>33</v>
      </c>
      <c r="E3993" s="5" t="s">
        <v>1939</v>
      </c>
      <c r="F3993" s="9">
        <v>107</v>
      </c>
      <c r="G3993" s="9">
        <v>1174</v>
      </c>
      <c r="H3993" s="5" t="s">
        <v>21</v>
      </c>
      <c r="I3993" s="5" t="s">
        <v>9114</v>
      </c>
      <c r="J3993" s="12" t="str">
        <f>HYPERLINK("https://www.boe.es/gazeta/dias/1801/11/17/pdfs/GMD-1801-107.pdf#page=3","Abrir facsímil")</f>
        <v>Abrir facsímil</v>
      </c>
      <c r="K3993" s="15" t="s">
        <v>23</v>
      </c>
    </row>
    <row r="3994" spans="1:11" ht="42" customHeight="1">
      <c r="A3994" s="4" t="s">
        <v>9115</v>
      </c>
      <c r="B3994" s="5" t="s">
        <v>9116</v>
      </c>
      <c r="C3994" s="5" t="s">
        <v>38</v>
      </c>
      <c r="D3994" s="5" t="s">
        <v>39</v>
      </c>
      <c r="E3994" s="5" t="s">
        <v>505</v>
      </c>
      <c r="F3994" s="9">
        <v>94</v>
      </c>
      <c r="G3994" s="9">
        <v>1031</v>
      </c>
      <c r="H3994" s="5" t="s">
        <v>21</v>
      </c>
      <c r="I3994" s="5" t="s">
        <v>9117</v>
      </c>
      <c r="J3994" s="12" t="str">
        <f>HYPERLINK("https://www.boe.es/gazeta/dias/1801/10/02/pdfs/GMD-1801-94.pdf#page=7","Abrir facsímil")</f>
        <v>Abrir facsímil</v>
      </c>
      <c r="K3994" s="15" t="s">
        <v>23</v>
      </c>
    </row>
    <row r="3995" spans="1:11" ht="42" customHeight="1">
      <c r="A3995" s="4" t="s">
        <v>9118</v>
      </c>
      <c r="B3995" s="5" t="s">
        <v>9119</v>
      </c>
      <c r="C3995" s="5" t="s">
        <v>18</v>
      </c>
      <c r="D3995" s="5" t="s">
        <v>19</v>
      </c>
      <c r="E3995" s="5" t="s">
        <v>141</v>
      </c>
      <c r="F3995" s="9">
        <v>33</v>
      </c>
      <c r="G3995" s="9">
        <v>419</v>
      </c>
      <c r="H3995" s="5" t="s">
        <v>21</v>
      </c>
      <c r="I3995" s="5" t="s">
        <v>9120</v>
      </c>
      <c r="J3995" s="12" t="str">
        <f>HYPERLINK("https://www.boe.es/gazeta/dias/1801/04/24/pdfs/GMD-1801-33.pdf#page=3","Abrir facsímil")</f>
        <v>Abrir facsímil</v>
      </c>
      <c r="K3995" s="15" t="s">
        <v>23</v>
      </c>
    </row>
    <row r="3996" spans="1:11" ht="42" customHeight="1">
      <c r="A3996" s="4" t="s">
        <v>9121</v>
      </c>
      <c r="B3996" s="5" t="s">
        <v>9121</v>
      </c>
      <c r="C3996" s="5" t="s">
        <v>69</v>
      </c>
      <c r="D3996" s="5" t="s">
        <v>19</v>
      </c>
      <c r="E3996" s="5" t="s">
        <v>155</v>
      </c>
      <c r="F3996" s="9">
        <v>50</v>
      </c>
      <c r="G3996" s="9">
        <v>597</v>
      </c>
      <c r="H3996" s="5" t="s">
        <v>21</v>
      </c>
      <c r="I3996" s="5" t="s">
        <v>9122</v>
      </c>
      <c r="J3996" s="12" t="str">
        <f>HYPERLINK("https://www.boe.es/gazeta/dias/1801/06/09/pdfs/GMD-1801-50.pdf#page=9","Abrir facsímil")</f>
        <v>Abrir facsímil</v>
      </c>
      <c r="K3996" s="15" t="s">
        <v>23</v>
      </c>
    </row>
    <row r="3997" spans="1:11" ht="42" customHeight="1">
      <c r="A3997" s="4" t="s">
        <v>9123</v>
      </c>
      <c r="B3997" s="5" t="s">
        <v>9123</v>
      </c>
      <c r="C3997" s="5" t="s">
        <v>32</v>
      </c>
      <c r="D3997" s="5" t="s">
        <v>33</v>
      </c>
      <c r="E3997" s="5" t="s">
        <v>34</v>
      </c>
      <c r="F3997" s="9">
        <v>38</v>
      </c>
      <c r="G3997" s="9">
        <v>494</v>
      </c>
      <c r="H3997" s="5" t="s">
        <v>21</v>
      </c>
      <c r="I3997" s="5" t="s">
        <v>9124</v>
      </c>
      <c r="J3997" s="12" t="str">
        <f>HYPERLINK("https://www.boe.es/gazeta/dias/1801/05/12/pdfs/GMD-1801-38.pdf#page=10","Abrir facsímil")</f>
        <v>Abrir facsímil</v>
      </c>
      <c r="K3997" s="15" t="s">
        <v>23</v>
      </c>
    </row>
    <row r="3998" spans="1:11" ht="42" customHeight="1">
      <c r="A3998" s="4" t="s">
        <v>9125</v>
      </c>
      <c r="B3998" s="5" t="s">
        <v>9126</v>
      </c>
      <c r="C3998" s="5" t="s">
        <v>32</v>
      </c>
      <c r="D3998" s="5" t="s">
        <v>33</v>
      </c>
      <c r="E3998" s="5" t="s">
        <v>94</v>
      </c>
      <c r="F3998" s="9">
        <v>19</v>
      </c>
      <c r="G3998" s="9">
        <v>239</v>
      </c>
      <c r="H3998" s="5" t="s">
        <v>21</v>
      </c>
      <c r="I3998" s="5" t="s">
        <v>9127</v>
      </c>
      <c r="J3998" s="12" t="str">
        <f>HYPERLINK("https://www.boe.es/gazeta/dias/1801/03/06/pdfs/GMD-1801-19.pdf#page=4","Abrir facsímil")</f>
        <v>Abrir facsímil</v>
      </c>
      <c r="K3998" s="15" t="s">
        <v>23</v>
      </c>
    </row>
    <row r="3999" spans="1:11" ht="42" customHeight="1">
      <c r="A3999" s="4" t="s">
        <v>9128</v>
      </c>
      <c r="B3999" s="5" t="s">
        <v>9129</v>
      </c>
      <c r="C3999" s="5" t="s">
        <v>32</v>
      </c>
      <c r="D3999" s="5" t="s">
        <v>33</v>
      </c>
      <c r="E3999" s="5" t="s">
        <v>90</v>
      </c>
      <c r="F3999" s="9">
        <v>1</v>
      </c>
      <c r="G3999" s="9">
        <v>5</v>
      </c>
      <c r="H3999" s="5" t="s">
        <v>21</v>
      </c>
      <c r="I3999" s="5" t="s">
        <v>9130</v>
      </c>
      <c r="J3999" s="12" t="str">
        <f>HYPERLINK("https://www.boe.es/gazeta/dias/1801/01/02/pdfs/GMD-1801-1.pdf#page=5","Abrir facsímil")</f>
        <v>Abrir facsímil</v>
      </c>
      <c r="K3999" s="15" t="s">
        <v>23</v>
      </c>
    </row>
    <row r="4000" spans="1:11" ht="42" customHeight="1">
      <c r="A4000" s="4" t="s">
        <v>9128</v>
      </c>
      <c r="B4000" s="5" t="s">
        <v>9129</v>
      </c>
      <c r="C4000" s="5" t="s">
        <v>26</v>
      </c>
      <c r="D4000" s="5" t="s">
        <v>27</v>
      </c>
      <c r="E4000" s="5" t="s">
        <v>90</v>
      </c>
      <c r="F4000" s="9">
        <v>1</v>
      </c>
      <c r="G4000" s="9">
        <v>6</v>
      </c>
      <c r="H4000" s="5" t="s">
        <v>21</v>
      </c>
      <c r="I4000" s="5" t="s">
        <v>9131</v>
      </c>
      <c r="J4000" s="12" t="str">
        <f>HYPERLINK("https://www.boe.es/gazeta/dias/1801/01/02/pdfs/GMD-1801-1.pdf#page=6","Abrir facsímil")</f>
        <v>Abrir facsímil</v>
      </c>
      <c r="K4000" s="15" t="s">
        <v>23</v>
      </c>
    </row>
    <row r="4001" spans="1:11" ht="42" customHeight="1">
      <c r="A4001" s="4" t="s">
        <v>9128</v>
      </c>
      <c r="B4001" s="5" t="s">
        <v>9129</v>
      </c>
      <c r="C4001" s="5" t="s">
        <v>75</v>
      </c>
      <c r="D4001" s="5" t="s">
        <v>76</v>
      </c>
      <c r="E4001" s="5" t="s">
        <v>462</v>
      </c>
      <c r="F4001" s="9">
        <v>5</v>
      </c>
      <c r="G4001" s="9">
        <v>54</v>
      </c>
      <c r="H4001" s="5" t="s">
        <v>21</v>
      </c>
      <c r="I4001" s="5" t="s">
        <v>9132</v>
      </c>
      <c r="J4001" s="12" t="str">
        <f>HYPERLINK("https://www.boe.es/gazeta/dias/1801/01/16/pdfs/GMD-1801-5.pdf#page=6","Abrir facsímil")</f>
        <v>Abrir facsímil</v>
      </c>
      <c r="K4001" s="15" t="s">
        <v>23</v>
      </c>
    </row>
    <row r="4002" spans="1:11" ht="42" customHeight="1">
      <c r="A4002" s="4" t="s">
        <v>9128</v>
      </c>
      <c r="B4002" s="5" t="s">
        <v>9129</v>
      </c>
      <c r="C4002" s="5" t="s">
        <v>38</v>
      </c>
      <c r="D4002" s="5" t="s">
        <v>39</v>
      </c>
      <c r="E4002" s="5" t="s">
        <v>155</v>
      </c>
      <c r="F4002" s="9">
        <v>50</v>
      </c>
      <c r="G4002" s="9">
        <v>595</v>
      </c>
      <c r="H4002" s="5" t="s">
        <v>21</v>
      </c>
      <c r="I4002" s="5" t="s">
        <v>9133</v>
      </c>
      <c r="J4002" s="12" t="str">
        <f>HYPERLINK("https://www.boe.es/gazeta/dias/1801/06/09/pdfs/GMD-1801-50.pdf#page=7","Abrir facsímil")</f>
        <v>Abrir facsímil</v>
      </c>
      <c r="K4002" s="15" t="s">
        <v>23</v>
      </c>
    </row>
    <row r="4003" spans="1:11" ht="42" customHeight="1">
      <c r="A4003" s="4" t="s">
        <v>9134</v>
      </c>
      <c r="B4003" s="5" t="s">
        <v>9135</v>
      </c>
      <c r="C4003" s="5" t="s">
        <v>32</v>
      </c>
      <c r="D4003" s="5" t="s">
        <v>33</v>
      </c>
      <c r="E4003" s="5" t="s">
        <v>124</v>
      </c>
      <c r="F4003" s="9">
        <v>12</v>
      </c>
      <c r="G4003" s="9">
        <v>144</v>
      </c>
      <c r="H4003" s="5" t="s">
        <v>21</v>
      </c>
      <c r="I4003" s="5" t="s">
        <v>9136</v>
      </c>
      <c r="J4003" s="12" t="str">
        <f>HYPERLINK("https://www.boe.es/gazeta/dias/1801/02/10/pdfs/GMD-1801-12.pdf#page=5","Abrir facsímil")</f>
        <v>Abrir facsímil</v>
      </c>
      <c r="K4003" s="15" t="s">
        <v>23</v>
      </c>
    </row>
    <row r="4004" spans="1:11" ht="42" customHeight="1">
      <c r="A4004" s="4" t="s">
        <v>9137</v>
      </c>
      <c r="B4004" s="5" t="s">
        <v>9138</v>
      </c>
      <c r="C4004" s="5" t="s">
        <v>75</v>
      </c>
      <c r="D4004" s="5" t="s">
        <v>76</v>
      </c>
      <c r="E4004" s="5" t="s">
        <v>90</v>
      </c>
      <c r="F4004" s="9">
        <v>1</v>
      </c>
      <c r="G4004" s="9">
        <v>6</v>
      </c>
      <c r="H4004" s="5" t="s">
        <v>21</v>
      </c>
      <c r="I4004" s="5" t="s">
        <v>9139</v>
      </c>
      <c r="J4004" s="12" t="str">
        <f>HYPERLINK("https://www.boe.es/gazeta/dias/1801/01/02/pdfs/GMD-1801-1.pdf#page=6","Abrir facsímil")</f>
        <v>Abrir facsímil</v>
      </c>
      <c r="K4004" s="15" t="s">
        <v>23</v>
      </c>
    </row>
    <row r="4005" spans="1:11" ht="42" customHeight="1">
      <c r="A4005" s="4" t="s">
        <v>9140</v>
      </c>
      <c r="B4005" s="5" t="s">
        <v>9141</v>
      </c>
      <c r="C4005" s="5" t="s">
        <v>75</v>
      </c>
      <c r="D4005" s="5" t="s">
        <v>76</v>
      </c>
      <c r="E4005" s="5" t="s">
        <v>62</v>
      </c>
      <c r="F4005" s="9">
        <v>6</v>
      </c>
      <c r="G4005" s="9">
        <v>67</v>
      </c>
      <c r="H4005" s="5" t="s">
        <v>21</v>
      </c>
      <c r="I4005" s="5" t="s">
        <v>9142</v>
      </c>
      <c r="J4005" s="12" t="str">
        <f>HYPERLINK("https://www.boe.es/gazeta/dias/1801/01/20/pdfs/GMD-1801-6.pdf#page=3","Abrir facsímil")</f>
        <v>Abrir facsímil</v>
      </c>
      <c r="K4005" s="15" t="s">
        <v>23</v>
      </c>
    </row>
    <row r="4006" spans="1:11" ht="42" customHeight="1">
      <c r="A4006" s="4" t="s">
        <v>9143</v>
      </c>
      <c r="B4006" s="5" t="s">
        <v>9144</v>
      </c>
      <c r="C4006" s="5" t="s">
        <v>69</v>
      </c>
      <c r="D4006" s="5" t="s">
        <v>19</v>
      </c>
      <c r="E4006" s="5" t="s">
        <v>2430</v>
      </c>
      <c r="F4006" s="9">
        <v>27</v>
      </c>
      <c r="G4006" s="9">
        <v>351</v>
      </c>
      <c r="H4006" s="5" t="s">
        <v>21</v>
      </c>
      <c r="I4006" s="5" t="s">
        <v>9145</v>
      </c>
      <c r="J4006" s="12" t="str">
        <f>HYPERLINK("https://www.boe.es/gazeta/dias/1801/04/03/pdfs/GMD-1801-27.pdf#page=3","Abrir facsímil")</f>
        <v>Abrir facsímil</v>
      </c>
      <c r="K4006" s="15" t="s">
        <v>23</v>
      </c>
    </row>
    <row r="4007" spans="1:11" ht="42" customHeight="1">
      <c r="A4007" s="4" t="s">
        <v>9143</v>
      </c>
      <c r="B4007" s="5" t="s">
        <v>9144</v>
      </c>
      <c r="C4007" s="5" t="s">
        <v>75</v>
      </c>
      <c r="D4007" s="5" t="s">
        <v>76</v>
      </c>
      <c r="E4007" s="5" t="s">
        <v>141</v>
      </c>
      <c r="F4007" s="9">
        <v>33</v>
      </c>
      <c r="G4007" s="9">
        <v>420</v>
      </c>
      <c r="H4007" s="5" t="s">
        <v>21</v>
      </c>
      <c r="I4007" s="5" t="s">
        <v>9146</v>
      </c>
      <c r="J4007" s="12" t="str">
        <f>HYPERLINK("https://www.boe.es/gazeta/dias/1801/04/24/pdfs/GMD-1801-33.pdf#page=4","Abrir facsímil")</f>
        <v>Abrir facsímil</v>
      </c>
      <c r="K4007" s="15" t="s">
        <v>23</v>
      </c>
    </row>
    <row r="4008" spans="1:11" ht="42" customHeight="1">
      <c r="A4008" s="4" t="s">
        <v>9147</v>
      </c>
      <c r="B4008" s="5" t="s">
        <v>9148</v>
      </c>
      <c r="C4008" s="5" t="s">
        <v>75</v>
      </c>
      <c r="D4008" s="5" t="s">
        <v>76</v>
      </c>
      <c r="E4008" s="5" t="s">
        <v>501</v>
      </c>
      <c r="F4008" s="9">
        <v>115</v>
      </c>
      <c r="G4008" s="9">
        <v>1254</v>
      </c>
      <c r="H4008" s="5" t="s">
        <v>21</v>
      </c>
      <c r="I4008" s="5" t="s">
        <v>9149</v>
      </c>
      <c r="J4008" s="12" t="str">
        <f>HYPERLINK("https://www.boe.es/gazeta/dias/1801/12/15/pdfs/GMD-1801-115.pdf#page=4","Abrir facsímil")</f>
        <v>Abrir facsímil</v>
      </c>
      <c r="K4008" s="15" t="s">
        <v>23</v>
      </c>
    </row>
    <row r="4009" spans="1:11" ht="42" customHeight="1">
      <c r="A4009" s="4" t="s">
        <v>9150</v>
      </c>
      <c r="B4009" s="5" t="s">
        <v>9150</v>
      </c>
      <c r="C4009" s="5" t="s">
        <v>75</v>
      </c>
      <c r="D4009" s="5" t="s">
        <v>76</v>
      </c>
      <c r="E4009" s="5" t="s">
        <v>349</v>
      </c>
      <c r="F4009" s="9">
        <v>112</v>
      </c>
      <c r="G4009" s="9">
        <v>1222</v>
      </c>
      <c r="H4009" s="5" t="s">
        <v>21</v>
      </c>
      <c r="I4009" s="5" t="s">
        <v>9151</v>
      </c>
      <c r="J4009" s="12" t="str">
        <f>HYPERLINK("https://www.boe.es/gazeta/dias/1801/12/04/pdfs/GMD-1801-112.pdf#page=3","Abrir facsímil")</f>
        <v>Abrir facsímil</v>
      </c>
      <c r="K4009" s="15" t="s">
        <v>23</v>
      </c>
    </row>
    <row r="4010" spans="1:11" ht="42" customHeight="1">
      <c r="A4010" s="4" t="s">
        <v>9152</v>
      </c>
      <c r="B4010" s="5" t="s">
        <v>9153</v>
      </c>
      <c r="C4010" s="5" t="s">
        <v>75</v>
      </c>
      <c r="D4010" s="5" t="s">
        <v>76</v>
      </c>
      <c r="E4010" s="5" t="s">
        <v>128</v>
      </c>
      <c r="F4010" s="9">
        <v>17</v>
      </c>
      <c r="G4010" s="9">
        <v>208</v>
      </c>
      <c r="H4010" s="5" t="s">
        <v>21</v>
      </c>
      <c r="I4010" s="5" t="s">
        <v>9154</v>
      </c>
      <c r="J4010" s="12" t="str">
        <f>HYPERLINK("https://www.boe.es/gazeta/dias/1801/02/27/pdfs/GMD-1801-17.pdf#page=3","Abrir facsímil")</f>
        <v>Abrir facsímil</v>
      </c>
      <c r="K4010" s="15" t="s">
        <v>23</v>
      </c>
    </row>
    <row r="4011" spans="1:11" ht="42" customHeight="1">
      <c r="A4011" s="4" t="s">
        <v>9152</v>
      </c>
      <c r="B4011" s="5" t="s">
        <v>9153</v>
      </c>
      <c r="C4011" s="5" t="s">
        <v>75</v>
      </c>
      <c r="D4011" s="5" t="s">
        <v>76</v>
      </c>
      <c r="E4011" s="5" t="s">
        <v>219</v>
      </c>
      <c r="F4011" s="9">
        <v>26</v>
      </c>
      <c r="G4011" s="9">
        <v>339</v>
      </c>
      <c r="H4011" s="5" t="s">
        <v>21</v>
      </c>
      <c r="I4011" s="5" t="s">
        <v>9155</v>
      </c>
      <c r="J4011" s="12" t="str">
        <f>HYPERLINK("https://www.boe.es/gazeta/dias/1801/03/31/pdfs/GMD-1801-26.pdf#page=3","Abrir facsímil")</f>
        <v>Abrir facsímil</v>
      </c>
      <c r="K4011" s="15" t="s">
        <v>23</v>
      </c>
    </row>
    <row r="4012" spans="1:11" ht="42" customHeight="1">
      <c r="A4012" s="4" t="s">
        <v>9152</v>
      </c>
      <c r="B4012" s="5" t="s">
        <v>9153</v>
      </c>
      <c r="C4012" s="5" t="s">
        <v>75</v>
      </c>
      <c r="D4012" s="5" t="s">
        <v>76</v>
      </c>
      <c r="E4012" s="5" t="s">
        <v>712</v>
      </c>
      <c r="F4012" s="9">
        <v>105</v>
      </c>
      <c r="G4012" s="9">
        <v>1151</v>
      </c>
      <c r="H4012" s="5" t="s">
        <v>21</v>
      </c>
      <c r="I4012" s="5" t="s">
        <v>9156</v>
      </c>
      <c r="J4012" s="12" t="str">
        <f>HYPERLINK("https://www.boe.es/gazeta/dias/1801/11/10/pdfs/GMD-1801-105.pdf#page=4","Abrir facsímil")</f>
        <v>Abrir facsímil</v>
      </c>
      <c r="K4012" s="15" t="s">
        <v>23</v>
      </c>
    </row>
    <row r="4013" spans="1:11" ht="42" customHeight="1">
      <c r="A4013" s="4" t="s">
        <v>9152</v>
      </c>
      <c r="B4013" s="5" t="s">
        <v>9153</v>
      </c>
      <c r="C4013" s="5" t="s">
        <v>75</v>
      </c>
      <c r="D4013" s="5" t="s">
        <v>76</v>
      </c>
      <c r="E4013" s="5" t="s">
        <v>349</v>
      </c>
      <c r="F4013" s="9">
        <v>112</v>
      </c>
      <c r="G4013" s="9">
        <v>1222</v>
      </c>
      <c r="H4013" s="5" t="s">
        <v>21</v>
      </c>
      <c r="I4013" s="5" t="s">
        <v>9157</v>
      </c>
      <c r="J4013" s="12" t="str">
        <f>HYPERLINK("https://www.boe.es/gazeta/dias/1801/12/04/pdfs/GMD-1801-112.pdf#page=3","Abrir facsímil")</f>
        <v>Abrir facsímil</v>
      </c>
      <c r="K4013" s="15" t="s">
        <v>23</v>
      </c>
    </row>
    <row r="4014" spans="1:11" ht="42" customHeight="1">
      <c r="A4014" s="4" t="s">
        <v>9152</v>
      </c>
      <c r="B4014" s="5" t="s">
        <v>9153</v>
      </c>
      <c r="C4014" s="5" t="s">
        <v>38</v>
      </c>
      <c r="D4014" s="5" t="s">
        <v>39</v>
      </c>
      <c r="E4014" s="5" t="s">
        <v>723</v>
      </c>
      <c r="F4014" s="9">
        <v>113</v>
      </c>
      <c r="G4014" s="9">
        <v>1231</v>
      </c>
      <c r="H4014" s="5" t="s">
        <v>21</v>
      </c>
      <c r="I4014" s="5" t="s">
        <v>9158</v>
      </c>
      <c r="J4014" s="12" t="str">
        <f>HYPERLINK("https://www.boe.es/gazeta/dias/1801/12/08/pdfs/GMD-1801-113.pdf#page=4","Abrir facsímil")</f>
        <v>Abrir facsímil</v>
      </c>
      <c r="K4014" s="15" t="s">
        <v>23</v>
      </c>
    </row>
    <row r="4015" spans="1:11" ht="42" customHeight="1">
      <c r="A4015" s="4" t="s">
        <v>9159</v>
      </c>
      <c r="B4015" s="5" t="s">
        <v>9159</v>
      </c>
      <c r="C4015" s="5" t="s">
        <v>32</v>
      </c>
      <c r="D4015" s="5" t="s">
        <v>33</v>
      </c>
      <c r="E4015" s="5" t="s">
        <v>1058</v>
      </c>
      <c r="F4015" s="9">
        <v>108</v>
      </c>
      <c r="G4015" s="9">
        <v>1191</v>
      </c>
      <c r="H4015" s="5" t="s">
        <v>21</v>
      </c>
      <c r="I4015" s="5" t="s">
        <v>9160</v>
      </c>
      <c r="J4015" s="12" t="str">
        <f>HYPERLINK("https://www.boe.es/gazeta/dias/1801/11/20/pdfs/GMD-1801-108.pdf#page=8","Abrir facsímil")</f>
        <v>Abrir facsímil</v>
      </c>
      <c r="K4015" s="15" t="s">
        <v>23</v>
      </c>
    </row>
    <row r="4016" spans="1:11" ht="42" customHeight="1">
      <c r="A4016" s="4" t="s">
        <v>9161</v>
      </c>
      <c r="B4016" s="5" t="s">
        <v>9161</v>
      </c>
      <c r="C4016" s="5" t="s">
        <v>32</v>
      </c>
      <c r="D4016" s="5" t="s">
        <v>33</v>
      </c>
      <c r="E4016" s="5" t="s">
        <v>94</v>
      </c>
      <c r="F4016" s="9">
        <v>19</v>
      </c>
      <c r="G4016" s="9">
        <v>239</v>
      </c>
      <c r="H4016" s="5" t="s">
        <v>21</v>
      </c>
      <c r="I4016" s="5" t="s">
        <v>9162</v>
      </c>
      <c r="J4016" s="12" t="str">
        <f>HYPERLINK("https://www.boe.es/gazeta/dias/1801/03/06/pdfs/GMD-1801-19.pdf#page=4","Abrir facsímil")</f>
        <v>Abrir facsímil</v>
      </c>
      <c r="K4016" s="15" t="s">
        <v>23</v>
      </c>
    </row>
    <row r="4017" spans="1:11" ht="42" customHeight="1">
      <c r="A4017" s="4" t="s">
        <v>9161</v>
      </c>
      <c r="B4017" s="5" t="s">
        <v>9161</v>
      </c>
      <c r="C4017" s="5" t="s">
        <v>75</v>
      </c>
      <c r="D4017" s="5" t="s">
        <v>76</v>
      </c>
      <c r="E4017" s="5" t="s">
        <v>186</v>
      </c>
      <c r="F4017" s="9">
        <v>21</v>
      </c>
      <c r="G4017" s="9">
        <v>275</v>
      </c>
      <c r="H4017" s="5" t="s">
        <v>21</v>
      </c>
      <c r="I4017" s="5" t="s">
        <v>9163</v>
      </c>
      <c r="J4017" s="12" t="str">
        <f>HYPERLINK("https://www.boe.es/gazeta/dias/1801/03/13/pdfs/GMD-1801-21.pdf#page=4","Abrir facsímil")</f>
        <v>Abrir facsímil</v>
      </c>
      <c r="K4017" s="15" t="s">
        <v>23</v>
      </c>
    </row>
    <row r="4018" spans="1:11" ht="42" customHeight="1">
      <c r="A4018" s="4" t="s">
        <v>9161</v>
      </c>
      <c r="B4018" s="5" t="s">
        <v>9161</v>
      </c>
      <c r="C4018" s="5" t="s">
        <v>75</v>
      </c>
      <c r="D4018" s="5" t="s">
        <v>76</v>
      </c>
      <c r="E4018" s="5" t="s">
        <v>186</v>
      </c>
      <c r="F4018" s="9">
        <v>21</v>
      </c>
      <c r="G4018" s="9">
        <v>276</v>
      </c>
      <c r="H4018" s="5" t="s">
        <v>21</v>
      </c>
      <c r="I4018" s="5" t="s">
        <v>9164</v>
      </c>
      <c r="J4018" s="12" t="str">
        <f>HYPERLINK("https://www.boe.es/gazeta/dias/1801/03/13/pdfs/GMD-1801-21.pdf#page=5","Abrir facsímil")</f>
        <v>Abrir facsímil</v>
      </c>
      <c r="K4018" s="15" t="s">
        <v>23</v>
      </c>
    </row>
    <row r="4019" spans="1:11" ht="42" customHeight="1">
      <c r="A4019" s="4" t="s">
        <v>9161</v>
      </c>
      <c r="B4019" s="5" t="s">
        <v>9161</v>
      </c>
      <c r="C4019" s="5" t="s">
        <v>75</v>
      </c>
      <c r="D4019" s="5" t="s">
        <v>76</v>
      </c>
      <c r="E4019" s="5" t="s">
        <v>2430</v>
      </c>
      <c r="F4019" s="9">
        <v>27</v>
      </c>
      <c r="G4019" s="9">
        <v>351</v>
      </c>
      <c r="H4019" s="5" t="s">
        <v>21</v>
      </c>
      <c r="I4019" s="5" t="s">
        <v>9165</v>
      </c>
      <c r="J4019" s="12" t="str">
        <f>HYPERLINK("https://www.boe.es/gazeta/dias/1801/04/03/pdfs/GMD-1801-27.pdf#page=3","Abrir facsímil")</f>
        <v>Abrir facsímil</v>
      </c>
      <c r="K4019" s="15" t="s">
        <v>23</v>
      </c>
    </row>
    <row r="4020" spans="1:11" ht="42" customHeight="1">
      <c r="A4020" s="4" t="s">
        <v>9161</v>
      </c>
      <c r="B4020" s="5" t="s">
        <v>9161</v>
      </c>
      <c r="C4020" s="5" t="s">
        <v>75</v>
      </c>
      <c r="D4020" s="5" t="s">
        <v>76</v>
      </c>
      <c r="E4020" s="5" t="s">
        <v>349</v>
      </c>
      <c r="F4020" s="9">
        <v>112</v>
      </c>
      <c r="G4020" s="9">
        <v>1222</v>
      </c>
      <c r="H4020" s="5" t="s">
        <v>21</v>
      </c>
      <c r="I4020" s="5" t="s">
        <v>9166</v>
      </c>
      <c r="J4020" s="12" t="str">
        <f>HYPERLINK("https://www.boe.es/gazeta/dias/1801/12/04/pdfs/GMD-1801-112.pdf#page=3","Abrir facsímil")</f>
        <v>Abrir facsímil</v>
      </c>
      <c r="K4020" s="15" t="s">
        <v>23</v>
      </c>
    </row>
    <row r="4021" spans="1:11" ht="42" customHeight="1">
      <c r="A4021" s="4" t="s">
        <v>9161</v>
      </c>
      <c r="B4021" s="5" t="s">
        <v>9161</v>
      </c>
      <c r="C4021" s="5" t="s">
        <v>38</v>
      </c>
      <c r="D4021" s="5" t="s">
        <v>39</v>
      </c>
      <c r="E4021" s="5" t="s">
        <v>723</v>
      </c>
      <c r="F4021" s="9">
        <v>113</v>
      </c>
      <c r="G4021" s="9">
        <v>1229</v>
      </c>
      <c r="H4021" s="5" t="s">
        <v>21</v>
      </c>
      <c r="I4021" s="5" t="s">
        <v>9167</v>
      </c>
      <c r="J4021" s="12" t="str">
        <f>HYPERLINK("https://www.boe.es/gazeta/dias/1801/12/08/pdfs/GMD-1801-113.pdf#page=2","Abrir facsímil")</f>
        <v>Abrir facsímil</v>
      </c>
      <c r="K4021" s="15" t="s">
        <v>23</v>
      </c>
    </row>
    <row r="4022" spans="1:11" ht="42" customHeight="1">
      <c r="A4022" s="4" t="s">
        <v>9168</v>
      </c>
      <c r="B4022" s="5" t="s">
        <v>9169</v>
      </c>
      <c r="C4022" s="5" t="s">
        <v>32</v>
      </c>
      <c r="D4022" s="5" t="s">
        <v>33</v>
      </c>
      <c r="E4022" s="5" t="s">
        <v>44</v>
      </c>
      <c r="F4022" s="9">
        <v>117</v>
      </c>
      <c r="G4022" s="9">
        <v>1282</v>
      </c>
      <c r="H4022" s="5" t="s">
        <v>21</v>
      </c>
      <c r="I4022" s="5" t="s">
        <v>9170</v>
      </c>
      <c r="J4022" s="12" t="str">
        <f>HYPERLINK("https://www.boe.es/gazeta/dias/1801/12/22/pdfs/GMD-1801-117.pdf#page=9","Abrir facsímil")</f>
        <v>Abrir facsímil</v>
      </c>
      <c r="K4022" s="15" t="s">
        <v>23</v>
      </c>
    </row>
    <row r="4023" spans="1:11" ht="42" customHeight="1">
      <c r="A4023" s="4" t="s">
        <v>9171</v>
      </c>
      <c r="B4023" s="5" t="s">
        <v>9171</v>
      </c>
      <c r="C4023" s="5" t="s">
        <v>75</v>
      </c>
      <c r="D4023" s="5" t="s">
        <v>76</v>
      </c>
      <c r="E4023" s="5" t="s">
        <v>137</v>
      </c>
      <c r="F4023" s="9">
        <v>30</v>
      </c>
      <c r="G4023" s="9">
        <v>386</v>
      </c>
      <c r="H4023" s="5" t="s">
        <v>21</v>
      </c>
      <c r="I4023" s="5" t="s">
        <v>9172</v>
      </c>
      <c r="J4023" s="12" t="str">
        <f>HYPERLINK("https://www.boe.es/gazeta/dias/1801/04/14/pdfs/GMD-1801-30.pdf#page=2","Abrir facsímil")</f>
        <v>Abrir facsímil</v>
      </c>
      <c r="K4023" s="15" t="s">
        <v>23</v>
      </c>
    </row>
    <row r="4024" spans="1:11" ht="42" customHeight="1">
      <c r="A4024" s="4" t="s">
        <v>9173</v>
      </c>
      <c r="B4024" s="5" t="s">
        <v>9174</v>
      </c>
      <c r="C4024" s="5" t="s">
        <v>75</v>
      </c>
      <c r="D4024" s="5" t="s">
        <v>76</v>
      </c>
      <c r="E4024" s="5" t="s">
        <v>90</v>
      </c>
      <c r="F4024" s="9">
        <v>1</v>
      </c>
      <c r="G4024" s="9">
        <v>6</v>
      </c>
      <c r="H4024" s="5" t="s">
        <v>21</v>
      </c>
      <c r="I4024" s="5" t="s">
        <v>9175</v>
      </c>
      <c r="J4024" s="12" t="str">
        <f>HYPERLINK("https://www.boe.es/gazeta/dias/1801/01/02/pdfs/GMD-1801-1.pdf#page=6","Abrir facsímil")</f>
        <v>Abrir facsímil</v>
      </c>
      <c r="K4024" s="15" t="s">
        <v>23</v>
      </c>
    </row>
    <row r="4025" spans="1:11" ht="42" customHeight="1">
      <c r="A4025" s="4" t="s">
        <v>9173</v>
      </c>
      <c r="B4025" s="5" t="s">
        <v>9174</v>
      </c>
      <c r="C4025" s="5" t="s">
        <v>75</v>
      </c>
      <c r="D4025" s="5" t="s">
        <v>76</v>
      </c>
      <c r="E4025" s="5" t="s">
        <v>462</v>
      </c>
      <c r="F4025" s="9">
        <v>5</v>
      </c>
      <c r="G4025" s="9">
        <v>54</v>
      </c>
      <c r="H4025" s="5" t="s">
        <v>21</v>
      </c>
      <c r="I4025" s="5" t="s">
        <v>9176</v>
      </c>
      <c r="J4025" s="12" t="str">
        <f>HYPERLINK("https://www.boe.es/gazeta/dias/1801/01/16/pdfs/GMD-1801-5.pdf#page=6","Abrir facsímil")</f>
        <v>Abrir facsímil</v>
      </c>
      <c r="K4025" s="15" t="s">
        <v>23</v>
      </c>
    </row>
    <row r="4026" spans="1:11" ht="42" customHeight="1">
      <c r="A4026" s="4" t="s">
        <v>9173</v>
      </c>
      <c r="B4026" s="5" t="s">
        <v>9174</v>
      </c>
      <c r="C4026" s="5" t="s">
        <v>32</v>
      </c>
      <c r="D4026" s="5" t="s">
        <v>33</v>
      </c>
      <c r="E4026" s="5" t="s">
        <v>120</v>
      </c>
      <c r="F4026" s="9">
        <v>7</v>
      </c>
      <c r="G4026" s="9">
        <v>83</v>
      </c>
      <c r="H4026" s="5" t="s">
        <v>21</v>
      </c>
      <c r="I4026" s="5" t="s">
        <v>9177</v>
      </c>
      <c r="J4026" s="12" t="str">
        <f>HYPERLINK("https://www.boe.es/gazeta/dias/1801/01/23/pdfs/GMD-1801-7.pdf#page=7","Abrir facsímil")</f>
        <v>Abrir facsímil</v>
      </c>
      <c r="K4026" s="15" t="s">
        <v>23</v>
      </c>
    </row>
    <row r="4027" spans="1:11" ht="42" customHeight="1">
      <c r="A4027" s="4" t="s">
        <v>9178</v>
      </c>
      <c r="B4027" s="5" t="s">
        <v>9179</v>
      </c>
      <c r="C4027" s="5" t="s">
        <v>32</v>
      </c>
      <c r="D4027" s="5" t="s">
        <v>33</v>
      </c>
      <c r="E4027" s="5" t="s">
        <v>366</v>
      </c>
      <c r="F4027" s="9">
        <v>86</v>
      </c>
      <c r="G4027" s="9">
        <v>955</v>
      </c>
      <c r="H4027" s="5" t="s">
        <v>21</v>
      </c>
      <c r="I4027" s="5" t="s">
        <v>9180</v>
      </c>
      <c r="J4027" s="12" t="str">
        <f>HYPERLINK("https://www.boe.es/gazeta/dias/1801/09/08/pdfs/GMD-1801-86.pdf#page=6","Abrir facsímil")</f>
        <v>Abrir facsímil</v>
      </c>
      <c r="K4027" s="15" t="s">
        <v>23</v>
      </c>
    </row>
    <row r="4028" spans="1:11" ht="42" customHeight="1">
      <c r="A4028" s="4" t="s">
        <v>9181</v>
      </c>
      <c r="B4028" s="5" t="s">
        <v>9182</v>
      </c>
      <c r="C4028" s="5" t="s">
        <v>26</v>
      </c>
      <c r="D4028" s="5" t="s">
        <v>27</v>
      </c>
      <c r="E4028" s="5" t="s">
        <v>219</v>
      </c>
      <c r="F4028" s="9">
        <v>26</v>
      </c>
      <c r="G4028" s="9">
        <v>348</v>
      </c>
      <c r="H4028" s="5" t="s">
        <v>21</v>
      </c>
      <c r="I4028" s="5" t="s">
        <v>9183</v>
      </c>
      <c r="J4028" s="12" t="str">
        <f>HYPERLINK("https://www.boe.es/gazeta/dias/1801/03/31/pdfs/GMD-1801-26.pdf#page=12","Abrir facsímil")</f>
        <v>Abrir facsímil</v>
      </c>
      <c r="K4028" s="15" t="s">
        <v>23</v>
      </c>
    </row>
    <row r="4029" spans="1:11" ht="42" customHeight="1">
      <c r="A4029" s="4" t="s">
        <v>9184</v>
      </c>
      <c r="B4029" s="5" t="s">
        <v>9185</v>
      </c>
      <c r="C4029" s="5" t="s">
        <v>32</v>
      </c>
      <c r="D4029" s="5" t="s">
        <v>33</v>
      </c>
      <c r="E4029" s="5" t="s">
        <v>99</v>
      </c>
      <c r="F4029" s="9">
        <v>32</v>
      </c>
      <c r="G4029" s="9">
        <v>414</v>
      </c>
      <c r="H4029" s="5" t="s">
        <v>21</v>
      </c>
      <c r="I4029" s="5" t="s">
        <v>9186</v>
      </c>
      <c r="J4029" s="12" t="str">
        <f>HYPERLINK("https://www.boe.es/gazeta/dias/1801/04/21/pdfs/GMD-1801-32.pdf#page=10","Abrir facsímil")</f>
        <v>Abrir facsímil</v>
      </c>
      <c r="K4029" s="15" t="s">
        <v>23</v>
      </c>
    </row>
    <row r="4030" spans="1:11" ht="42" customHeight="1">
      <c r="A4030" s="4" t="s">
        <v>9187</v>
      </c>
      <c r="B4030" s="5" t="s">
        <v>9188</v>
      </c>
      <c r="C4030" s="5" t="s">
        <v>80</v>
      </c>
      <c r="D4030" s="5" t="s">
        <v>81</v>
      </c>
      <c r="E4030" s="5" t="s">
        <v>289</v>
      </c>
      <c r="F4030" s="9">
        <v>40</v>
      </c>
      <c r="G4030" s="9" t="s">
        <v>996</v>
      </c>
      <c r="H4030" s="5" t="s">
        <v>21</v>
      </c>
      <c r="I4030" s="5" t="s">
        <v>9189</v>
      </c>
      <c r="J4030" s="12" t="str">
        <f>HYPERLINK("https://www.boe.es/gazeta/dias/1801/05/19/pdfs/GMD-C-1801-40.pdf#page=6","Abrir facsímil")</f>
        <v>Abrir facsímil</v>
      </c>
      <c r="K4030" s="15" t="s">
        <v>23</v>
      </c>
    </row>
    <row r="4031" spans="1:11" ht="42" customHeight="1">
      <c r="A4031" s="4" t="s">
        <v>9190</v>
      </c>
      <c r="B4031" s="5" t="s">
        <v>9191</v>
      </c>
      <c r="C4031" s="5" t="s">
        <v>80</v>
      </c>
      <c r="D4031" s="5" t="s">
        <v>81</v>
      </c>
      <c r="E4031" s="5" t="s">
        <v>82</v>
      </c>
      <c r="F4031" s="9">
        <v>75</v>
      </c>
      <c r="G4031" s="9" t="s">
        <v>83</v>
      </c>
      <c r="H4031" s="5" t="s">
        <v>21</v>
      </c>
      <c r="I4031" s="5" t="s">
        <v>9192</v>
      </c>
      <c r="J4031" s="12" t="str">
        <f>HYPERLINK("https://www.boe.es/gazeta/dias/1801/08/04/pdfs/GMD-C-1801-75.pdf#page=2","Abrir facsímil")</f>
        <v>Abrir facsímil</v>
      </c>
      <c r="K4031" s="15" t="s">
        <v>23</v>
      </c>
    </row>
    <row r="4032" spans="1:11" ht="42" customHeight="1">
      <c r="A4032" s="4" t="s">
        <v>9193</v>
      </c>
      <c r="B4032" s="5" t="s">
        <v>9194</v>
      </c>
      <c r="C4032" s="5" t="s">
        <v>32</v>
      </c>
      <c r="D4032" s="5" t="s">
        <v>33</v>
      </c>
      <c r="E4032" s="5" t="s">
        <v>2339</v>
      </c>
      <c r="F4032" s="9" t="s">
        <v>2340</v>
      </c>
      <c r="G4032" s="9">
        <v>617</v>
      </c>
      <c r="H4032" s="5" t="s">
        <v>21</v>
      </c>
      <c r="I4032" s="5" t="s">
        <v>9195</v>
      </c>
      <c r="J4032" s="12" t="str">
        <f>HYPERLINK("https://www.boe.es/gazeta/dias/1801/06/15/pdfs/GMD-1801-54E.pdf#page=1","Abrir facsímil")</f>
        <v>Abrir facsímil</v>
      </c>
      <c r="K4032" s="15" t="s">
        <v>23</v>
      </c>
    </row>
    <row r="4033" spans="1:11" ht="42" customHeight="1">
      <c r="A4033" s="4" t="s">
        <v>9196</v>
      </c>
      <c r="B4033" s="5" t="s">
        <v>9197</v>
      </c>
      <c r="C4033" s="5" t="s">
        <v>32</v>
      </c>
      <c r="D4033" s="5" t="s">
        <v>33</v>
      </c>
      <c r="E4033" s="5" t="s">
        <v>99</v>
      </c>
      <c r="F4033" s="9">
        <v>32</v>
      </c>
      <c r="G4033" s="9">
        <v>414</v>
      </c>
      <c r="H4033" s="5" t="s">
        <v>21</v>
      </c>
      <c r="I4033" s="5" t="s">
        <v>9198</v>
      </c>
      <c r="J4033" s="12" t="str">
        <f>HYPERLINK("https://www.boe.es/gazeta/dias/1801/04/21/pdfs/GMD-1801-32.pdf#page=10","Abrir facsímil")</f>
        <v>Abrir facsímil</v>
      </c>
      <c r="K4033" s="15" t="s">
        <v>23</v>
      </c>
    </row>
    <row r="4034" spans="1:11" ht="42" customHeight="1">
      <c r="A4034" s="4" t="s">
        <v>9199</v>
      </c>
      <c r="B4034" s="5" t="s">
        <v>9200</v>
      </c>
      <c r="C4034" s="5" t="s">
        <v>32</v>
      </c>
      <c r="D4034" s="5" t="s">
        <v>33</v>
      </c>
      <c r="E4034" s="5" t="s">
        <v>264</v>
      </c>
      <c r="F4034" s="9">
        <v>111</v>
      </c>
      <c r="G4034" s="9">
        <v>1218</v>
      </c>
      <c r="H4034" s="5" t="s">
        <v>21</v>
      </c>
      <c r="I4034" s="5" t="s">
        <v>9201</v>
      </c>
      <c r="J4034" s="12" t="str">
        <f>HYPERLINK("https://www.boe.es/gazeta/dias/1801/12/01/pdfs/GMD-1801-111.pdf#page=7","Abrir facsímil")</f>
        <v>Abrir facsímil</v>
      </c>
      <c r="K4034" s="15" t="s">
        <v>23</v>
      </c>
    </row>
    <row r="4035" spans="1:11" ht="42" customHeight="1">
      <c r="A4035" s="4" t="s">
        <v>9202</v>
      </c>
      <c r="B4035" s="5" t="s">
        <v>9203</v>
      </c>
      <c r="C4035" s="5" t="s">
        <v>80</v>
      </c>
      <c r="D4035" s="5" t="s">
        <v>81</v>
      </c>
      <c r="E4035" s="5" t="s">
        <v>82</v>
      </c>
      <c r="F4035" s="9">
        <v>75</v>
      </c>
      <c r="G4035" s="9" t="s">
        <v>668</v>
      </c>
      <c r="H4035" s="5" t="s">
        <v>21</v>
      </c>
      <c r="I4035" s="5" t="s">
        <v>9204</v>
      </c>
      <c r="J4035" s="12" t="str">
        <f>HYPERLINK("https://www.boe.es/gazeta/dias/1801/08/04/pdfs/GMD-C-1801-75.pdf#page=1","Abrir facsímil")</f>
        <v>Abrir facsímil</v>
      </c>
      <c r="K4035" s="15" t="s">
        <v>23</v>
      </c>
    </row>
    <row r="4036" spans="1:11" ht="42" customHeight="1">
      <c r="A4036" s="4" t="s">
        <v>9205</v>
      </c>
      <c r="B4036" s="5" t="s">
        <v>9206</v>
      </c>
      <c r="C4036" s="5" t="s">
        <v>75</v>
      </c>
      <c r="D4036" s="5" t="s">
        <v>76</v>
      </c>
      <c r="E4036" s="5" t="s">
        <v>321</v>
      </c>
      <c r="F4036" s="9">
        <v>3</v>
      </c>
      <c r="G4036" s="9">
        <v>33</v>
      </c>
      <c r="H4036" s="5" t="s">
        <v>21</v>
      </c>
      <c r="I4036" s="5" t="s">
        <v>9207</v>
      </c>
      <c r="J4036" s="12" t="str">
        <f>HYPERLINK("https://www.boe.es/gazeta/dias/1801/01/09/pdfs/GMD-1801-3.pdf#page=9","Abrir facsímil")</f>
        <v>Abrir facsímil</v>
      </c>
      <c r="K4036" s="15" t="s">
        <v>23</v>
      </c>
    </row>
    <row r="4037" spans="1:11" ht="42" customHeight="1">
      <c r="A4037" s="4" t="s">
        <v>9205</v>
      </c>
      <c r="B4037" s="5" t="s">
        <v>9206</v>
      </c>
      <c r="C4037" s="5" t="s">
        <v>32</v>
      </c>
      <c r="D4037" s="5" t="s">
        <v>33</v>
      </c>
      <c r="E4037" s="5" t="s">
        <v>120</v>
      </c>
      <c r="F4037" s="9">
        <v>7</v>
      </c>
      <c r="G4037" s="9">
        <v>84</v>
      </c>
      <c r="H4037" s="5" t="s">
        <v>21</v>
      </c>
      <c r="I4037" s="5" t="s">
        <v>9208</v>
      </c>
      <c r="J4037" s="12" t="str">
        <f>HYPERLINK("https://www.boe.es/gazeta/dias/1801/01/23/pdfs/GMD-1801-7.pdf#page=8","Abrir facsímil")</f>
        <v>Abrir facsímil</v>
      </c>
      <c r="K4037" s="15" t="s">
        <v>23</v>
      </c>
    </row>
    <row r="4038" spans="1:11" ht="42" customHeight="1">
      <c r="A4038" s="4" t="s">
        <v>9209</v>
      </c>
      <c r="B4038" s="5" t="s">
        <v>9209</v>
      </c>
      <c r="C4038" s="5" t="s">
        <v>38</v>
      </c>
      <c r="D4038" s="5" t="s">
        <v>39</v>
      </c>
      <c r="E4038" s="5" t="s">
        <v>105</v>
      </c>
      <c r="F4038" s="9">
        <v>44</v>
      </c>
      <c r="G4038" s="9">
        <v>550</v>
      </c>
      <c r="H4038" s="5" t="s">
        <v>21</v>
      </c>
      <c r="I4038" s="5" t="s">
        <v>9210</v>
      </c>
      <c r="J4038" s="12" t="str">
        <f>HYPERLINK("https://www.boe.es/gazeta/dias/1801/05/29/pdfs/GMD-1801-44.pdf#page=10","Abrir facsímil")</f>
        <v>Abrir facsímil</v>
      </c>
      <c r="K4038" s="15" t="s">
        <v>23</v>
      </c>
    </row>
    <row r="4039" spans="1:11" ht="42" customHeight="1">
      <c r="A4039" s="4" t="s">
        <v>9211</v>
      </c>
      <c r="B4039" s="5" t="s">
        <v>9212</v>
      </c>
      <c r="C4039" s="5" t="s">
        <v>26</v>
      </c>
      <c r="D4039" s="5" t="s">
        <v>27</v>
      </c>
      <c r="E4039" s="5" t="s">
        <v>501</v>
      </c>
      <c r="F4039" s="9">
        <v>115</v>
      </c>
      <c r="G4039" s="9" t="s">
        <v>996</v>
      </c>
      <c r="H4039" s="5" t="s">
        <v>21</v>
      </c>
      <c r="I4039" s="5" t="s">
        <v>9213</v>
      </c>
      <c r="J4039" s="12" t="str">
        <f>HYPERLINK("https://www.boe.es/gazeta/dias/1801/12/15/pdfs/GMD-C-1801-115.pdf#page=6","Abrir facsímil")</f>
        <v>Abrir facsímil</v>
      </c>
      <c r="K4039" s="15" t="s">
        <v>23</v>
      </c>
    </row>
    <row r="4040" spans="1:11" ht="42" customHeight="1">
      <c r="A4040" s="4" t="s">
        <v>9214</v>
      </c>
      <c r="B4040" s="5" t="s">
        <v>9215</v>
      </c>
      <c r="C4040" s="5" t="s">
        <v>32</v>
      </c>
      <c r="D4040" s="5" t="s">
        <v>33</v>
      </c>
      <c r="E4040" s="5" t="s">
        <v>186</v>
      </c>
      <c r="F4040" s="9">
        <v>21</v>
      </c>
      <c r="G4040" s="9">
        <v>280</v>
      </c>
      <c r="H4040" s="5" t="s">
        <v>21</v>
      </c>
      <c r="I4040" s="5" t="s">
        <v>9216</v>
      </c>
      <c r="J4040" s="12" t="str">
        <f>HYPERLINK("https://www.boe.es/gazeta/dias/1801/03/13/pdfs/GMD-1801-21.pdf#page=9","Abrir facsímil")</f>
        <v>Abrir facsímil</v>
      </c>
      <c r="K4040" s="15" t="s">
        <v>23</v>
      </c>
    </row>
    <row r="4041" spans="1:11" ht="42" customHeight="1">
      <c r="A4041" s="4" t="s">
        <v>9217</v>
      </c>
      <c r="B4041" s="5" t="s">
        <v>9217</v>
      </c>
      <c r="C4041" s="5" t="s">
        <v>18</v>
      </c>
      <c r="D4041" s="5" t="s">
        <v>19</v>
      </c>
      <c r="E4041" s="5" t="s">
        <v>190</v>
      </c>
      <c r="F4041" s="9">
        <v>16</v>
      </c>
      <c r="G4041" s="9">
        <v>203</v>
      </c>
      <c r="H4041" s="5" t="s">
        <v>21</v>
      </c>
      <c r="I4041" s="5" t="s">
        <v>9218</v>
      </c>
      <c r="J4041" s="12" t="str">
        <f>HYPERLINK("https://www.boe.es/gazeta/dias/1801/02/24/pdfs/GMD-1801-16.pdf#page=10","Abrir facsímil")</f>
        <v>Abrir facsímil</v>
      </c>
      <c r="K4041" s="15" t="s">
        <v>23</v>
      </c>
    </row>
    <row r="4042" spans="1:11" ht="42" customHeight="1">
      <c r="A4042" s="4" t="s">
        <v>9219</v>
      </c>
      <c r="B4042" s="5" t="s">
        <v>9219</v>
      </c>
      <c r="C4042" s="5" t="s">
        <v>80</v>
      </c>
      <c r="D4042" s="5" t="s">
        <v>81</v>
      </c>
      <c r="E4042" s="5" t="s">
        <v>82</v>
      </c>
      <c r="F4042" s="9">
        <v>75</v>
      </c>
      <c r="G4042" s="9" t="s">
        <v>305</v>
      </c>
      <c r="H4042" s="5" t="s">
        <v>21</v>
      </c>
      <c r="I4042" s="5" t="s">
        <v>9220</v>
      </c>
      <c r="J4042" s="12" t="str">
        <f>HYPERLINK("https://www.boe.es/gazeta/dias/1801/08/04/pdfs/GMD-C-1801-75.pdf#page=4","Abrir facsímil")</f>
        <v>Abrir facsímil</v>
      </c>
      <c r="K4042" s="15" t="s">
        <v>23</v>
      </c>
    </row>
    <row r="4043" spans="1:11" ht="42" customHeight="1">
      <c r="A4043" s="4" t="s">
        <v>9221</v>
      </c>
      <c r="B4043" s="5" t="s">
        <v>9222</v>
      </c>
      <c r="C4043" s="5" t="s">
        <v>38</v>
      </c>
      <c r="D4043" s="5" t="s">
        <v>39</v>
      </c>
      <c r="E4043" s="5" t="s">
        <v>2430</v>
      </c>
      <c r="F4043" s="9">
        <v>27</v>
      </c>
      <c r="G4043" s="9">
        <v>352</v>
      </c>
      <c r="H4043" s="5" t="s">
        <v>21</v>
      </c>
      <c r="I4043" s="5" t="s">
        <v>9223</v>
      </c>
      <c r="J4043" s="12" t="str">
        <f>HYPERLINK("https://www.boe.es/gazeta/dias/1801/04/03/pdfs/GMD-1801-27.pdf#page=4","Abrir facsímil")</f>
        <v>Abrir facsímil</v>
      </c>
      <c r="K4043" s="15" t="s">
        <v>23</v>
      </c>
    </row>
    <row r="4044" spans="1:11" ht="42" customHeight="1">
      <c r="A4044" s="4" t="s">
        <v>9224</v>
      </c>
      <c r="B4044" s="5" t="s">
        <v>9224</v>
      </c>
      <c r="C4044" s="5" t="s">
        <v>32</v>
      </c>
      <c r="D4044" s="5" t="s">
        <v>33</v>
      </c>
      <c r="E4044" s="5" t="s">
        <v>256</v>
      </c>
      <c r="F4044" s="9">
        <v>78</v>
      </c>
      <c r="G4044" s="9">
        <v>881</v>
      </c>
      <c r="H4044" s="5" t="s">
        <v>21</v>
      </c>
      <c r="I4044" s="5" t="s">
        <v>9225</v>
      </c>
      <c r="J4044" s="12" t="str">
        <f>HYPERLINK("https://www.boe.es/gazeta/dias/1801/08/14/pdfs/GMD-1801-78.pdf#page=10","Abrir facsímil")</f>
        <v>Abrir facsímil</v>
      </c>
      <c r="K4044" s="15" t="s">
        <v>23</v>
      </c>
    </row>
    <row r="4045" spans="1:11" ht="42" customHeight="1">
      <c r="A4045" s="4" t="s">
        <v>9226</v>
      </c>
      <c r="B4045" s="5" t="s">
        <v>9226</v>
      </c>
      <c r="C4045" s="5" t="s">
        <v>32</v>
      </c>
      <c r="D4045" s="5" t="s">
        <v>33</v>
      </c>
      <c r="E4045" s="5" t="s">
        <v>1015</v>
      </c>
      <c r="F4045" s="9">
        <v>15</v>
      </c>
      <c r="G4045" s="9">
        <v>191</v>
      </c>
      <c r="H4045" s="5" t="s">
        <v>21</v>
      </c>
      <c r="I4045" s="5" t="s">
        <v>9227</v>
      </c>
      <c r="J4045" s="12" t="str">
        <f>HYPERLINK("https://www.boe.es/gazeta/dias/1801/02/20/pdfs/GMD-1801-15.pdf#page=10","Abrir facsímil")</f>
        <v>Abrir facsímil</v>
      </c>
      <c r="K4045" s="15" t="s">
        <v>23</v>
      </c>
    </row>
    <row r="4046" spans="1:11" ht="42" customHeight="1">
      <c r="A4046" s="4" t="s">
        <v>9228</v>
      </c>
      <c r="B4046" s="5" t="s">
        <v>9228</v>
      </c>
      <c r="C4046" s="5" t="s">
        <v>38</v>
      </c>
      <c r="D4046" s="5" t="s">
        <v>39</v>
      </c>
      <c r="E4046" s="5" t="s">
        <v>751</v>
      </c>
      <c r="F4046" s="9">
        <v>106</v>
      </c>
      <c r="G4046" s="9">
        <v>1164</v>
      </c>
      <c r="H4046" s="5" t="s">
        <v>21</v>
      </c>
      <c r="I4046" s="5" t="s">
        <v>9229</v>
      </c>
      <c r="J4046" s="12" t="str">
        <f>HYPERLINK("https://www.boe.es/gazeta/dias/1801/11/13/pdfs/GMD-1801-106.pdf#page=5","Abrir facsímil")</f>
        <v>Abrir facsímil</v>
      </c>
      <c r="K4046" s="15" t="s">
        <v>23</v>
      </c>
    </row>
    <row r="4047" spans="1:11" ht="42" customHeight="1">
      <c r="A4047" s="4" t="s">
        <v>9230</v>
      </c>
      <c r="B4047" s="5" t="s">
        <v>9230</v>
      </c>
      <c r="C4047" s="5" t="s">
        <v>80</v>
      </c>
      <c r="D4047" s="5" t="s">
        <v>81</v>
      </c>
      <c r="E4047" s="5" t="s">
        <v>82</v>
      </c>
      <c r="F4047" s="9">
        <v>75</v>
      </c>
      <c r="G4047" s="9" t="s">
        <v>996</v>
      </c>
      <c r="H4047" s="5" t="s">
        <v>21</v>
      </c>
      <c r="I4047" s="5" t="s">
        <v>9231</v>
      </c>
      <c r="J4047" s="12" t="str">
        <f>HYPERLINK("https://www.boe.es/gazeta/dias/1801/08/04/pdfs/GMD-C-1801-75.pdf#page=6","Abrir facsímil")</f>
        <v>Abrir facsímil</v>
      </c>
      <c r="K4047" s="15" t="s">
        <v>23</v>
      </c>
    </row>
    <row r="4048" spans="1:11" ht="42" customHeight="1">
      <c r="A4048" s="4" t="s">
        <v>9232</v>
      </c>
      <c r="B4048" s="5" t="s">
        <v>9232</v>
      </c>
      <c r="C4048" s="5" t="s">
        <v>75</v>
      </c>
      <c r="D4048" s="5" t="s">
        <v>76</v>
      </c>
      <c r="E4048" s="5" t="s">
        <v>501</v>
      </c>
      <c r="F4048" s="9">
        <v>115</v>
      </c>
      <c r="G4048" s="9">
        <v>1254</v>
      </c>
      <c r="H4048" s="5" t="s">
        <v>21</v>
      </c>
      <c r="I4048" s="5" t="s">
        <v>9233</v>
      </c>
      <c r="J4048" s="12" t="str">
        <f>HYPERLINK("https://www.boe.es/gazeta/dias/1801/12/15/pdfs/GMD-1801-115.pdf#page=4","Abrir facsímil")</f>
        <v>Abrir facsímil</v>
      </c>
      <c r="K4048" s="15" t="s">
        <v>23</v>
      </c>
    </row>
    <row r="4049" spans="1:11" ht="42" customHeight="1">
      <c r="A4049" s="4" t="s">
        <v>9234</v>
      </c>
      <c r="B4049" s="5" t="s">
        <v>9234</v>
      </c>
      <c r="C4049" s="5" t="s">
        <v>32</v>
      </c>
      <c r="D4049" s="5" t="s">
        <v>33</v>
      </c>
      <c r="E4049" s="5" t="s">
        <v>321</v>
      </c>
      <c r="F4049" s="9">
        <v>3</v>
      </c>
      <c r="G4049" s="9">
        <v>33</v>
      </c>
      <c r="H4049" s="5" t="s">
        <v>21</v>
      </c>
      <c r="I4049" s="5" t="s">
        <v>9235</v>
      </c>
      <c r="J4049" s="12" t="str">
        <f>HYPERLINK("https://www.boe.es/gazeta/dias/1801/01/09/pdfs/GMD-1801-3.pdf#page=9","Abrir facsímil")</f>
        <v>Abrir facsímil</v>
      </c>
      <c r="K4049" s="15" t="s">
        <v>23</v>
      </c>
    </row>
    <row r="4050" spans="1:11" ht="42" customHeight="1">
      <c r="A4050" s="4" t="s">
        <v>9236</v>
      </c>
      <c r="B4050" s="5" t="s">
        <v>9236</v>
      </c>
      <c r="C4050" s="5" t="s">
        <v>32</v>
      </c>
      <c r="D4050" s="5" t="s">
        <v>33</v>
      </c>
      <c r="E4050" s="5" t="s">
        <v>82</v>
      </c>
      <c r="F4050" s="9">
        <v>75</v>
      </c>
      <c r="G4050" s="9">
        <v>840</v>
      </c>
      <c r="H4050" s="5" t="s">
        <v>21</v>
      </c>
      <c r="I4050" s="5" t="s">
        <v>9237</v>
      </c>
      <c r="J4050" s="12" t="str">
        <f>HYPERLINK("https://www.boe.es/gazeta/dias/1801/08/04/pdfs/GMD-1801-75.pdf#page=9","Abrir facsímil")</f>
        <v>Abrir facsímil</v>
      </c>
      <c r="K4050" s="15" t="s">
        <v>23</v>
      </c>
    </row>
    <row r="4051" spans="1:11" ht="42" customHeight="1">
      <c r="A4051" s="4" t="s">
        <v>9238</v>
      </c>
      <c r="B4051" s="5" t="s">
        <v>9238</v>
      </c>
      <c r="C4051" s="5" t="s">
        <v>80</v>
      </c>
      <c r="D4051" s="5" t="s">
        <v>81</v>
      </c>
      <c r="E4051" s="5" t="s">
        <v>82</v>
      </c>
      <c r="F4051" s="9">
        <v>75</v>
      </c>
      <c r="G4051" s="9" t="s">
        <v>299</v>
      </c>
      <c r="H4051" s="5" t="s">
        <v>21</v>
      </c>
      <c r="I4051" s="5" t="s">
        <v>9239</v>
      </c>
      <c r="J4051" s="12" t="str">
        <f>HYPERLINK("https://www.boe.es/gazeta/dias/1801/08/04/pdfs/GMD-C-1801-75.pdf#page=5","Abrir facsímil")</f>
        <v>Abrir facsímil</v>
      </c>
      <c r="K4051" s="15" t="s">
        <v>23</v>
      </c>
    </row>
    <row r="4052" spans="1:11" ht="42" customHeight="1">
      <c r="A4052" s="4" t="s">
        <v>9240</v>
      </c>
      <c r="B4052" s="5" t="s">
        <v>9240</v>
      </c>
      <c r="C4052" s="5" t="s">
        <v>69</v>
      </c>
      <c r="D4052" s="5" t="s">
        <v>19</v>
      </c>
      <c r="E4052" s="5" t="s">
        <v>190</v>
      </c>
      <c r="F4052" s="9">
        <v>16</v>
      </c>
      <c r="G4052" s="9">
        <v>203</v>
      </c>
      <c r="H4052" s="5" t="s">
        <v>21</v>
      </c>
      <c r="I4052" s="5" t="s">
        <v>9241</v>
      </c>
      <c r="J4052" s="12" t="str">
        <f>HYPERLINK("https://www.boe.es/gazeta/dias/1801/02/24/pdfs/GMD-1801-16.pdf#page=10","Abrir facsímil")</f>
        <v>Abrir facsímil</v>
      </c>
      <c r="K4052" s="15" t="s">
        <v>23</v>
      </c>
    </row>
    <row r="4053" spans="1:11" ht="42" customHeight="1">
      <c r="A4053" s="4" t="s">
        <v>9242</v>
      </c>
      <c r="B4053" s="5" t="s">
        <v>9242</v>
      </c>
      <c r="C4053" s="5" t="s">
        <v>38</v>
      </c>
      <c r="D4053" s="5" t="s">
        <v>39</v>
      </c>
      <c r="E4053" s="5" t="s">
        <v>328</v>
      </c>
      <c r="F4053" s="9">
        <v>89</v>
      </c>
      <c r="G4053" s="9">
        <v>981</v>
      </c>
      <c r="H4053" s="5" t="s">
        <v>21</v>
      </c>
      <c r="I4053" s="5" t="s">
        <v>9243</v>
      </c>
      <c r="J4053" s="12" t="str">
        <f>HYPERLINK("https://www.boe.es/gazeta/dias/1801/09/15/pdfs/GMD-1801-89.pdf#page=8","Abrir facsímil")</f>
        <v>Abrir facsímil</v>
      </c>
      <c r="K4053" s="15" t="s">
        <v>23</v>
      </c>
    </row>
    <row r="4054" spans="1:11" ht="42" customHeight="1">
      <c r="A4054" s="4" t="s">
        <v>9244</v>
      </c>
      <c r="B4054" s="5" t="s">
        <v>9245</v>
      </c>
      <c r="C4054" s="5" t="s">
        <v>80</v>
      </c>
      <c r="D4054" s="5" t="s">
        <v>81</v>
      </c>
      <c r="E4054" s="5" t="s">
        <v>82</v>
      </c>
      <c r="F4054" s="9">
        <v>75</v>
      </c>
      <c r="G4054" s="9" t="s">
        <v>86</v>
      </c>
      <c r="H4054" s="5" t="s">
        <v>21</v>
      </c>
      <c r="I4054" s="5" t="s">
        <v>9246</v>
      </c>
      <c r="J4054" s="12" t="str">
        <f>HYPERLINK("https://www.boe.es/gazeta/dias/1801/08/04/pdfs/GMD-C-1801-75.pdf#page=3","Abrir facsímil")</f>
        <v>Abrir facsímil</v>
      </c>
      <c r="K4054" s="15" t="s">
        <v>23</v>
      </c>
    </row>
    <row r="4055" spans="1:11" ht="42" customHeight="1">
      <c r="A4055" s="4" t="s">
        <v>9247</v>
      </c>
      <c r="B4055" s="5" t="s">
        <v>9248</v>
      </c>
      <c r="C4055" s="5" t="s">
        <v>26</v>
      </c>
      <c r="D4055" s="5" t="s">
        <v>27</v>
      </c>
      <c r="E4055" s="5" t="s">
        <v>417</v>
      </c>
      <c r="F4055" s="9">
        <v>64</v>
      </c>
      <c r="G4055" s="9">
        <v>731</v>
      </c>
      <c r="H4055" s="5" t="s">
        <v>21</v>
      </c>
      <c r="I4055" s="5" t="s">
        <v>9249</v>
      </c>
      <c r="J4055" s="12" t="str">
        <f>HYPERLINK("https://www.boe.es/gazeta/dias/1801/07/07/pdfs/GMD-1801-64.pdf#page=12","Abrir facsímil")</f>
        <v>Abrir facsímil</v>
      </c>
      <c r="K4055" s="15" t="s">
        <v>23</v>
      </c>
    </row>
    <row r="4056" spans="1:11" ht="42" customHeight="1">
      <c r="A4056" s="4" t="s">
        <v>9250</v>
      </c>
      <c r="B4056" s="5" t="s">
        <v>9251</v>
      </c>
      <c r="C4056" s="5" t="s">
        <v>80</v>
      </c>
      <c r="D4056" s="5" t="s">
        <v>81</v>
      </c>
      <c r="E4056" s="5" t="s">
        <v>82</v>
      </c>
      <c r="F4056" s="9">
        <v>75</v>
      </c>
      <c r="G4056" s="9" t="s">
        <v>83</v>
      </c>
      <c r="H4056" s="5" t="s">
        <v>21</v>
      </c>
      <c r="I4056" s="5" t="s">
        <v>9252</v>
      </c>
      <c r="J4056" s="12" t="str">
        <f>HYPERLINK("https://www.boe.es/gazeta/dias/1801/08/04/pdfs/GMD-C-1801-75.pdf#page=2","Abrir facsímil")</f>
        <v>Abrir facsímil</v>
      </c>
      <c r="K4056" s="15" t="s">
        <v>23</v>
      </c>
    </row>
    <row r="4057" spans="1:11" ht="42" customHeight="1">
      <c r="A4057" s="4" t="s">
        <v>9253</v>
      </c>
      <c r="B4057" s="5" t="s">
        <v>9253</v>
      </c>
      <c r="C4057" s="5" t="s">
        <v>515</v>
      </c>
      <c r="D4057" s="5" t="s">
        <v>516</v>
      </c>
      <c r="E4057" s="5" t="s">
        <v>501</v>
      </c>
      <c r="F4057" s="9">
        <v>115</v>
      </c>
      <c r="G4057" s="9" t="s">
        <v>83</v>
      </c>
      <c r="H4057" s="5" t="s">
        <v>21</v>
      </c>
      <c r="I4057" s="5" t="s">
        <v>9254</v>
      </c>
      <c r="J4057" s="12" t="str">
        <f>HYPERLINK("https://www.boe.es/gazeta/dias/1801/12/15/pdfs/GMD-C-1801-115.pdf#page=2","Abrir facsímil")</f>
        <v>Abrir facsímil</v>
      </c>
      <c r="K4057" s="15" t="s">
        <v>23</v>
      </c>
    </row>
    <row r="4058" spans="1:11" ht="42" customHeight="1">
      <c r="A4058" s="4" t="s">
        <v>9255</v>
      </c>
      <c r="B4058" s="5" t="s">
        <v>9256</v>
      </c>
      <c r="C4058" s="5" t="s">
        <v>80</v>
      </c>
      <c r="D4058" s="5" t="s">
        <v>81</v>
      </c>
      <c r="E4058" s="5" t="s">
        <v>82</v>
      </c>
      <c r="F4058" s="9">
        <v>75</v>
      </c>
      <c r="G4058" s="9" t="s">
        <v>996</v>
      </c>
      <c r="H4058" s="5" t="s">
        <v>21</v>
      </c>
      <c r="I4058" s="5" t="s">
        <v>9257</v>
      </c>
      <c r="J4058" s="12" t="str">
        <f>HYPERLINK("https://www.boe.es/gazeta/dias/1801/08/04/pdfs/GMD-C-1801-75.pdf#page=6","Abrir facsímil")</f>
        <v>Abrir facsímil</v>
      </c>
      <c r="K4058" s="15" t="s">
        <v>23</v>
      </c>
    </row>
    <row r="4059" spans="1:11" ht="42" customHeight="1">
      <c r="A4059" s="4" t="s">
        <v>9258</v>
      </c>
      <c r="B4059" s="5" t="s">
        <v>9259</v>
      </c>
      <c r="C4059" s="5" t="s">
        <v>80</v>
      </c>
      <c r="D4059" s="5" t="s">
        <v>81</v>
      </c>
      <c r="E4059" s="5" t="s">
        <v>82</v>
      </c>
      <c r="F4059" s="9">
        <v>75</v>
      </c>
      <c r="G4059" s="9" t="s">
        <v>668</v>
      </c>
      <c r="H4059" s="5" t="s">
        <v>21</v>
      </c>
      <c r="I4059" s="5" t="s">
        <v>9260</v>
      </c>
      <c r="J4059" s="12" t="str">
        <f>HYPERLINK("https://www.boe.es/gazeta/dias/1801/08/04/pdfs/GMD-C-1801-75.pdf#page=1","Abrir facsímil")</f>
        <v>Abrir facsímil</v>
      </c>
      <c r="K4059" s="15" t="s">
        <v>23</v>
      </c>
    </row>
    <row r="4060" spans="1:11" ht="42" customHeight="1">
      <c r="A4060" s="4" t="s">
        <v>9261</v>
      </c>
      <c r="B4060" s="5" t="s">
        <v>9262</v>
      </c>
      <c r="C4060" s="5" t="s">
        <v>69</v>
      </c>
      <c r="D4060" s="5" t="s">
        <v>19</v>
      </c>
      <c r="E4060" s="5" t="s">
        <v>158</v>
      </c>
      <c r="F4060" s="9">
        <v>55</v>
      </c>
      <c r="G4060" s="9">
        <v>631</v>
      </c>
      <c r="H4060" s="5" t="s">
        <v>21</v>
      </c>
      <c r="I4060" s="5" t="s">
        <v>9263</v>
      </c>
      <c r="J4060" s="12" t="str">
        <f>HYPERLINK("https://www.boe.es/gazeta/dias/1801/06/16/pdfs/GMD-1801-55.pdf#page=7","Abrir facsímil")</f>
        <v>Abrir facsímil</v>
      </c>
      <c r="K4060" s="15" t="s">
        <v>23</v>
      </c>
    </row>
    <row r="4061" spans="1:11" ht="42" customHeight="1">
      <c r="A4061" s="4" t="s">
        <v>9264</v>
      </c>
      <c r="B4061" s="5" t="s">
        <v>9265</v>
      </c>
      <c r="C4061" s="5" t="s">
        <v>38</v>
      </c>
      <c r="D4061" s="5" t="s">
        <v>39</v>
      </c>
      <c r="E4061" s="5" t="s">
        <v>338</v>
      </c>
      <c r="F4061" s="9">
        <v>83</v>
      </c>
      <c r="G4061" s="9">
        <v>937</v>
      </c>
      <c r="H4061" s="5" t="s">
        <v>21</v>
      </c>
      <c r="I4061" s="5" t="s">
        <v>9266</v>
      </c>
      <c r="J4061" s="12" t="str">
        <f>HYPERLINK("https://www.boe.es/gazeta/dias/1801/09/01/pdfs/GMD-1801-83.pdf#page=12","Abrir facsímil")</f>
        <v>Abrir facsímil</v>
      </c>
      <c r="K4061" s="15" t="s">
        <v>23</v>
      </c>
    </row>
    <row r="4062" spans="1:11" ht="42" customHeight="1">
      <c r="A4062" s="4" t="s">
        <v>9267</v>
      </c>
      <c r="B4062" s="5" t="s">
        <v>9268</v>
      </c>
      <c r="C4062" s="5" t="s">
        <v>32</v>
      </c>
      <c r="D4062" s="5" t="s">
        <v>33</v>
      </c>
      <c r="E4062" s="5" t="s">
        <v>292</v>
      </c>
      <c r="F4062" s="9">
        <v>25</v>
      </c>
      <c r="G4062" s="9">
        <v>331</v>
      </c>
      <c r="H4062" s="5" t="s">
        <v>21</v>
      </c>
      <c r="I4062" s="5" t="s">
        <v>9269</v>
      </c>
      <c r="J4062" s="12" t="str">
        <f>HYPERLINK("https://www.boe.es/gazeta/dias/1801/03/27/pdfs/GMD-1801-25.pdf#page=10","Abrir facsímil")</f>
        <v>Abrir facsímil</v>
      </c>
      <c r="K4062" s="15" t="s">
        <v>23</v>
      </c>
    </row>
    <row r="4063" spans="1:11" ht="42" customHeight="1">
      <c r="A4063" s="4" t="s">
        <v>9270</v>
      </c>
      <c r="B4063" s="5" t="s">
        <v>9271</v>
      </c>
      <c r="C4063" s="5" t="s">
        <v>26</v>
      </c>
      <c r="D4063" s="5" t="s">
        <v>27</v>
      </c>
      <c r="E4063" s="5" t="s">
        <v>2185</v>
      </c>
      <c r="F4063" s="9">
        <v>84</v>
      </c>
      <c r="G4063" s="9">
        <v>945</v>
      </c>
      <c r="H4063" s="5" t="s">
        <v>21</v>
      </c>
      <c r="I4063" s="5" t="s">
        <v>9272</v>
      </c>
      <c r="J4063" s="12" t="str">
        <f>HYPERLINK("https://www.boe.es/gazeta/dias/1801/09/04/pdfs/GMD-1801-84.pdf#page=8","Abrir facsímil")</f>
        <v>Abrir facsímil</v>
      </c>
      <c r="K4063" s="15" t="s">
        <v>23</v>
      </c>
    </row>
    <row r="4064" spans="1:11" ht="42" customHeight="1">
      <c r="A4064" s="4" t="s">
        <v>9270</v>
      </c>
      <c r="B4064" s="5" t="s">
        <v>9271</v>
      </c>
      <c r="C4064" s="5" t="s">
        <v>26</v>
      </c>
      <c r="D4064" s="5" t="s">
        <v>27</v>
      </c>
      <c r="E4064" s="5" t="s">
        <v>1436</v>
      </c>
      <c r="F4064" s="9">
        <v>95</v>
      </c>
      <c r="G4064" s="9">
        <v>1044</v>
      </c>
      <c r="H4064" s="5" t="s">
        <v>21</v>
      </c>
      <c r="I4064" s="5" t="s">
        <v>9273</v>
      </c>
      <c r="J4064" s="12" t="str">
        <f>HYPERLINK("https://www.boe.es/gazeta/dias/1801/10/06/pdfs/GMD-1801-95.pdf#page=8","Abrir facsímil")</f>
        <v>Abrir facsímil</v>
      </c>
      <c r="K4064" s="15" t="s">
        <v>23</v>
      </c>
    </row>
    <row r="4065" spans="1:11" ht="42" customHeight="1">
      <c r="A4065" s="4" t="s">
        <v>9274</v>
      </c>
      <c r="B4065" s="5" t="s">
        <v>9275</v>
      </c>
      <c r="C4065" s="5" t="s">
        <v>32</v>
      </c>
      <c r="D4065" s="5" t="s">
        <v>33</v>
      </c>
      <c r="E4065" s="5" t="s">
        <v>171</v>
      </c>
      <c r="F4065" s="9">
        <v>76</v>
      </c>
      <c r="G4065" s="9">
        <v>853</v>
      </c>
      <c r="H4065" s="5" t="s">
        <v>21</v>
      </c>
      <c r="I4065" s="5" t="s">
        <v>9276</v>
      </c>
      <c r="J4065" s="12" t="str">
        <f>HYPERLINK("https://www.boe.es/gazeta/dias/1801/08/07/pdfs/GMD-1801-76.pdf#page=10","Abrir facsímil")</f>
        <v>Abrir facsímil</v>
      </c>
      <c r="K4065" s="15" t="s">
        <v>23</v>
      </c>
    </row>
    <row r="4066" spans="1:11" ht="42" customHeight="1">
      <c r="A4066" s="4" t="s">
        <v>9277</v>
      </c>
      <c r="B4066" s="5" t="s">
        <v>9278</v>
      </c>
      <c r="C4066" s="5" t="s">
        <v>32</v>
      </c>
      <c r="D4066" s="5" t="s">
        <v>33</v>
      </c>
      <c r="E4066" s="5" t="s">
        <v>55</v>
      </c>
      <c r="F4066" s="9">
        <v>104</v>
      </c>
      <c r="G4066" s="9">
        <v>1145</v>
      </c>
      <c r="H4066" s="5" t="s">
        <v>21</v>
      </c>
      <c r="I4066" s="5" t="s">
        <v>9279</v>
      </c>
      <c r="J4066" s="12" t="str">
        <f>HYPERLINK("https://www.boe.es/gazeta/dias/1801/11/06/pdfs/GMD-1801-104.pdf#page=6","Abrir facsímil")</f>
        <v>Abrir facsímil</v>
      </c>
      <c r="K4066" s="15" t="s">
        <v>23</v>
      </c>
    </row>
    <row r="4067" spans="1:11" ht="42" customHeight="1">
      <c r="A4067" s="4" t="s">
        <v>9280</v>
      </c>
      <c r="B4067" s="5" t="s">
        <v>9281</v>
      </c>
      <c r="C4067" s="5" t="s">
        <v>32</v>
      </c>
      <c r="D4067" s="5" t="s">
        <v>33</v>
      </c>
      <c r="E4067" s="5" t="s">
        <v>62</v>
      </c>
      <c r="F4067" s="9">
        <v>6</v>
      </c>
      <c r="G4067" s="9">
        <v>73</v>
      </c>
      <c r="H4067" s="5" t="s">
        <v>21</v>
      </c>
      <c r="I4067" s="5" t="s">
        <v>9282</v>
      </c>
      <c r="J4067" s="12" t="str">
        <f>HYPERLINK("https://www.boe.es/gazeta/dias/1801/01/20/pdfs/GMD-1801-6.pdf#page=9","Abrir facsímil")</f>
        <v>Abrir facsímil</v>
      </c>
      <c r="K4067" s="15" t="s">
        <v>23</v>
      </c>
    </row>
    <row r="4068" spans="1:11" ht="42" customHeight="1">
      <c r="A4068" s="4" t="s">
        <v>9283</v>
      </c>
      <c r="B4068" s="5" t="s">
        <v>9284</v>
      </c>
      <c r="C4068" s="5" t="s">
        <v>38</v>
      </c>
      <c r="D4068" s="5" t="s">
        <v>39</v>
      </c>
      <c r="E4068" s="5" t="s">
        <v>888</v>
      </c>
      <c r="F4068" s="9">
        <v>103</v>
      </c>
      <c r="G4068" s="9">
        <v>1137</v>
      </c>
      <c r="H4068" s="5" t="s">
        <v>21</v>
      </c>
      <c r="I4068" s="5" t="s">
        <v>9285</v>
      </c>
      <c r="J4068" s="12" t="str">
        <f>HYPERLINK("https://www.boe.es/gazeta/dias/1801/11/03/pdfs/GMD-1801-103.pdf#page=10","Abrir facsímil")</f>
        <v>Abrir facsímil</v>
      </c>
      <c r="K4068" s="15" t="s">
        <v>23</v>
      </c>
    </row>
    <row r="4069" spans="1:11" ht="42" customHeight="1">
      <c r="A4069" s="4" t="s">
        <v>9286</v>
      </c>
      <c r="B4069" s="5" t="s">
        <v>9287</v>
      </c>
      <c r="C4069" s="5" t="s">
        <v>38</v>
      </c>
      <c r="D4069" s="5" t="s">
        <v>39</v>
      </c>
      <c r="E4069" s="5" t="s">
        <v>219</v>
      </c>
      <c r="F4069" s="9">
        <v>26</v>
      </c>
      <c r="G4069" s="9">
        <v>346</v>
      </c>
      <c r="H4069" s="5" t="s">
        <v>21</v>
      </c>
      <c r="I4069" s="5" t="s">
        <v>9288</v>
      </c>
      <c r="J4069" s="12" t="str">
        <f>HYPERLINK("https://www.boe.es/gazeta/dias/1801/03/31/pdfs/GMD-1801-26.pdf#page=10","Abrir facsímil")</f>
        <v>Abrir facsímil</v>
      </c>
      <c r="K4069" s="15" t="s">
        <v>23</v>
      </c>
    </row>
    <row r="4070" spans="1:11" ht="42" customHeight="1">
      <c r="A4070" s="4" t="s">
        <v>9289</v>
      </c>
      <c r="B4070" s="5" t="s">
        <v>9290</v>
      </c>
      <c r="C4070" s="5" t="s">
        <v>18</v>
      </c>
      <c r="D4070" s="5" t="s">
        <v>19</v>
      </c>
      <c r="E4070" s="5" t="s">
        <v>615</v>
      </c>
      <c r="F4070" s="9">
        <v>72</v>
      </c>
      <c r="G4070" s="9">
        <v>806</v>
      </c>
      <c r="H4070" s="5" t="s">
        <v>21</v>
      </c>
      <c r="I4070" s="5" t="s">
        <v>9291</v>
      </c>
      <c r="J4070" s="12" t="str">
        <f>HYPERLINK("https://www.boe.es/gazeta/dias/1801/07/24/pdfs/GMD-1801-72.pdf#page=11","Abrir facsímil")</f>
        <v>Abrir facsímil</v>
      </c>
      <c r="K4070" s="15" t="s">
        <v>23</v>
      </c>
    </row>
    <row r="4071" spans="1:11" ht="42" customHeight="1">
      <c r="A4071" s="4" t="s">
        <v>9292</v>
      </c>
      <c r="B4071" s="5" t="s">
        <v>9293</v>
      </c>
      <c r="C4071" s="5" t="s">
        <v>515</v>
      </c>
      <c r="D4071" s="5" t="s">
        <v>516</v>
      </c>
      <c r="E4071" s="5" t="s">
        <v>501</v>
      </c>
      <c r="F4071" s="9">
        <v>115</v>
      </c>
      <c r="G4071" s="9" t="s">
        <v>517</v>
      </c>
      <c r="H4071" s="5" t="s">
        <v>21</v>
      </c>
      <c r="I4071" s="5" t="s">
        <v>9294</v>
      </c>
      <c r="J4071" s="12" t="str">
        <f>HYPERLINK("https://www.boe.es/gazeta/dias/1801/12/15/pdfs/GMD-C-1801-115.pdf#page=7","Abrir facsímil")</f>
        <v>Abrir facsímil</v>
      </c>
      <c r="K4071" s="15" t="s">
        <v>23</v>
      </c>
    </row>
    <row r="4072" spans="1:11" ht="42" customHeight="1">
      <c r="A4072" s="4" t="s">
        <v>9295</v>
      </c>
      <c r="B4072" s="5" t="s">
        <v>9296</v>
      </c>
      <c r="C4072" s="5" t="s">
        <v>38</v>
      </c>
      <c r="D4072" s="5" t="s">
        <v>39</v>
      </c>
      <c r="E4072" s="5" t="s">
        <v>48</v>
      </c>
      <c r="F4072" s="9">
        <v>20</v>
      </c>
      <c r="G4072" s="9">
        <v>264</v>
      </c>
      <c r="H4072" s="5" t="s">
        <v>21</v>
      </c>
      <c r="I4072" s="5" t="s">
        <v>9297</v>
      </c>
      <c r="J4072" s="12" t="str">
        <f>HYPERLINK("https://www.boe.es/gazeta/dias/1801/03/10/pdfs/GMD-1801-20.pdf#page=9","Abrir facsímil")</f>
        <v>Abrir facsímil</v>
      </c>
      <c r="K4072" s="15" t="s">
        <v>23</v>
      </c>
    </row>
    <row r="4073" spans="1:11" ht="42" customHeight="1">
      <c r="A4073" s="4" t="s">
        <v>9298</v>
      </c>
      <c r="B4073" s="5" t="s">
        <v>9299</v>
      </c>
      <c r="C4073" s="5" t="s">
        <v>18</v>
      </c>
      <c r="D4073" s="5" t="s">
        <v>19</v>
      </c>
      <c r="E4073" s="5" t="s">
        <v>453</v>
      </c>
      <c r="F4073" s="9">
        <v>100</v>
      </c>
      <c r="G4073" s="9">
        <v>1102</v>
      </c>
      <c r="H4073" s="5" t="s">
        <v>21</v>
      </c>
      <c r="I4073" s="5" t="s">
        <v>9300</v>
      </c>
      <c r="J4073" s="12" t="str">
        <f>HYPERLINK("https://www.boe.es/gazeta/dias/1801/10/23/pdfs/GMD-1801-100.pdf#page=11","Abrir facsímil")</f>
        <v>Abrir facsímil</v>
      </c>
      <c r="K4073" s="15" t="s">
        <v>23</v>
      </c>
    </row>
    <row r="4074" spans="1:11" ht="42" customHeight="1">
      <c r="A4074" s="4" t="s">
        <v>9301</v>
      </c>
      <c r="B4074" s="5" t="s">
        <v>9302</v>
      </c>
      <c r="C4074" s="5" t="s">
        <v>32</v>
      </c>
      <c r="D4074" s="5" t="s">
        <v>33</v>
      </c>
      <c r="E4074" s="5" t="s">
        <v>99</v>
      </c>
      <c r="F4074" s="9">
        <v>32</v>
      </c>
      <c r="G4074" s="9">
        <v>414</v>
      </c>
      <c r="H4074" s="5" t="s">
        <v>21</v>
      </c>
      <c r="I4074" s="5" t="s">
        <v>9303</v>
      </c>
      <c r="J4074" s="12" t="str">
        <f>HYPERLINK("https://www.boe.es/gazeta/dias/1801/04/21/pdfs/GMD-1801-32.pdf#page=10","Abrir facsímil")</f>
        <v>Abrir facsímil</v>
      </c>
      <c r="K4074" s="15" t="s">
        <v>23</v>
      </c>
    </row>
    <row r="4075" spans="1:11" ht="42" customHeight="1">
      <c r="A4075" s="4" t="s">
        <v>9304</v>
      </c>
      <c r="B4075" s="5" t="s">
        <v>9305</v>
      </c>
      <c r="C4075" s="5" t="s">
        <v>32</v>
      </c>
      <c r="D4075" s="5" t="s">
        <v>33</v>
      </c>
      <c r="E4075" s="5" t="s">
        <v>48</v>
      </c>
      <c r="F4075" s="9">
        <v>20</v>
      </c>
      <c r="G4075" s="9">
        <v>265</v>
      </c>
      <c r="H4075" s="5" t="s">
        <v>21</v>
      </c>
      <c r="I4075" s="5" t="s">
        <v>9306</v>
      </c>
      <c r="J4075" s="12" t="str">
        <f>HYPERLINK("https://www.boe.es/gazeta/dias/1801/03/10/pdfs/GMD-1801-20.pdf#page=10","Abrir facsímil")</f>
        <v>Abrir facsímil</v>
      </c>
      <c r="K4075" s="15" t="s">
        <v>23</v>
      </c>
    </row>
    <row r="4076" spans="1:11" ht="42" customHeight="1">
      <c r="A4076" s="4" t="s">
        <v>9307</v>
      </c>
      <c r="B4076" s="5" t="s">
        <v>9308</v>
      </c>
      <c r="C4076" s="5" t="s">
        <v>32</v>
      </c>
      <c r="D4076" s="5" t="s">
        <v>33</v>
      </c>
      <c r="E4076" s="5" t="s">
        <v>165</v>
      </c>
      <c r="F4076" s="9">
        <v>59</v>
      </c>
      <c r="G4076" s="9">
        <v>676</v>
      </c>
      <c r="H4076" s="5" t="s">
        <v>21</v>
      </c>
      <c r="I4076" s="5" t="s">
        <v>9309</v>
      </c>
      <c r="J4076" s="12" t="str">
        <f>HYPERLINK("https://www.boe.es/gazeta/dias/1801/06/23/pdfs/GMD-1801-59.pdf#page=9","Abrir facsímil")</f>
        <v>Abrir facsímil</v>
      </c>
      <c r="K4076" s="15" t="s">
        <v>23</v>
      </c>
    </row>
    <row r="4077" spans="1:11" ht="42" customHeight="1">
      <c r="A4077" s="4" t="s">
        <v>9310</v>
      </c>
      <c r="B4077" s="5" t="s">
        <v>9311</v>
      </c>
      <c r="C4077" s="5" t="s">
        <v>18</v>
      </c>
      <c r="D4077" s="5" t="s">
        <v>19</v>
      </c>
      <c r="E4077" s="5" t="s">
        <v>480</v>
      </c>
      <c r="F4077" s="9">
        <v>10</v>
      </c>
      <c r="G4077" s="9">
        <v>126</v>
      </c>
      <c r="H4077" s="5" t="s">
        <v>21</v>
      </c>
      <c r="I4077" s="5" t="s">
        <v>9312</v>
      </c>
      <c r="J4077" s="12" t="str">
        <f>HYPERLINK("https://www.boe.es/gazeta/dias/1801/02/03/pdfs/GMD-1801-10.pdf#page=11","Abrir facsímil")</f>
        <v>Abrir facsímil</v>
      </c>
      <c r="K4077" s="15" t="s">
        <v>23</v>
      </c>
    </row>
    <row r="4078" spans="1:11" ht="42" customHeight="1">
      <c r="A4078" s="4" t="s">
        <v>9313</v>
      </c>
      <c r="B4078" s="5" t="s">
        <v>9314</v>
      </c>
      <c r="C4078" s="5" t="s">
        <v>38</v>
      </c>
      <c r="D4078" s="5" t="s">
        <v>39</v>
      </c>
      <c r="E4078" s="5" t="s">
        <v>256</v>
      </c>
      <c r="F4078" s="9">
        <v>78</v>
      </c>
      <c r="G4078" s="9">
        <v>881</v>
      </c>
      <c r="H4078" s="5" t="s">
        <v>21</v>
      </c>
      <c r="I4078" s="5" t="s">
        <v>9315</v>
      </c>
      <c r="J4078" s="12" t="str">
        <f>HYPERLINK("https://www.boe.es/gazeta/dias/1801/08/14/pdfs/GMD-1801-78.pdf#page=10","Abrir facsímil")</f>
        <v>Abrir facsímil</v>
      </c>
      <c r="K4078" s="15" t="s">
        <v>23</v>
      </c>
    </row>
    <row r="4079" spans="1:11" ht="42" customHeight="1">
      <c r="A4079" s="4" t="s">
        <v>9316</v>
      </c>
      <c r="B4079" s="5" t="s">
        <v>9317</v>
      </c>
      <c r="C4079" s="5" t="s">
        <v>26</v>
      </c>
      <c r="D4079" s="5" t="s">
        <v>27</v>
      </c>
      <c r="E4079" s="5" t="s">
        <v>256</v>
      </c>
      <c r="F4079" s="9">
        <v>78</v>
      </c>
      <c r="G4079" s="9">
        <v>883</v>
      </c>
      <c r="H4079" s="5" t="s">
        <v>21</v>
      </c>
      <c r="I4079" s="5" t="s">
        <v>9318</v>
      </c>
      <c r="J4079" s="12" t="str">
        <f>HYPERLINK("https://www.boe.es/gazeta/dias/1801/08/14/pdfs/GMD-1801-78.pdf#page=12","Abrir facsímil")</f>
        <v>Abrir facsímil</v>
      </c>
      <c r="K4079" s="15" t="s">
        <v>23</v>
      </c>
    </row>
    <row r="4080" spans="1:11" ht="42" customHeight="1">
      <c r="A4080" s="4" t="s">
        <v>9319</v>
      </c>
      <c r="B4080" s="5" t="s">
        <v>9319</v>
      </c>
      <c r="C4080" s="5" t="s">
        <v>75</v>
      </c>
      <c r="D4080" s="5" t="s">
        <v>76</v>
      </c>
      <c r="E4080" s="5" t="s">
        <v>141</v>
      </c>
      <c r="F4080" s="9">
        <v>33</v>
      </c>
      <c r="G4080" s="9">
        <v>421</v>
      </c>
      <c r="H4080" s="5" t="s">
        <v>21</v>
      </c>
      <c r="I4080" s="5" t="s">
        <v>9320</v>
      </c>
      <c r="J4080" s="12" t="str">
        <f>HYPERLINK("https://www.boe.es/gazeta/dias/1801/04/24/pdfs/GMD-1801-33.pdf#page=5","Abrir facsímil")</f>
        <v>Abrir facsímil</v>
      </c>
      <c r="K4080" s="15" t="s">
        <v>23</v>
      </c>
    </row>
    <row r="4081" spans="1:11" ht="42" customHeight="1">
      <c r="A4081" s="4" t="s">
        <v>9321</v>
      </c>
      <c r="B4081" s="5" t="s">
        <v>9322</v>
      </c>
      <c r="C4081" s="5" t="s">
        <v>75</v>
      </c>
      <c r="D4081" s="5" t="s">
        <v>76</v>
      </c>
      <c r="E4081" s="5" t="s">
        <v>105</v>
      </c>
      <c r="F4081" s="9">
        <v>44</v>
      </c>
      <c r="G4081" s="9">
        <v>544</v>
      </c>
      <c r="H4081" s="5" t="s">
        <v>21</v>
      </c>
      <c r="I4081" s="5" t="s">
        <v>9323</v>
      </c>
      <c r="J4081" s="12" t="str">
        <f>HYPERLINK("https://www.boe.es/gazeta/dias/1801/05/29/pdfs/GMD-1801-44.pdf#page=4","Abrir facsímil")</f>
        <v>Abrir facsímil</v>
      </c>
      <c r="K4081" s="15" t="s">
        <v>23</v>
      </c>
    </row>
    <row r="4082" spans="1:11" ht="42" customHeight="1">
      <c r="A4082" s="4" t="s">
        <v>9324</v>
      </c>
      <c r="B4082" s="5" t="s">
        <v>9324</v>
      </c>
      <c r="C4082" s="5" t="s">
        <v>32</v>
      </c>
      <c r="D4082" s="5" t="s">
        <v>33</v>
      </c>
      <c r="E4082" s="5" t="s">
        <v>201</v>
      </c>
      <c r="F4082" s="9">
        <v>79</v>
      </c>
      <c r="G4082" s="9">
        <v>886</v>
      </c>
      <c r="H4082" s="5" t="s">
        <v>21</v>
      </c>
      <c r="I4082" s="5" t="s">
        <v>9325</v>
      </c>
      <c r="J4082" s="12" t="str">
        <f>HYPERLINK("https://www.boe.es/gazeta/dias/1801/08/18/pdfs/GMD-1801-79.pdf#page=3","Abrir facsímil")</f>
        <v>Abrir facsímil</v>
      </c>
      <c r="K4082" s="15" t="s">
        <v>23</v>
      </c>
    </row>
    <row r="4083" spans="1:11" ht="42" customHeight="1">
      <c r="A4083" s="4" t="s">
        <v>9326</v>
      </c>
      <c r="B4083" s="5" t="s">
        <v>9326</v>
      </c>
      <c r="C4083" s="5" t="s">
        <v>75</v>
      </c>
      <c r="D4083" s="5" t="s">
        <v>76</v>
      </c>
      <c r="E4083" s="5" t="s">
        <v>173</v>
      </c>
      <c r="F4083" s="9">
        <v>98</v>
      </c>
      <c r="G4083" s="9">
        <v>1071</v>
      </c>
      <c r="H4083" s="5" t="s">
        <v>21</v>
      </c>
      <c r="I4083" s="5" t="s">
        <v>9327</v>
      </c>
      <c r="J4083" s="12" t="str">
        <f>HYPERLINK("https://www.boe.es/gazeta/dias/1801/10/16/pdfs/GMD-1801-98.pdf#page=3","Abrir facsímil")</f>
        <v>Abrir facsímil</v>
      </c>
      <c r="K4083" s="15" t="s">
        <v>23</v>
      </c>
    </row>
    <row r="4084" spans="1:11" ht="42" customHeight="1">
      <c r="A4084" s="4" t="s">
        <v>9328</v>
      </c>
      <c r="B4084" s="5" t="s">
        <v>9329</v>
      </c>
      <c r="C4084" s="5" t="s">
        <v>32</v>
      </c>
      <c r="D4084" s="5" t="s">
        <v>33</v>
      </c>
      <c r="E4084" s="5" t="s">
        <v>143</v>
      </c>
      <c r="F4084" s="9">
        <v>34</v>
      </c>
      <c r="G4084" s="9">
        <v>429</v>
      </c>
      <c r="H4084" s="5" t="s">
        <v>21</v>
      </c>
      <c r="I4084" s="5" t="s">
        <v>9330</v>
      </c>
      <c r="J4084" s="12" t="str">
        <f>HYPERLINK("https://www.boe.es/gazeta/dias/1801/04/28/pdfs/GMD-1801-34.pdf#page=1","Abrir facsímil")</f>
        <v>Abrir facsímil</v>
      </c>
      <c r="K4084" s="15" t="s">
        <v>23</v>
      </c>
    </row>
    <row r="4085" spans="1:11" ht="42" customHeight="1">
      <c r="A4085" s="4" t="s">
        <v>9331</v>
      </c>
      <c r="B4085" s="5" t="s">
        <v>9332</v>
      </c>
      <c r="C4085" s="5" t="s">
        <v>38</v>
      </c>
      <c r="D4085" s="5" t="s">
        <v>39</v>
      </c>
      <c r="E4085" s="5" t="s">
        <v>126</v>
      </c>
      <c r="F4085" s="9">
        <v>13</v>
      </c>
      <c r="G4085" s="9">
        <v>155</v>
      </c>
      <c r="H4085" s="5" t="s">
        <v>21</v>
      </c>
      <c r="I4085" s="5" t="s">
        <v>9333</v>
      </c>
      <c r="J4085" s="12" t="str">
        <f>HYPERLINK("https://www.boe.es/gazeta/dias/1801/02/13/pdfs/GMD-1801-13.pdf#page=2","Abrir facsímil")</f>
        <v>Abrir facsímil</v>
      </c>
      <c r="K4085" s="15" t="s">
        <v>23</v>
      </c>
    </row>
    <row r="4086" spans="1:11" ht="42" customHeight="1">
      <c r="A4086" s="4" t="s">
        <v>9334</v>
      </c>
      <c r="B4086" s="5" t="s">
        <v>9334</v>
      </c>
      <c r="C4086" s="5" t="s">
        <v>26</v>
      </c>
      <c r="D4086" s="5" t="s">
        <v>27</v>
      </c>
      <c r="E4086" s="5" t="s">
        <v>179</v>
      </c>
      <c r="F4086" s="9">
        <v>11</v>
      </c>
      <c r="G4086" s="9">
        <v>139</v>
      </c>
      <c r="H4086" s="5" t="s">
        <v>21</v>
      </c>
      <c r="I4086" s="5" t="s">
        <v>9335</v>
      </c>
      <c r="J4086" s="12" t="str">
        <f>HYPERLINK("https://www.boe.es/gazeta/dias/1801/02/06/pdfs/GMD-1801-11.pdf#page=12","Abrir facsímil")</f>
        <v>Abrir facsímil</v>
      </c>
      <c r="K4086" s="15" t="s">
        <v>23</v>
      </c>
    </row>
    <row r="4087" spans="1:11" ht="42" customHeight="1">
      <c r="A4087" s="4" t="s">
        <v>9336</v>
      </c>
      <c r="B4087" s="5" t="s">
        <v>9337</v>
      </c>
      <c r="C4087" s="5" t="s">
        <v>38</v>
      </c>
      <c r="D4087" s="5" t="s">
        <v>39</v>
      </c>
      <c r="E4087" s="5" t="s">
        <v>171</v>
      </c>
      <c r="F4087" s="9">
        <v>76</v>
      </c>
      <c r="G4087" s="9">
        <v>850</v>
      </c>
      <c r="H4087" s="5" t="s">
        <v>21</v>
      </c>
      <c r="I4087" s="5" t="s">
        <v>9338</v>
      </c>
      <c r="J4087" s="12" t="str">
        <f>HYPERLINK("https://www.boe.es/gazeta/dias/1801/08/07/pdfs/GMD-1801-76.pdf#page=7","Abrir facsímil")</f>
        <v>Abrir facsímil</v>
      </c>
      <c r="K4087" s="15" t="s">
        <v>23</v>
      </c>
    </row>
    <row r="4088" spans="1:11" ht="42" customHeight="1">
      <c r="A4088" s="4" t="s">
        <v>9339</v>
      </c>
      <c r="B4088" s="5" t="s">
        <v>9339</v>
      </c>
      <c r="C4088" s="5" t="s">
        <v>32</v>
      </c>
      <c r="D4088" s="5" t="s">
        <v>33</v>
      </c>
      <c r="E4088" s="5" t="s">
        <v>292</v>
      </c>
      <c r="F4088" s="9">
        <v>25</v>
      </c>
      <c r="G4088" s="9">
        <v>327</v>
      </c>
      <c r="H4088" s="5" t="s">
        <v>21</v>
      </c>
      <c r="I4088" s="5" t="s">
        <v>9340</v>
      </c>
      <c r="J4088" s="12" t="str">
        <f>HYPERLINK("https://www.boe.es/gazeta/dias/1801/03/27/pdfs/GMD-1801-25.pdf#page=6","Abrir facsímil")</f>
        <v>Abrir facsímil</v>
      </c>
      <c r="K4088" s="15" t="s">
        <v>23</v>
      </c>
    </row>
    <row r="4089" spans="1:11" ht="42" customHeight="1">
      <c r="A4089" s="4" t="s">
        <v>9341</v>
      </c>
      <c r="B4089" s="5" t="s">
        <v>9341</v>
      </c>
      <c r="C4089" s="5" t="s">
        <v>75</v>
      </c>
      <c r="D4089" s="5" t="s">
        <v>76</v>
      </c>
      <c r="E4089" s="5" t="s">
        <v>292</v>
      </c>
      <c r="F4089" s="9">
        <v>25</v>
      </c>
      <c r="G4089" s="9">
        <v>326</v>
      </c>
      <c r="H4089" s="5" t="s">
        <v>21</v>
      </c>
      <c r="I4089" s="5" t="s">
        <v>9342</v>
      </c>
      <c r="J4089" s="12" t="str">
        <f>HYPERLINK("https://www.boe.es/gazeta/dias/1801/03/27/pdfs/GMD-1801-25.pdf#page=5","Abrir facsímil")</f>
        <v>Abrir facsímil</v>
      </c>
      <c r="K4089" s="15" t="s">
        <v>23</v>
      </c>
    </row>
    <row r="4090" spans="1:11" ht="42" customHeight="1">
      <c r="A4090" s="4" t="s">
        <v>9343</v>
      </c>
      <c r="B4090" s="5" t="s">
        <v>9344</v>
      </c>
      <c r="C4090" s="5" t="s">
        <v>75</v>
      </c>
      <c r="D4090" s="5" t="s">
        <v>76</v>
      </c>
      <c r="E4090" s="5" t="s">
        <v>20</v>
      </c>
      <c r="F4090" s="9">
        <v>37</v>
      </c>
      <c r="G4090" s="9">
        <v>476</v>
      </c>
      <c r="H4090" s="5" t="s">
        <v>21</v>
      </c>
      <c r="I4090" s="5" t="s">
        <v>9345</v>
      </c>
      <c r="J4090" s="12" t="str">
        <f>HYPERLINK("https://www.boe.es/gazeta/dias/1801/05/08/pdfs/GMD-1801-37.pdf#page=4","Abrir facsímil")</f>
        <v>Abrir facsímil</v>
      </c>
      <c r="K4090" s="15" t="s">
        <v>23</v>
      </c>
    </row>
    <row r="4091" spans="1:11" ht="42" customHeight="1">
      <c r="A4091" s="4" t="s">
        <v>9346</v>
      </c>
      <c r="B4091" s="5" t="s">
        <v>9346</v>
      </c>
      <c r="C4091" s="5" t="s">
        <v>75</v>
      </c>
      <c r="D4091" s="5" t="s">
        <v>76</v>
      </c>
      <c r="E4091" s="5" t="s">
        <v>764</v>
      </c>
      <c r="F4091" s="9">
        <v>80</v>
      </c>
      <c r="G4091" s="9">
        <v>896</v>
      </c>
      <c r="H4091" s="5" t="s">
        <v>21</v>
      </c>
      <c r="I4091" s="5" t="s">
        <v>9347</v>
      </c>
      <c r="J4091" s="12" t="str">
        <f>HYPERLINK("https://www.boe.es/gazeta/dias/1801/08/21/pdfs/GMD-1801-80.pdf#page=5","Abrir facsímil")</f>
        <v>Abrir facsímil</v>
      </c>
      <c r="K4091" s="15" t="s">
        <v>23</v>
      </c>
    </row>
    <row r="4092" spans="1:11" ht="42" customHeight="1">
      <c r="A4092" s="4" t="s">
        <v>9348</v>
      </c>
      <c r="B4092" s="5" t="s">
        <v>9349</v>
      </c>
      <c r="C4092" s="5" t="s">
        <v>38</v>
      </c>
      <c r="D4092" s="5" t="s">
        <v>39</v>
      </c>
      <c r="E4092" s="5" t="s">
        <v>131</v>
      </c>
      <c r="F4092" s="9">
        <v>22</v>
      </c>
      <c r="G4092" s="9">
        <v>286</v>
      </c>
      <c r="H4092" s="5" t="s">
        <v>21</v>
      </c>
      <c r="I4092" s="5" t="s">
        <v>9350</v>
      </c>
      <c r="J4092" s="12" t="str">
        <f>HYPERLINK("https://www.boe.es/gazeta/dias/1801/03/17/pdfs/GMD-1801-22.pdf#page=3","Abrir facsímil")</f>
        <v>Abrir facsímil</v>
      </c>
      <c r="K4092" s="15" t="s">
        <v>23</v>
      </c>
    </row>
    <row r="4093" spans="1:11" ht="42" customHeight="1">
      <c r="A4093" s="4" t="s">
        <v>9351</v>
      </c>
      <c r="B4093" s="5" t="s">
        <v>9351</v>
      </c>
      <c r="C4093" s="5" t="s">
        <v>75</v>
      </c>
      <c r="D4093" s="5" t="s">
        <v>76</v>
      </c>
      <c r="E4093" s="5" t="s">
        <v>186</v>
      </c>
      <c r="F4093" s="9">
        <v>21</v>
      </c>
      <c r="G4093" s="9">
        <v>273</v>
      </c>
      <c r="H4093" s="5" t="s">
        <v>21</v>
      </c>
      <c r="I4093" s="5" t="s">
        <v>9352</v>
      </c>
      <c r="J4093" s="12" t="str">
        <f>HYPERLINK("https://www.boe.es/gazeta/dias/1801/03/13/pdfs/GMD-1801-21.pdf#page=2","Abrir facsímil")</f>
        <v>Abrir facsímil</v>
      </c>
      <c r="K4093" s="15" t="s">
        <v>23</v>
      </c>
    </row>
    <row r="4094" spans="1:11" ht="42" customHeight="1">
      <c r="A4094" s="4" t="s">
        <v>9351</v>
      </c>
      <c r="B4094" s="5" t="s">
        <v>9351</v>
      </c>
      <c r="C4094" s="5" t="s">
        <v>32</v>
      </c>
      <c r="D4094" s="5" t="s">
        <v>33</v>
      </c>
      <c r="E4094" s="5" t="s">
        <v>145</v>
      </c>
      <c r="F4094" s="9">
        <v>36</v>
      </c>
      <c r="G4094" s="9">
        <v>458</v>
      </c>
      <c r="H4094" s="5" t="s">
        <v>21</v>
      </c>
      <c r="I4094" s="5" t="s">
        <v>9353</v>
      </c>
      <c r="J4094" s="12" t="str">
        <f>HYPERLINK("https://www.boe.es/gazeta/dias/1801/05/05/pdfs/GMD-1801-36.pdf#page=2","Abrir facsímil")</f>
        <v>Abrir facsímil</v>
      </c>
      <c r="K4094" s="15" t="s">
        <v>23</v>
      </c>
    </row>
    <row r="4095" spans="1:11" ht="42" customHeight="1">
      <c r="A4095" s="4" t="s">
        <v>9354</v>
      </c>
      <c r="B4095" s="5" t="s">
        <v>9355</v>
      </c>
      <c r="C4095" s="5" t="s">
        <v>32</v>
      </c>
      <c r="D4095" s="5" t="s">
        <v>33</v>
      </c>
      <c r="E4095" s="5" t="s">
        <v>258</v>
      </c>
      <c r="F4095" s="9">
        <v>96</v>
      </c>
      <c r="G4095" s="9">
        <v>1049</v>
      </c>
      <c r="H4095" s="5" t="s">
        <v>21</v>
      </c>
      <c r="I4095" s="5" t="s">
        <v>9356</v>
      </c>
      <c r="J4095" s="12" t="str">
        <f>HYPERLINK("https://www.boe.es/gazeta/dias/1801/10/09/pdfs/GMD-1801-96.pdf#page=5","Abrir facsímil")</f>
        <v>Abrir facsímil</v>
      </c>
      <c r="K4095" s="15" t="s">
        <v>23</v>
      </c>
    </row>
    <row r="4096" spans="1:11" ht="42" customHeight="1">
      <c r="A4096" s="4" t="s">
        <v>9357</v>
      </c>
      <c r="B4096" s="5" t="s">
        <v>9358</v>
      </c>
      <c r="C4096" s="5" t="s">
        <v>75</v>
      </c>
      <c r="D4096" s="5" t="s">
        <v>76</v>
      </c>
      <c r="E4096" s="5" t="s">
        <v>153</v>
      </c>
      <c r="F4096" s="9">
        <v>48</v>
      </c>
      <c r="G4096" s="9">
        <v>582</v>
      </c>
      <c r="H4096" s="5" t="s">
        <v>21</v>
      </c>
      <c r="I4096" s="5" t="s">
        <v>9359</v>
      </c>
      <c r="J4096" s="12" t="str">
        <f>HYPERLINK("https://www.boe.es/gazeta/dias/1801/06/05/pdfs/GMD-1801-48.pdf#page=4","Abrir facsímil")</f>
        <v>Abrir facsímil</v>
      </c>
      <c r="K4096" s="15" t="s">
        <v>23</v>
      </c>
    </row>
    <row r="4097" spans="1:11" ht="42" customHeight="1">
      <c r="A4097" s="4" t="s">
        <v>9357</v>
      </c>
      <c r="B4097" s="5" t="s">
        <v>9358</v>
      </c>
      <c r="C4097" s="5" t="s">
        <v>75</v>
      </c>
      <c r="D4097" s="5" t="s">
        <v>76</v>
      </c>
      <c r="E4097" s="5" t="s">
        <v>161</v>
      </c>
      <c r="F4097" s="9">
        <v>58</v>
      </c>
      <c r="G4097" s="9">
        <v>660</v>
      </c>
      <c r="H4097" s="5" t="s">
        <v>21</v>
      </c>
      <c r="I4097" s="5" t="s">
        <v>9360</v>
      </c>
      <c r="J4097" s="12" t="str">
        <f>HYPERLINK("https://www.boe.es/gazeta/dias/1801/06/19/pdfs/GMD-1801-58.pdf#page=5","Abrir facsímil")</f>
        <v>Abrir facsímil</v>
      </c>
      <c r="K4097" s="15" t="s">
        <v>23</v>
      </c>
    </row>
    <row r="4098" spans="1:11" ht="42" customHeight="1">
      <c r="A4098" s="4" t="s">
        <v>9361</v>
      </c>
      <c r="B4098" s="5" t="s">
        <v>9362</v>
      </c>
      <c r="C4098" s="5" t="s">
        <v>75</v>
      </c>
      <c r="D4098" s="5" t="s">
        <v>76</v>
      </c>
      <c r="E4098" s="5" t="s">
        <v>223</v>
      </c>
      <c r="F4098" s="9">
        <v>74</v>
      </c>
      <c r="G4098" s="9">
        <v>823</v>
      </c>
      <c r="H4098" s="5" t="s">
        <v>21</v>
      </c>
      <c r="I4098" s="5" t="s">
        <v>9363</v>
      </c>
      <c r="J4098" s="12" t="str">
        <f>HYPERLINK("https://www.boe.es/gazeta/dias/1801/07/31/pdfs/GMD-1801-74.pdf#page=4","Abrir facsímil")</f>
        <v>Abrir facsímil</v>
      </c>
      <c r="K4098" s="15" t="s">
        <v>23</v>
      </c>
    </row>
    <row r="4099" spans="1:11" ht="42" customHeight="1">
      <c r="A4099" s="4" t="s">
        <v>9364</v>
      </c>
      <c r="B4099" s="5" t="s">
        <v>9365</v>
      </c>
      <c r="C4099" s="5" t="s">
        <v>75</v>
      </c>
      <c r="D4099" s="5" t="s">
        <v>76</v>
      </c>
      <c r="E4099" s="5" t="s">
        <v>90</v>
      </c>
      <c r="F4099" s="9">
        <v>1</v>
      </c>
      <c r="G4099" s="9">
        <v>4</v>
      </c>
      <c r="H4099" s="5" t="s">
        <v>21</v>
      </c>
      <c r="I4099" s="5" t="s">
        <v>9366</v>
      </c>
      <c r="J4099" s="12" t="str">
        <f>HYPERLINK("https://www.boe.es/gazeta/dias/1801/01/02/pdfs/GMD-1801-1.pdf#page=4","Abrir facsímil")</f>
        <v>Abrir facsímil</v>
      </c>
      <c r="K4099" s="15" t="s">
        <v>23</v>
      </c>
    </row>
    <row r="4100" spans="1:11" ht="42" customHeight="1">
      <c r="A4100" s="4" t="s">
        <v>9367</v>
      </c>
      <c r="B4100" s="5" t="s">
        <v>9368</v>
      </c>
      <c r="C4100" s="5" t="s">
        <v>75</v>
      </c>
      <c r="D4100" s="5" t="s">
        <v>76</v>
      </c>
      <c r="E4100" s="5" t="s">
        <v>462</v>
      </c>
      <c r="F4100" s="9">
        <v>5</v>
      </c>
      <c r="G4100" s="9">
        <v>51</v>
      </c>
      <c r="H4100" s="5" t="s">
        <v>21</v>
      </c>
      <c r="I4100" s="5" t="s">
        <v>9369</v>
      </c>
      <c r="J4100" s="12" t="str">
        <f>HYPERLINK("https://www.boe.es/gazeta/dias/1801/01/16/pdfs/GMD-1801-5.pdf#page=3","Abrir facsímil")</f>
        <v>Abrir facsímil</v>
      </c>
      <c r="K4100" s="15" t="s">
        <v>23</v>
      </c>
    </row>
    <row r="4101" spans="1:11" ht="42" customHeight="1">
      <c r="A4101" s="4" t="s">
        <v>9367</v>
      </c>
      <c r="B4101" s="5" t="s">
        <v>9368</v>
      </c>
      <c r="C4101" s="5" t="s">
        <v>75</v>
      </c>
      <c r="D4101" s="5" t="s">
        <v>76</v>
      </c>
      <c r="E4101" s="5" t="s">
        <v>292</v>
      </c>
      <c r="F4101" s="9">
        <v>25</v>
      </c>
      <c r="G4101" s="9">
        <v>325</v>
      </c>
      <c r="H4101" s="5" t="s">
        <v>21</v>
      </c>
      <c r="I4101" s="5" t="s">
        <v>9370</v>
      </c>
      <c r="J4101" s="12" t="str">
        <f>HYPERLINK("https://www.boe.es/gazeta/dias/1801/03/27/pdfs/GMD-1801-25.pdf#page=4","Abrir facsímil")</f>
        <v>Abrir facsímil</v>
      </c>
      <c r="K4101" s="15" t="s">
        <v>23</v>
      </c>
    </row>
    <row r="4102" spans="1:11" ht="42" customHeight="1">
      <c r="A4102" s="4" t="s">
        <v>9367</v>
      </c>
      <c r="B4102" s="5" t="s">
        <v>9368</v>
      </c>
      <c r="C4102" s="5" t="s">
        <v>75</v>
      </c>
      <c r="D4102" s="5" t="s">
        <v>76</v>
      </c>
      <c r="E4102" s="5" t="s">
        <v>219</v>
      </c>
      <c r="F4102" s="9">
        <v>26</v>
      </c>
      <c r="G4102" s="9">
        <v>339</v>
      </c>
      <c r="H4102" s="5" t="s">
        <v>21</v>
      </c>
      <c r="I4102" s="5" t="s">
        <v>9371</v>
      </c>
      <c r="J4102" s="12" t="str">
        <f>HYPERLINK("https://www.boe.es/gazeta/dias/1801/03/31/pdfs/GMD-1801-26.pdf#page=3","Abrir facsímil")</f>
        <v>Abrir facsímil</v>
      </c>
      <c r="K4102" s="15" t="s">
        <v>23</v>
      </c>
    </row>
    <row r="4103" spans="1:11" ht="42" customHeight="1">
      <c r="A4103" s="4" t="s">
        <v>9367</v>
      </c>
      <c r="B4103" s="5" t="s">
        <v>9368</v>
      </c>
      <c r="C4103" s="5" t="s">
        <v>32</v>
      </c>
      <c r="D4103" s="5" t="s">
        <v>33</v>
      </c>
      <c r="E4103" s="5" t="s">
        <v>143</v>
      </c>
      <c r="F4103" s="9">
        <v>34</v>
      </c>
      <c r="G4103" s="9">
        <v>433</v>
      </c>
      <c r="H4103" s="5" t="s">
        <v>21</v>
      </c>
      <c r="I4103" s="5" t="s">
        <v>9372</v>
      </c>
      <c r="J4103" s="12" t="str">
        <f>HYPERLINK("https://www.boe.es/gazeta/dias/1801/04/28/pdfs/GMD-1801-34.pdf#page=5","Abrir facsímil")</f>
        <v>Abrir facsímil</v>
      </c>
      <c r="K4103" s="15" t="s">
        <v>23</v>
      </c>
    </row>
    <row r="4104" spans="1:11" ht="42" customHeight="1">
      <c r="A4104" s="4" t="s">
        <v>9367</v>
      </c>
      <c r="B4104" s="5" t="s">
        <v>9368</v>
      </c>
      <c r="C4104" s="5" t="s">
        <v>75</v>
      </c>
      <c r="D4104" s="5" t="s">
        <v>76</v>
      </c>
      <c r="E4104" s="5" t="s">
        <v>145</v>
      </c>
      <c r="F4104" s="9">
        <v>36</v>
      </c>
      <c r="G4104" s="9">
        <v>457</v>
      </c>
      <c r="H4104" s="5" t="s">
        <v>21</v>
      </c>
      <c r="I4104" s="5" t="s">
        <v>9373</v>
      </c>
      <c r="J4104" s="12" t="str">
        <f>HYPERLINK("https://www.boe.es/gazeta/dias/1801/05/05/pdfs/GMD-1801-36.pdf#page=1","Abrir facsímil")</f>
        <v>Abrir facsímil</v>
      </c>
      <c r="K4104" s="15" t="s">
        <v>23</v>
      </c>
    </row>
    <row r="4105" spans="1:11" ht="42" customHeight="1">
      <c r="A4105" s="4" t="s">
        <v>9367</v>
      </c>
      <c r="B4105" s="5" t="s">
        <v>9368</v>
      </c>
      <c r="C4105" s="5" t="s">
        <v>38</v>
      </c>
      <c r="D4105" s="5" t="s">
        <v>39</v>
      </c>
      <c r="E4105" s="5" t="s">
        <v>352</v>
      </c>
      <c r="F4105" s="9">
        <v>43</v>
      </c>
      <c r="G4105" s="9">
        <v>533</v>
      </c>
      <c r="H4105" s="5" t="s">
        <v>21</v>
      </c>
      <c r="I4105" s="5" t="s">
        <v>9374</v>
      </c>
      <c r="J4105" s="12" t="str">
        <f>HYPERLINK("https://www.boe.es/gazeta/dias/1801/05/26/pdfs/GMD-1801-43.pdf#page=5","Abrir facsímil")</f>
        <v>Abrir facsímil</v>
      </c>
      <c r="K4105" s="15" t="s">
        <v>23</v>
      </c>
    </row>
    <row r="4106" spans="1:11" ht="42" customHeight="1">
      <c r="A4106" s="4" t="s">
        <v>9367</v>
      </c>
      <c r="B4106" s="5" t="s">
        <v>9368</v>
      </c>
      <c r="C4106" s="5" t="s">
        <v>32</v>
      </c>
      <c r="D4106" s="5" t="s">
        <v>33</v>
      </c>
      <c r="E4106" s="5" t="s">
        <v>215</v>
      </c>
      <c r="F4106" s="9">
        <v>71</v>
      </c>
      <c r="G4106" s="9">
        <v>783</v>
      </c>
      <c r="H4106" s="5" t="s">
        <v>21</v>
      </c>
      <c r="I4106" s="5" t="s">
        <v>9375</v>
      </c>
      <c r="J4106" s="12" t="str">
        <f>HYPERLINK("https://www.boe.es/gazeta/dias/1801/07/21/pdfs/GMD-1801-71.pdf#page=4","Abrir facsímil")</f>
        <v>Abrir facsímil</v>
      </c>
      <c r="K4106" s="15" t="s">
        <v>23</v>
      </c>
    </row>
    <row r="4107" spans="1:11" ht="42" customHeight="1">
      <c r="A4107" s="4" t="s">
        <v>9367</v>
      </c>
      <c r="B4107" s="5" t="s">
        <v>9368</v>
      </c>
      <c r="C4107" s="5" t="s">
        <v>38</v>
      </c>
      <c r="D4107" s="5" t="s">
        <v>39</v>
      </c>
      <c r="E4107" s="5" t="s">
        <v>171</v>
      </c>
      <c r="F4107" s="9">
        <v>76</v>
      </c>
      <c r="G4107" s="9">
        <v>847</v>
      </c>
      <c r="H4107" s="5" t="s">
        <v>21</v>
      </c>
      <c r="I4107" s="5" t="s">
        <v>9376</v>
      </c>
      <c r="J4107" s="12" t="str">
        <f>HYPERLINK("https://www.boe.es/gazeta/dias/1801/08/07/pdfs/GMD-1801-76.pdf#page=4","Abrir facsímil")</f>
        <v>Abrir facsímil</v>
      </c>
      <c r="K4107" s="15" t="s">
        <v>23</v>
      </c>
    </row>
    <row r="4108" spans="1:11" ht="42" customHeight="1">
      <c r="A4108" s="4" t="s">
        <v>9377</v>
      </c>
      <c r="B4108" s="5" t="s">
        <v>9378</v>
      </c>
      <c r="C4108" s="5" t="s">
        <v>75</v>
      </c>
      <c r="D4108" s="5" t="s">
        <v>76</v>
      </c>
      <c r="E4108" s="5" t="s">
        <v>1085</v>
      </c>
      <c r="F4108" s="9">
        <v>99</v>
      </c>
      <c r="G4108" s="9">
        <v>1087</v>
      </c>
      <c r="H4108" s="5" t="s">
        <v>21</v>
      </c>
      <c r="I4108" s="5" t="s">
        <v>9379</v>
      </c>
      <c r="J4108" s="12" t="str">
        <f>HYPERLINK("https://www.boe.es/gazeta/dias/1801/10/20/pdfs/GMD-1801-99.pdf#page=4","Abrir facsímil")</f>
        <v>Abrir facsímil</v>
      </c>
      <c r="K4108" s="15" t="s">
        <v>23</v>
      </c>
    </row>
    <row r="4109" spans="1:11" ht="42" customHeight="1">
      <c r="A4109" s="4" t="s">
        <v>9367</v>
      </c>
      <c r="B4109" s="5" t="s">
        <v>9368</v>
      </c>
      <c r="C4109" s="5" t="s">
        <v>75</v>
      </c>
      <c r="D4109" s="5" t="s">
        <v>76</v>
      </c>
      <c r="E4109" s="5" t="s">
        <v>359</v>
      </c>
      <c r="F4109" s="9">
        <v>101</v>
      </c>
      <c r="G4109" s="9">
        <v>1110</v>
      </c>
      <c r="H4109" s="5" t="s">
        <v>21</v>
      </c>
      <c r="I4109" s="5" t="s">
        <v>9380</v>
      </c>
      <c r="J4109" s="12" t="str">
        <f>HYPERLINK("https://www.boe.es/gazeta/dias/1801/10/27/pdfs/GMD-1801-101.pdf#page=3","Abrir facsímil")</f>
        <v>Abrir facsímil</v>
      </c>
      <c r="K4109" s="15" t="s">
        <v>23</v>
      </c>
    </row>
    <row r="4110" spans="1:11" ht="42" customHeight="1">
      <c r="A4110" s="4" t="s">
        <v>9367</v>
      </c>
      <c r="B4110" s="5" t="s">
        <v>9368</v>
      </c>
      <c r="C4110" s="5" t="s">
        <v>38</v>
      </c>
      <c r="D4110" s="5" t="s">
        <v>39</v>
      </c>
      <c r="E4110" s="5" t="s">
        <v>55</v>
      </c>
      <c r="F4110" s="9">
        <v>104</v>
      </c>
      <c r="G4110" s="9">
        <v>1142</v>
      </c>
      <c r="H4110" s="5" t="s">
        <v>21</v>
      </c>
      <c r="I4110" s="5" t="s">
        <v>9381</v>
      </c>
      <c r="J4110" s="12" t="str">
        <f>HYPERLINK("https://www.boe.es/gazeta/dias/1801/11/06/pdfs/GMD-1801-104.pdf#page=3","Abrir facsímil")</f>
        <v>Abrir facsímil</v>
      </c>
      <c r="K4110" s="15" t="s">
        <v>23</v>
      </c>
    </row>
    <row r="4111" spans="1:11" ht="42" customHeight="1">
      <c r="A4111" s="4" t="s">
        <v>9367</v>
      </c>
      <c r="B4111" s="5" t="s">
        <v>9368</v>
      </c>
      <c r="C4111" s="5" t="s">
        <v>38</v>
      </c>
      <c r="D4111" s="5" t="s">
        <v>39</v>
      </c>
      <c r="E4111" s="5" t="s">
        <v>55</v>
      </c>
      <c r="F4111" s="9">
        <v>104</v>
      </c>
      <c r="G4111" s="9">
        <v>1144</v>
      </c>
      <c r="H4111" s="5" t="s">
        <v>21</v>
      </c>
      <c r="I4111" s="5" t="s">
        <v>9382</v>
      </c>
      <c r="J4111" s="12" t="str">
        <f>HYPERLINK("https://www.boe.es/gazeta/dias/1801/11/06/pdfs/GMD-1801-104.pdf#page=5","Abrir facsímil")</f>
        <v>Abrir facsímil</v>
      </c>
      <c r="K4111" s="15" t="s">
        <v>23</v>
      </c>
    </row>
    <row r="4112" spans="1:11" ht="42" customHeight="1">
      <c r="A4112" s="4" t="s">
        <v>9367</v>
      </c>
      <c r="B4112" s="5" t="s">
        <v>9368</v>
      </c>
      <c r="C4112" s="5" t="s">
        <v>38</v>
      </c>
      <c r="D4112" s="5" t="s">
        <v>39</v>
      </c>
      <c r="E4112" s="5" t="s">
        <v>1058</v>
      </c>
      <c r="F4112" s="9">
        <v>108</v>
      </c>
      <c r="G4112" s="9">
        <v>1186</v>
      </c>
      <c r="H4112" s="5" t="s">
        <v>21</v>
      </c>
      <c r="I4112" s="5" t="s">
        <v>9383</v>
      </c>
      <c r="J4112" s="12" t="str">
        <f>HYPERLINK("https://www.boe.es/gazeta/dias/1801/11/20/pdfs/GMD-1801-108.pdf#page=3","Abrir facsímil")</f>
        <v>Abrir facsímil</v>
      </c>
      <c r="K4112" s="15" t="s">
        <v>23</v>
      </c>
    </row>
    <row r="4113" spans="1:11" ht="42" customHeight="1">
      <c r="A4113" s="4" t="s">
        <v>9367</v>
      </c>
      <c r="B4113" s="5" t="s">
        <v>9368</v>
      </c>
      <c r="C4113" s="5" t="s">
        <v>75</v>
      </c>
      <c r="D4113" s="5" t="s">
        <v>76</v>
      </c>
      <c r="E4113" s="5" t="s">
        <v>349</v>
      </c>
      <c r="F4113" s="9">
        <v>112</v>
      </c>
      <c r="G4113" s="9">
        <v>1222</v>
      </c>
      <c r="H4113" s="5" t="s">
        <v>21</v>
      </c>
      <c r="I4113" s="5" t="s">
        <v>9384</v>
      </c>
      <c r="J4113" s="12" t="str">
        <f>HYPERLINK("https://www.boe.es/gazeta/dias/1801/12/04/pdfs/GMD-1801-112.pdf#page=3","Abrir facsímil")</f>
        <v>Abrir facsímil</v>
      </c>
      <c r="K4113" s="15" t="s">
        <v>23</v>
      </c>
    </row>
    <row r="4114" spans="1:11" ht="42" customHeight="1">
      <c r="A4114" s="4" t="s">
        <v>9367</v>
      </c>
      <c r="B4114" s="5" t="s">
        <v>9368</v>
      </c>
      <c r="C4114" s="5" t="s">
        <v>38</v>
      </c>
      <c r="D4114" s="5" t="s">
        <v>39</v>
      </c>
      <c r="E4114" s="5" t="s">
        <v>723</v>
      </c>
      <c r="F4114" s="9">
        <v>113</v>
      </c>
      <c r="G4114" s="9">
        <v>1229</v>
      </c>
      <c r="H4114" s="5" t="s">
        <v>21</v>
      </c>
      <c r="I4114" s="5" t="s">
        <v>9385</v>
      </c>
      <c r="J4114" s="12" t="str">
        <f>HYPERLINK("https://www.boe.es/gazeta/dias/1801/12/08/pdfs/GMD-1801-113.pdf#page=2","Abrir facsímil")</f>
        <v>Abrir facsímil</v>
      </c>
      <c r="K4114" s="15" t="s">
        <v>23</v>
      </c>
    </row>
    <row r="4115" spans="1:11" ht="42" customHeight="1">
      <c r="A4115" s="4" t="s">
        <v>9367</v>
      </c>
      <c r="B4115" s="5" t="s">
        <v>9368</v>
      </c>
      <c r="C4115" s="5" t="s">
        <v>38</v>
      </c>
      <c r="D4115" s="5" t="s">
        <v>39</v>
      </c>
      <c r="E4115" s="5" t="s">
        <v>723</v>
      </c>
      <c r="F4115" s="9">
        <v>113</v>
      </c>
      <c r="G4115" s="9">
        <v>1230</v>
      </c>
      <c r="H4115" s="5" t="s">
        <v>21</v>
      </c>
      <c r="I4115" s="5" t="s">
        <v>9386</v>
      </c>
      <c r="J4115" s="12" t="str">
        <f>HYPERLINK("https://www.boe.es/gazeta/dias/1801/12/08/pdfs/GMD-1801-113.pdf#page=3","Abrir facsímil")</f>
        <v>Abrir facsímil</v>
      </c>
      <c r="K4115" s="15" t="s">
        <v>23</v>
      </c>
    </row>
    <row r="4116" spans="1:11" ht="42" customHeight="1">
      <c r="A4116" s="4" t="s">
        <v>9367</v>
      </c>
      <c r="B4116" s="5" t="s">
        <v>9368</v>
      </c>
      <c r="C4116" s="5" t="s">
        <v>75</v>
      </c>
      <c r="D4116" s="5" t="s">
        <v>76</v>
      </c>
      <c r="E4116" s="5" t="s">
        <v>112</v>
      </c>
      <c r="F4116" s="9">
        <v>114</v>
      </c>
      <c r="G4116" s="9">
        <v>1242</v>
      </c>
      <c r="H4116" s="5" t="s">
        <v>21</v>
      </c>
      <c r="I4116" s="5" t="s">
        <v>9387</v>
      </c>
      <c r="J4116" s="12" t="str">
        <f>HYPERLINK("https://www.boe.es/gazeta/dias/1801/12/11/pdfs/GMD-1801-114.pdf#page=4","Abrir facsímil")</f>
        <v>Abrir facsímil</v>
      </c>
      <c r="K4116" s="15" t="s">
        <v>23</v>
      </c>
    </row>
    <row r="4117" spans="1:11" ht="42" customHeight="1">
      <c r="A4117" s="4" t="s">
        <v>9367</v>
      </c>
      <c r="B4117" s="5" t="s">
        <v>9368</v>
      </c>
      <c r="C4117" s="5" t="s">
        <v>32</v>
      </c>
      <c r="D4117" s="5" t="s">
        <v>33</v>
      </c>
      <c r="E4117" s="5" t="s">
        <v>501</v>
      </c>
      <c r="F4117" s="9">
        <v>115</v>
      </c>
      <c r="G4117" s="9">
        <v>1254</v>
      </c>
      <c r="H4117" s="5" t="s">
        <v>21</v>
      </c>
      <c r="I4117" s="5" t="s">
        <v>9388</v>
      </c>
      <c r="J4117" s="12" t="str">
        <f>HYPERLINK("https://www.boe.es/gazeta/dias/1801/12/15/pdfs/GMD-1801-115.pdf#page=4","Abrir facsímil")</f>
        <v>Abrir facsímil</v>
      </c>
      <c r="K4117" s="15" t="s">
        <v>23</v>
      </c>
    </row>
    <row r="4118" spans="1:11" ht="42" customHeight="1">
      <c r="A4118" s="4" t="s">
        <v>9367</v>
      </c>
      <c r="B4118" s="5" t="s">
        <v>9368</v>
      </c>
      <c r="C4118" s="5" t="s">
        <v>75</v>
      </c>
      <c r="D4118" s="5" t="s">
        <v>76</v>
      </c>
      <c r="E4118" s="5" t="s">
        <v>44</v>
      </c>
      <c r="F4118" s="9">
        <v>117</v>
      </c>
      <c r="G4118" s="9">
        <v>1276</v>
      </c>
      <c r="H4118" s="5" t="s">
        <v>21</v>
      </c>
      <c r="I4118" s="5" t="s">
        <v>9389</v>
      </c>
      <c r="J4118" s="12" t="str">
        <f>HYPERLINK("https://www.boe.es/gazeta/dias/1801/12/22/pdfs/GMD-1801-117.pdf#page=3","Abrir facsímil")</f>
        <v>Abrir facsímil</v>
      </c>
      <c r="K4118" s="15" t="s">
        <v>23</v>
      </c>
    </row>
    <row r="4119" spans="1:11" ht="42" customHeight="1">
      <c r="A4119" s="4" t="s">
        <v>9367</v>
      </c>
      <c r="B4119" s="5" t="s">
        <v>9368</v>
      </c>
      <c r="C4119" s="5" t="s">
        <v>38</v>
      </c>
      <c r="D4119" s="5" t="s">
        <v>39</v>
      </c>
      <c r="E4119" s="5" t="s">
        <v>309</v>
      </c>
      <c r="F4119" s="9">
        <v>118</v>
      </c>
      <c r="G4119" s="9">
        <v>1288</v>
      </c>
      <c r="H4119" s="5" t="s">
        <v>21</v>
      </c>
      <c r="I4119" s="5" t="s">
        <v>9390</v>
      </c>
      <c r="J4119" s="12" t="str">
        <f>HYPERLINK("https://www.boe.es/gazeta/dias/1801/12/25/pdfs/GMD-1801-118.pdf#page=3","Abrir facsímil")</f>
        <v>Abrir facsímil</v>
      </c>
      <c r="K4119" s="15" t="s">
        <v>23</v>
      </c>
    </row>
    <row r="4120" spans="1:11" ht="42" customHeight="1">
      <c r="A4120" s="4" t="s">
        <v>9391</v>
      </c>
      <c r="B4120" s="5" t="s">
        <v>9392</v>
      </c>
      <c r="C4120" s="5" t="s">
        <v>75</v>
      </c>
      <c r="D4120" s="5" t="s">
        <v>76</v>
      </c>
      <c r="E4120" s="5" t="s">
        <v>1085</v>
      </c>
      <c r="F4120" s="9">
        <v>99</v>
      </c>
      <c r="G4120" s="9">
        <v>1086</v>
      </c>
      <c r="H4120" s="5" t="s">
        <v>21</v>
      </c>
      <c r="I4120" s="5" t="s">
        <v>9393</v>
      </c>
      <c r="J4120" s="12" t="str">
        <f>HYPERLINK("https://www.boe.es/gazeta/dias/1801/10/20/pdfs/GMD-1801-99.pdf#page=3","Abrir facsímil")</f>
        <v>Abrir facsímil</v>
      </c>
      <c r="K4120" s="15" t="s">
        <v>23</v>
      </c>
    </row>
    <row r="4121" spans="1:11" ht="42" customHeight="1">
      <c r="A4121" s="4" t="s">
        <v>9394</v>
      </c>
      <c r="B4121" s="5" t="s">
        <v>9395</v>
      </c>
      <c r="C4121" s="5" t="s">
        <v>75</v>
      </c>
      <c r="D4121" s="5" t="s">
        <v>76</v>
      </c>
      <c r="E4121" s="5" t="s">
        <v>105</v>
      </c>
      <c r="F4121" s="9">
        <v>44</v>
      </c>
      <c r="G4121" s="9">
        <v>543</v>
      </c>
      <c r="H4121" s="5" t="s">
        <v>21</v>
      </c>
      <c r="I4121" s="5" t="s">
        <v>9396</v>
      </c>
      <c r="J4121" s="12" t="str">
        <f>HYPERLINK("https://www.boe.es/gazeta/dias/1801/05/29/pdfs/GMD-1801-44.pdf#page=3","Abrir facsímil")</f>
        <v>Abrir facsímil</v>
      </c>
      <c r="K4121" s="15" t="s">
        <v>23</v>
      </c>
    </row>
    <row r="4122" spans="1:11" ht="42" customHeight="1">
      <c r="A4122" s="4" t="s">
        <v>9397</v>
      </c>
      <c r="B4122" s="5" t="s">
        <v>9398</v>
      </c>
      <c r="C4122" s="5" t="s">
        <v>32</v>
      </c>
      <c r="D4122" s="5" t="s">
        <v>33</v>
      </c>
      <c r="E4122" s="5" t="s">
        <v>155</v>
      </c>
      <c r="F4122" s="9">
        <v>50</v>
      </c>
      <c r="G4122" s="9">
        <v>597</v>
      </c>
      <c r="H4122" s="5" t="s">
        <v>21</v>
      </c>
      <c r="I4122" s="5" t="s">
        <v>9399</v>
      </c>
      <c r="J4122" s="12" t="str">
        <f>HYPERLINK("https://www.boe.es/gazeta/dias/1801/06/09/pdfs/GMD-1801-50.pdf#page=9","Abrir facsímil")</f>
        <v>Abrir facsímil</v>
      </c>
      <c r="K4122" s="15" t="s">
        <v>23</v>
      </c>
    </row>
    <row r="4123" spans="1:11" ht="42" customHeight="1">
      <c r="A4123" s="4" t="s">
        <v>9400</v>
      </c>
      <c r="B4123" s="5" t="s">
        <v>9401</v>
      </c>
      <c r="C4123" s="5" t="s">
        <v>75</v>
      </c>
      <c r="D4123" s="5" t="s">
        <v>76</v>
      </c>
      <c r="E4123" s="5" t="s">
        <v>480</v>
      </c>
      <c r="F4123" s="9">
        <v>10</v>
      </c>
      <c r="G4123" s="9">
        <v>117</v>
      </c>
      <c r="H4123" s="5" t="s">
        <v>21</v>
      </c>
      <c r="I4123" s="5" t="s">
        <v>9402</v>
      </c>
      <c r="J4123" s="12" t="str">
        <f>HYPERLINK("https://www.boe.es/gazeta/dias/1801/02/03/pdfs/GMD-1801-10.pdf#page=2","Abrir facsímil")</f>
        <v>Abrir facsímil</v>
      </c>
      <c r="K4123" s="15" t="s">
        <v>23</v>
      </c>
    </row>
    <row r="4124" spans="1:11" ht="42" customHeight="1">
      <c r="A4124" s="4" t="s">
        <v>9403</v>
      </c>
      <c r="B4124" s="5" t="s">
        <v>9404</v>
      </c>
      <c r="C4124" s="5" t="s">
        <v>38</v>
      </c>
      <c r="D4124" s="5" t="s">
        <v>39</v>
      </c>
      <c r="E4124" s="5" t="s">
        <v>72</v>
      </c>
      <c r="F4124" s="9">
        <v>60</v>
      </c>
      <c r="G4124" s="9">
        <v>687</v>
      </c>
      <c r="H4124" s="5" t="s">
        <v>21</v>
      </c>
      <c r="I4124" s="5" t="s">
        <v>9405</v>
      </c>
      <c r="J4124" s="12" t="str">
        <f>HYPERLINK("https://www.boe.es/gazeta/dias/1801/06/26/pdfs/GMD-1801-60.pdf#page=8","Abrir facsímil")</f>
        <v>Abrir facsímil</v>
      </c>
      <c r="K4124" s="15" t="s">
        <v>23</v>
      </c>
    </row>
    <row r="4125" spans="1:11" ht="42" customHeight="1">
      <c r="A4125" s="4" t="s">
        <v>9406</v>
      </c>
      <c r="B4125" s="5" t="s">
        <v>9407</v>
      </c>
      <c r="C4125" s="5" t="s">
        <v>75</v>
      </c>
      <c r="D4125" s="5" t="s">
        <v>76</v>
      </c>
      <c r="E4125" s="5" t="s">
        <v>465</v>
      </c>
      <c r="F4125" s="9">
        <v>4</v>
      </c>
      <c r="G4125" s="9">
        <v>40</v>
      </c>
      <c r="H4125" s="5" t="s">
        <v>21</v>
      </c>
      <c r="I4125" s="5" t="s">
        <v>9408</v>
      </c>
      <c r="J4125" s="12" t="str">
        <f>HYPERLINK("https://www.boe.es/gazeta/dias/1801/01/13/pdfs/GMD-1801-4.pdf#page=4","Abrir facsímil")</f>
        <v>Abrir facsímil</v>
      </c>
      <c r="K4125" s="15" t="s">
        <v>23</v>
      </c>
    </row>
    <row r="4126" spans="1:11" ht="42" customHeight="1">
      <c r="A4126" s="4" t="s">
        <v>9409</v>
      </c>
      <c r="B4126" s="5" t="s">
        <v>9410</v>
      </c>
      <c r="C4126" s="5" t="s">
        <v>80</v>
      </c>
      <c r="D4126" s="5" t="s">
        <v>81</v>
      </c>
      <c r="E4126" s="5" t="s">
        <v>82</v>
      </c>
      <c r="F4126" s="9">
        <v>75</v>
      </c>
      <c r="G4126" s="9" t="s">
        <v>299</v>
      </c>
      <c r="H4126" s="5" t="s">
        <v>21</v>
      </c>
      <c r="I4126" s="5" t="s">
        <v>9411</v>
      </c>
      <c r="J4126" s="12" t="str">
        <f>HYPERLINK("https://www.boe.es/gazeta/dias/1801/08/04/pdfs/GMD-C-1801-75.pdf#page=5","Abrir facsímil")</f>
        <v>Abrir facsímil</v>
      </c>
      <c r="K4126" s="15" t="s">
        <v>23</v>
      </c>
    </row>
    <row r="4127" spans="1:11" ht="42" customHeight="1">
      <c r="A4127" s="4" t="s">
        <v>9412</v>
      </c>
      <c r="B4127" s="5" t="s">
        <v>9412</v>
      </c>
      <c r="C4127" s="5" t="s">
        <v>69</v>
      </c>
      <c r="D4127" s="5" t="s">
        <v>19</v>
      </c>
      <c r="E4127" s="5" t="s">
        <v>2430</v>
      </c>
      <c r="F4127" s="9">
        <v>27</v>
      </c>
      <c r="G4127" s="9">
        <v>356</v>
      </c>
      <c r="H4127" s="5" t="s">
        <v>21</v>
      </c>
      <c r="I4127" s="5" t="s">
        <v>9413</v>
      </c>
      <c r="J4127" s="12" t="str">
        <f>HYPERLINK("https://www.boe.es/gazeta/dias/1801/04/03/pdfs/GMD-1801-27.pdf#page=8","Abrir facsímil")</f>
        <v>Abrir facsímil</v>
      </c>
      <c r="K4127" s="15" t="s">
        <v>23</v>
      </c>
    </row>
    <row r="4128" spans="1:11" ht="42" customHeight="1">
      <c r="A4128" s="4" t="s">
        <v>9414</v>
      </c>
      <c r="B4128" s="5" t="s">
        <v>9415</v>
      </c>
      <c r="C4128" s="5" t="s">
        <v>32</v>
      </c>
      <c r="D4128" s="5" t="s">
        <v>33</v>
      </c>
      <c r="E4128" s="5" t="s">
        <v>99</v>
      </c>
      <c r="F4128" s="9">
        <v>32</v>
      </c>
      <c r="G4128" s="9">
        <v>414</v>
      </c>
      <c r="H4128" s="5" t="s">
        <v>21</v>
      </c>
      <c r="I4128" s="5" t="s">
        <v>9416</v>
      </c>
      <c r="J4128" s="12" t="str">
        <f>HYPERLINK("https://www.boe.es/gazeta/dias/1801/04/21/pdfs/GMD-1801-32.pdf#page=10","Abrir facsímil")</f>
        <v>Abrir facsímil</v>
      </c>
      <c r="K4128" s="15" t="s">
        <v>23</v>
      </c>
    </row>
    <row r="4129" spans="1:11" ht="42" customHeight="1">
      <c r="A4129" s="4" t="s">
        <v>9417</v>
      </c>
      <c r="B4129" s="5" t="s">
        <v>9417</v>
      </c>
      <c r="C4129" s="5" t="s">
        <v>32</v>
      </c>
      <c r="D4129" s="5" t="s">
        <v>33</v>
      </c>
      <c r="E4129" s="5" t="s">
        <v>359</v>
      </c>
      <c r="F4129" s="9">
        <v>101</v>
      </c>
      <c r="G4129" s="9">
        <v>1114</v>
      </c>
      <c r="H4129" s="5" t="s">
        <v>21</v>
      </c>
      <c r="I4129" s="5" t="s">
        <v>9418</v>
      </c>
      <c r="J4129" s="12" t="str">
        <f>HYPERLINK("https://www.boe.es/gazeta/dias/1801/10/27/pdfs/GMD-1801-101.pdf#page=7","Abrir facsímil")</f>
        <v>Abrir facsímil</v>
      </c>
      <c r="K4129" s="15" t="s">
        <v>23</v>
      </c>
    </row>
    <row r="4130" spans="1:11" ht="42" customHeight="1">
      <c r="A4130" s="4" t="s">
        <v>9419</v>
      </c>
      <c r="B4130" s="5" t="s">
        <v>9419</v>
      </c>
      <c r="C4130" s="5" t="s">
        <v>38</v>
      </c>
      <c r="D4130" s="5" t="s">
        <v>39</v>
      </c>
      <c r="E4130" s="5" t="s">
        <v>292</v>
      </c>
      <c r="F4130" s="9">
        <v>25</v>
      </c>
      <c r="G4130" s="9">
        <v>332</v>
      </c>
      <c r="H4130" s="5" t="s">
        <v>21</v>
      </c>
      <c r="I4130" s="5" t="s">
        <v>9420</v>
      </c>
      <c r="J4130" s="12" t="str">
        <f>HYPERLINK("https://www.boe.es/gazeta/dias/1801/03/27/pdfs/GMD-1801-25.pdf#page=11","Abrir facsímil")</f>
        <v>Abrir facsímil</v>
      </c>
      <c r="K4130" s="15" t="s">
        <v>23</v>
      </c>
    </row>
    <row r="4131" spans="1:11" ht="42" customHeight="1">
      <c r="A4131" s="4" t="s">
        <v>9421</v>
      </c>
      <c r="B4131" s="5" t="s">
        <v>9421</v>
      </c>
      <c r="C4131" s="5" t="s">
        <v>69</v>
      </c>
      <c r="D4131" s="5" t="s">
        <v>19</v>
      </c>
      <c r="E4131" s="5" t="s">
        <v>1085</v>
      </c>
      <c r="F4131" s="9">
        <v>99</v>
      </c>
      <c r="G4131" s="9">
        <v>1086</v>
      </c>
      <c r="H4131" s="5" t="s">
        <v>21</v>
      </c>
      <c r="I4131" s="5" t="s">
        <v>9422</v>
      </c>
      <c r="J4131" s="12" t="str">
        <f>HYPERLINK("https://www.boe.es/gazeta/dias/1801/10/20/pdfs/GMD-1801-99.pdf#page=3","Abrir facsímil")</f>
        <v>Abrir facsímil</v>
      </c>
      <c r="K4131" s="15" t="s">
        <v>23</v>
      </c>
    </row>
    <row r="4132" spans="1:11" ht="42" customHeight="1">
      <c r="A4132" s="4" t="s">
        <v>9423</v>
      </c>
      <c r="B4132" s="5" t="s">
        <v>9423</v>
      </c>
      <c r="C4132" s="5" t="s">
        <v>38</v>
      </c>
      <c r="D4132" s="5" t="s">
        <v>39</v>
      </c>
      <c r="E4132" s="5" t="s">
        <v>453</v>
      </c>
      <c r="F4132" s="9">
        <v>100</v>
      </c>
      <c r="G4132" s="9">
        <v>1095</v>
      </c>
      <c r="H4132" s="5" t="s">
        <v>21</v>
      </c>
      <c r="I4132" s="5" t="s">
        <v>9424</v>
      </c>
      <c r="J4132" s="12" t="str">
        <f>HYPERLINK("https://www.boe.es/gazeta/dias/1801/10/23/pdfs/GMD-1801-100.pdf#page=4","Abrir facsímil")</f>
        <v>Abrir facsímil</v>
      </c>
      <c r="K4132" s="15" t="s">
        <v>23</v>
      </c>
    </row>
    <row r="4133" spans="1:11" ht="42" customHeight="1">
      <c r="A4133" s="4" t="s">
        <v>9425</v>
      </c>
      <c r="B4133" s="5" t="s">
        <v>9426</v>
      </c>
      <c r="C4133" s="5" t="s">
        <v>32</v>
      </c>
      <c r="D4133" s="5" t="s">
        <v>33</v>
      </c>
      <c r="E4133" s="5" t="s">
        <v>366</v>
      </c>
      <c r="F4133" s="9">
        <v>86</v>
      </c>
      <c r="G4133" s="9">
        <v>952</v>
      </c>
      <c r="H4133" s="5" t="s">
        <v>21</v>
      </c>
      <c r="I4133" s="5" t="s">
        <v>9427</v>
      </c>
      <c r="J4133" s="12" t="str">
        <f>HYPERLINK("https://www.boe.es/gazeta/dias/1801/09/08/pdfs/GMD-1801-86.pdf#page=3","Abrir facsímil")</f>
        <v>Abrir facsímil</v>
      </c>
      <c r="K4133" s="15" t="s">
        <v>23</v>
      </c>
    </row>
    <row r="4134" spans="1:11" ht="42" customHeight="1">
      <c r="A4134" s="4" t="s">
        <v>9428</v>
      </c>
      <c r="B4134" s="5" t="s">
        <v>9429</v>
      </c>
      <c r="C4134" s="5" t="s">
        <v>69</v>
      </c>
      <c r="D4134" s="5" t="s">
        <v>19</v>
      </c>
      <c r="E4134" s="5" t="s">
        <v>215</v>
      </c>
      <c r="F4134" s="9">
        <v>71</v>
      </c>
      <c r="G4134" s="9">
        <v>782</v>
      </c>
      <c r="H4134" s="5" t="s">
        <v>21</v>
      </c>
      <c r="I4134" s="5" t="s">
        <v>9430</v>
      </c>
      <c r="J4134" s="12" t="str">
        <f>HYPERLINK("https://www.boe.es/gazeta/dias/1801/07/21/pdfs/GMD-1801-71.pdf#page=3","Abrir facsímil")</f>
        <v>Abrir facsímil</v>
      </c>
      <c r="K4134" s="15" t="s">
        <v>23</v>
      </c>
    </row>
    <row r="4135" spans="1:11" ht="42" customHeight="1">
      <c r="A4135" s="4" t="s">
        <v>9431</v>
      </c>
      <c r="B4135" s="5" t="s">
        <v>9431</v>
      </c>
      <c r="C4135" s="5" t="s">
        <v>38</v>
      </c>
      <c r="D4135" s="5" t="s">
        <v>39</v>
      </c>
      <c r="E4135" s="5" t="s">
        <v>219</v>
      </c>
      <c r="F4135" s="9">
        <v>26</v>
      </c>
      <c r="G4135" s="9">
        <v>344</v>
      </c>
      <c r="H4135" s="5" t="s">
        <v>21</v>
      </c>
      <c r="I4135" s="5" t="s">
        <v>9432</v>
      </c>
      <c r="J4135" s="12" t="str">
        <f>HYPERLINK("https://www.boe.es/gazeta/dias/1801/03/31/pdfs/GMD-1801-26.pdf#page=8","Abrir facsímil")</f>
        <v>Abrir facsímil</v>
      </c>
      <c r="K4135" s="15" t="s">
        <v>23</v>
      </c>
    </row>
    <row r="4136" spans="1:11" ht="42" customHeight="1">
      <c r="A4136" s="4" t="s">
        <v>9433</v>
      </c>
      <c r="B4136" s="5" t="s">
        <v>9433</v>
      </c>
      <c r="C4136" s="5" t="s">
        <v>75</v>
      </c>
      <c r="D4136" s="5" t="s">
        <v>76</v>
      </c>
      <c r="E4136" s="5" t="s">
        <v>94</v>
      </c>
      <c r="F4136" s="9">
        <v>19</v>
      </c>
      <c r="G4136" s="9">
        <v>244</v>
      </c>
      <c r="H4136" s="5" t="s">
        <v>21</v>
      </c>
      <c r="I4136" s="5" t="s">
        <v>9434</v>
      </c>
      <c r="J4136" s="12" t="str">
        <f>HYPERLINK("https://www.boe.es/gazeta/dias/1801/03/06/pdfs/GMD-1801-19.pdf#page=9","Abrir facsímil")</f>
        <v>Abrir facsímil</v>
      </c>
      <c r="K4136" s="15" t="s">
        <v>23</v>
      </c>
    </row>
    <row r="4137" spans="1:11" ht="42" customHeight="1">
      <c r="A4137" s="4" t="s">
        <v>9435</v>
      </c>
      <c r="B4137" s="5" t="s">
        <v>9435</v>
      </c>
      <c r="C4137" s="5" t="s">
        <v>75</v>
      </c>
      <c r="D4137" s="5" t="s">
        <v>76</v>
      </c>
      <c r="E4137" s="5" t="s">
        <v>70</v>
      </c>
      <c r="F4137" s="9">
        <v>2</v>
      </c>
      <c r="G4137" s="9">
        <v>20</v>
      </c>
      <c r="H4137" s="5" t="s">
        <v>21</v>
      </c>
      <c r="I4137" s="5" t="s">
        <v>9436</v>
      </c>
      <c r="J4137" s="12" t="str">
        <f>HYPERLINK("https://www.boe.es/gazeta/dias/1801/01/06/pdfs/GMD-1801-2.pdf#page=8","Abrir facsímil")</f>
        <v>Abrir facsímil</v>
      </c>
      <c r="K4137" s="15" t="s">
        <v>23</v>
      </c>
    </row>
    <row r="4138" spans="1:11" ht="42" customHeight="1">
      <c r="A4138" s="4" t="s">
        <v>9437</v>
      </c>
      <c r="B4138" s="5" t="s">
        <v>9438</v>
      </c>
      <c r="C4138" s="5" t="s">
        <v>32</v>
      </c>
      <c r="D4138" s="5" t="s">
        <v>33</v>
      </c>
      <c r="E4138" s="5" t="s">
        <v>501</v>
      </c>
      <c r="F4138" s="9">
        <v>115</v>
      </c>
      <c r="G4138" s="9" t="s">
        <v>517</v>
      </c>
      <c r="H4138" s="5" t="s">
        <v>21</v>
      </c>
      <c r="I4138" s="5" t="s">
        <v>9439</v>
      </c>
      <c r="J4138" s="12" t="str">
        <f>HYPERLINK("https://www.boe.es/gazeta/dias/1801/12/15/pdfs/GMD-C-1801-115.pdf#page=7","Abrir facsímil")</f>
        <v>Abrir facsímil</v>
      </c>
      <c r="K4138" s="15" t="s">
        <v>23</v>
      </c>
    </row>
    <row r="4139" spans="1:11" ht="42" customHeight="1">
      <c r="A4139" s="4" t="s">
        <v>9440</v>
      </c>
      <c r="B4139" s="5" t="s">
        <v>9440</v>
      </c>
      <c r="C4139" s="5" t="s">
        <v>32</v>
      </c>
      <c r="D4139" s="5" t="s">
        <v>33</v>
      </c>
      <c r="E4139" s="5" t="s">
        <v>171</v>
      </c>
      <c r="F4139" s="9">
        <v>76</v>
      </c>
      <c r="G4139" s="9">
        <v>853</v>
      </c>
      <c r="H4139" s="5" t="s">
        <v>21</v>
      </c>
      <c r="I4139" s="5" t="s">
        <v>9441</v>
      </c>
      <c r="J4139" s="12" t="str">
        <f>HYPERLINK("https://www.boe.es/gazeta/dias/1801/08/07/pdfs/GMD-1801-76.pdf#page=10","Abrir facsímil")</f>
        <v>Abrir facsímil</v>
      </c>
      <c r="K4139" s="15" t="s">
        <v>23</v>
      </c>
    </row>
    <row r="4140" spans="1:11" ht="42" customHeight="1">
      <c r="A4140" s="4" t="s">
        <v>9442</v>
      </c>
      <c r="B4140" s="5" t="s">
        <v>9443</v>
      </c>
      <c r="C4140" s="5" t="s">
        <v>32</v>
      </c>
      <c r="D4140" s="5" t="s">
        <v>33</v>
      </c>
      <c r="E4140" s="5" t="s">
        <v>44</v>
      </c>
      <c r="F4140" s="9">
        <v>117</v>
      </c>
      <c r="G4140" s="9">
        <v>1281</v>
      </c>
      <c r="H4140" s="5" t="s">
        <v>21</v>
      </c>
      <c r="I4140" s="5" t="s">
        <v>9444</v>
      </c>
      <c r="J4140" s="12" t="str">
        <f>HYPERLINK("https://www.boe.es/gazeta/dias/1801/12/22/pdfs/GMD-1801-117.pdf#page=8","Abrir facsímil")</f>
        <v>Abrir facsímil</v>
      </c>
      <c r="K4140" s="15" t="s">
        <v>23</v>
      </c>
    </row>
    <row r="4141" spans="1:11" ht="42" customHeight="1">
      <c r="A4141" s="4" t="s">
        <v>9445</v>
      </c>
      <c r="B4141" s="5" t="s">
        <v>9445</v>
      </c>
      <c r="C4141" s="5" t="s">
        <v>75</v>
      </c>
      <c r="D4141" s="5" t="s">
        <v>76</v>
      </c>
      <c r="E4141" s="5" t="s">
        <v>201</v>
      </c>
      <c r="F4141" s="9">
        <v>79</v>
      </c>
      <c r="G4141" s="9">
        <v>884</v>
      </c>
      <c r="H4141" s="5" t="s">
        <v>21</v>
      </c>
      <c r="I4141" s="5" t="s">
        <v>9446</v>
      </c>
      <c r="J4141" s="12" t="str">
        <f>HYPERLINK("https://www.boe.es/gazeta/dias/1801/08/18/pdfs/GMD-1801-79.pdf#page=1","Abrir facsímil")</f>
        <v>Abrir facsímil</v>
      </c>
      <c r="K4141" s="15" t="s">
        <v>23</v>
      </c>
    </row>
    <row r="4142" spans="1:11" ht="42" customHeight="1">
      <c r="A4142" s="4" t="s">
        <v>9447</v>
      </c>
      <c r="B4142" s="5" t="s">
        <v>9447</v>
      </c>
      <c r="C4142" s="5" t="s">
        <v>38</v>
      </c>
      <c r="D4142" s="5" t="s">
        <v>39</v>
      </c>
      <c r="E4142" s="5" t="s">
        <v>480</v>
      </c>
      <c r="F4142" s="9">
        <v>10</v>
      </c>
      <c r="G4142" s="9">
        <v>123</v>
      </c>
      <c r="H4142" s="5" t="s">
        <v>21</v>
      </c>
      <c r="I4142" s="5" t="s">
        <v>9448</v>
      </c>
      <c r="J4142" s="12" t="str">
        <f>HYPERLINK("https://www.boe.es/gazeta/dias/1801/02/03/pdfs/GMD-1801-10.pdf#page=8","Abrir facsímil")</f>
        <v>Abrir facsímil</v>
      </c>
      <c r="K4142" s="15" t="s">
        <v>23</v>
      </c>
    </row>
    <row r="4143" spans="1:11" ht="42" customHeight="1">
      <c r="A4143" s="4" t="s">
        <v>9449</v>
      </c>
      <c r="B4143" s="5" t="s">
        <v>9449</v>
      </c>
      <c r="C4143" s="5" t="s">
        <v>75</v>
      </c>
      <c r="D4143" s="5" t="s">
        <v>76</v>
      </c>
      <c r="E4143" s="5" t="s">
        <v>615</v>
      </c>
      <c r="F4143" s="9">
        <v>72</v>
      </c>
      <c r="G4143" s="9">
        <v>797</v>
      </c>
      <c r="H4143" s="5" t="s">
        <v>21</v>
      </c>
      <c r="I4143" s="5" t="s">
        <v>9450</v>
      </c>
      <c r="J4143" s="12" t="str">
        <f>HYPERLINK("https://www.boe.es/gazeta/dias/1801/07/24/pdfs/GMD-1801-72.pdf#page=2","Abrir facsímil")</f>
        <v>Abrir facsímil</v>
      </c>
      <c r="K4143" s="15" t="s">
        <v>23</v>
      </c>
    </row>
    <row r="4144" spans="1:11" ht="42" customHeight="1">
      <c r="A4144" s="4" t="s">
        <v>9451</v>
      </c>
      <c r="B4144" s="5" t="s">
        <v>9451</v>
      </c>
      <c r="C4144" s="5" t="s">
        <v>32</v>
      </c>
      <c r="D4144" s="5" t="s">
        <v>33</v>
      </c>
      <c r="E4144" s="5" t="s">
        <v>264</v>
      </c>
      <c r="F4144" s="9">
        <v>111</v>
      </c>
      <c r="G4144" s="9">
        <v>1218</v>
      </c>
      <c r="H4144" s="5" t="s">
        <v>21</v>
      </c>
      <c r="I4144" s="5" t="s">
        <v>9452</v>
      </c>
      <c r="J4144" s="12" t="str">
        <f>HYPERLINK("https://www.boe.es/gazeta/dias/1801/12/01/pdfs/GMD-1801-111.pdf#page=7","Abrir facsímil")</f>
        <v>Abrir facsímil</v>
      </c>
      <c r="K4144" s="15" t="s">
        <v>23</v>
      </c>
    </row>
    <row r="4145" spans="1:11" ht="42" customHeight="1">
      <c r="A4145" s="4" t="s">
        <v>9453</v>
      </c>
      <c r="B4145" s="5" t="s">
        <v>9454</v>
      </c>
      <c r="C4145" s="5" t="s">
        <v>32</v>
      </c>
      <c r="D4145" s="5" t="s">
        <v>33</v>
      </c>
      <c r="E4145" s="5" t="s">
        <v>465</v>
      </c>
      <c r="F4145" s="9">
        <v>4</v>
      </c>
      <c r="G4145" s="9">
        <v>48</v>
      </c>
      <c r="H4145" s="5" t="s">
        <v>21</v>
      </c>
      <c r="I4145" s="5" t="s">
        <v>9455</v>
      </c>
      <c r="J4145" s="12" t="str">
        <f>HYPERLINK("https://www.boe.es/gazeta/dias/1801/01/13/pdfs/GMD-1801-4.pdf#page=12","Abrir facsímil")</f>
        <v>Abrir facsímil</v>
      </c>
      <c r="K4145" s="15" t="s">
        <v>23</v>
      </c>
    </row>
    <row r="4146" spans="1:11" ht="42" customHeight="1">
      <c r="A4146" s="4" t="s">
        <v>9456</v>
      </c>
      <c r="B4146" s="5" t="s">
        <v>9457</v>
      </c>
      <c r="C4146" s="5" t="s">
        <v>32</v>
      </c>
      <c r="D4146" s="5" t="s">
        <v>33</v>
      </c>
      <c r="E4146" s="5" t="s">
        <v>124</v>
      </c>
      <c r="F4146" s="9">
        <v>12</v>
      </c>
      <c r="G4146" s="9">
        <v>147</v>
      </c>
      <c r="H4146" s="5" t="s">
        <v>21</v>
      </c>
      <c r="I4146" s="5" t="s">
        <v>9458</v>
      </c>
      <c r="J4146" s="12" t="str">
        <f>HYPERLINK("https://www.boe.es/gazeta/dias/1801/02/10/pdfs/GMD-1801-12.pdf#page=8","Abrir facsímil")</f>
        <v>Abrir facsímil</v>
      </c>
      <c r="K4146" s="15" t="s">
        <v>23</v>
      </c>
    </row>
    <row r="4147" spans="1:11" ht="42" customHeight="1">
      <c r="A4147" s="4" t="s">
        <v>9456</v>
      </c>
      <c r="B4147" s="5" t="s">
        <v>9457</v>
      </c>
      <c r="C4147" s="5" t="s">
        <v>38</v>
      </c>
      <c r="D4147" s="5" t="s">
        <v>39</v>
      </c>
      <c r="E4147" s="5" t="s">
        <v>258</v>
      </c>
      <c r="F4147" s="9">
        <v>96</v>
      </c>
      <c r="G4147" s="9">
        <v>1054</v>
      </c>
      <c r="H4147" s="5" t="s">
        <v>21</v>
      </c>
      <c r="I4147" s="5" t="s">
        <v>9459</v>
      </c>
      <c r="J4147" s="12" t="str">
        <f>HYPERLINK("https://www.boe.es/gazeta/dias/1801/10/09/pdfs/GMD-1801-96.pdf#page=10","Abrir facsímil")</f>
        <v>Abrir facsímil</v>
      </c>
      <c r="K4147" s="15" t="s">
        <v>23</v>
      </c>
    </row>
    <row r="4148" spans="1:11" ht="42" customHeight="1">
      <c r="A4148" s="4" t="s">
        <v>9456</v>
      </c>
      <c r="B4148" s="5" t="s">
        <v>9457</v>
      </c>
      <c r="C4148" s="5" t="s">
        <v>69</v>
      </c>
      <c r="D4148" s="5" t="s">
        <v>19</v>
      </c>
      <c r="E4148" s="5" t="s">
        <v>723</v>
      </c>
      <c r="F4148" s="9">
        <v>113</v>
      </c>
      <c r="G4148" s="9">
        <v>1234</v>
      </c>
      <c r="H4148" s="5" t="s">
        <v>21</v>
      </c>
      <c r="I4148" s="5" t="s">
        <v>9460</v>
      </c>
      <c r="J4148" s="12" t="str">
        <f>HYPERLINK("https://www.boe.es/gazeta/dias/1801/12/08/pdfs/GMD-1801-113.pdf#page=7","Abrir facsímil")</f>
        <v>Abrir facsímil</v>
      </c>
      <c r="K4148" s="15" t="s">
        <v>23</v>
      </c>
    </row>
    <row r="4149" spans="1:11" ht="42" customHeight="1">
      <c r="A4149" s="4" t="s">
        <v>9461</v>
      </c>
      <c r="B4149" s="5" t="s">
        <v>9462</v>
      </c>
      <c r="C4149" s="5" t="s">
        <v>69</v>
      </c>
      <c r="D4149" s="5" t="s">
        <v>19</v>
      </c>
      <c r="E4149" s="5" t="s">
        <v>82</v>
      </c>
      <c r="F4149" s="9">
        <v>75</v>
      </c>
      <c r="G4149" s="9">
        <v>840</v>
      </c>
      <c r="H4149" s="5" t="s">
        <v>21</v>
      </c>
      <c r="I4149" s="5" t="s">
        <v>9463</v>
      </c>
      <c r="J4149" s="12" t="str">
        <f>HYPERLINK("https://www.boe.es/gazeta/dias/1801/08/04/pdfs/GMD-1801-75.pdf#page=9","Abrir facsímil")</f>
        <v>Abrir facsímil</v>
      </c>
      <c r="K4149" s="15" t="s">
        <v>23</v>
      </c>
    </row>
    <row r="4150" spans="1:11" ht="42" customHeight="1">
      <c r="A4150" s="4" t="s">
        <v>9464</v>
      </c>
      <c r="B4150" s="5" t="s">
        <v>9465</v>
      </c>
      <c r="C4150" s="5" t="s">
        <v>32</v>
      </c>
      <c r="D4150" s="5" t="s">
        <v>33</v>
      </c>
      <c r="E4150" s="5" t="s">
        <v>292</v>
      </c>
      <c r="F4150" s="9">
        <v>25</v>
      </c>
      <c r="G4150" s="9">
        <v>331</v>
      </c>
      <c r="H4150" s="5" t="s">
        <v>21</v>
      </c>
      <c r="I4150" s="5" t="s">
        <v>9466</v>
      </c>
      <c r="J4150" s="12" t="str">
        <f>HYPERLINK("https://www.boe.es/gazeta/dias/1801/03/27/pdfs/GMD-1801-25.pdf#page=10","Abrir facsímil")</f>
        <v>Abrir facsímil</v>
      </c>
      <c r="K4150" s="15" t="s">
        <v>23</v>
      </c>
    </row>
    <row r="4151" spans="1:11" ht="42" customHeight="1">
      <c r="A4151" s="4" t="s">
        <v>9467</v>
      </c>
      <c r="B4151" s="5" t="s">
        <v>9468</v>
      </c>
      <c r="C4151" s="5" t="s">
        <v>32</v>
      </c>
      <c r="D4151" s="5" t="s">
        <v>33</v>
      </c>
      <c r="E4151" s="5" t="s">
        <v>112</v>
      </c>
      <c r="F4151" s="9">
        <v>114</v>
      </c>
      <c r="G4151" s="9">
        <v>1247</v>
      </c>
      <c r="H4151" s="5" t="s">
        <v>21</v>
      </c>
      <c r="I4151" s="5" t="s">
        <v>9469</v>
      </c>
      <c r="J4151" s="12" t="str">
        <f>HYPERLINK("https://www.boe.es/gazeta/dias/1801/12/11/pdfs/GMD-1801-114.pdf#page=9","Abrir facsímil")</f>
        <v>Abrir facsímil</v>
      </c>
      <c r="K4151" s="15" t="s">
        <v>23</v>
      </c>
    </row>
    <row r="4152" spans="1:11" ht="42" customHeight="1">
      <c r="A4152" s="4" t="s">
        <v>9470</v>
      </c>
      <c r="B4152" s="5" t="s">
        <v>9471</v>
      </c>
      <c r="C4152" s="5" t="s">
        <v>69</v>
      </c>
      <c r="D4152" s="5" t="s">
        <v>19</v>
      </c>
      <c r="E4152" s="5" t="s">
        <v>359</v>
      </c>
      <c r="F4152" s="9">
        <v>101</v>
      </c>
      <c r="G4152" s="9">
        <v>1113</v>
      </c>
      <c r="H4152" s="5" t="s">
        <v>21</v>
      </c>
      <c r="I4152" s="5" t="s">
        <v>9472</v>
      </c>
      <c r="J4152" s="12" t="str">
        <f>HYPERLINK("https://www.boe.es/gazeta/dias/1801/10/27/pdfs/GMD-1801-101.pdf#page=6","Abrir facsímil")</f>
        <v>Abrir facsímil</v>
      </c>
      <c r="K4152" s="15" t="s">
        <v>23</v>
      </c>
    </row>
    <row r="4153" spans="1:11" ht="42" customHeight="1">
      <c r="A4153" s="4" t="s">
        <v>9473</v>
      </c>
      <c r="B4153" s="5" t="s">
        <v>9474</v>
      </c>
      <c r="C4153" s="5" t="s">
        <v>32</v>
      </c>
      <c r="D4153" s="5" t="s">
        <v>33</v>
      </c>
      <c r="E4153" s="5" t="s">
        <v>112</v>
      </c>
      <c r="F4153" s="9">
        <v>114</v>
      </c>
      <c r="G4153" s="9">
        <v>1248</v>
      </c>
      <c r="H4153" s="5" t="s">
        <v>21</v>
      </c>
      <c r="I4153" s="5" t="s">
        <v>9475</v>
      </c>
      <c r="J4153" s="12" t="str">
        <f>HYPERLINK("https://www.boe.es/gazeta/dias/1801/12/11/pdfs/GMD-1801-114.pdf#page=10","Abrir facsímil")</f>
        <v>Abrir facsímil</v>
      </c>
      <c r="K4153" s="15" t="s">
        <v>23</v>
      </c>
    </row>
    <row r="4154" spans="1:11" ht="42" customHeight="1">
      <c r="A4154" s="4" t="s">
        <v>9476</v>
      </c>
      <c r="B4154" s="5" t="s">
        <v>9477</v>
      </c>
      <c r="C4154" s="5" t="s">
        <v>18</v>
      </c>
      <c r="D4154" s="5" t="s">
        <v>19</v>
      </c>
      <c r="E4154" s="5" t="s">
        <v>126</v>
      </c>
      <c r="F4154" s="9">
        <v>13</v>
      </c>
      <c r="G4154" s="9">
        <v>164</v>
      </c>
      <c r="H4154" s="5" t="s">
        <v>21</v>
      </c>
      <c r="I4154" s="5" t="s">
        <v>9478</v>
      </c>
      <c r="J4154" s="12" t="str">
        <f>HYPERLINK("https://www.boe.es/gazeta/dias/1801/02/13/pdfs/GMD-1801-13.pdf#page=11","Abrir facsímil")</f>
        <v>Abrir facsímil</v>
      </c>
      <c r="K4154" s="15" t="s">
        <v>23</v>
      </c>
    </row>
    <row r="4155" spans="1:11" ht="42" customHeight="1">
      <c r="A4155" s="4" t="s">
        <v>9479</v>
      </c>
      <c r="B4155" s="5" t="s">
        <v>9480</v>
      </c>
      <c r="C4155" s="5" t="s">
        <v>32</v>
      </c>
      <c r="D4155" s="5" t="s">
        <v>33</v>
      </c>
      <c r="E4155" s="5" t="s">
        <v>313</v>
      </c>
      <c r="F4155" s="9">
        <v>39</v>
      </c>
      <c r="G4155" s="9">
        <v>506</v>
      </c>
      <c r="H4155" s="5" t="s">
        <v>21</v>
      </c>
      <c r="I4155" s="5" t="s">
        <v>9481</v>
      </c>
      <c r="J4155" s="12" t="str">
        <f>HYPERLINK("https://www.boe.es/gazeta/dias/1801/05/15/pdfs/GMD-1801-39.pdf#page=10","Abrir facsímil")</f>
        <v>Abrir facsímil</v>
      </c>
      <c r="K4155" s="15" t="s">
        <v>23</v>
      </c>
    </row>
    <row r="4156" spans="1:11" ht="42" customHeight="1">
      <c r="A4156" s="4" t="s">
        <v>9482</v>
      </c>
      <c r="B4156" s="5" t="s">
        <v>9483</v>
      </c>
      <c r="C4156" s="5" t="s">
        <v>80</v>
      </c>
      <c r="D4156" s="5" t="s">
        <v>81</v>
      </c>
      <c r="E4156" s="5" t="s">
        <v>289</v>
      </c>
      <c r="F4156" s="9">
        <v>40</v>
      </c>
      <c r="G4156" s="9" t="s">
        <v>996</v>
      </c>
      <c r="H4156" s="5" t="s">
        <v>21</v>
      </c>
      <c r="I4156" s="5" t="s">
        <v>9484</v>
      </c>
      <c r="J4156" s="12" t="str">
        <f>HYPERLINK("https://www.boe.es/gazeta/dias/1801/05/19/pdfs/GMD-C-1801-40.pdf#page=6","Abrir facsímil")</f>
        <v>Abrir facsímil</v>
      </c>
      <c r="K4156" s="15" t="s">
        <v>23</v>
      </c>
    </row>
    <row r="4157" spans="1:11" ht="42" customHeight="1">
      <c r="A4157" s="4" t="s">
        <v>9485</v>
      </c>
      <c r="B4157" s="5" t="s">
        <v>9486</v>
      </c>
      <c r="C4157" s="5" t="s">
        <v>69</v>
      </c>
      <c r="D4157" s="5" t="s">
        <v>19</v>
      </c>
      <c r="E4157" s="5" t="s">
        <v>219</v>
      </c>
      <c r="F4157" s="9">
        <v>26</v>
      </c>
      <c r="G4157" s="9">
        <v>346</v>
      </c>
      <c r="H4157" s="5" t="s">
        <v>21</v>
      </c>
      <c r="I4157" s="5" t="s">
        <v>9487</v>
      </c>
      <c r="J4157" s="12" t="str">
        <f>HYPERLINK("https://www.boe.es/gazeta/dias/1801/03/31/pdfs/GMD-1801-26.pdf#page=10","Abrir facsímil")</f>
        <v>Abrir facsímil</v>
      </c>
      <c r="K4157" s="15" t="s">
        <v>23</v>
      </c>
    </row>
    <row r="4158" spans="1:11" ht="42" customHeight="1">
      <c r="A4158" s="4" t="s">
        <v>9488</v>
      </c>
      <c r="B4158" s="5" t="s">
        <v>9489</v>
      </c>
      <c r="C4158" s="5" t="s">
        <v>69</v>
      </c>
      <c r="D4158" s="5" t="s">
        <v>19</v>
      </c>
      <c r="E4158" s="5" t="s">
        <v>262</v>
      </c>
      <c r="F4158" s="9">
        <v>109</v>
      </c>
      <c r="G4158" s="9">
        <v>1204</v>
      </c>
      <c r="H4158" s="5" t="s">
        <v>21</v>
      </c>
      <c r="I4158" s="5" t="s">
        <v>9490</v>
      </c>
      <c r="J4158" s="12" t="str">
        <f>HYPERLINK("https://www.boe.es/gazeta/dias/1801/11/24/pdfs/GMD-1801-109.pdf#page=9","Abrir facsímil")</f>
        <v>Abrir facsímil</v>
      </c>
      <c r="K4158" s="15" t="s">
        <v>23</v>
      </c>
    </row>
    <row r="4159" spans="1:11" ht="42" customHeight="1">
      <c r="A4159" s="4" t="s">
        <v>9491</v>
      </c>
      <c r="B4159" s="5" t="s">
        <v>9492</v>
      </c>
      <c r="C4159" s="5" t="s">
        <v>75</v>
      </c>
      <c r="D4159" s="5" t="s">
        <v>76</v>
      </c>
      <c r="E4159" s="5" t="s">
        <v>321</v>
      </c>
      <c r="F4159" s="9">
        <v>3</v>
      </c>
      <c r="G4159" s="9">
        <v>33</v>
      </c>
      <c r="H4159" s="5" t="s">
        <v>21</v>
      </c>
      <c r="I4159" s="5" t="s">
        <v>9493</v>
      </c>
      <c r="J4159" s="12" t="str">
        <f>HYPERLINK("https://www.boe.es/gazeta/dias/1801/01/09/pdfs/GMD-1801-3.pdf#page=9","Abrir facsímil")</f>
        <v>Abrir facsímil</v>
      </c>
      <c r="K4159" s="15" t="s">
        <v>23</v>
      </c>
    </row>
    <row r="4160" spans="1:11" ht="42" customHeight="1">
      <c r="A4160" s="4" t="s">
        <v>9494</v>
      </c>
      <c r="B4160" s="5" t="s">
        <v>9495</v>
      </c>
      <c r="C4160" s="5" t="s">
        <v>69</v>
      </c>
      <c r="D4160" s="5" t="s">
        <v>19</v>
      </c>
      <c r="E4160" s="5" t="s">
        <v>137</v>
      </c>
      <c r="F4160" s="9">
        <v>30</v>
      </c>
      <c r="G4160" s="9">
        <v>394</v>
      </c>
      <c r="H4160" s="5" t="s">
        <v>21</v>
      </c>
      <c r="I4160" s="5" t="s">
        <v>9496</v>
      </c>
      <c r="J4160" s="12" t="str">
        <f>HYPERLINK("https://www.boe.es/gazeta/dias/1801/04/14/pdfs/GMD-1801-30.pdf#page=10","Abrir facsímil")</f>
        <v>Abrir facsímil</v>
      </c>
      <c r="K4160" s="15" t="s">
        <v>23</v>
      </c>
    </row>
    <row r="4161" spans="1:11" ht="42" customHeight="1">
      <c r="A4161" s="4" t="s">
        <v>9497</v>
      </c>
      <c r="B4161" s="5" t="s">
        <v>9498</v>
      </c>
      <c r="C4161" s="5" t="s">
        <v>80</v>
      </c>
      <c r="D4161" s="5" t="s">
        <v>81</v>
      </c>
      <c r="E4161" s="5" t="s">
        <v>289</v>
      </c>
      <c r="F4161" s="9">
        <v>40</v>
      </c>
      <c r="G4161" s="9" t="s">
        <v>502</v>
      </c>
      <c r="H4161" s="5" t="s">
        <v>21</v>
      </c>
      <c r="I4161" s="5" t="s">
        <v>9499</v>
      </c>
      <c r="J4161" s="12" t="str">
        <f>HYPERLINK("https://www.boe.es/gazeta/dias/1801/05/19/pdfs/GMD-C-1801-40.pdf#page=8","Abrir facsímil")</f>
        <v>Abrir facsímil</v>
      </c>
      <c r="K4161" s="15" t="s">
        <v>23</v>
      </c>
    </row>
    <row r="4162" spans="1:11" ht="42" customHeight="1">
      <c r="A4162" s="4" t="s">
        <v>9500</v>
      </c>
      <c r="B4162" s="5" t="s">
        <v>9501</v>
      </c>
      <c r="C4162" s="5" t="s">
        <v>32</v>
      </c>
      <c r="D4162" s="5" t="s">
        <v>33</v>
      </c>
      <c r="E4162" s="5" t="s">
        <v>292</v>
      </c>
      <c r="F4162" s="9">
        <v>25</v>
      </c>
      <c r="G4162" s="9">
        <v>332</v>
      </c>
      <c r="H4162" s="5" t="s">
        <v>21</v>
      </c>
      <c r="I4162" s="5" t="s">
        <v>9502</v>
      </c>
      <c r="J4162" s="12" t="str">
        <f>HYPERLINK("https://www.boe.es/gazeta/dias/1801/03/27/pdfs/GMD-1801-25.pdf#page=11","Abrir facsímil")</f>
        <v>Abrir facsímil</v>
      </c>
      <c r="K4162" s="15" t="s">
        <v>23</v>
      </c>
    </row>
    <row r="4163" spans="1:11" ht="42" customHeight="1">
      <c r="A4163" s="4" t="s">
        <v>9503</v>
      </c>
      <c r="B4163" s="5" t="s">
        <v>9504</v>
      </c>
      <c r="C4163" s="5" t="s">
        <v>32</v>
      </c>
      <c r="D4163" s="5" t="s">
        <v>33</v>
      </c>
      <c r="E4163" s="5" t="s">
        <v>256</v>
      </c>
      <c r="F4163" s="9">
        <v>78</v>
      </c>
      <c r="G4163" s="9">
        <v>882</v>
      </c>
      <c r="H4163" s="5" t="s">
        <v>21</v>
      </c>
      <c r="I4163" s="5" t="s">
        <v>9505</v>
      </c>
      <c r="J4163" s="12" t="str">
        <f>HYPERLINK("https://www.boe.es/gazeta/dias/1801/08/14/pdfs/GMD-1801-78.pdf#page=11","Abrir facsímil")</f>
        <v>Abrir facsímil</v>
      </c>
      <c r="K4163" s="15" t="s">
        <v>23</v>
      </c>
    </row>
    <row r="4164" spans="1:11" ht="42" customHeight="1">
      <c r="A4164" s="4" t="s">
        <v>9506</v>
      </c>
      <c r="B4164" s="5" t="s">
        <v>9507</v>
      </c>
      <c r="C4164" s="5" t="s">
        <v>75</v>
      </c>
      <c r="D4164" s="5" t="s">
        <v>76</v>
      </c>
      <c r="E4164" s="5" t="s">
        <v>101</v>
      </c>
      <c r="F4164" s="9">
        <v>41</v>
      </c>
      <c r="G4164" s="9">
        <v>522</v>
      </c>
      <c r="H4164" s="5" t="s">
        <v>21</v>
      </c>
      <c r="I4164" s="5" t="s">
        <v>9508</v>
      </c>
      <c r="J4164" s="12" t="str">
        <f>HYPERLINK("https://www.boe.es/gazeta/dias/1801/05/22/pdfs/GMD-1801-41.pdf#page=6","Abrir facsímil")</f>
        <v>Abrir facsímil</v>
      </c>
      <c r="K4164" s="15" t="s">
        <v>23</v>
      </c>
    </row>
    <row r="4165" spans="1:11" ht="42" customHeight="1">
      <c r="A4165" s="4" t="s">
        <v>9509</v>
      </c>
      <c r="B4165" s="5" t="s">
        <v>9510</v>
      </c>
      <c r="C4165" s="5" t="s">
        <v>32</v>
      </c>
      <c r="D4165" s="5" t="s">
        <v>33</v>
      </c>
      <c r="E4165" s="5" t="s">
        <v>145</v>
      </c>
      <c r="F4165" s="9">
        <v>36</v>
      </c>
      <c r="G4165" s="9">
        <v>468</v>
      </c>
      <c r="H4165" s="5" t="s">
        <v>21</v>
      </c>
      <c r="I4165" s="5" t="s">
        <v>9511</v>
      </c>
      <c r="J4165" s="12" t="str">
        <f>HYPERLINK("https://www.boe.es/gazeta/dias/1801/05/05/pdfs/GMD-1801-36.pdf#page=12","Abrir facsímil")</f>
        <v>Abrir facsímil</v>
      </c>
      <c r="K4165" s="15" t="s">
        <v>23</v>
      </c>
    </row>
    <row r="4166" spans="1:11" ht="42" customHeight="1">
      <c r="A4166" s="4" t="s">
        <v>9512</v>
      </c>
      <c r="B4166" s="5" t="s">
        <v>9512</v>
      </c>
      <c r="C4166" s="5" t="s">
        <v>38</v>
      </c>
      <c r="D4166" s="5" t="s">
        <v>39</v>
      </c>
      <c r="E4166" s="5" t="s">
        <v>417</v>
      </c>
      <c r="F4166" s="9">
        <v>64</v>
      </c>
      <c r="G4166" s="9">
        <v>726</v>
      </c>
      <c r="H4166" s="5" t="s">
        <v>21</v>
      </c>
      <c r="I4166" s="5" t="s">
        <v>9513</v>
      </c>
      <c r="J4166" s="12" t="str">
        <f>HYPERLINK("https://www.boe.es/gazeta/dias/1801/07/07/pdfs/GMD-1801-64.pdf#page=7","Abrir facsímil")</f>
        <v>Abrir facsímil</v>
      </c>
      <c r="K4166" s="15" t="s">
        <v>23</v>
      </c>
    </row>
    <row r="4167" spans="1:11" ht="42" customHeight="1">
      <c r="A4167" s="4" t="s">
        <v>9514</v>
      </c>
      <c r="B4167" s="5" t="s">
        <v>9515</v>
      </c>
      <c r="C4167" s="5" t="s">
        <v>32</v>
      </c>
      <c r="D4167" s="5" t="s">
        <v>33</v>
      </c>
      <c r="E4167" s="5" t="s">
        <v>70</v>
      </c>
      <c r="F4167" s="9">
        <v>2</v>
      </c>
      <c r="G4167" s="9">
        <v>24</v>
      </c>
      <c r="H4167" s="5" t="s">
        <v>21</v>
      </c>
      <c r="I4167" s="5" t="s">
        <v>9516</v>
      </c>
      <c r="J4167" s="12" t="str">
        <f>HYPERLINK("https://www.boe.es/gazeta/dias/1801/01/06/pdfs/GMD-1801-2.pdf#page=12","Abrir facsímil")</f>
        <v>Abrir facsímil</v>
      </c>
      <c r="K4167" s="15" t="s">
        <v>23</v>
      </c>
    </row>
    <row r="4168" spans="1:11" ht="42" customHeight="1">
      <c r="A4168" s="4" t="s">
        <v>9517</v>
      </c>
      <c r="B4168" s="5" t="s">
        <v>9518</v>
      </c>
      <c r="C4168" s="5" t="s">
        <v>38</v>
      </c>
      <c r="D4168" s="5" t="s">
        <v>39</v>
      </c>
      <c r="E4168" s="5" t="s">
        <v>126</v>
      </c>
      <c r="F4168" s="9">
        <v>13</v>
      </c>
      <c r="G4168" s="9">
        <v>156</v>
      </c>
      <c r="H4168" s="5" t="s">
        <v>21</v>
      </c>
      <c r="I4168" s="5" t="s">
        <v>9519</v>
      </c>
      <c r="J4168" s="12" t="str">
        <f>HYPERLINK("https://www.boe.es/gazeta/dias/1801/02/13/pdfs/GMD-1801-13.pdf#page=3","Abrir facsímil")</f>
        <v>Abrir facsímil</v>
      </c>
      <c r="K4168" s="15" t="s">
        <v>23</v>
      </c>
    </row>
    <row r="4169" spans="1:11" ht="42" customHeight="1">
      <c r="A4169" s="4" t="s">
        <v>9517</v>
      </c>
      <c r="B4169" s="5" t="s">
        <v>9518</v>
      </c>
      <c r="C4169" s="5" t="s">
        <v>75</v>
      </c>
      <c r="D4169" s="5" t="s">
        <v>76</v>
      </c>
      <c r="E4169" s="5" t="s">
        <v>219</v>
      </c>
      <c r="F4169" s="9">
        <v>26</v>
      </c>
      <c r="G4169" s="9">
        <v>340</v>
      </c>
      <c r="H4169" s="5" t="s">
        <v>21</v>
      </c>
      <c r="I4169" s="5" t="s">
        <v>9520</v>
      </c>
      <c r="J4169" s="12" t="str">
        <f>HYPERLINK("https://www.boe.es/gazeta/dias/1801/03/31/pdfs/GMD-1801-26.pdf#page=4","Abrir facsímil")</f>
        <v>Abrir facsímil</v>
      </c>
      <c r="K4169" s="15" t="s">
        <v>23</v>
      </c>
    </row>
    <row r="4170" spans="1:11" ht="42" customHeight="1">
      <c r="A4170" s="4" t="s">
        <v>9521</v>
      </c>
      <c r="B4170" s="5" t="s">
        <v>9521</v>
      </c>
      <c r="C4170" s="5" t="s">
        <v>75</v>
      </c>
      <c r="D4170" s="5" t="s">
        <v>76</v>
      </c>
      <c r="E4170" s="5" t="s">
        <v>712</v>
      </c>
      <c r="F4170" s="9">
        <v>105</v>
      </c>
      <c r="G4170" s="9">
        <v>1149</v>
      </c>
      <c r="H4170" s="5" t="s">
        <v>21</v>
      </c>
      <c r="I4170" s="5" t="s">
        <v>9522</v>
      </c>
      <c r="J4170" s="12" t="str">
        <f>HYPERLINK("https://www.boe.es/gazeta/dias/1801/11/10/pdfs/GMD-1801-105.pdf#page=2","Abrir facsímil")</f>
        <v>Abrir facsímil</v>
      </c>
      <c r="K4170" s="15" t="s">
        <v>23</v>
      </c>
    </row>
    <row r="4171" spans="1:11" ht="42" customHeight="1">
      <c r="A4171" s="4" t="s">
        <v>9523</v>
      </c>
      <c r="B4171" s="5" t="s">
        <v>9523</v>
      </c>
      <c r="C4171" s="5" t="s">
        <v>75</v>
      </c>
      <c r="D4171" s="5" t="s">
        <v>76</v>
      </c>
      <c r="E4171" s="5" t="s">
        <v>359</v>
      </c>
      <c r="F4171" s="9">
        <v>101</v>
      </c>
      <c r="G4171" s="9">
        <v>1112</v>
      </c>
      <c r="H4171" s="5" t="s">
        <v>21</v>
      </c>
      <c r="I4171" s="5" t="s">
        <v>9524</v>
      </c>
      <c r="J4171" s="12" t="str">
        <f>HYPERLINK("https://www.boe.es/gazeta/dias/1801/10/27/pdfs/GMD-1801-101.pdf#page=5","Abrir facsímil")</f>
        <v>Abrir facsímil</v>
      </c>
      <c r="K4171" s="15" t="s">
        <v>23</v>
      </c>
    </row>
    <row r="4172" spans="1:11" ht="42" customHeight="1">
      <c r="A4172" s="4" t="s">
        <v>9525</v>
      </c>
      <c r="B4172" s="5" t="s">
        <v>9525</v>
      </c>
      <c r="C4172" s="5" t="s">
        <v>75</v>
      </c>
      <c r="D4172" s="5" t="s">
        <v>76</v>
      </c>
      <c r="E4172" s="5" t="s">
        <v>28</v>
      </c>
      <c r="F4172" s="9">
        <v>77</v>
      </c>
      <c r="G4172" s="9">
        <v>860</v>
      </c>
      <c r="H4172" s="5" t="s">
        <v>21</v>
      </c>
      <c r="I4172" s="5" t="s">
        <v>9526</v>
      </c>
      <c r="J4172" s="12" t="str">
        <f>HYPERLINK("https://www.boe.es/gazeta/dias/1801/08/11/pdfs/GMD-1801-77.pdf#page=5","Abrir facsímil")</f>
        <v>Abrir facsímil</v>
      </c>
      <c r="K4172" s="15" t="s">
        <v>23</v>
      </c>
    </row>
    <row r="4173" spans="1:11" ht="42" customHeight="1">
      <c r="A4173" s="4" t="s">
        <v>9527</v>
      </c>
      <c r="B4173" s="5" t="s">
        <v>9527</v>
      </c>
      <c r="C4173" s="5" t="s">
        <v>38</v>
      </c>
      <c r="D4173" s="5" t="s">
        <v>39</v>
      </c>
      <c r="E4173" s="5" t="s">
        <v>935</v>
      </c>
      <c r="F4173" s="9">
        <v>116</v>
      </c>
      <c r="G4173" s="9">
        <v>1270</v>
      </c>
      <c r="H4173" s="5" t="s">
        <v>21</v>
      </c>
      <c r="I4173" s="5" t="s">
        <v>9528</v>
      </c>
      <c r="J4173" s="12" t="str">
        <f>HYPERLINK("https://www.boe.es/gazeta/dias/1801/12/18/pdfs/GMD-1801-116.pdf#page=12","Abrir facsímil")</f>
        <v>Abrir facsímil</v>
      </c>
      <c r="K4173" s="15" t="s">
        <v>23</v>
      </c>
    </row>
    <row r="4174" spans="1:11" ht="42" customHeight="1">
      <c r="A4174" s="4" t="s">
        <v>9529</v>
      </c>
      <c r="B4174" s="5" t="s">
        <v>9530</v>
      </c>
      <c r="C4174" s="5" t="s">
        <v>32</v>
      </c>
      <c r="D4174" s="5" t="s">
        <v>33</v>
      </c>
      <c r="E4174" s="5" t="s">
        <v>70</v>
      </c>
      <c r="F4174" s="9">
        <v>2</v>
      </c>
      <c r="G4174" s="9">
        <v>21</v>
      </c>
      <c r="H4174" s="5" t="s">
        <v>21</v>
      </c>
      <c r="I4174" s="5" t="s">
        <v>9531</v>
      </c>
      <c r="J4174" s="12" t="str">
        <f>HYPERLINK("https://www.boe.es/gazeta/dias/1801/01/06/pdfs/GMD-1801-2.pdf#page=9","Abrir facsímil")</f>
        <v>Abrir facsímil</v>
      </c>
      <c r="K4174" s="15" t="s">
        <v>23</v>
      </c>
    </row>
    <row r="4175" spans="1:11" ht="42" customHeight="1">
      <c r="A4175" s="4" t="s">
        <v>9532</v>
      </c>
      <c r="B4175" s="5" t="s">
        <v>9533</v>
      </c>
      <c r="C4175" s="5" t="s">
        <v>32</v>
      </c>
      <c r="D4175" s="5" t="s">
        <v>33</v>
      </c>
      <c r="E4175" s="5" t="s">
        <v>72</v>
      </c>
      <c r="F4175" s="9">
        <v>60</v>
      </c>
      <c r="G4175" s="9">
        <v>688</v>
      </c>
      <c r="H4175" s="5" t="s">
        <v>21</v>
      </c>
      <c r="I4175" s="5" t="s">
        <v>9534</v>
      </c>
      <c r="J4175" s="12" t="str">
        <f>HYPERLINK("https://www.boe.es/gazeta/dias/1801/06/26/pdfs/GMD-1801-60.pdf#page=9","Abrir facsímil")</f>
        <v>Abrir facsímil</v>
      </c>
      <c r="K4175" s="15" t="s">
        <v>23</v>
      </c>
    </row>
    <row r="4176" spans="1:11" ht="42" customHeight="1">
      <c r="A4176" s="4" t="s">
        <v>9535</v>
      </c>
      <c r="B4176" s="5" t="s">
        <v>9536</v>
      </c>
      <c r="C4176" s="5" t="s">
        <v>38</v>
      </c>
      <c r="D4176" s="5" t="s">
        <v>39</v>
      </c>
      <c r="E4176" s="5" t="s">
        <v>328</v>
      </c>
      <c r="F4176" s="9">
        <v>89</v>
      </c>
      <c r="G4176" s="9">
        <v>983</v>
      </c>
      <c r="H4176" s="5" t="s">
        <v>21</v>
      </c>
      <c r="I4176" s="5" t="s">
        <v>9537</v>
      </c>
      <c r="J4176" s="12" t="str">
        <f>HYPERLINK("https://www.boe.es/gazeta/dias/1801/09/15/pdfs/GMD-1801-89.pdf#page=10","Abrir facsímil")</f>
        <v>Abrir facsímil</v>
      </c>
      <c r="K4176" s="15" t="s">
        <v>23</v>
      </c>
    </row>
    <row r="4177" spans="1:11" ht="42" customHeight="1">
      <c r="A4177" s="4" t="s">
        <v>9538</v>
      </c>
      <c r="B4177" s="5" t="s">
        <v>9538</v>
      </c>
      <c r="C4177" s="5" t="s">
        <v>18</v>
      </c>
      <c r="D4177" s="5" t="s">
        <v>19</v>
      </c>
      <c r="E4177" s="5" t="s">
        <v>137</v>
      </c>
      <c r="F4177" s="9">
        <v>30</v>
      </c>
      <c r="G4177" s="9">
        <v>390</v>
      </c>
      <c r="H4177" s="5" t="s">
        <v>21</v>
      </c>
      <c r="I4177" s="5" t="s">
        <v>9539</v>
      </c>
      <c r="J4177" s="12" t="str">
        <f>HYPERLINK("https://www.boe.es/gazeta/dias/1801/04/14/pdfs/GMD-1801-30.pdf#page=6","Abrir facsímil")</f>
        <v>Abrir facsímil</v>
      </c>
      <c r="K4177" s="15" t="s">
        <v>23</v>
      </c>
    </row>
    <row r="4178" spans="1:11" ht="42" customHeight="1">
      <c r="A4178" s="4" t="s">
        <v>9540</v>
      </c>
      <c r="B4178" s="5" t="s">
        <v>9540</v>
      </c>
      <c r="C4178" s="5" t="s">
        <v>75</v>
      </c>
      <c r="D4178" s="5" t="s">
        <v>76</v>
      </c>
      <c r="E4178" s="5" t="s">
        <v>20</v>
      </c>
      <c r="F4178" s="9">
        <v>37</v>
      </c>
      <c r="G4178" s="9">
        <v>479</v>
      </c>
      <c r="H4178" s="5" t="s">
        <v>21</v>
      </c>
      <c r="I4178" s="5" t="s">
        <v>9541</v>
      </c>
      <c r="J4178" s="12" t="str">
        <f>HYPERLINK("https://www.boe.es/gazeta/dias/1801/05/08/pdfs/GMD-1801-37.pdf#page=7","Abrir facsímil")</f>
        <v>Abrir facsímil</v>
      </c>
      <c r="K4178" s="15" t="s">
        <v>23</v>
      </c>
    </row>
    <row r="4179" spans="1:11" ht="42" customHeight="1">
      <c r="A4179" s="4" t="s">
        <v>9542</v>
      </c>
      <c r="B4179" s="5" t="s">
        <v>9542</v>
      </c>
      <c r="C4179" s="5" t="s">
        <v>75</v>
      </c>
      <c r="D4179" s="5" t="s">
        <v>76</v>
      </c>
      <c r="E4179" s="5" t="s">
        <v>313</v>
      </c>
      <c r="F4179" s="9">
        <v>39</v>
      </c>
      <c r="G4179" s="9">
        <v>498</v>
      </c>
      <c r="H4179" s="5" t="s">
        <v>21</v>
      </c>
      <c r="I4179" s="5" t="s">
        <v>9543</v>
      </c>
      <c r="J4179" s="12" t="str">
        <f>HYPERLINK("https://www.boe.es/gazeta/dias/1801/05/15/pdfs/GMD-1801-39.pdf#page=2","Abrir facsímil")</f>
        <v>Abrir facsímil</v>
      </c>
      <c r="K4179" s="15" t="s">
        <v>23</v>
      </c>
    </row>
    <row r="4180" spans="1:11" ht="42" customHeight="1">
      <c r="A4180" s="4" t="s">
        <v>9542</v>
      </c>
      <c r="B4180" s="5" t="s">
        <v>9542</v>
      </c>
      <c r="C4180" s="5" t="s">
        <v>75</v>
      </c>
      <c r="D4180" s="5" t="s">
        <v>76</v>
      </c>
      <c r="E4180" s="5" t="s">
        <v>40</v>
      </c>
      <c r="F4180" s="9">
        <v>63</v>
      </c>
      <c r="G4180" s="9">
        <v>708</v>
      </c>
      <c r="H4180" s="5" t="s">
        <v>21</v>
      </c>
      <c r="I4180" s="5" t="s">
        <v>9544</v>
      </c>
      <c r="J4180" s="12" t="str">
        <f>HYPERLINK("https://www.boe.es/gazeta/dias/1801/07/03/pdfs/GMD-1801-63.pdf#page=5","Abrir facsímil")</f>
        <v>Abrir facsímil</v>
      </c>
      <c r="K4180" s="15" t="s">
        <v>23</v>
      </c>
    </row>
    <row r="4181" spans="1:11" ht="42" customHeight="1">
      <c r="A4181" s="4" t="s">
        <v>9545</v>
      </c>
      <c r="B4181" s="5" t="s">
        <v>9546</v>
      </c>
      <c r="C4181" s="5" t="s">
        <v>32</v>
      </c>
      <c r="D4181" s="5" t="s">
        <v>33</v>
      </c>
      <c r="E4181" s="5" t="s">
        <v>94</v>
      </c>
      <c r="F4181" s="9">
        <v>19</v>
      </c>
      <c r="G4181" s="9">
        <v>239</v>
      </c>
      <c r="H4181" s="5" t="s">
        <v>21</v>
      </c>
      <c r="I4181" s="5" t="s">
        <v>9547</v>
      </c>
      <c r="J4181" s="12" t="str">
        <f>HYPERLINK("https://www.boe.es/gazeta/dias/1801/03/06/pdfs/GMD-1801-19.pdf#page=4","Abrir facsímil")</f>
        <v>Abrir facsímil</v>
      </c>
      <c r="K4181" s="15" t="s">
        <v>23</v>
      </c>
    </row>
    <row r="4182" spans="1:11" ht="42" customHeight="1">
      <c r="A4182" s="4" t="s">
        <v>9548</v>
      </c>
      <c r="B4182" s="5" t="s">
        <v>9549</v>
      </c>
      <c r="C4182" s="5" t="s">
        <v>75</v>
      </c>
      <c r="D4182" s="5" t="s">
        <v>76</v>
      </c>
      <c r="E4182" s="5" t="s">
        <v>313</v>
      </c>
      <c r="F4182" s="9">
        <v>39</v>
      </c>
      <c r="G4182" s="9">
        <v>498</v>
      </c>
      <c r="H4182" s="5" t="s">
        <v>21</v>
      </c>
      <c r="I4182" s="5" t="s">
        <v>9550</v>
      </c>
      <c r="J4182" s="12" t="str">
        <f>HYPERLINK("https://www.boe.es/gazeta/dias/1801/05/15/pdfs/GMD-1801-39.pdf#page=2","Abrir facsímil")</f>
        <v>Abrir facsímil</v>
      </c>
      <c r="K4182" s="15" t="s">
        <v>23</v>
      </c>
    </row>
    <row r="4183" spans="1:11" ht="42" customHeight="1">
      <c r="A4183" s="4" t="s">
        <v>9551</v>
      </c>
      <c r="B4183" s="5" t="s">
        <v>9552</v>
      </c>
      <c r="C4183" s="5" t="s">
        <v>75</v>
      </c>
      <c r="D4183" s="5" t="s">
        <v>76</v>
      </c>
      <c r="E4183" s="5" t="s">
        <v>151</v>
      </c>
      <c r="F4183" s="9">
        <v>45</v>
      </c>
      <c r="G4183" s="9">
        <v>556</v>
      </c>
      <c r="H4183" s="5" t="s">
        <v>21</v>
      </c>
      <c r="I4183" s="5" t="s">
        <v>9553</v>
      </c>
      <c r="J4183" s="12" t="str">
        <f>HYPERLINK("https://www.boe.es/gazeta/dias/1801/06/02/pdfs/GMD-1801-45.pdf#page=4","Abrir facsímil")</f>
        <v>Abrir facsímil</v>
      </c>
      <c r="K4183" s="15" t="s">
        <v>23</v>
      </c>
    </row>
    <row r="4184" spans="1:11" ht="42" customHeight="1">
      <c r="A4184" s="4" t="s">
        <v>9554</v>
      </c>
      <c r="B4184" s="5" t="s">
        <v>9555</v>
      </c>
      <c r="C4184" s="5" t="s">
        <v>515</v>
      </c>
      <c r="D4184" s="5" t="s">
        <v>516</v>
      </c>
      <c r="E4184" s="5" t="s">
        <v>501</v>
      </c>
      <c r="F4184" s="9">
        <v>115</v>
      </c>
      <c r="G4184" s="9" t="s">
        <v>86</v>
      </c>
      <c r="H4184" s="5" t="s">
        <v>21</v>
      </c>
      <c r="I4184" s="5" t="s">
        <v>9556</v>
      </c>
      <c r="J4184" s="12" t="str">
        <f>HYPERLINK("https://www.boe.es/gazeta/dias/1801/12/15/pdfs/GMD-C-1801-115.pdf#page=3","Abrir facsímil")</f>
        <v>Abrir facsímil</v>
      </c>
      <c r="K4184" s="15" t="s">
        <v>23</v>
      </c>
    </row>
    <row r="4185" spans="1:11" ht="42" customHeight="1">
      <c r="A4185" s="4" t="s">
        <v>9557</v>
      </c>
      <c r="B4185" s="5" t="s">
        <v>9557</v>
      </c>
      <c r="C4185" s="5" t="s">
        <v>32</v>
      </c>
      <c r="D4185" s="5" t="s">
        <v>33</v>
      </c>
      <c r="E4185" s="5" t="s">
        <v>165</v>
      </c>
      <c r="F4185" s="9">
        <v>59</v>
      </c>
      <c r="G4185" s="9">
        <v>676</v>
      </c>
      <c r="H4185" s="5" t="s">
        <v>21</v>
      </c>
      <c r="I4185" s="5" t="s">
        <v>9558</v>
      </c>
      <c r="J4185" s="12" t="str">
        <f>HYPERLINK("https://www.boe.es/gazeta/dias/1801/06/23/pdfs/GMD-1801-59.pdf#page=9","Abrir facsímil")</f>
        <v>Abrir facsímil</v>
      </c>
      <c r="K4185" s="15" t="s">
        <v>23</v>
      </c>
    </row>
    <row r="4186" spans="1:11" ht="42" customHeight="1">
      <c r="A4186" s="4" t="s">
        <v>9559</v>
      </c>
      <c r="B4186" s="5" t="s">
        <v>9559</v>
      </c>
      <c r="C4186" s="5" t="s">
        <v>32</v>
      </c>
      <c r="D4186" s="5" t="s">
        <v>33</v>
      </c>
      <c r="E4186" s="5" t="s">
        <v>781</v>
      </c>
      <c r="F4186" s="9">
        <v>14</v>
      </c>
      <c r="G4186" s="9">
        <v>173</v>
      </c>
      <c r="H4186" s="5" t="s">
        <v>21</v>
      </c>
      <c r="I4186" s="5" t="s">
        <v>9560</v>
      </c>
      <c r="J4186" s="12" t="str">
        <f>HYPERLINK("https://www.boe.es/gazeta/dias/1801/02/17/pdfs/GMD-1801-14.pdf#page=8","Abrir facsímil")</f>
        <v>Abrir facsímil</v>
      </c>
      <c r="K4186" s="15" t="s">
        <v>23</v>
      </c>
    </row>
    <row r="4187" spans="1:11" ht="42" customHeight="1">
      <c r="A4187" s="4" t="s">
        <v>9561</v>
      </c>
      <c r="B4187" s="5" t="s">
        <v>9561</v>
      </c>
      <c r="C4187" s="5" t="s">
        <v>38</v>
      </c>
      <c r="D4187" s="5" t="s">
        <v>39</v>
      </c>
      <c r="E4187" s="5" t="s">
        <v>328</v>
      </c>
      <c r="F4187" s="9">
        <v>89</v>
      </c>
      <c r="G4187" s="9">
        <v>981</v>
      </c>
      <c r="H4187" s="5" t="s">
        <v>21</v>
      </c>
      <c r="I4187" s="5" t="s">
        <v>9562</v>
      </c>
      <c r="J4187" s="12" t="str">
        <f>HYPERLINK("https://www.boe.es/gazeta/dias/1801/09/15/pdfs/GMD-1801-89.pdf#page=8","Abrir facsímil")</f>
        <v>Abrir facsímil</v>
      </c>
      <c r="K4187" s="15" t="s">
        <v>23</v>
      </c>
    </row>
    <row r="4188" spans="1:11" ht="42" customHeight="1">
      <c r="A4188" s="4" t="s">
        <v>9563</v>
      </c>
      <c r="B4188" s="5" t="s">
        <v>9563</v>
      </c>
      <c r="C4188" s="5" t="s">
        <v>32</v>
      </c>
      <c r="D4188" s="5" t="s">
        <v>33</v>
      </c>
      <c r="E4188" s="5" t="s">
        <v>1939</v>
      </c>
      <c r="F4188" s="9">
        <v>107</v>
      </c>
      <c r="G4188" s="9">
        <v>1181</v>
      </c>
      <c r="H4188" s="5" t="s">
        <v>21</v>
      </c>
      <c r="I4188" s="5" t="s">
        <v>9564</v>
      </c>
      <c r="J4188" s="12" t="str">
        <f>HYPERLINK("https://www.boe.es/gazeta/dias/1801/11/17/pdfs/GMD-1801-107.pdf#page=10","Abrir facsímil")</f>
        <v>Abrir facsímil</v>
      </c>
      <c r="K4188" s="15" t="s">
        <v>23</v>
      </c>
    </row>
    <row r="4189" spans="1:11" ht="42" customHeight="1">
      <c r="A4189" s="4" t="s">
        <v>9565</v>
      </c>
      <c r="B4189" s="5" t="s">
        <v>9565</v>
      </c>
      <c r="C4189" s="5" t="s">
        <v>26</v>
      </c>
      <c r="D4189" s="5" t="s">
        <v>27</v>
      </c>
      <c r="E4189" s="5" t="s">
        <v>48</v>
      </c>
      <c r="F4189" s="9">
        <v>20</v>
      </c>
      <c r="G4189" s="9">
        <v>270</v>
      </c>
      <c r="H4189" s="5" t="s">
        <v>21</v>
      </c>
      <c r="I4189" s="5" t="s">
        <v>9566</v>
      </c>
      <c r="J4189" s="12" t="str">
        <f>HYPERLINK("https://www.boe.es/gazeta/dias/1801/03/10/pdfs/GMD-1801-20.pdf#page=15","Abrir facsímil")</f>
        <v>Abrir facsímil</v>
      </c>
      <c r="K4189" s="15" t="s">
        <v>23</v>
      </c>
    </row>
    <row r="4190" spans="1:11" ht="42" customHeight="1">
      <c r="A4190" s="4" t="s">
        <v>9567</v>
      </c>
      <c r="B4190" s="5" t="s">
        <v>9567</v>
      </c>
      <c r="C4190" s="5" t="s">
        <v>18</v>
      </c>
      <c r="D4190" s="5" t="s">
        <v>19</v>
      </c>
      <c r="E4190" s="5" t="s">
        <v>1939</v>
      </c>
      <c r="F4190" s="9">
        <v>107</v>
      </c>
      <c r="G4190" s="9">
        <v>1181</v>
      </c>
      <c r="H4190" s="5" t="s">
        <v>21</v>
      </c>
      <c r="I4190" s="5" t="s">
        <v>9568</v>
      </c>
      <c r="J4190" s="12" t="str">
        <f>HYPERLINK("https://www.boe.es/gazeta/dias/1801/11/17/pdfs/GMD-1801-107.pdf#page=10","Abrir facsímil")</f>
        <v>Abrir facsímil</v>
      </c>
      <c r="K4190" s="15" t="s">
        <v>23</v>
      </c>
    </row>
    <row r="4191" spans="1:11" ht="42" customHeight="1">
      <c r="A4191" s="4" t="s">
        <v>9569</v>
      </c>
      <c r="B4191" s="5" t="s">
        <v>9570</v>
      </c>
      <c r="C4191" s="5" t="s">
        <v>75</v>
      </c>
      <c r="D4191" s="5" t="s">
        <v>76</v>
      </c>
      <c r="E4191" s="5" t="s">
        <v>712</v>
      </c>
      <c r="F4191" s="9">
        <v>105</v>
      </c>
      <c r="G4191" s="9">
        <v>1153</v>
      </c>
      <c r="H4191" s="5" t="s">
        <v>21</v>
      </c>
      <c r="I4191" s="5" t="s">
        <v>9571</v>
      </c>
      <c r="J4191" s="12" t="str">
        <f>HYPERLINK("https://www.boe.es/gazeta/dias/1801/11/10/pdfs/GMD-1801-105.pdf#page=6","Abrir facsímil")</f>
        <v>Abrir facsímil</v>
      </c>
      <c r="K4191" s="15" t="s">
        <v>23</v>
      </c>
    </row>
    <row r="4192" spans="1:11" ht="42" customHeight="1">
      <c r="A4192" s="4" t="s">
        <v>9572</v>
      </c>
      <c r="B4192" s="5" t="s">
        <v>9573</v>
      </c>
      <c r="C4192" s="5" t="s">
        <v>75</v>
      </c>
      <c r="D4192" s="5" t="s">
        <v>76</v>
      </c>
      <c r="E4192" s="5" t="s">
        <v>112</v>
      </c>
      <c r="F4192" s="9">
        <v>114</v>
      </c>
      <c r="G4192" s="9">
        <v>1242</v>
      </c>
      <c r="H4192" s="5" t="s">
        <v>21</v>
      </c>
      <c r="I4192" s="5" t="s">
        <v>9574</v>
      </c>
      <c r="J4192" s="12" t="str">
        <f>HYPERLINK("https://www.boe.es/gazeta/dias/1801/12/11/pdfs/GMD-1801-114.pdf#page=4","Abrir facsímil")</f>
        <v>Abrir facsímil</v>
      </c>
      <c r="K4192" s="15" t="s">
        <v>23</v>
      </c>
    </row>
    <row r="4193" spans="1:11" ht="42" customHeight="1">
      <c r="A4193" s="4" t="s">
        <v>9575</v>
      </c>
      <c r="B4193" s="5" t="s">
        <v>9576</v>
      </c>
      <c r="C4193" s="5" t="s">
        <v>75</v>
      </c>
      <c r="D4193" s="5" t="s">
        <v>76</v>
      </c>
      <c r="E4193" s="5" t="s">
        <v>141</v>
      </c>
      <c r="F4193" s="9">
        <v>33</v>
      </c>
      <c r="G4193" s="9">
        <v>420</v>
      </c>
      <c r="H4193" s="5" t="s">
        <v>21</v>
      </c>
      <c r="I4193" s="5" t="s">
        <v>9577</v>
      </c>
      <c r="J4193" s="12" t="str">
        <f>HYPERLINK("https://www.boe.es/gazeta/dias/1801/04/24/pdfs/GMD-1801-33.pdf#page=4","Abrir facsímil")</f>
        <v>Abrir facsímil</v>
      </c>
      <c r="K4193" s="15" t="s">
        <v>23</v>
      </c>
    </row>
    <row r="4194" spans="1:11" ht="42" customHeight="1">
      <c r="A4194" s="4" t="s">
        <v>9575</v>
      </c>
      <c r="B4194" s="5" t="s">
        <v>9576</v>
      </c>
      <c r="C4194" s="5" t="s">
        <v>38</v>
      </c>
      <c r="D4194" s="5" t="s">
        <v>39</v>
      </c>
      <c r="E4194" s="5" t="s">
        <v>417</v>
      </c>
      <c r="F4194" s="9">
        <v>64</v>
      </c>
      <c r="G4194" s="9">
        <v>724</v>
      </c>
      <c r="H4194" s="5" t="s">
        <v>21</v>
      </c>
      <c r="I4194" s="5" t="s">
        <v>9578</v>
      </c>
      <c r="J4194" s="12" t="str">
        <f>HYPERLINK("https://www.boe.es/gazeta/dias/1801/07/07/pdfs/GMD-1801-64.pdf#page=5","Abrir facsímil")</f>
        <v>Abrir facsímil</v>
      </c>
      <c r="K4194" s="15" t="s">
        <v>23</v>
      </c>
    </row>
    <row r="4195" spans="1:11" ht="42" customHeight="1">
      <c r="A4195" s="4" t="s">
        <v>9575</v>
      </c>
      <c r="B4195" s="5" t="s">
        <v>9576</v>
      </c>
      <c r="C4195" s="5" t="s">
        <v>32</v>
      </c>
      <c r="D4195" s="5" t="s">
        <v>33</v>
      </c>
      <c r="E4195" s="5" t="s">
        <v>28</v>
      </c>
      <c r="F4195" s="9">
        <v>77</v>
      </c>
      <c r="G4195" s="9">
        <v>859</v>
      </c>
      <c r="H4195" s="5" t="s">
        <v>21</v>
      </c>
      <c r="I4195" s="5" t="s">
        <v>9579</v>
      </c>
      <c r="J4195" s="12" t="str">
        <f>HYPERLINK("https://www.boe.es/gazeta/dias/1801/08/11/pdfs/GMD-1801-77.pdf#page=4","Abrir facsímil")</f>
        <v>Abrir facsímil</v>
      </c>
      <c r="K4195" s="15" t="s">
        <v>23</v>
      </c>
    </row>
    <row r="4196" spans="1:11" ht="42" customHeight="1">
      <c r="A4196" s="4" t="s">
        <v>9575</v>
      </c>
      <c r="B4196" s="5" t="s">
        <v>9576</v>
      </c>
      <c r="C4196" s="5" t="s">
        <v>75</v>
      </c>
      <c r="D4196" s="5" t="s">
        <v>76</v>
      </c>
      <c r="E4196" s="5" t="s">
        <v>256</v>
      </c>
      <c r="F4196" s="9">
        <v>78</v>
      </c>
      <c r="G4196" s="9">
        <v>875</v>
      </c>
      <c r="H4196" s="5" t="s">
        <v>21</v>
      </c>
      <c r="I4196" s="5" t="s">
        <v>9580</v>
      </c>
      <c r="J4196" s="12" t="str">
        <f>HYPERLINK("https://www.boe.es/gazeta/dias/1801/08/14/pdfs/GMD-1801-78.pdf#page=4","Abrir facsímil")</f>
        <v>Abrir facsímil</v>
      </c>
      <c r="K4196" s="15" t="s">
        <v>23</v>
      </c>
    </row>
    <row r="4197" spans="1:11" ht="42" customHeight="1">
      <c r="A4197" s="4" t="s">
        <v>9575</v>
      </c>
      <c r="B4197" s="5" t="s">
        <v>9576</v>
      </c>
      <c r="C4197" s="5" t="s">
        <v>75</v>
      </c>
      <c r="D4197" s="5" t="s">
        <v>76</v>
      </c>
      <c r="E4197" s="5" t="s">
        <v>924</v>
      </c>
      <c r="F4197" s="9">
        <v>90</v>
      </c>
      <c r="G4197" s="9">
        <v>987</v>
      </c>
      <c r="H4197" s="5" t="s">
        <v>21</v>
      </c>
      <c r="I4197" s="5" t="s">
        <v>9581</v>
      </c>
      <c r="J4197" s="12" t="str">
        <f>HYPERLINK("https://www.boe.es/gazeta/dias/1801/09/18/pdfs/GMD-1801-90.pdf#page=2","Abrir facsímil")</f>
        <v>Abrir facsímil</v>
      </c>
      <c r="K4197" s="15" t="s">
        <v>23</v>
      </c>
    </row>
    <row r="4198" spans="1:11" ht="42" customHeight="1">
      <c r="A4198" s="4" t="s">
        <v>9575</v>
      </c>
      <c r="B4198" s="5" t="s">
        <v>9576</v>
      </c>
      <c r="C4198" s="5" t="s">
        <v>38</v>
      </c>
      <c r="D4198" s="5" t="s">
        <v>39</v>
      </c>
      <c r="E4198" s="5" t="s">
        <v>751</v>
      </c>
      <c r="F4198" s="9">
        <v>106</v>
      </c>
      <c r="G4198" s="9">
        <v>1163</v>
      </c>
      <c r="H4198" s="5" t="s">
        <v>21</v>
      </c>
      <c r="I4198" s="5" t="s">
        <v>9582</v>
      </c>
      <c r="J4198" s="12" t="str">
        <f>HYPERLINK("https://www.boe.es/gazeta/dias/1801/11/13/pdfs/GMD-1801-106.pdf#page=4","Abrir facsímil")</f>
        <v>Abrir facsímil</v>
      </c>
      <c r="K4198" s="15" t="s">
        <v>23</v>
      </c>
    </row>
    <row r="4199" spans="1:11" ht="42" customHeight="1">
      <c r="A4199" s="4" t="s">
        <v>9583</v>
      </c>
      <c r="B4199" s="5" t="s">
        <v>9584</v>
      </c>
      <c r="C4199" s="5" t="s">
        <v>75</v>
      </c>
      <c r="D4199" s="5" t="s">
        <v>76</v>
      </c>
      <c r="E4199" s="5" t="s">
        <v>924</v>
      </c>
      <c r="F4199" s="9">
        <v>90</v>
      </c>
      <c r="G4199" s="9">
        <v>987</v>
      </c>
      <c r="H4199" s="5" t="s">
        <v>21</v>
      </c>
      <c r="I4199" s="5" t="s">
        <v>9585</v>
      </c>
      <c r="J4199" s="12" t="str">
        <f>HYPERLINK("https://www.boe.es/gazeta/dias/1801/09/18/pdfs/GMD-1801-90.pdf#page=2","Abrir facsímil")</f>
        <v>Abrir facsímil</v>
      </c>
      <c r="K4199" s="15" t="s">
        <v>23</v>
      </c>
    </row>
    <row r="4200" spans="1:11" ht="42" customHeight="1">
      <c r="A4200" s="4" t="s">
        <v>9586</v>
      </c>
      <c r="B4200" s="5" t="s">
        <v>9586</v>
      </c>
      <c r="C4200" s="5" t="s">
        <v>75</v>
      </c>
      <c r="D4200" s="5" t="s">
        <v>76</v>
      </c>
      <c r="E4200" s="5" t="s">
        <v>292</v>
      </c>
      <c r="F4200" s="9">
        <v>25</v>
      </c>
      <c r="G4200" s="9">
        <v>327</v>
      </c>
      <c r="H4200" s="5" t="s">
        <v>21</v>
      </c>
      <c r="I4200" s="5" t="s">
        <v>9587</v>
      </c>
      <c r="J4200" s="12" t="str">
        <f>HYPERLINK("https://www.boe.es/gazeta/dias/1801/03/27/pdfs/GMD-1801-25.pdf#page=6","Abrir facsímil")</f>
        <v>Abrir facsímil</v>
      </c>
      <c r="K4200" s="15" t="s">
        <v>23</v>
      </c>
    </row>
    <row r="4201" spans="1:11" ht="42" customHeight="1">
      <c r="A4201" s="4" t="s">
        <v>9588</v>
      </c>
      <c r="B4201" s="5" t="s">
        <v>9588</v>
      </c>
      <c r="C4201" s="5" t="s">
        <v>32</v>
      </c>
      <c r="D4201" s="5" t="s">
        <v>33</v>
      </c>
      <c r="E4201" s="5" t="s">
        <v>40</v>
      </c>
      <c r="F4201" s="9">
        <v>63</v>
      </c>
      <c r="G4201" s="9">
        <v>709</v>
      </c>
      <c r="H4201" s="5" t="s">
        <v>21</v>
      </c>
      <c r="I4201" s="5" t="s">
        <v>9589</v>
      </c>
      <c r="J4201" s="12" t="str">
        <f>HYPERLINK("https://www.boe.es/gazeta/dias/1801/07/03/pdfs/GMD-1801-63.pdf#page=6","Abrir facsímil")</f>
        <v>Abrir facsímil</v>
      </c>
      <c r="K4201" s="15" t="s">
        <v>23</v>
      </c>
    </row>
    <row r="4202" spans="1:11" ht="42" customHeight="1">
      <c r="A4202" s="4" t="s">
        <v>9590</v>
      </c>
      <c r="B4202" s="5" t="s">
        <v>9590</v>
      </c>
      <c r="C4202" s="5" t="s">
        <v>75</v>
      </c>
      <c r="D4202" s="5" t="s">
        <v>76</v>
      </c>
      <c r="E4202" s="5" t="s">
        <v>256</v>
      </c>
      <c r="F4202" s="9">
        <v>78</v>
      </c>
      <c r="G4202" s="9">
        <v>875</v>
      </c>
      <c r="H4202" s="5" t="s">
        <v>21</v>
      </c>
      <c r="I4202" s="5" t="s">
        <v>9591</v>
      </c>
      <c r="J4202" s="12" t="str">
        <f>HYPERLINK("https://www.boe.es/gazeta/dias/1801/08/14/pdfs/GMD-1801-78.pdf#page=4","Abrir facsímil")</f>
        <v>Abrir facsímil</v>
      </c>
      <c r="K4202" s="15" t="s">
        <v>23</v>
      </c>
    </row>
    <row r="4203" spans="1:11" ht="42" customHeight="1">
      <c r="A4203" s="4" t="s">
        <v>9592</v>
      </c>
      <c r="B4203" s="5" t="s">
        <v>9593</v>
      </c>
      <c r="C4203" s="5" t="s">
        <v>32</v>
      </c>
      <c r="D4203" s="5" t="s">
        <v>33</v>
      </c>
      <c r="E4203" s="5" t="s">
        <v>28</v>
      </c>
      <c r="F4203" s="9">
        <v>77</v>
      </c>
      <c r="G4203" s="9">
        <v>859</v>
      </c>
      <c r="H4203" s="5" t="s">
        <v>21</v>
      </c>
      <c r="I4203" s="5" t="s">
        <v>9594</v>
      </c>
      <c r="J4203" s="12" t="str">
        <f>HYPERLINK("https://www.boe.es/gazeta/dias/1801/08/11/pdfs/GMD-1801-77.pdf#page=4","Abrir facsímil")</f>
        <v>Abrir facsímil</v>
      </c>
      <c r="K4203" s="15" t="s">
        <v>23</v>
      </c>
    </row>
    <row r="4204" spans="1:11" ht="42" customHeight="1">
      <c r="A4204" s="4" t="s">
        <v>9595</v>
      </c>
      <c r="B4204" s="5" t="s">
        <v>9596</v>
      </c>
      <c r="C4204" s="5" t="s">
        <v>32</v>
      </c>
      <c r="D4204" s="5" t="s">
        <v>33</v>
      </c>
      <c r="E4204" s="5" t="s">
        <v>82</v>
      </c>
      <c r="F4204" s="9">
        <v>75</v>
      </c>
      <c r="G4204" s="9">
        <v>834</v>
      </c>
      <c r="H4204" s="5" t="s">
        <v>21</v>
      </c>
      <c r="I4204" s="5" t="s">
        <v>9597</v>
      </c>
      <c r="J4204" s="12" t="str">
        <f>HYPERLINK("https://www.boe.es/gazeta/dias/1801/08/04/pdfs/GMD-1801-75.pdf#page=3","Abrir facsímil")</f>
        <v>Abrir facsímil</v>
      </c>
      <c r="K4204" s="15" t="s">
        <v>23</v>
      </c>
    </row>
    <row r="4205" spans="1:11" ht="42" customHeight="1">
      <c r="A4205" s="4" t="s">
        <v>9595</v>
      </c>
      <c r="B4205" s="5" t="s">
        <v>9596</v>
      </c>
      <c r="C4205" s="5" t="s">
        <v>32</v>
      </c>
      <c r="D4205" s="5" t="s">
        <v>33</v>
      </c>
      <c r="E4205" s="5" t="s">
        <v>28</v>
      </c>
      <c r="F4205" s="9">
        <v>77</v>
      </c>
      <c r="G4205" s="9">
        <v>859</v>
      </c>
      <c r="H4205" s="5" t="s">
        <v>21</v>
      </c>
      <c r="I4205" s="5" t="s">
        <v>9598</v>
      </c>
      <c r="J4205" s="12" t="str">
        <f>HYPERLINK("https://www.boe.es/gazeta/dias/1801/08/11/pdfs/GMD-1801-77.pdf#page=4","Abrir facsímil")</f>
        <v>Abrir facsímil</v>
      </c>
      <c r="K4205" s="15" t="s">
        <v>23</v>
      </c>
    </row>
    <row r="4206" spans="1:11" ht="42" customHeight="1">
      <c r="A4206" s="4" t="s">
        <v>9595</v>
      </c>
      <c r="B4206" s="5" t="s">
        <v>9596</v>
      </c>
      <c r="C4206" s="5" t="s">
        <v>32</v>
      </c>
      <c r="D4206" s="5" t="s">
        <v>33</v>
      </c>
      <c r="E4206" s="5" t="s">
        <v>28</v>
      </c>
      <c r="F4206" s="9">
        <v>77</v>
      </c>
      <c r="G4206" s="9">
        <v>860</v>
      </c>
      <c r="H4206" s="5" t="s">
        <v>21</v>
      </c>
      <c r="I4206" s="5" t="s">
        <v>9599</v>
      </c>
      <c r="J4206" s="12" t="str">
        <f>HYPERLINK("https://www.boe.es/gazeta/dias/1801/08/11/pdfs/GMD-1801-77.pdf#page=5","Abrir facsímil")</f>
        <v>Abrir facsímil</v>
      </c>
      <c r="K4206" s="15" t="s">
        <v>23</v>
      </c>
    </row>
    <row r="4207" spans="1:11" ht="42" customHeight="1">
      <c r="A4207" s="4" t="s">
        <v>9600</v>
      </c>
      <c r="B4207" s="5" t="s">
        <v>9600</v>
      </c>
      <c r="C4207" s="5" t="s">
        <v>75</v>
      </c>
      <c r="D4207" s="5" t="s">
        <v>76</v>
      </c>
      <c r="E4207" s="5" t="s">
        <v>179</v>
      </c>
      <c r="F4207" s="9">
        <v>11</v>
      </c>
      <c r="G4207" s="9">
        <v>132</v>
      </c>
      <c r="H4207" s="5" t="s">
        <v>21</v>
      </c>
      <c r="I4207" s="5" t="s">
        <v>9601</v>
      </c>
      <c r="J4207" s="12" t="str">
        <f>HYPERLINK("https://www.boe.es/gazeta/dias/1801/02/06/pdfs/GMD-1801-11.pdf#page=5","Abrir facsímil")</f>
        <v>Abrir facsímil</v>
      </c>
      <c r="K4207" s="15" t="s">
        <v>23</v>
      </c>
    </row>
    <row r="4208" spans="1:11" ht="42" customHeight="1">
      <c r="A4208" s="4" t="s">
        <v>9600</v>
      </c>
      <c r="B4208" s="5" t="s">
        <v>9600</v>
      </c>
      <c r="C4208" s="5" t="s">
        <v>38</v>
      </c>
      <c r="D4208" s="5" t="s">
        <v>39</v>
      </c>
      <c r="E4208" s="5" t="s">
        <v>126</v>
      </c>
      <c r="F4208" s="9">
        <v>13</v>
      </c>
      <c r="G4208" s="9">
        <v>156</v>
      </c>
      <c r="H4208" s="5" t="s">
        <v>21</v>
      </c>
      <c r="I4208" s="5" t="s">
        <v>9602</v>
      </c>
      <c r="J4208" s="12" t="str">
        <f>HYPERLINK("https://www.boe.es/gazeta/dias/1801/02/13/pdfs/GMD-1801-13.pdf#page=3","Abrir facsímil")</f>
        <v>Abrir facsímil</v>
      </c>
      <c r="K4208" s="15" t="s">
        <v>23</v>
      </c>
    </row>
    <row r="4209" spans="1:11" ht="42" customHeight="1">
      <c r="A4209" s="4" t="s">
        <v>9603</v>
      </c>
      <c r="B4209" s="5" t="s">
        <v>9603</v>
      </c>
      <c r="C4209" s="5" t="s">
        <v>75</v>
      </c>
      <c r="D4209" s="5" t="s">
        <v>76</v>
      </c>
      <c r="E4209" s="5" t="s">
        <v>223</v>
      </c>
      <c r="F4209" s="9">
        <v>74</v>
      </c>
      <c r="G4209" s="9">
        <v>823</v>
      </c>
      <c r="H4209" s="5" t="s">
        <v>21</v>
      </c>
      <c r="I4209" s="5" t="s">
        <v>9604</v>
      </c>
      <c r="J4209" s="12" t="str">
        <f>HYPERLINK("https://www.boe.es/gazeta/dias/1801/07/31/pdfs/GMD-1801-74.pdf#page=4","Abrir facsímil")</f>
        <v>Abrir facsímil</v>
      </c>
      <c r="K4209" s="15" t="s">
        <v>23</v>
      </c>
    </row>
    <row r="4210" spans="1:11" ht="42" customHeight="1">
      <c r="A4210" s="4" t="s">
        <v>9605</v>
      </c>
      <c r="B4210" s="5" t="s">
        <v>9605</v>
      </c>
      <c r="C4210" s="5" t="s">
        <v>75</v>
      </c>
      <c r="D4210" s="5" t="s">
        <v>76</v>
      </c>
      <c r="E4210" s="5" t="s">
        <v>151</v>
      </c>
      <c r="F4210" s="9">
        <v>45</v>
      </c>
      <c r="G4210" s="9">
        <v>555</v>
      </c>
      <c r="H4210" s="5" t="s">
        <v>21</v>
      </c>
      <c r="I4210" s="5" t="s">
        <v>9606</v>
      </c>
      <c r="J4210" s="12" t="str">
        <f>HYPERLINK("https://www.boe.es/gazeta/dias/1801/06/02/pdfs/GMD-1801-45.pdf#page=3","Abrir facsímil")</f>
        <v>Abrir facsímil</v>
      </c>
      <c r="K4210" s="15" t="s">
        <v>23</v>
      </c>
    </row>
    <row r="4211" spans="1:11" ht="42" customHeight="1">
      <c r="A4211" s="4" t="s">
        <v>9607</v>
      </c>
      <c r="B4211" s="5" t="s">
        <v>9607</v>
      </c>
      <c r="C4211" s="5" t="s">
        <v>32</v>
      </c>
      <c r="D4211" s="5" t="s">
        <v>33</v>
      </c>
      <c r="E4211" s="5" t="s">
        <v>2185</v>
      </c>
      <c r="F4211" s="9">
        <v>84</v>
      </c>
      <c r="G4211" s="9">
        <v>938</v>
      </c>
      <c r="H4211" s="5" t="s">
        <v>21</v>
      </c>
      <c r="I4211" s="5" t="s">
        <v>9608</v>
      </c>
      <c r="J4211" s="12" t="str">
        <f>HYPERLINK("https://www.boe.es/gazeta/dias/1801/09/04/pdfs/GMD-1801-84.pdf#page=1","Abrir facsímil")</f>
        <v>Abrir facsímil</v>
      </c>
      <c r="K4211" s="15" t="s">
        <v>23</v>
      </c>
    </row>
    <row r="4212" spans="1:11" ht="42" customHeight="1">
      <c r="A4212" s="4" t="s">
        <v>9609</v>
      </c>
      <c r="B4212" s="5" t="s">
        <v>9609</v>
      </c>
      <c r="C4212" s="5" t="s">
        <v>80</v>
      </c>
      <c r="D4212" s="5" t="s">
        <v>81</v>
      </c>
      <c r="E4212" s="5" t="s">
        <v>82</v>
      </c>
      <c r="F4212" s="9">
        <v>75</v>
      </c>
      <c r="G4212" s="9" t="s">
        <v>83</v>
      </c>
      <c r="H4212" s="5" t="s">
        <v>21</v>
      </c>
      <c r="I4212" s="5" t="s">
        <v>9610</v>
      </c>
      <c r="J4212" s="12" t="str">
        <f>HYPERLINK("https://www.boe.es/gazeta/dias/1801/08/04/pdfs/GMD-C-1801-75.pdf#page=2","Abrir facsímil")</f>
        <v>Abrir facsímil</v>
      </c>
      <c r="K4212" s="15" t="s">
        <v>23</v>
      </c>
    </row>
    <row r="4213" spans="1:11" ht="42" customHeight="1">
      <c r="A4213" s="4" t="s">
        <v>9611</v>
      </c>
      <c r="B4213" s="5" t="s">
        <v>9612</v>
      </c>
      <c r="C4213" s="5" t="s">
        <v>18</v>
      </c>
      <c r="D4213" s="5" t="s">
        <v>19</v>
      </c>
      <c r="E4213" s="5" t="s">
        <v>924</v>
      </c>
      <c r="F4213" s="9">
        <v>90</v>
      </c>
      <c r="G4213" s="9">
        <v>987</v>
      </c>
      <c r="H4213" s="5" t="s">
        <v>21</v>
      </c>
      <c r="I4213" s="5" t="s">
        <v>9613</v>
      </c>
      <c r="J4213" s="12" t="str">
        <f>HYPERLINK("https://www.boe.es/gazeta/dias/1801/09/18/pdfs/GMD-1801-90.pdf#page=2","Abrir facsímil")</f>
        <v>Abrir facsímil</v>
      </c>
      <c r="K4213" s="15" t="s">
        <v>23</v>
      </c>
    </row>
    <row r="4214" spans="1:11" ht="42" customHeight="1">
      <c r="A4214" s="4" t="s">
        <v>9614</v>
      </c>
      <c r="B4214" s="5" t="s">
        <v>9615</v>
      </c>
      <c r="C4214" s="5" t="s">
        <v>75</v>
      </c>
      <c r="D4214" s="5" t="s">
        <v>76</v>
      </c>
      <c r="E4214" s="5" t="s">
        <v>924</v>
      </c>
      <c r="F4214" s="9">
        <v>90</v>
      </c>
      <c r="G4214" s="9">
        <v>988</v>
      </c>
      <c r="H4214" s="5" t="s">
        <v>21</v>
      </c>
      <c r="I4214" s="5" t="s">
        <v>9616</v>
      </c>
      <c r="J4214" s="12" t="str">
        <f>HYPERLINK("https://www.boe.es/gazeta/dias/1801/09/18/pdfs/GMD-1801-90.pdf#page=3","Abrir facsímil")</f>
        <v>Abrir facsímil</v>
      </c>
      <c r="K4214" s="15" t="s">
        <v>23</v>
      </c>
    </row>
    <row r="4215" spans="1:11" ht="42" customHeight="1">
      <c r="A4215" s="4" t="s">
        <v>9617</v>
      </c>
      <c r="B4215" s="5" t="s">
        <v>9618</v>
      </c>
      <c r="C4215" s="5" t="s">
        <v>32</v>
      </c>
      <c r="D4215" s="5" t="s">
        <v>33</v>
      </c>
      <c r="E4215" s="5" t="s">
        <v>1436</v>
      </c>
      <c r="F4215" s="9">
        <v>95</v>
      </c>
      <c r="G4215" s="9">
        <v>1043</v>
      </c>
      <c r="H4215" s="5" t="s">
        <v>21</v>
      </c>
      <c r="I4215" s="5" t="s">
        <v>9619</v>
      </c>
      <c r="J4215" s="12" t="str">
        <f>HYPERLINK("https://www.boe.es/gazeta/dias/1801/10/06/pdfs/GMD-1801-95.pdf#page=7","Abrir facsímil")</f>
        <v>Abrir facsímil</v>
      </c>
      <c r="K4215" s="15" t="s">
        <v>23</v>
      </c>
    </row>
    <row r="4216" spans="1:11" ht="42" customHeight="1">
      <c r="A4216" s="4" t="s">
        <v>9620</v>
      </c>
      <c r="B4216" s="5" t="s">
        <v>9621</v>
      </c>
      <c r="C4216" s="5" t="s">
        <v>32</v>
      </c>
      <c r="D4216" s="5" t="s">
        <v>33</v>
      </c>
      <c r="E4216" s="5" t="s">
        <v>448</v>
      </c>
      <c r="F4216" s="9">
        <v>35</v>
      </c>
      <c r="G4216" s="9">
        <v>448</v>
      </c>
      <c r="H4216" s="5" t="s">
        <v>21</v>
      </c>
      <c r="I4216" s="5" t="s">
        <v>9622</v>
      </c>
      <c r="J4216" s="12" t="str">
        <f>HYPERLINK("https://www.boe.es/gazeta/dias/1801/05/01/pdfs/GMD-1801-35.pdf#page=4","Abrir facsímil")</f>
        <v>Abrir facsímil</v>
      </c>
      <c r="K4216" s="15" t="s">
        <v>23</v>
      </c>
    </row>
    <row r="4217" spans="1:11" ht="42" customHeight="1">
      <c r="A4217" s="4" t="s">
        <v>9623</v>
      </c>
      <c r="B4217" s="5" t="s">
        <v>9623</v>
      </c>
      <c r="C4217" s="5" t="s">
        <v>38</v>
      </c>
      <c r="D4217" s="5" t="s">
        <v>39</v>
      </c>
      <c r="E4217" s="5" t="s">
        <v>352</v>
      </c>
      <c r="F4217" s="9">
        <v>43</v>
      </c>
      <c r="G4217" s="9">
        <v>540</v>
      </c>
      <c r="H4217" s="5" t="s">
        <v>21</v>
      </c>
      <c r="I4217" s="5" t="s">
        <v>9624</v>
      </c>
      <c r="J4217" s="12" t="str">
        <f>HYPERLINK("https://www.boe.es/gazeta/dias/1801/05/26/pdfs/GMD-1801-43.pdf#page=12","Abrir facsímil")</f>
        <v>Abrir facsímil</v>
      </c>
      <c r="K4217" s="15" t="s">
        <v>23</v>
      </c>
    </row>
    <row r="4218" spans="1:11" ht="42" customHeight="1">
      <c r="A4218" s="4" t="s">
        <v>9625</v>
      </c>
      <c r="B4218" s="5" t="s">
        <v>9626</v>
      </c>
      <c r="C4218" s="5" t="s">
        <v>32</v>
      </c>
      <c r="D4218" s="5" t="s">
        <v>33</v>
      </c>
      <c r="E4218" s="5" t="s">
        <v>888</v>
      </c>
      <c r="F4218" s="9">
        <v>103</v>
      </c>
      <c r="G4218" s="9">
        <v>1135</v>
      </c>
      <c r="H4218" s="5" t="s">
        <v>21</v>
      </c>
      <c r="I4218" s="5" t="s">
        <v>9627</v>
      </c>
      <c r="J4218" s="12" t="str">
        <f>HYPERLINK("https://www.boe.es/gazeta/dias/1801/11/03/pdfs/GMD-1801-103.pdf#page=8","Abrir facsímil")</f>
        <v>Abrir facsímil</v>
      </c>
      <c r="K4218" s="15" t="s">
        <v>23</v>
      </c>
    </row>
    <row r="4219" spans="1:11" ht="42" customHeight="1">
      <c r="A4219" s="4" t="s">
        <v>9628</v>
      </c>
      <c r="B4219" s="5" t="s">
        <v>9628</v>
      </c>
      <c r="C4219" s="5" t="s">
        <v>75</v>
      </c>
      <c r="D4219" s="5" t="s">
        <v>76</v>
      </c>
      <c r="E4219" s="5" t="s">
        <v>108</v>
      </c>
      <c r="F4219" s="9">
        <v>61</v>
      </c>
      <c r="G4219" s="9">
        <v>693</v>
      </c>
      <c r="H4219" s="5" t="s">
        <v>21</v>
      </c>
      <c r="I4219" s="5" t="s">
        <v>9629</v>
      </c>
      <c r="J4219" s="12" t="str">
        <f>HYPERLINK("https://www.boe.es/gazeta/dias/1801/06/30/pdfs/GMD-1801-61.pdf#page=2","Abrir facsímil")</f>
        <v>Abrir facsímil</v>
      </c>
      <c r="K4219" s="15" t="s">
        <v>23</v>
      </c>
    </row>
    <row r="4220" spans="1:11" ht="42" customHeight="1">
      <c r="A4220" s="4" t="s">
        <v>9630</v>
      </c>
      <c r="B4220" s="5" t="s">
        <v>9631</v>
      </c>
      <c r="C4220" s="5" t="s">
        <v>18</v>
      </c>
      <c r="D4220" s="5" t="s">
        <v>19</v>
      </c>
      <c r="E4220" s="5" t="s">
        <v>366</v>
      </c>
      <c r="F4220" s="9">
        <v>86</v>
      </c>
      <c r="G4220" s="9">
        <v>957</v>
      </c>
      <c r="H4220" s="5" t="s">
        <v>21</v>
      </c>
      <c r="I4220" s="5" t="s">
        <v>9632</v>
      </c>
      <c r="J4220" s="12" t="str">
        <f>HYPERLINK("https://www.boe.es/gazeta/dias/1801/09/08/pdfs/GMD-1801-86.pdf#page=8","Abrir facsímil")</f>
        <v>Abrir facsímil</v>
      </c>
      <c r="K4220" s="15" t="s">
        <v>23</v>
      </c>
    </row>
    <row r="4221" spans="1:11" ht="42" customHeight="1">
      <c r="A4221" s="4" t="s">
        <v>9633</v>
      </c>
      <c r="B4221" s="5" t="s">
        <v>9633</v>
      </c>
      <c r="C4221" s="5" t="s">
        <v>26</v>
      </c>
      <c r="D4221" s="5" t="s">
        <v>27</v>
      </c>
      <c r="E4221" s="5" t="s">
        <v>501</v>
      </c>
      <c r="F4221" s="9">
        <v>115</v>
      </c>
      <c r="G4221" s="9" t="s">
        <v>502</v>
      </c>
      <c r="H4221" s="5" t="s">
        <v>21</v>
      </c>
      <c r="I4221" s="5" t="s">
        <v>9634</v>
      </c>
      <c r="J4221" s="12" t="str">
        <f>HYPERLINK("https://www.boe.es/gazeta/dias/1801/12/15/pdfs/GMD-C-1801-115.pdf#page=8","Abrir facsímil")</f>
        <v>Abrir facsímil</v>
      </c>
      <c r="K4221" s="15" t="s">
        <v>23</v>
      </c>
    </row>
    <row r="4222" spans="1:11" ht="42" customHeight="1">
      <c r="A4222" s="4" t="s">
        <v>9635</v>
      </c>
      <c r="B4222" s="5" t="s">
        <v>9636</v>
      </c>
      <c r="C4222" s="5" t="s">
        <v>69</v>
      </c>
      <c r="D4222" s="5" t="s">
        <v>19</v>
      </c>
      <c r="E4222" s="5" t="s">
        <v>723</v>
      </c>
      <c r="F4222" s="9">
        <v>113</v>
      </c>
      <c r="G4222" s="9">
        <v>1232</v>
      </c>
      <c r="H4222" s="5" t="s">
        <v>21</v>
      </c>
      <c r="I4222" s="5" t="s">
        <v>9637</v>
      </c>
      <c r="J4222" s="12" t="str">
        <f>HYPERLINK("https://www.boe.es/gazeta/dias/1801/12/08/pdfs/GMD-1801-113.pdf#page=5","Abrir facsímil")</f>
        <v>Abrir facsímil</v>
      </c>
      <c r="K4222" s="15" t="s">
        <v>23</v>
      </c>
    </row>
    <row r="4223" spans="1:11" ht="42" customHeight="1">
      <c r="A4223" s="4" t="s">
        <v>9638</v>
      </c>
      <c r="B4223" s="5" t="s">
        <v>9639</v>
      </c>
      <c r="C4223" s="5" t="s">
        <v>18</v>
      </c>
      <c r="D4223" s="5" t="s">
        <v>19</v>
      </c>
      <c r="E4223" s="5" t="s">
        <v>1058</v>
      </c>
      <c r="F4223" s="9">
        <v>108</v>
      </c>
      <c r="G4223" s="9">
        <v>1193</v>
      </c>
      <c r="H4223" s="5" t="s">
        <v>21</v>
      </c>
      <c r="I4223" s="5" t="s">
        <v>9640</v>
      </c>
      <c r="J4223" s="12" t="str">
        <f>HYPERLINK("https://www.boe.es/gazeta/dias/1801/11/20/pdfs/GMD-1801-108.pdf#page=10","Abrir facsímil")</f>
        <v>Abrir facsímil</v>
      </c>
      <c r="K4223" s="15" t="s">
        <v>23</v>
      </c>
    </row>
    <row r="4224" spans="1:11" ht="42" customHeight="1">
      <c r="A4224" s="4" t="s">
        <v>9641</v>
      </c>
      <c r="B4224" s="5" t="s">
        <v>9642</v>
      </c>
      <c r="C4224" s="5" t="s">
        <v>38</v>
      </c>
      <c r="D4224" s="5" t="s">
        <v>39</v>
      </c>
      <c r="E4224" s="5" t="s">
        <v>702</v>
      </c>
      <c r="F4224" s="9">
        <v>69</v>
      </c>
      <c r="G4224" s="9">
        <v>764</v>
      </c>
      <c r="H4224" s="5" t="s">
        <v>21</v>
      </c>
      <c r="I4224" s="5" t="s">
        <v>9643</v>
      </c>
      <c r="J4224" s="12" t="str">
        <f>HYPERLINK("https://www.boe.es/gazeta/dias/1801/07/14/pdfs/GMD-1801-69.pdf#page=9","Abrir facsímil")</f>
        <v>Abrir facsímil</v>
      </c>
      <c r="K4224" s="15" t="s">
        <v>23</v>
      </c>
    </row>
    <row r="4225" spans="1:11" ht="42" customHeight="1">
      <c r="A4225" s="4" t="s">
        <v>9641</v>
      </c>
      <c r="B4225" s="5" t="s">
        <v>9642</v>
      </c>
      <c r="C4225" s="5" t="s">
        <v>38</v>
      </c>
      <c r="D4225" s="5" t="s">
        <v>39</v>
      </c>
      <c r="E4225" s="5" t="s">
        <v>215</v>
      </c>
      <c r="F4225" s="9">
        <v>71</v>
      </c>
      <c r="G4225" s="9">
        <v>788</v>
      </c>
      <c r="H4225" s="5" t="s">
        <v>21</v>
      </c>
      <c r="I4225" s="5" t="s">
        <v>9644</v>
      </c>
      <c r="J4225" s="12" t="str">
        <f>HYPERLINK("https://www.boe.es/gazeta/dias/1801/07/21/pdfs/GMD-1801-71.pdf#page=9","Abrir facsímil")</f>
        <v>Abrir facsímil</v>
      </c>
      <c r="K4225" s="15" t="s">
        <v>23</v>
      </c>
    </row>
    <row r="4226" spans="1:11" ht="42" customHeight="1">
      <c r="A4226" s="4" t="s">
        <v>9641</v>
      </c>
      <c r="B4226" s="5" t="s">
        <v>9642</v>
      </c>
      <c r="C4226" s="5" t="s">
        <v>18</v>
      </c>
      <c r="D4226" s="5" t="s">
        <v>19</v>
      </c>
      <c r="E4226" s="5" t="s">
        <v>751</v>
      </c>
      <c r="F4226" s="9">
        <v>106</v>
      </c>
      <c r="G4226" s="9">
        <v>1169</v>
      </c>
      <c r="H4226" s="5" t="s">
        <v>21</v>
      </c>
      <c r="I4226" s="5" t="s">
        <v>9645</v>
      </c>
      <c r="J4226" s="12" t="str">
        <f>HYPERLINK("https://www.boe.es/gazeta/dias/1801/11/13/pdfs/GMD-C-1801-106.pdf#page=2","Abrir facsímil")</f>
        <v>Abrir facsímil</v>
      </c>
      <c r="K4226" s="15" t="s">
        <v>23</v>
      </c>
    </row>
    <row r="4227" spans="1:11" ht="42" customHeight="1">
      <c r="A4227" s="4" t="s">
        <v>9641</v>
      </c>
      <c r="B4227" s="5" t="s">
        <v>9642</v>
      </c>
      <c r="C4227" s="5" t="s">
        <v>18</v>
      </c>
      <c r="D4227" s="5" t="s">
        <v>19</v>
      </c>
      <c r="E4227" s="5" t="s">
        <v>1939</v>
      </c>
      <c r="F4227" s="9">
        <v>107</v>
      </c>
      <c r="G4227" s="9">
        <v>1180</v>
      </c>
      <c r="H4227" s="5" t="s">
        <v>21</v>
      </c>
      <c r="I4227" s="5" t="s">
        <v>9646</v>
      </c>
      <c r="J4227" s="12" t="str">
        <f>HYPERLINK("https://www.boe.es/gazeta/dias/1801/11/17/pdfs/GMD-1801-107.pdf#page=9","Abrir facsímil")</f>
        <v>Abrir facsímil</v>
      </c>
      <c r="K4227" s="15" t="s">
        <v>23</v>
      </c>
    </row>
    <row r="4228" spans="1:11" ht="42" customHeight="1">
      <c r="A4228" s="4" t="s">
        <v>9647</v>
      </c>
      <c r="B4228" s="5" t="s">
        <v>9648</v>
      </c>
      <c r="C4228" s="5" t="s">
        <v>32</v>
      </c>
      <c r="D4228" s="5" t="s">
        <v>33</v>
      </c>
      <c r="E4228" s="5" t="s">
        <v>1058</v>
      </c>
      <c r="F4228" s="9">
        <v>108</v>
      </c>
      <c r="G4228" s="9">
        <v>1189</v>
      </c>
      <c r="H4228" s="5" t="s">
        <v>21</v>
      </c>
      <c r="I4228" s="5" t="s">
        <v>9649</v>
      </c>
      <c r="J4228" s="12" t="str">
        <f>HYPERLINK("https://www.boe.es/gazeta/dias/1801/11/20/pdfs/GMD-1801-108.pdf#page=6","Abrir facsímil")</f>
        <v>Abrir facsímil</v>
      </c>
      <c r="K4228" s="15" t="s">
        <v>23</v>
      </c>
    </row>
    <row r="4229" spans="1:11" ht="42" customHeight="1">
      <c r="A4229" s="4" t="s">
        <v>9650</v>
      </c>
      <c r="B4229" s="5" t="s">
        <v>9651</v>
      </c>
      <c r="C4229" s="5" t="s">
        <v>32</v>
      </c>
      <c r="D4229" s="5" t="s">
        <v>33</v>
      </c>
      <c r="E4229" s="5" t="s">
        <v>262</v>
      </c>
      <c r="F4229" s="9">
        <v>109</v>
      </c>
      <c r="G4229" s="9">
        <v>1199</v>
      </c>
      <c r="H4229" s="5" t="s">
        <v>21</v>
      </c>
      <c r="I4229" s="5" t="s">
        <v>9652</v>
      </c>
      <c r="J4229" s="12" t="str">
        <f>HYPERLINK("https://www.boe.es/gazeta/dias/1801/11/24/pdfs/GMD-1801-109.pdf#page=4","Abrir facsímil")</f>
        <v>Abrir facsímil</v>
      </c>
      <c r="K4229" s="15" t="s">
        <v>23</v>
      </c>
    </row>
    <row r="4230" spans="1:11" ht="42" customHeight="1">
      <c r="A4230" s="4" t="s">
        <v>9653</v>
      </c>
      <c r="B4230" s="5" t="s">
        <v>9653</v>
      </c>
      <c r="C4230" s="5" t="s">
        <v>75</v>
      </c>
      <c r="D4230" s="5" t="s">
        <v>76</v>
      </c>
      <c r="E4230" s="5" t="s">
        <v>161</v>
      </c>
      <c r="F4230" s="9">
        <v>58</v>
      </c>
      <c r="G4230" s="9">
        <v>658</v>
      </c>
      <c r="H4230" s="5" t="s">
        <v>21</v>
      </c>
      <c r="I4230" s="5" t="s">
        <v>9654</v>
      </c>
      <c r="J4230" s="12" t="str">
        <f>HYPERLINK("https://www.boe.es/gazeta/dias/1801/06/19/pdfs/GMD-1801-58.pdf#page=3","Abrir facsímil")</f>
        <v>Abrir facsímil</v>
      </c>
      <c r="K4230" s="15" t="s">
        <v>23</v>
      </c>
    </row>
    <row r="4231" spans="1:11" ht="42" customHeight="1">
      <c r="A4231" s="4" t="s">
        <v>9655</v>
      </c>
      <c r="B4231" s="5" t="s">
        <v>9656</v>
      </c>
      <c r="C4231" s="5" t="s">
        <v>38</v>
      </c>
      <c r="D4231" s="5" t="s">
        <v>39</v>
      </c>
      <c r="E4231" s="5" t="s">
        <v>108</v>
      </c>
      <c r="F4231" s="9">
        <v>61</v>
      </c>
      <c r="G4231" s="9">
        <v>696</v>
      </c>
      <c r="H4231" s="5" t="s">
        <v>21</v>
      </c>
      <c r="I4231" s="5" t="s">
        <v>9657</v>
      </c>
      <c r="J4231" s="12" t="str">
        <f>HYPERLINK("https://www.boe.es/gazeta/dias/1801/06/30/pdfs/GMD-1801-61.pdf#page=5","Abrir facsímil")</f>
        <v>Abrir facsímil</v>
      </c>
      <c r="K4231" s="15" t="s">
        <v>23</v>
      </c>
    </row>
    <row r="4232" spans="1:11" ht="42" customHeight="1">
      <c r="A4232" s="4" t="s">
        <v>9658</v>
      </c>
      <c r="B4232" s="5" t="s">
        <v>9658</v>
      </c>
      <c r="C4232" s="5" t="s">
        <v>32</v>
      </c>
      <c r="D4232" s="5" t="s">
        <v>33</v>
      </c>
      <c r="E4232" s="5" t="s">
        <v>72</v>
      </c>
      <c r="F4232" s="9">
        <v>60</v>
      </c>
      <c r="G4232" s="9">
        <v>680</v>
      </c>
      <c r="H4232" s="5" t="s">
        <v>21</v>
      </c>
      <c r="I4232" s="5" t="s">
        <v>9659</v>
      </c>
      <c r="J4232" s="12" t="str">
        <f>HYPERLINK("https://www.boe.es/gazeta/dias/1801/06/26/pdfs/GMD-1801-60.pdf#page=1","Abrir facsímil")</f>
        <v>Abrir facsímil</v>
      </c>
      <c r="K4232" s="15" t="s">
        <v>23</v>
      </c>
    </row>
    <row r="4233" spans="1:11" ht="42" customHeight="1">
      <c r="A4233" s="4" t="s">
        <v>9660</v>
      </c>
      <c r="B4233" s="5" t="s">
        <v>9661</v>
      </c>
      <c r="C4233" s="5" t="s">
        <v>32</v>
      </c>
      <c r="D4233" s="5" t="s">
        <v>33</v>
      </c>
      <c r="E4233" s="5" t="s">
        <v>194</v>
      </c>
      <c r="F4233" s="9">
        <v>92</v>
      </c>
      <c r="G4233" s="9">
        <v>1011</v>
      </c>
      <c r="H4233" s="5" t="s">
        <v>21</v>
      </c>
      <c r="I4233" s="5" t="s">
        <v>9662</v>
      </c>
      <c r="J4233" s="12" t="str">
        <f>HYPERLINK("https://www.boe.es/gazeta/dias/1801/09/25/pdfs/GMD-1801-92.pdf#page=6","Abrir facsímil")</f>
        <v>Abrir facsímil</v>
      </c>
      <c r="K4233" s="15" t="s">
        <v>23</v>
      </c>
    </row>
    <row r="4234" spans="1:11" ht="42" customHeight="1">
      <c r="A4234" s="4" t="s">
        <v>9663</v>
      </c>
      <c r="B4234" s="5" t="s">
        <v>9664</v>
      </c>
      <c r="C4234" s="5" t="s">
        <v>32</v>
      </c>
      <c r="D4234" s="5" t="s">
        <v>33</v>
      </c>
      <c r="E4234" s="5" t="s">
        <v>82</v>
      </c>
      <c r="F4234" s="9">
        <v>75</v>
      </c>
      <c r="G4234" s="9">
        <v>840</v>
      </c>
      <c r="H4234" s="5" t="s">
        <v>21</v>
      </c>
      <c r="I4234" s="5" t="s">
        <v>9665</v>
      </c>
      <c r="J4234" s="12" t="str">
        <f>HYPERLINK("https://www.boe.es/gazeta/dias/1801/08/04/pdfs/GMD-1801-75.pdf#page=9","Abrir facsímil")</f>
        <v>Abrir facsímil</v>
      </c>
      <c r="K4234" s="15" t="s">
        <v>23</v>
      </c>
    </row>
    <row r="4235" spans="1:11" ht="42" customHeight="1">
      <c r="A4235" s="4" t="s">
        <v>9666</v>
      </c>
      <c r="B4235" s="5" t="s">
        <v>9667</v>
      </c>
      <c r="C4235" s="5" t="s">
        <v>32</v>
      </c>
      <c r="D4235" s="5" t="s">
        <v>33</v>
      </c>
      <c r="E4235" s="5" t="s">
        <v>131</v>
      </c>
      <c r="F4235" s="9">
        <v>22</v>
      </c>
      <c r="G4235" s="9">
        <v>290</v>
      </c>
      <c r="H4235" s="5" t="s">
        <v>21</v>
      </c>
      <c r="I4235" s="5" t="s">
        <v>9668</v>
      </c>
      <c r="J4235" s="12" t="str">
        <f>HYPERLINK("https://www.boe.es/gazeta/dias/1801/03/17/pdfs/GMD-1801-22.pdf#page=7","Abrir facsímil")</f>
        <v>Abrir facsímil</v>
      </c>
      <c r="K4235" s="15" t="s">
        <v>23</v>
      </c>
    </row>
    <row r="4236" spans="1:11" ht="42" customHeight="1">
      <c r="A4236" s="4" t="s">
        <v>9669</v>
      </c>
      <c r="B4236" s="5" t="s">
        <v>9669</v>
      </c>
      <c r="C4236" s="5" t="s">
        <v>69</v>
      </c>
      <c r="D4236" s="5" t="s">
        <v>19</v>
      </c>
      <c r="E4236" s="5" t="s">
        <v>108</v>
      </c>
      <c r="F4236" s="9">
        <v>61</v>
      </c>
      <c r="G4236" s="9">
        <v>695</v>
      </c>
      <c r="H4236" s="5" t="s">
        <v>21</v>
      </c>
      <c r="I4236" s="5" t="s">
        <v>9670</v>
      </c>
      <c r="J4236" s="12" t="str">
        <f>HYPERLINK("https://www.boe.es/gazeta/dias/1801/06/30/pdfs/GMD-1801-61.pdf#page=4","Abrir facsímil")</f>
        <v>Abrir facsímil</v>
      </c>
      <c r="K4236" s="15" t="s">
        <v>23</v>
      </c>
    </row>
    <row r="4237" spans="1:11" ht="42" customHeight="1">
      <c r="A4237" s="4" t="s">
        <v>9671</v>
      </c>
      <c r="B4237" s="5" t="s">
        <v>9671</v>
      </c>
      <c r="C4237" s="5" t="s">
        <v>38</v>
      </c>
      <c r="D4237" s="5" t="s">
        <v>39</v>
      </c>
      <c r="E4237" s="5" t="s">
        <v>82</v>
      </c>
      <c r="F4237" s="9">
        <v>75</v>
      </c>
      <c r="G4237" s="9">
        <v>832</v>
      </c>
      <c r="H4237" s="5" t="s">
        <v>21</v>
      </c>
      <c r="I4237" s="5" t="s">
        <v>9672</v>
      </c>
      <c r="J4237" s="12" t="str">
        <f>HYPERLINK("https://www.boe.es/gazeta/dias/1801/08/04/pdfs/GMD-1801-75.pdf#page=1","Abrir facsímil")</f>
        <v>Abrir facsímil</v>
      </c>
      <c r="K4237" s="15" t="s">
        <v>23</v>
      </c>
    </row>
    <row r="4238" spans="1:11" ht="42" customHeight="1">
      <c r="A4238" s="4" t="s">
        <v>9669</v>
      </c>
      <c r="B4238" s="5" t="s">
        <v>9669</v>
      </c>
      <c r="C4238" s="5" t="s">
        <v>75</v>
      </c>
      <c r="D4238" s="5" t="s">
        <v>76</v>
      </c>
      <c r="E4238" s="5" t="s">
        <v>712</v>
      </c>
      <c r="F4238" s="9">
        <v>105</v>
      </c>
      <c r="G4238" s="9">
        <v>1153</v>
      </c>
      <c r="H4238" s="5" t="s">
        <v>21</v>
      </c>
      <c r="I4238" s="5" t="s">
        <v>9673</v>
      </c>
      <c r="J4238" s="12" t="str">
        <f>HYPERLINK("https://www.boe.es/gazeta/dias/1801/11/10/pdfs/GMD-1801-105.pdf#page=6","Abrir facsímil")</f>
        <v>Abrir facsímil</v>
      </c>
      <c r="K4238" s="15" t="s">
        <v>23</v>
      </c>
    </row>
    <row r="4239" spans="1:11" ht="42" customHeight="1">
      <c r="A4239" s="4" t="s">
        <v>9674</v>
      </c>
      <c r="B4239" s="5" t="s">
        <v>9675</v>
      </c>
      <c r="C4239" s="5" t="s">
        <v>38</v>
      </c>
      <c r="D4239" s="5" t="s">
        <v>39</v>
      </c>
      <c r="E4239" s="5" t="s">
        <v>1436</v>
      </c>
      <c r="F4239" s="9">
        <v>95</v>
      </c>
      <c r="G4239" s="9">
        <v>1038</v>
      </c>
      <c r="H4239" s="5" t="s">
        <v>21</v>
      </c>
      <c r="I4239" s="5" t="s">
        <v>9676</v>
      </c>
      <c r="J4239" s="12" t="str">
        <f>HYPERLINK("https://www.boe.es/gazeta/dias/1801/10/06/pdfs/GMD-1801-95.pdf#page=2","Abrir facsímil")</f>
        <v>Abrir facsímil</v>
      </c>
      <c r="K4239" s="15" t="s">
        <v>23</v>
      </c>
    </row>
    <row r="4240" spans="1:11" ht="42" customHeight="1">
      <c r="A4240" s="4" t="s">
        <v>9677</v>
      </c>
      <c r="B4240" s="5" t="s">
        <v>9678</v>
      </c>
      <c r="C4240" s="5" t="s">
        <v>75</v>
      </c>
      <c r="D4240" s="5" t="s">
        <v>76</v>
      </c>
      <c r="E4240" s="5" t="s">
        <v>28</v>
      </c>
      <c r="F4240" s="9">
        <v>77</v>
      </c>
      <c r="G4240" s="9">
        <v>860</v>
      </c>
      <c r="H4240" s="5" t="s">
        <v>21</v>
      </c>
      <c r="I4240" s="5" t="s">
        <v>9679</v>
      </c>
      <c r="J4240" s="12" t="str">
        <f>HYPERLINK("https://www.boe.es/gazeta/dias/1801/08/11/pdfs/GMD-1801-77.pdf#page=5","Abrir facsímil")</f>
        <v>Abrir facsímil</v>
      </c>
      <c r="K4240" s="15" t="s">
        <v>23</v>
      </c>
    </row>
    <row r="4241" spans="1:11" ht="42" customHeight="1">
      <c r="A4241" s="4" t="s">
        <v>9680</v>
      </c>
      <c r="B4241" s="5" t="s">
        <v>9681</v>
      </c>
      <c r="C4241" s="5" t="s">
        <v>75</v>
      </c>
      <c r="D4241" s="5" t="s">
        <v>76</v>
      </c>
      <c r="E4241" s="5" t="s">
        <v>151</v>
      </c>
      <c r="F4241" s="9">
        <v>45</v>
      </c>
      <c r="G4241" s="9">
        <v>557</v>
      </c>
      <c r="H4241" s="5" t="s">
        <v>21</v>
      </c>
      <c r="I4241" s="5" t="s">
        <v>9682</v>
      </c>
      <c r="J4241" s="12" t="str">
        <f>HYPERLINK("https://www.boe.es/gazeta/dias/1801/06/02/pdfs/GMD-1801-45.pdf#page=5","Abrir facsímil")</f>
        <v>Abrir facsímil</v>
      </c>
      <c r="K4241" s="15" t="s">
        <v>23</v>
      </c>
    </row>
    <row r="4242" spans="1:11" ht="42" customHeight="1">
      <c r="A4242" s="4" t="s">
        <v>9683</v>
      </c>
      <c r="B4242" s="5" t="s">
        <v>9684</v>
      </c>
      <c r="C4242" s="5" t="s">
        <v>18</v>
      </c>
      <c r="D4242" s="5" t="s">
        <v>19</v>
      </c>
      <c r="E4242" s="5" t="s">
        <v>108</v>
      </c>
      <c r="F4242" s="9">
        <v>61</v>
      </c>
      <c r="G4242" s="9">
        <v>694</v>
      </c>
      <c r="H4242" s="5" t="s">
        <v>21</v>
      </c>
      <c r="I4242" s="5" t="s">
        <v>9685</v>
      </c>
      <c r="J4242" s="12" t="str">
        <f>HYPERLINK("https://www.boe.es/gazeta/dias/1801/06/30/pdfs/GMD-1801-61.pdf#page=3","Abrir facsímil")</f>
        <v>Abrir facsímil</v>
      </c>
      <c r="K4242" s="15" t="s">
        <v>23</v>
      </c>
    </row>
    <row r="4243" spans="1:11" ht="42" customHeight="1">
      <c r="A4243" s="4" t="s">
        <v>9683</v>
      </c>
      <c r="B4243" s="5" t="s">
        <v>9684</v>
      </c>
      <c r="C4243" s="5" t="s">
        <v>75</v>
      </c>
      <c r="D4243" s="5" t="s">
        <v>76</v>
      </c>
      <c r="E4243" s="5" t="s">
        <v>108</v>
      </c>
      <c r="F4243" s="9">
        <v>61</v>
      </c>
      <c r="G4243" s="9">
        <v>695</v>
      </c>
      <c r="H4243" s="5" t="s">
        <v>21</v>
      </c>
      <c r="I4243" s="5" t="s">
        <v>9686</v>
      </c>
      <c r="J4243" s="12" t="str">
        <f>HYPERLINK("https://www.boe.es/gazeta/dias/1801/06/30/pdfs/GMD-1801-61.pdf#page=4","Abrir facsímil")</f>
        <v>Abrir facsímil</v>
      </c>
      <c r="K4243" s="15" t="s">
        <v>23</v>
      </c>
    </row>
    <row r="4244" spans="1:11" ht="42" customHeight="1">
      <c r="A4244" s="4" t="s">
        <v>9683</v>
      </c>
      <c r="B4244" s="5" t="s">
        <v>9684</v>
      </c>
      <c r="C4244" s="5" t="s">
        <v>75</v>
      </c>
      <c r="D4244" s="5" t="s">
        <v>76</v>
      </c>
      <c r="E4244" s="5" t="s">
        <v>417</v>
      </c>
      <c r="F4244" s="9">
        <v>64</v>
      </c>
      <c r="G4244" s="9">
        <v>720</v>
      </c>
      <c r="H4244" s="5" t="s">
        <v>21</v>
      </c>
      <c r="I4244" s="5" t="s">
        <v>9687</v>
      </c>
      <c r="J4244" s="12" t="str">
        <f>HYPERLINK("https://www.boe.es/gazeta/dias/1801/07/07/pdfs/GMD-1801-64.pdf#page=1","Abrir facsímil")</f>
        <v>Abrir facsímil</v>
      </c>
      <c r="K4244" s="15" t="s">
        <v>23</v>
      </c>
    </row>
    <row r="4245" spans="1:11" ht="42" customHeight="1">
      <c r="A4245" s="4" t="s">
        <v>9683</v>
      </c>
      <c r="B4245" s="5" t="s">
        <v>9684</v>
      </c>
      <c r="C4245" s="5" t="s">
        <v>38</v>
      </c>
      <c r="D4245" s="5" t="s">
        <v>39</v>
      </c>
      <c r="E4245" s="5" t="s">
        <v>417</v>
      </c>
      <c r="F4245" s="9">
        <v>64</v>
      </c>
      <c r="G4245" s="9">
        <v>723</v>
      </c>
      <c r="H4245" s="5" t="s">
        <v>21</v>
      </c>
      <c r="I4245" s="5" t="s">
        <v>9688</v>
      </c>
      <c r="J4245" s="12" t="str">
        <f>HYPERLINK("https://www.boe.es/gazeta/dias/1801/07/07/pdfs/GMD-1801-64.pdf#page=4","Abrir facsímil")</f>
        <v>Abrir facsímil</v>
      </c>
      <c r="K4245" s="15" t="s">
        <v>23</v>
      </c>
    </row>
    <row r="4246" spans="1:11" ht="42" customHeight="1">
      <c r="A4246" s="4" t="s">
        <v>9683</v>
      </c>
      <c r="B4246" s="5" t="s">
        <v>9684</v>
      </c>
      <c r="C4246" s="5" t="s">
        <v>75</v>
      </c>
      <c r="D4246" s="5" t="s">
        <v>76</v>
      </c>
      <c r="E4246" s="5" t="s">
        <v>702</v>
      </c>
      <c r="F4246" s="9">
        <v>69</v>
      </c>
      <c r="G4246" s="9">
        <v>756</v>
      </c>
      <c r="H4246" s="5" t="s">
        <v>21</v>
      </c>
      <c r="I4246" s="5" t="s">
        <v>9689</v>
      </c>
      <c r="J4246" s="12" t="str">
        <f>HYPERLINK("https://www.boe.es/gazeta/dias/1801/07/14/pdfs/GMD-1801-69.pdf#page=1","Abrir facsímil")</f>
        <v>Abrir facsímil</v>
      </c>
      <c r="K4246" s="15" t="s">
        <v>23</v>
      </c>
    </row>
    <row r="4247" spans="1:11" ht="42" customHeight="1">
      <c r="A4247" s="4" t="s">
        <v>9683</v>
      </c>
      <c r="B4247" s="5" t="s">
        <v>9684</v>
      </c>
      <c r="C4247" s="5" t="s">
        <v>75</v>
      </c>
      <c r="D4247" s="5" t="s">
        <v>76</v>
      </c>
      <c r="E4247" s="5" t="s">
        <v>254</v>
      </c>
      <c r="F4247" s="9">
        <v>73</v>
      </c>
      <c r="G4247" s="9">
        <v>809</v>
      </c>
      <c r="H4247" s="5" t="s">
        <v>21</v>
      </c>
      <c r="I4247" s="5" t="s">
        <v>9690</v>
      </c>
      <c r="J4247" s="12" t="str">
        <f>HYPERLINK("https://www.boe.es/gazeta/dias/1801/07/28/pdfs/GMD-1801-73.pdf#page=2","Abrir facsímil")</f>
        <v>Abrir facsímil</v>
      </c>
      <c r="K4247" s="15" t="s">
        <v>23</v>
      </c>
    </row>
    <row r="4248" spans="1:11" ht="42" customHeight="1">
      <c r="A4248" s="4" t="s">
        <v>9683</v>
      </c>
      <c r="B4248" s="5" t="s">
        <v>9684</v>
      </c>
      <c r="C4248" s="5" t="s">
        <v>75</v>
      </c>
      <c r="D4248" s="5" t="s">
        <v>76</v>
      </c>
      <c r="E4248" s="5" t="s">
        <v>223</v>
      </c>
      <c r="F4248" s="9">
        <v>74</v>
      </c>
      <c r="G4248" s="9">
        <v>823</v>
      </c>
      <c r="H4248" s="5" t="s">
        <v>21</v>
      </c>
      <c r="I4248" s="5" t="s">
        <v>9691</v>
      </c>
      <c r="J4248" s="12" t="str">
        <f>HYPERLINK("https://www.boe.es/gazeta/dias/1801/07/31/pdfs/GMD-1801-74.pdf#page=4","Abrir facsímil")</f>
        <v>Abrir facsímil</v>
      </c>
      <c r="K4248" s="15" t="s">
        <v>23</v>
      </c>
    </row>
    <row r="4249" spans="1:11" ht="42" customHeight="1">
      <c r="A4249" s="4" t="s">
        <v>9683</v>
      </c>
      <c r="B4249" s="5" t="s">
        <v>9684</v>
      </c>
      <c r="C4249" s="5" t="s">
        <v>32</v>
      </c>
      <c r="D4249" s="5" t="s">
        <v>33</v>
      </c>
      <c r="E4249" s="5" t="s">
        <v>28</v>
      </c>
      <c r="F4249" s="9">
        <v>77</v>
      </c>
      <c r="G4249" s="9">
        <v>859</v>
      </c>
      <c r="H4249" s="5" t="s">
        <v>21</v>
      </c>
      <c r="I4249" s="5" t="s">
        <v>9692</v>
      </c>
      <c r="J4249" s="12" t="str">
        <f>HYPERLINK("https://www.boe.es/gazeta/dias/1801/08/11/pdfs/GMD-1801-77.pdf#page=4","Abrir facsímil")</f>
        <v>Abrir facsímil</v>
      </c>
      <c r="K4249" s="15" t="s">
        <v>23</v>
      </c>
    </row>
    <row r="4250" spans="1:11" ht="42" customHeight="1">
      <c r="A4250" s="4" t="s">
        <v>9683</v>
      </c>
      <c r="B4250" s="5" t="s">
        <v>9684</v>
      </c>
      <c r="C4250" s="5" t="s">
        <v>75</v>
      </c>
      <c r="D4250" s="5" t="s">
        <v>76</v>
      </c>
      <c r="E4250" s="5" t="s">
        <v>256</v>
      </c>
      <c r="F4250" s="9">
        <v>78</v>
      </c>
      <c r="G4250" s="9">
        <v>875</v>
      </c>
      <c r="H4250" s="5" t="s">
        <v>21</v>
      </c>
      <c r="I4250" s="5" t="s">
        <v>9693</v>
      </c>
      <c r="J4250" s="12" t="str">
        <f>HYPERLINK("https://www.boe.es/gazeta/dias/1801/08/14/pdfs/GMD-1801-78.pdf#page=4","Abrir facsímil")</f>
        <v>Abrir facsímil</v>
      </c>
      <c r="K4250" s="15" t="s">
        <v>23</v>
      </c>
    </row>
    <row r="4251" spans="1:11" ht="42" customHeight="1">
      <c r="A4251" s="4" t="s">
        <v>9683</v>
      </c>
      <c r="B4251" s="5" t="s">
        <v>9684</v>
      </c>
      <c r="C4251" s="5" t="s">
        <v>75</v>
      </c>
      <c r="D4251" s="5" t="s">
        <v>76</v>
      </c>
      <c r="E4251" s="5" t="s">
        <v>201</v>
      </c>
      <c r="F4251" s="9">
        <v>79</v>
      </c>
      <c r="G4251" s="9">
        <v>887</v>
      </c>
      <c r="H4251" s="5" t="s">
        <v>21</v>
      </c>
      <c r="I4251" s="5" t="s">
        <v>9694</v>
      </c>
      <c r="J4251" s="12" t="str">
        <f>HYPERLINK("https://www.boe.es/gazeta/dias/1801/08/18/pdfs/GMD-1801-79.pdf#page=4","Abrir facsímil")</f>
        <v>Abrir facsímil</v>
      </c>
      <c r="K4251" s="15" t="s">
        <v>23</v>
      </c>
    </row>
    <row r="4252" spans="1:11" ht="42" customHeight="1">
      <c r="A4252" s="4" t="s">
        <v>9680</v>
      </c>
      <c r="B4252" s="5" t="s">
        <v>9681</v>
      </c>
      <c r="C4252" s="5" t="s">
        <v>75</v>
      </c>
      <c r="D4252" s="5" t="s">
        <v>76</v>
      </c>
      <c r="E4252" s="5" t="s">
        <v>211</v>
      </c>
      <c r="F4252" s="9">
        <v>87</v>
      </c>
      <c r="G4252" s="9">
        <v>959</v>
      </c>
      <c r="H4252" s="5" t="s">
        <v>21</v>
      </c>
      <c r="I4252" s="5" t="s">
        <v>9695</v>
      </c>
      <c r="J4252" s="12" t="str">
        <f>HYPERLINK("https://www.boe.es/gazeta/dias/1801/09/11/pdfs/GMD-1801-87.pdf#page=2","Abrir facsímil")</f>
        <v>Abrir facsímil</v>
      </c>
      <c r="K4252" s="15" t="s">
        <v>23</v>
      </c>
    </row>
    <row r="4253" spans="1:11" ht="42" customHeight="1">
      <c r="A4253" s="4" t="s">
        <v>9683</v>
      </c>
      <c r="B4253" s="5" t="s">
        <v>9684</v>
      </c>
      <c r="C4253" s="5" t="s">
        <v>75</v>
      </c>
      <c r="D4253" s="5" t="s">
        <v>76</v>
      </c>
      <c r="E4253" s="5" t="s">
        <v>924</v>
      </c>
      <c r="F4253" s="9">
        <v>90</v>
      </c>
      <c r="G4253" s="9">
        <v>987</v>
      </c>
      <c r="H4253" s="5" t="s">
        <v>21</v>
      </c>
      <c r="I4253" s="5" t="s">
        <v>9696</v>
      </c>
      <c r="J4253" s="12" t="str">
        <f>HYPERLINK("https://www.boe.es/gazeta/dias/1801/09/18/pdfs/GMD-1801-90.pdf#page=2","Abrir facsímil")</f>
        <v>Abrir facsímil</v>
      </c>
      <c r="K4253" s="15" t="s">
        <v>23</v>
      </c>
    </row>
    <row r="4254" spans="1:11" ht="42" customHeight="1">
      <c r="A4254" s="4" t="s">
        <v>9683</v>
      </c>
      <c r="B4254" s="5" t="s">
        <v>9684</v>
      </c>
      <c r="C4254" s="5" t="s">
        <v>38</v>
      </c>
      <c r="D4254" s="5" t="s">
        <v>39</v>
      </c>
      <c r="E4254" s="5" t="s">
        <v>919</v>
      </c>
      <c r="F4254" s="9">
        <v>91</v>
      </c>
      <c r="G4254" s="9">
        <v>1001</v>
      </c>
      <c r="H4254" s="5" t="s">
        <v>21</v>
      </c>
      <c r="I4254" s="5" t="s">
        <v>9697</v>
      </c>
      <c r="J4254" s="12" t="str">
        <f>HYPERLINK("https://www.boe.es/gazeta/dias/1801/09/22/pdfs/GMD-1801-91.pdf#page=4","Abrir facsímil")</f>
        <v>Abrir facsímil</v>
      </c>
      <c r="K4254" s="15" t="s">
        <v>23</v>
      </c>
    </row>
    <row r="4255" spans="1:11" ht="42" customHeight="1">
      <c r="A4255" s="4" t="s">
        <v>9683</v>
      </c>
      <c r="B4255" s="5" t="s">
        <v>9684</v>
      </c>
      <c r="C4255" s="5" t="s">
        <v>38</v>
      </c>
      <c r="D4255" s="5" t="s">
        <v>39</v>
      </c>
      <c r="E4255" s="5" t="s">
        <v>505</v>
      </c>
      <c r="F4255" s="9">
        <v>94</v>
      </c>
      <c r="G4255" s="9">
        <v>1029</v>
      </c>
      <c r="H4255" s="5" t="s">
        <v>21</v>
      </c>
      <c r="I4255" s="5" t="s">
        <v>9698</v>
      </c>
      <c r="J4255" s="12" t="str">
        <f>HYPERLINK("https://www.boe.es/gazeta/dias/1801/10/02/pdfs/GMD-1801-94.pdf#page=5","Abrir facsímil")</f>
        <v>Abrir facsímil</v>
      </c>
      <c r="K4255" s="15" t="s">
        <v>23</v>
      </c>
    </row>
    <row r="4256" spans="1:11" ht="42" customHeight="1">
      <c r="A4256" s="4" t="s">
        <v>9683</v>
      </c>
      <c r="B4256" s="5" t="s">
        <v>9684</v>
      </c>
      <c r="C4256" s="5" t="s">
        <v>75</v>
      </c>
      <c r="D4256" s="5" t="s">
        <v>76</v>
      </c>
      <c r="E4256" s="5" t="s">
        <v>359</v>
      </c>
      <c r="F4256" s="9">
        <v>101</v>
      </c>
      <c r="G4256" s="9">
        <v>1110</v>
      </c>
      <c r="H4256" s="5" t="s">
        <v>21</v>
      </c>
      <c r="I4256" s="5" t="s">
        <v>9699</v>
      </c>
      <c r="J4256" s="12" t="str">
        <f>HYPERLINK("https://www.boe.es/gazeta/dias/1801/10/27/pdfs/GMD-1801-101.pdf#page=3","Abrir facsímil")</f>
        <v>Abrir facsímil</v>
      </c>
      <c r="K4256" s="15" t="s">
        <v>23</v>
      </c>
    </row>
    <row r="4257" spans="1:11" ht="42" customHeight="1">
      <c r="A4257" s="4" t="s">
        <v>9683</v>
      </c>
      <c r="B4257" s="5" t="s">
        <v>9684</v>
      </c>
      <c r="C4257" s="5" t="s">
        <v>75</v>
      </c>
      <c r="D4257" s="5" t="s">
        <v>76</v>
      </c>
      <c r="E4257" s="5" t="s">
        <v>935</v>
      </c>
      <c r="F4257" s="9">
        <v>116</v>
      </c>
      <c r="G4257" s="9">
        <v>1262</v>
      </c>
      <c r="H4257" s="5" t="s">
        <v>21</v>
      </c>
      <c r="I4257" s="5" t="s">
        <v>9700</v>
      </c>
      <c r="J4257" s="12" t="str">
        <f>HYPERLINK("https://www.boe.es/gazeta/dias/1801/12/18/pdfs/GMD-1801-116.pdf#page=4","Abrir facsímil")</f>
        <v>Abrir facsímil</v>
      </c>
      <c r="K4257" s="15" t="s">
        <v>23</v>
      </c>
    </row>
    <row r="4258" spans="1:11" ht="42" customHeight="1">
      <c r="A4258" s="4" t="s">
        <v>9701</v>
      </c>
      <c r="B4258" s="5" t="s">
        <v>9702</v>
      </c>
      <c r="C4258" s="5" t="s">
        <v>32</v>
      </c>
      <c r="D4258" s="5" t="s">
        <v>33</v>
      </c>
      <c r="E4258" s="5" t="s">
        <v>924</v>
      </c>
      <c r="F4258" s="9">
        <v>90</v>
      </c>
      <c r="G4258" s="9">
        <v>987</v>
      </c>
      <c r="H4258" s="5" t="s">
        <v>21</v>
      </c>
      <c r="I4258" s="5" t="s">
        <v>9703</v>
      </c>
      <c r="J4258" s="12" t="str">
        <f>HYPERLINK("https://www.boe.es/gazeta/dias/1801/09/18/pdfs/GMD-1801-90.pdf#page=2","Abrir facsímil")</f>
        <v>Abrir facsímil</v>
      </c>
      <c r="K4258" s="15" t="s">
        <v>23</v>
      </c>
    </row>
    <row r="4259" spans="1:11" ht="42" customHeight="1">
      <c r="A4259" s="4" t="s">
        <v>9704</v>
      </c>
      <c r="B4259" s="5" t="s">
        <v>9705</v>
      </c>
      <c r="C4259" s="5" t="s">
        <v>75</v>
      </c>
      <c r="D4259" s="5" t="s">
        <v>76</v>
      </c>
      <c r="E4259" s="5" t="s">
        <v>256</v>
      </c>
      <c r="F4259" s="9">
        <v>78</v>
      </c>
      <c r="G4259" s="9">
        <v>874</v>
      </c>
      <c r="H4259" s="5" t="s">
        <v>21</v>
      </c>
      <c r="I4259" s="5" t="s">
        <v>9706</v>
      </c>
      <c r="J4259" s="12" t="str">
        <f>HYPERLINK("https://www.boe.es/gazeta/dias/1801/08/14/pdfs/GMD-1801-78.pdf#page=3","Abrir facsímil")</f>
        <v>Abrir facsímil</v>
      </c>
      <c r="K4259" s="15" t="s">
        <v>23</v>
      </c>
    </row>
    <row r="4260" spans="1:11" ht="42" customHeight="1">
      <c r="A4260" s="4" t="s">
        <v>9707</v>
      </c>
      <c r="B4260" s="5" t="s">
        <v>9707</v>
      </c>
      <c r="C4260" s="5" t="s">
        <v>75</v>
      </c>
      <c r="D4260" s="5" t="s">
        <v>76</v>
      </c>
      <c r="E4260" s="5" t="s">
        <v>194</v>
      </c>
      <c r="F4260" s="9">
        <v>92</v>
      </c>
      <c r="G4260" s="9">
        <v>1007</v>
      </c>
      <c r="H4260" s="5" t="s">
        <v>21</v>
      </c>
      <c r="I4260" s="5" t="s">
        <v>9708</v>
      </c>
      <c r="J4260" s="12" t="str">
        <f>HYPERLINK("https://www.boe.es/gazeta/dias/1801/09/25/pdfs/GMD-1801-92.pdf#page=2","Abrir facsímil")</f>
        <v>Abrir facsímil</v>
      </c>
      <c r="K4260" s="15" t="s">
        <v>23</v>
      </c>
    </row>
    <row r="4261" spans="1:11" ht="42" customHeight="1">
      <c r="A4261" s="4" t="s">
        <v>9709</v>
      </c>
      <c r="B4261" s="5" t="s">
        <v>9710</v>
      </c>
      <c r="C4261" s="5" t="s">
        <v>32</v>
      </c>
      <c r="D4261" s="5" t="s">
        <v>33</v>
      </c>
      <c r="E4261" s="5" t="s">
        <v>112</v>
      </c>
      <c r="F4261" s="9">
        <v>114</v>
      </c>
      <c r="G4261" s="9">
        <v>1247</v>
      </c>
      <c r="H4261" s="5" t="s">
        <v>21</v>
      </c>
      <c r="I4261" s="5" t="s">
        <v>9711</v>
      </c>
      <c r="J4261" s="12" t="str">
        <f>HYPERLINK("https://www.boe.es/gazeta/dias/1801/12/11/pdfs/GMD-1801-114.pdf#page=9","Abrir facsímil")</f>
        <v>Abrir facsímil</v>
      </c>
      <c r="K4261" s="15" t="s">
        <v>23</v>
      </c>
    </row>
    <row r="4262" spans="1:11" ht="42" customHeight="1">
      <c r="A4262" s="4" t="s">
        <v>9709</v>
      </c>
      <c r="B4262" s="5" t="s">
        <v>9710</v>
      </c>
      <c r="C4262" s="5" t="s">
        <v>69</v>
      </c>
      <c r="D4262" s="5" t="s">
        <v>19</v>
      </c>
      <c r="E4262" s="5" t="s">
        <v>501</v>
      </c>
      <c r="F4262" s="9">
        <v>115</v>
      </c>
      <c r="G4262" s="9">
        <v>1256</v>
      </c>
      <c r="H4262" s="5" t="s">
        <v>21</v>
      </c>
      <c r="I4262" s="5" t="s">
        <v>9712</v>
      </c>
      <c r="J4262" s="12" t="str">
        <f>HYPERLINK("https://www.boe.es/gazeta/dias/1801/12/15/pdfs/GMD-1801-115.pdf#page=6","Abrir facsímil")</f>
        <v>Abrir facsímil</v>
      </c>
      <c r="K4262" s="15" t="s">
        <v>23</v>
      </c>
    </row>
    <row r="4263" spans="1:11" ht="42" customHeight="1">
      <c r="A4263" s="4" t="s">
        <v>9713</v>
      </c>
      <c r="B4263" s="5" t="s">
        <v>9714</v>
      </c>
      <c r="C4263" s="5" t="s">
        <v>32</v>
      </c>
      <c r="D4263" s="5" t="s">
        <v>33</v>
      </c>
      <c r="E4263" s="5" t="s">
        <v>165</v>
      </c>
      <c r="F4263" s="9">
        <v>59</v>
      </c>
      <c r="G4263" s="9">
        <v>677</v>
      </c>
      <c r="H4263" s="5" t="s">
        <v>21</v>
      </c>
      <c r="I4263" s="5" t="s">
        <v>9715</v>
      </c>
      <c r="J4263" s="12" t="str">
        <f>HYPERLINK("https://www.boe.es/gazeta/dias/1801/06/23/pdfs/GMD-1801-59.pdf#page=10","Abrir facsímil")</f>
        <v>Abrir facsímil</v>
      </c>
      <c r="K4263" s="15" t="s">
        <v>23</v>
      </c>
    </row>
    <row r="4264" spans="1:11" ht="42" customHeight="1">
      <c r="A4264" s="4" t="s">
        <v>9716</v>
      </c>
      <c r="B4264" s="5" t="s">
        <v>9717</v>
      </c>
      <c r="C4264" s="5" t="s">
        <v>32</v>
      </c>
      <c r="D4264" s="5" t="s">
        <v>33</v>
      </c>
      <c r="E4264" s="5" t="s">
        <v>781</v>
      </c>
      <c r="F4264" s="9">
        <v>14</v>
      </c>
      <c r="G4264" s="9">
        <v>173</v>
      </c>
      <c r="H4264" s="5" t="s">
        <v>21</v>
      </c>
      <c r="I4264" s="5" t="s">
        <v>9718</v>
      </c>
      <c r="J4264" s="12" t="str">
        <f>HYPERLINK("https://www.boe.es/gazeta/dias/1801/02/17/pdfs/GMD-1801-14.pdf#page=8","Abrir facsímil")</f>
        <v>Abrir facsímil</v>
      </c>
      <c r="K4264" s="15" t="s">
        <v>23</v>
      </c>
    </row>
    <row r="4265" spans="1:11" ht="42" customHeight="1">
      <c r="A4265" s="4" t="s">
        <v>9719</v>
      </c>
      <c r="B4265" s="5" t="s">
        <v>9720</v>
      </c>
      <c r="C4265" s="5" t="s">
        <v>75</v>
      </c>
      <c r="D4265" s="5" t="s">
        <v>76</v>
      </c>
      <c r="E4265" s="5" t="s">
        <v>321</v>
      </c>
      <c r="F4265" s="9">
        <v>3</v>
      </c>
      <c r="G4265" s="9">
        <v>32</v>
      </c>
      <c r="H4265" s="5" t="s">
        <v>21</v>
      </c>
      <c r="I4265" s="5" t="s">
        <v>9721</v>
      </c>
      <c r="J4265" s="12" t="str">
        <f>HYPERLINK("https://www.boe.es/gazeta/dias/1801/01/09/pdfs/GMD-1801-3.pdf#page=8","Abrir facsímil")</f>
        <v>Abrir facsímil</v>
      </c>
      <c r="K4265" s="15" t="s">
        <v>23</v>
      </c>
    </row>
    <row r="4266" spans="1:11" ht="42" customHeight="1">
      <c r="A4266" s="4" t="s">
        <v>9722</v>
      </c>
      <c r="B4266" s="5" t="s">
        <v>9723</v>
      </c>
      <c r="C4266" s="5" t="s">
        <v>32</v>
      </c>
      <c r="D4266" s="5" t="s">
        <v>33</v>
      </c>
      <c r="E4266" s="5" t="s">
        <v>640</v>
      </c>
      <c r="F4266" s="9">
        <v>81</v>
      </c>
      <c r="G4266" s="9">
        <v>909</v>
      </c>
      <c r="H4266" s="5" t="s">
        <v>21</v>
      </c>
      <c r="I4266" s="5" t="s">
        <v>9724</v>
      </c>
      <c r="J4266" s="12" t="str">
        <f>HYPERLINK("https://www.boe.es/gazeta/dias/1801/08/25/pdfs/GMD-1801-81.pdf#page=6","Abrir facsímil")</f>
        <v>Abrir facsímil</v>
      </c>
      <c r="K4266" s="15" t="s">
        <v>23</v>
      </c>
    </row>
    <row r="4267" spans="1:11" ht="42" customHeight="1">
      <c r="A4267" s="4" t="s">
        <v>9725</v>
      </c>
      <c r="B4267" s="5" t="s">
        <v>9726</v>
      </c>
      <c r="C4267" s="5" t="s">
        <v>80</v>
      </c>
      <c r="D4267" s="5" t="s">
        <v>81</v>
      </c>
      <c r="E4267" s="5" t="s">
        <v>289</v>
      </c>
      <c r="F4267" s="9">
        <v>40</v>
      </c>
      <c r="G4267" s="9" t="s">
        <v>299</v>
      </c>
      <c r="H4267" s="5" t="s">
        <v>21</v>
      </c>
      <c r="I4267" s="5" t="s">
        <v>9727</v>
      </c>
      <c r="J4267" s="12" t="str">
        <f>HYPERLINK("https://www.boe.es/gazeta/dias/1801/05/19/pdfs/GMD-C-1801-40.pdf#page=5","Abrir facsímil")</f>
        <v>Abrir facsímil</v>
      </c>
      <c r="K4267" s="15" t="s">
        <v>23</v>
      </c>
    </row>
    <row r="4268" spans="1:11" ht="42" customHeight="1">
      <c r="A4268" s="4" t="s">
        <v>9728</v>
      </c>
      <c r="B4268" s="5" t="s">
        <v>9729</v>
      </c>
      <c r="C4268" s="5" t="s">
        <v>32</v>
      </c>
      <c r="D4268" s="5" t="s">
        <v>33</v>
      </c>
      <c r="E4268" s="5" t="s">
        <v>501</v>
      </c>
      <c r="F4268" s="9">
        <v>115</v>
      </c>
      <c r="G4268" s="9" t="s">
        <v>299</v>
      </c>
      <c r="H4268" s="5" t="s">
        <v>21</v>
      </c>
      <c r="I4268" s="5" t="s">
        <v>9730</v>
      </c>
      <c r="J4268" s="12" t="str">
        <f>HYPERLINK("https://www.boe.es/gazeta/dias/1801/12/15/pdfs/GMD-C-1801-115.pdf#page=5","Abrir facsímil")</f>
        <v>Abrir facsímil</v>
      </c>
      <c r="K4268" s="15" t="s">
        <v>23</v>
      </c>
    </row>
    <row r="4269" spans="1:11" ht="42" customHeight="1">
      <c r="A4269" s="4" t="s">
        <v>9731</v>
      </c>
      <c r="B4269" s="5" t="s">
        <v>9732</v>
      </c>
      <c r="C4269" s="5" t="s">
        <v>32</v>
      </c>
      <c r="D4269" s="5" t="s">
        <v>33</v>
      </c>
      <c r="E4269" s="5" t="s">
        <v>275</v>
      </c>
      <c r="F4269" s="9">
        <v>9</v>
      </c>
      <c r="G4269" s="9">
        <v>112</v>
      </c>
      <c r="H4269" s="5" t="s">
        <v>21</v>
      </c>
      <c r="I4269" s="5" t="s">
        <v>9733</v>
      </c>
      <c r="J4269" s="12" t="str">
        <f>HYPERLINK("https://www.boe.es/gazeta/dias/1801/01/30/pdfs/GMD-1801-9.pdf#page=9","Abrir facsímil")</f>
        <v>Abrir facsímil</v>
      </c>
      <c r="K4269" s="15" t="s">
        <v>23</v>
      </c>
    </row>
    <row r="4270" spans="1:11" ht="42" customHeight="1">
      <c r="A4270" s="4" t="s">
        <v>9734</v>
      </c>
      <c r="B4270" s="5" t="s">
        <v>9734</v>
      </c>
      <c r="C4270" s="5" t="s">
        <v>38</v>
      </c>
      <c r="D4270" s="5" t="s">
        <v>39</v>
      </c>
      <c r="E4270" s="5" t="s">
        <v>924</v>
      </c>
      <c r="F4270" s="9">
        <v>90</v>
      </c>
      <c r="G4270" s="9">
        <v>993</v>
      </c>
      <c r="H4270" s="5" t="s">
        <v>21</v>
      </c>
      <c r="I4270" s="5" t="s">
        <v>9735</v>
      </c>
      <c r="J4270" s="12" t="str">
        <f>HYPERLINK("https://www.boe.es/gazeta/dias/1801/09/18/pdfs/GMD-1801-90.pdf#page=8","Abrir facsímil")</f>
        <v>Abrir facsímil</v>
      </c>
      <c r="K4270" s="15" t="s">
        <v>23</v>
      </c>
    </row>
    <row r="4271" spans="1:11" ht="42" customHeight="1">
      <c r="A4271" s="4" t="s">
        <v>9736</v>
      </c>
      <c r="B4271" s="5" t="s">
        <v>9737</v>
      </c>
      <c r="C4271" s="5" t="s">
        <v>80</v>
      </c>
      <c r="D4271" s="5" t="s">
        <v>81</v>
      </c>
      <c r="E4271" s="5" t="s">
        <v>289</v>
      </c>
      <c r="F4271" s="9">
        <v>40</v>
      </c>
      <c r="G4271" s="9" t="s">
        <v>299</v>
      </c>
      <c r="H4271" s="5" t="s">
        <v>21</v>
      </c>
      <c r="I4271" s="5" t="s">
        <v>9738</v>
      </c>
      <c r="J4271" s="12" t="str">
        <f>HYPERLINK("https://www.boe.es/gazeta/dias/1801/05/19/pdfs/GMD-C-1801-40.pdf#page=5","Abrir facsímil")</f>
        <v>Abrir facsímil</v>
      </c>
      <c r="K4271" s="15" t="s">
        <v>23</v>
      </c>
    </row>
    <row r="4272" spans="1:11" ht="42" customHeight="1">
      <c r="A4272" s="4" t="s">
        <v>9739</v>
      </c>
      <c r="B4272" s="5" t="s">
        <v>9740</v>
      </c>
      <c r="C4272" s="5" t="s">
        <v>38</v>
      </c>
      <c r="D4272" s="5" t="s">
        <v>39</v>
      </c>
      <c r="E4272" s="5" t="s">
        <v>165</v>
      </c>
      <c r="F4272" s="9">
        <v>59</v>
      </c>
      <c r="G4272" s="9">
        <v>677</v>
      </c>
      <c r="H4272" s="5" t="s">
        <v>21</v>
      </c>
      <c r="I4272" s="5" t="s">
        <v>9741</v>
      </c>
      <c r="J4272" s="12" t="str">
        <f>HYPERLINK("https://www.boe.es/gazeta/dias/1801/06/23/pdfs/GMD-1801-59.pdf#page=10","Abrir facsímil")</f>
        <v>Abrir facsímil</v>
      </c>
      <c r="K4272" s="15" t="s">
        <v>23</v>
      </c>
    </row>
    <row r="4273" spans="1:11" ht="42" customHeight="1">
      <c r="A4273" s="4" t="s">
        <v>9742</v>
      </c>
      <c r="B4273" s="5" t="s">
        <v>9742</v>
      </c>
      <c r="C4273" s="5" t="s">
        <v>38</v>
      </c>
      <c r="D4273" s="5" t="s">
        <v>39</v>
      </c>
      <c r="E4273" s="5" t="s">
        <v>462</v>
      </c>
      <c r="F4273" s="9">
        <v>5</v>
      </c>
      <c r="G4273" s="9">
        <v>59</v>
      </c>
      <c r="H4273" s="5" t="s">
        <v>21</v>
      </c>
      <c r="I4273" s="5" t="s">
        <v>9743</v>
      </c>
      <c r="J4273" s="12" t="str">
        <f>HYPERLINK("https://www.boe.es/gazeta/dias/1801/01/16/pdfs/GMD-1801-5.pdf#page=11","Abrir facsímil")</f>
        <v>Abrir facsímil</v>
      </c>
      <c r="K4273" s="15" t="s">
        <v>23</v>
      </c>
    </row>
    <row r="4274" spans="1:11" ht="42" customHeight="1">
      <c r="A4274" s="4" t="s">
        <v>9744</v>
      </c>
      <c r="B4274" s="5" t="s">
        <v>9744</v>
      </c>
      <c r="C4274" s="5" t="s">
        <v>32</v>
      </c>
      <c r="D4274" s="5" t="s">
        <v>33</v>
      </c>
      <c r="E4274" s="5" t="s">
        <v>723</v>
      </c>
      <c r="F4274" s="9">
        <v>113</v>
      </c>
      <c r="G4274" s="9">
        <v>1234</v>
      </c>
      <c r="H4274" s="5" t="s">
        <v>21</v>
      </c>
      <c r="I4274" s="5" t="s">
        <v>9745</v>
      </c>
      <c r="J4274" s="12" t="str">
        <f>HYPERLINK("https://www.boe.es/gazeta/dias/1801/12/08/pdfs/GMD-1801-113.pdf#page=7","Abrir facsímil")</f>
        <v>Abrir facsímil</v>
      </c>
      <c r="K4274" s="15" t="s">
        <v>23</v>
      </c>
    </row>
    <row r="4275" spans="1:11" ht="42" customHeight="1">
      <c r="A4275" s="4" t="s">
        <v>9746</v>
      </c>
      <c r="B4275" s="5" t="s">
        <v>9746</v>
      </c>
      <c r="C4275" s="5" t="s">
        <v>26</v>
      </c>
      <c r="D4275" s="5" t="s">
        <v>27</v>
      </c>
      <c r="E4275" s="5" t="s">
        <v>501</v>
      </c>
      <c r="F4275" s="9">
        <v>115</v>
      </c>
      <c r="G4275" s="9" t="s">
        <v>83</v>
      </c>
      <c r="H4275" s="5" t="s">
        <v>21</v>
      </c>
      <c r="I4275" s="5" t="s">
        <v>9747</v>
      </c>
      <c r="J4275" s="12" t="str">
        <f>HYPERLINK("https://www.boe.es/gazeta/dias/1801/12/15/pdfs/GMD-C-1801-115.pdf#page=2","Abrir facsímil")</f>
        <v>Abrir facsímil</v>
      </c>
      <c r="K4275" s="15" t="s">
        <v>23</v>
      </c>
    </row>
    <row r="4276" spans="1:11" ht="42" customHeight="1">
      <c r="A4276" s="4" t="s">
        <v>9748</v>
      </c>
      <c r="B4276" s="5" t="s">
        <v>9749</v>
      </c>
      <c r="C4276" s="5" t="s">
        <v>26</v>
      </c>
      <c r="D4276" s="5" t="s">
        <v>27</v>
      </c>
      <c r="E4276" s="5" t="s">
        <v>131</v>
      </c>
      <c r="F4276" s="9">
        <v>22</v>
      </c>
      <c r="G4276" s="9">
        <v>295</v>
      </c>
      <c r="H4276" s="5" t="s">
        <v>21</v>
      </c>
      <c r="I4276" s="5" t="s">
        <v>9750</v>
      </c>
      <c r="J4276" s="12" t="str">
        <f>HYPERLINK("https://www.boe.es/gazeta/dias/1801/03/17/pdfs/GMD-1801-22.pdf#page=12","Abrir facsímil")</f>
        <v>Abrir facsímil</v>
      </c>
      <c r="K4276" s="15" t="s">
        <v>1296</v>
      </c>
    </row>
    <row r="4277" spans="1:11" ht="42" customHeight="1">
      <c r="A4277" s="4" t="s">
        <v>9751</v>
      </c>
      <c r="B4277" s="5" t="s">
        <v>9752</v>
      </c>
      <c r="C4277" s="5" t="s">
        <v>18</v>
      </c>
      <c r="D4277" s="5" t="s">
        <v>19</v>
      </c>
      <c r="E4277" s="5" t="s">
        <v>462</v>
      </c>
      <c r="F4277" s="9">
        <v>5</v>
      </c>
      <c r="G4277" s="9">
        <v>58</v>
      </c>
      <c r="H4277" s="5" t="s">
        <v>21</v>
      </c>
      <c r="I4277" s="5" t="s">
        <v>9753</v>
      </c>
      <c r="J4277" s="12" t="str">
        <f>HYPERLINK("https://www.boe.es/gazeta/dias/1801/01/16/pdfs/GMD-1801-5.pdf#page=10","Abrir facsímil")</f>
        <v>Abrir facsímil</v>
      </c>
      <c r="K4277" s="15" t="s">
        <v>1296</v>
      </c>
    </row>
    <row r="4278" spans="1:11" ht="42" customHeight="1">
      <c r="A4278" s="4" t="s">
        <v>9751</v>
      </c>
      <c r="B4278" s="5" t="s">
        <v>9752</v>
      </c>
      <c r="C4278" s="5" t="s">
        <v>18</v>
      </c>
      <c r="D4278" s="5" t="s">
        <v>19</v>
      </c>
      <c r="E4278" s="5" t="s">
        <v>62</v>
      </c>
      <c r="F4278" s="9">
        <v>6</v>
      </c>
      <c r="G4278" s="9">
        <v>75</v>
      </c>
      <c r="H4278" s="5" t="s">
        <v>21</v>
      </c>
      <c r="I4278" s="5" t="s">
        <v>9754</v>
      </c>
      <c r="J4278" s="12" t="str">
        <f>HYPERLINK("https://www.boe.es/gazeta/dias/1801/01/20/pdfs/GMD-1801-6.pdf#page=11","Abrir facsímil")</f>
        <v>Abrir facsímil</v>
      </c>
      <c r="K4278" s="15" t="s">
        <v>1296</v>
      </c>
    </row>
    <row r="4279" spans="1:11" ht="42" customHeight="1">
      <c r="A4279" s="4" t="s">
        <v>9751</v>
      </c>
      <c r="B4279" s="5" t="s">
        <v>9752</v>
      </c>
      <c r="C4279" s="5" t="s">
        <v>26</v>
      </c>
      <c r="D4279" s="5" t="s">
        <v>27</v>
      </c>
      <c r="E4279" s="5" t="s">
        <v>378</v>
      </c>
      <c r="F4279" s="9">
        <v>23</v>
      </c>
      <c r="G4279" s="9">
        <v>308</v>
      </c>
      <c r="H4279" s="5" t="s">
        <v>21</v>
      </c>
      <c r="I4279" s="5" t="s">
        <v>9755</v>
      </c>
      <c r="J4279" s="12" t="str">
        <f>HYPERLINK("https://www.boe.es/gazeta/dias/1801/03/20/pdfs/GMD-1801-23.pdf#page=11","Abrir facsímil")</f>
        <v>Abrir facsímil</v>
      </c>
      <c r="K4279" s="15" t="s">
        <v>1296</v>
      </c>
    </row>
    <row r="4280" spans="1:11" ht="42" customHeight="1">
      <c r="A4280" s="4" t="s">
        <v>9756</v>
      </c>
      <c r="B4280" s="5" t="s">
        <v>9757</v>
      </c>
      <c r="C4280" s="5" t="s">
        <v>515</v>
      </c>
      <c r="D4280" s="5" t="s">
        <v>516</v>
      </c>
      <c r="E4280" s="5" t="s">
        <v>501</v>
      </c>
      <c r="F4280" s="9">
        <v>115</v>
      </c>
      <c r="G4280" s="9" t="s">
        <v>668</v>
      </c>
      <c r="H4280" s="5" t="s">
        <v>21</v>
      </c>
      <c r="I4280" s="5" t="s">
        <v>9758</v>
      </c>
      <c r="J4280" s="12" t="str">
        <f>HYPERLINK("https://www.boe.es/gazeta/dias/1801/12/15/pdfs/GMD-C-1801-115.pdf#page=1","Abrir facsímil")</f>
        <v>Abrir facsímil</v>
      </c>
      <c r="K4280" s="15" t="s">
        <v>1296</v>
      </c>
    </row>
    <row r="4281" spans="1:11" ht="42" customHeight="1">
      <c r="A4281" s="4" t="s">
        <v>9759</v>
      </c>
      <c r="B4281" s="5" t="s">
        <v>9759</v>
      </c>
      <c r="C4281" s="5" t="s">
        <v>75</v>
      </c>
      <c r="D4281" s="5" t="s">
        <v>76</v>
      </c>
      <c r="E4281" s="5" t="s">
        <v>349</v>
      </c>
      <c r="F4281" s="9">
        <v>112</v>
      </c>
      <c r="G4281" s="9">
        <v>1222</v>
      </c>
      <c r="H4281" s="5" t="s">
        <v>21</v>
      </c>
      <c r="I4281" s="5" t="s">
        <v>9760</v>
      </c>
      <c r="J4281" s="12" t="str">
        <f>HYPERLINK("https://www.boe.es/gazeta/dias/1801/12/04/pdfs/GMD-1801-112.pdf#page=3","Abrir facsímil")</f>
        <v>Abrir facsímil</v>
      </c>
      <c r="K4281" s="15" t="s">
        <v>23</v>
      </c>
    </row>
    <row r="4282" spans="1:11" ht="42" customHeight="1">
      <c r="A4282" s="4" t="s">
        <v>9761</v>
      </c>
      <c r="B4282" s="5" t="s">
        <v>9761</v>
      </c>
      <c r="C4282" s="5" t="s">
        <v>32</v>
      </c>
      <c r="D4282" s="5" t="s">
        <v>33</v>
      </c>
      <c r="E4282" s="5" t="s">
        <v>90</v>
      </c>
      <c r="F4282" s="9">
        <v>1</v>
      </c>
      <c r="G4282" s="9">
        <v>9</v>
      </c>
      <c r="H4282" s="5" t="s">
        <v>21</v>
      </c>
      <c r="I4282" s="5" t="s">
        <v>9762</v>
      </c>
      <c r="J4282" s="12" t="str">
        <f>HYPERLINK("https://www.boe.es/gazeta/dias/1801/01/02/pdfs/GMD-1801-1.pdf#page=9","Abrir facsímil")</f>
        <v>Abrir facsímil</v>
      </c>
      <c r="K4282" s="15" t="s">
        <v>23</v>
      </c>
    </row>
    <row r="4283" spans="1:11" ht="42" customHeight="1">
      <c r="A4283" s="4" t="s">
        <v>9763</v>
      </c>
      <c r="B4283" s="5" t="s">
        <v>9763</v>
      </c>
      <c r="C4283" s="5" t="s">
        <v>32</v>
      </c>
      <c r="D4283" s="5" t="s">
        <v>33</v>
      </c>
      <c r="E4283" s="5" t="s">
        <v>151</v>
      </c>
      <c r="F4283" s="9">
        <v>45</v>
      </c>
      <c r="G4283" s="9">
        <v>561</v>
      </c>
      <c r="H4283" s="5" t="s">
        <v>21</v>
      </c>
      <c r="I4283" s="5" t="s">
        <v>9764</v>
      </c>
      <c r="J4283" s="12" t="str">
        <f>HYPERLINK("https://www.boe.es/gazeta/dias/1801/06/02/pdfs/GMD-1801-45.pdf#page=9","Abrir facsímil")</f>
        <v>Abrir facsímil</v>
      </c>
      <c r="K4283" s="15" t="s">
        <v>23</v>
      </c>
    </row>
    <row r="4284" spans="1:11" ht="42" customHeight="1">
      <c r="A4284" s="4" t="s">
        <v>9765</v>
      </c>
      <c r="B4284" s="5" t="s">
        <v>9765</v>
      </c>
      <c r="C4284" s="5" t="s">
        <v>32</v>
      </c>
      <c r="D4284" s="5" t="s">
        <v>33</v>
      </c>
      <c r="E4284" s="5" t="s">
        <v>328</v>
      </c>
      <c r="F4284" s="9">
        <v>89</v>
      </c>
      <c r="G4284" s="9">
        <v>983</v>
      </c>
      <c r="H4284" s="5" t="s">
        <v>21</v>
      </c>
      <c r="I4284" s="5" t="s">
        <v>9766</v>
      </c>
      <c r="J4284" s="12" t="str">
        <f>HYPERLINK("https://www.boe.es/gazeta/dias/1801/09/15/pdfs/GMD-1801-89.pdf#page=10","Abrir facsímil")</f>
        <v>Abrir facsímil</v>
      </c>
      <c r="K4284" s="15" t="s">
        <v>23</v>
      </c>
    </row>
    <row r="4285" spans="1:11" ht="42" customHeight="1">
      <c r="A4285" s="4" t="s">
        <v>9767</v>
      </c>
      <c r="B4285" s="5" t="s">
        <v>9767</v>
      </c>
      <c r="C4285" s="5" t="s">
        <v>38</v>
      </c>
      <c r="D4285" s="5" t="s">
        <v>39</v>
      </c>
      <c r="E4285" s="5" t="s">
        <v>615</v>
      </c>
      <c r="F4285" s="9">
        <v>72</v>
      </c>
      <c r="G4285" s="9">
        <v>803</v>
      </c>
      <c r="H4285" s="5" t="s">
        <v>21</v>
      </c>
      <c r="I4285" s="5" t="s">
        <v>9768</v>
      </c>
      <c r="J4285" s="12" t="str">
        <f>HYPERLINK("https://www.boe.es/gazeta/dias/1801/07/24/pdfs/GMD-1801-72.pdf#page=8","Abrir facsímil")</f>
        <v>Abrir facsímil</v>
      </c>
      <c r="K4285" s="15" t="s">
        <v>23</v>
      </c>
    </row>
    <row r="4286" spans="1:11" ht="42" customHeight="1">
      <c r="A4286" s="4" t="s">
        <v>9769</v>
      </c>
      <c r="B4286" s="5" t="s">
        <v>9769</v>
      </c>
      <c r="C4286" s="5" t="s">
        <v>32</v>
      </c>
      <c r="D4286" s="5" t="s">
        <v>33</v>
      </c>
      <c r="E4286" s="5" t="s">
        <v>94</v>
      </c>
      <c r="F4286" s="9">
        <v>19</v>
      </c>
      <c r="G4286" s="9">
        <v>245</v>
      </c>
      <c r="H4286" s="5" t="s">
        <v>21</v>
      </c>
      <c r="I4286" s="5" t="s">
        <v>9770</v>
      </c>
      <c r="J4286" s="12" t="str">
        <f>HYPERLINK("https://www.boe.es/gazeta/dias/1801/03/06/pdfs/GMD-1801-19.pdf#page=10","Abrir facsímil")</f>
        <v>Abrir facsímil</v>
      </c>
      <c r="K4286" s="15" t="s">
        <v>23</v>
      </c>
    </row>
    <row r="4287" spans="1:11" ht="42" customHeight="1">
      <c r="A4287" s="4" t="s">
        <v>9771</v>
      </c>
      <c r="B4287" s="5" t="s">
        <v>9771</v>
      </c>
      <c r="C4287" s="5" t="s">
        <v>32</v>
      </c>
      <c r="D4287" s="5" t="s">
        <v>33</v>
      </c>
      <c r="E4287" s="5" t="s">
        <v>186</v>
      </c>
      <c r="F4287" s="9">
        <v>21</v>
      </c>
      <c r="G4287" s="9">
        <v>280</v>
      </c>
      <c r="H4287" s="5" t="s">
        <v>21</v>
      </c>
      <c r="I4287" s="5" t="s">
        <v>9772</v>
      </c>
      <c r="J4287" s="12" t="str">
        <f>HYPERLINK("https://www.boe.es/gazeta/dias/1801/03/13/pdfs/GMD-1801-21.pdf#page=9","Abrir facsímil")</f>
        <v>Abrir facsímil</v>
      </c>
      <c r="K4287" s="15" t="s">
        <v>23</v>
      </c>
    </row>
    <row r="4288" spans="1:11" ht="42" customHeight="1">
      <c r="A4288" s="4" t="s">
        <v>9773</v>
      </c>
      <c r="B4288" s="5" t="s">
        <v>9773</v>
      </c>
      <c r="C4288" s="5" t="s">
        <v>32</v>
      </c>
      <c r="D4288" s="5" t="s">
        <v>33</v>
      </c>
      <c r="E4288" s="5" t="s">
        <v>120</v>
      </c>
      <c r="F4288" s="9">
        <v>7</v>
      </c>
      <c r="G4288" s="9">
        <v>84</v>
      </c>
      <c r="H4288" s="5" t="s">
        <v>21</v>
      </c>
      <c r="I4288" s="5" t="s">
        <v>9774</v>
      </c>
      <c r="J4288" s="12" t="str">
        <f>HYPERLINK("https://www.boe.es/gazeta/dias/1801/01/23/pdfs/GMD-1801-7.pdf#page=8","Abrir facsímil")</f>
        <v>Abrir facsímil</v>
      </c>
      <c r="K4288" s="15" t="s">
        <v>23</v>
      </c>
    </row>
    <row r="4289" spans="1:11" ht="42" customHeight="1">
      <c r="A4289" s="4" t="s">
        <v>9775</v>
      </c>
      <c r="B4289" s="5" t="s">
        <v>9776</v>
      </c>
      <c r="C4289" s="5" t="s">
        <v>75</v>
      </c>
      <c r="D4289" s="5" t="s">
        <v>76</v>
      </c>
      <c r="E4289" s="5" t="s">
        <v>223</v>
      </c>
      <c r="F4289" s="9">
        <v>74</v>
      </c>
      <c r="G4289" s="9">
        <v>823</v>
      </c>
      <c r="H4289" s="5" t="s">
        <v>21</v>
      </c>
      <c r="I4289" s="5" t="s">
        <v>9777</v>
      </c>
      <c r="J4289" s="12" t="str">
        <f>HYPERLINK("https://www.boe.es/gazeta/dias/1801/07/31/pdfs/GMD-1801-74.pdf#page=4","Abrir facsímil")</f>
        <v>Abrir facsímil</v>
      </c>
      <c r="K4289" s="15" t="s">
        <v>23</v>
      </c>
    </row>
    <row r="4290" spans="1:11" ht="42" customHeight="1">
      <c r="A4290" s="4" t="s">
        <v>9775</v>
      </c>
      <c r="B4290" s="5" t="s">
        <v>9776</v>
      </c>
      <c r="C4290" s="5" t="s">
        <v>38</v>
      </c>
      <c r="D4290" s="5" t="s">
        <v>39</v>
      </c>
      <c r="E4290" s="5" t="s">
        <v>453</v>
      </c>
      <c r="F4290" s="9">
        <v>100</v>
      </c>
      <c r="G4290" s="9">
        <v>1095</v>
      </c>
      <c r="H4290" s="5" t="s">
        <v>21</v>
      </c>
      <c r="I4290" s="5" t="s">
        <v>9778</v>
      </c>
      <c r="J4290" s="12" t="str">
        <f>HYPERLINK("https://www.boe.es/gazeta/dias/1801/10/23/pdfs/GMD-1801-100.pdf#page=4","Abrir facsímil")</f>
        <v>Abrir facsímil</v>
      </c>
      <c r="K4290" s="15" t="s">
        <v>23</v>
      </c>
    </row>
    <row r="4291" spans="1:11" ht="42" customHeight="1">
      <c r="A4291" s="4" t="s">
        <v>9779</v>
      </c>
      <c r="B4291" s="5" t="s">
        <v>9779</v>
      </c>
      <c r="C4291" s="5" t="s">
        <v>32</v>
      </c>
      <c r="D4291" s="5" t="s">
        <v>33</v>
      </c>
      <c r="E4291" s="5" t="s">
        <v>34</v>
      </c>
      <c r="F4291" s="9">
        <v>38</v>
      </c>
      <c r="G4291" s="9">
        <v>494</v>
      </c>
      <c r="H4291" s="5" t="s">
        <v>21</v>
      </c>
      <c r="I4291" s="5" t="s">
        <v>9780</v>
      </c>
      <c r="J4291" s="12" t="str">
        <f>HYPERLINK("https://www.boe.es/gazeta/dias/1801/05/12/pdfs/GMD-1801-38.pdf#page=10","Abrir facsímil")</f>
        <v>Abrir facsímil</v>
      </c>
      <c r="K4291" s="15" t="s">
        <v>23</v>
      </c>
    </row>
    <row r="4292" spans="1:11" ht="42" customHeight="1">
      <c r="A4292" s="4" t="s">
        <v>9781</v>
      </c>
      <c r="B4292" s="5" t="s">
        <v>9781</v>
      </c>
      <c r="C4292" s="5" t="s">
        <v>32</v>
      </c>
      <c r="D4292" s="5" t="s">
        <v>33</v>
      </c>
      <c r="E4292" s="5" t="s">
        <v>194</v>
      </c>
      <c r="F4292" s="9">
        <v>92</v>
      </c>
      <c r="G4292" s="9">
        <v>1011</v>
      </c>
      <c r="H4292" s="5" t="s">
        <v>21</v>
      </c>
      <c r="I4292" s="5" t="s">
        <v>9782</v>
      </c>
      <c r="J4292" s="12" t="str">
        <f>HYPERLINK("https://www.boe.es/gazeta/dias/1801/09/25/pdfs/GMD-1801-92.pdf#page=6","Abrir facsímil")</f>
        <v>Abrir facsímil</v>
      </c>
      <c r="K4292" s="15" t="s">
        <v>23</v>
      </c>
    </row>
    <row r="4293" spans="1:11" ht="42" customHeight="1">
      <c r="A4293" s="4" t="s">
        <v>9783</v>
      </c>
      <c r="B4293" s="5" t="s">
        <v>9784</v>
      </c>
      <c r="C4293" s="5" t="s">
        <v>32</v>
      </c>
      <c r="D4293" s="5" t="s">
        <v>33</v>
      </c>
      <c r="E4293" s="5" t="s">
        <v>165</v>
      </c>
      <c r="F4293" s="9">
        <v>59</v>
      </c>
      <c r="G4293" s="9">
        <v>676</v>
      </c>
      <c r="H4293" s="5" t="s">
        <v>21</v>
      </c>
      <c r="I4293" s="5" t="s">
        <v>9785</v>
      </c>
      <c r="J4293" s="12" t="str">
        <f>HYPERLINK("https://www.boe.es/gazeta/dias/1801/06/23/pdfs/GMD-1801-59.pdf#page=9","Abrir facsímil")</f>
        <v>Abrir facsímil</v>
      </c>
      <c r="K4293" s="15" t="s">
        <v>23</v>
      </c>
    </row>
    <row r="4294" spans="1:11" ht="42" customHeight="1">
      <c r="A4294" s="4" t="s">
        <v>9786</v>
      </c>
      <c r="B4294" s="5" t="s">
        <v>9786</v>
      </c>
      <c r="C4294" s="5" t="s">
        <v>26</v>
      </c>
      <c r="D4294" s="5" t="s">
        <v>27</v>
      </c>
      <c r="E4294" s="5" t="s">
        <v>126</v>
      </c>
      <c r="F4294" s="9">
        <v>13</v>
      </c>
      <c r="G4294" s="9">
        <v>165</v>
      </c>
      <c r="H4294" s="5" t="s">
        <v>21</v>
      </c>
      <c r="I4294" s="5" t="s">
        <v>9787</v>
      </c>
      <c r="J4294" s="12" t="str">
        <f>HYPERLINK("https://www.boe.es/gazeta/dias/1801/02/13/pdfs/GMD-1801-13.pdf#page=12","Abrir facsímil")</f>
        <v>Abrir facsímil</v>
      </c>
      <c r="K4294" s="15" t="s">
        <v>23</v>
      </c>
    </row>
    <row r="4295" spans="1:11" ht="42" customHeight="1">
      <c r="A4295" s="4" t="s">
        <v>9786</v>
      </c>
      <c r="B4295" s="5" t="s">
        <v>9786</v>
      </c>
      <c r="C4295" s="5" t="s">
        <v>26</v>
      </c>
      <c r="D4295" s="5" t="s">
        <v>27</v>
      </c>
      <c r="E4295" s="5" t="s">
        <v>501</v>
      </c>
      <c r="F4295" s="9">
        <v>115</v>
      </c>
      <c r="G4295" s="9" t="s">
        <v>502</v>
      </c>
      <c r="H4295" s="5" t="s">
        <v>21</v>
      </c>
      <c r="I4295" s="5" t="s">
        <v>9788</v>
      </c>
      <c r="J4295" s="12" t="str">
        <f>HYPERLINK("https://www.boe.es/gazeta/dias/1801/12/15/pdfs/GMD-C-1801-115.pdf#page=8","Abrir facsímil")</f>
        <v>Abrir facsímil</v>
      </c>
      <c r="K4295" s="15" t="s">
        <v>23</v>
      </c>
    </row>
    <row r="4296" spans="1:11" ht="42" customHeight="1">
      <c r="A4296" s="4" t="s">
        <v>9789</v>
      </c>
      <c r="B4296" s="5" t="s">
        <v>9790</v>
      </c>
      <c r="C4296" s="5" t="s">
        <v>38</v>
      </c>
      <c r="D4296" s="5" t="s">
        <v>39</v>
      </c>
      <c r="E4296" s="5" t="s">
        <v>44</v>
      </c>
      <c r="F4296" s="9">
        <v>117</v>
      </c>
      <c r="G4296" s="9">
        <v>1280</v>
      </c>
      <c r="H4296" s="5" t="s">
        <v>21</v>
      </c>
      <c r="I4296" s="5" t="s">
        <v>9791</v>
      </c>
      <c r="J4296" s="12" t="str">
        <f>HYPERLINK("https://www.boe.es/gazeta/dias/1801/12/22/pdfs/GMD-1801-117.pdf#page=7","Abrir facsímil")</f>
        <v>Abrir facsímil</v>
      </c>
      <c r="K4296" s="15" t="s">
        <v>23</v>
      </c>
    </row>
    <row r="4297" spans="1:11" ht="42" customHeight="1">
      <c r="A4297" s="4" t="s">
        <v>9792</v>
      </c>
      <c r="B4297" s="5" t="s">
        <v>9792</v>
      </c>
      <c r="C4297" s="5" t="s">
        <v>515</v>
      </c>
      <c r="D4297" s="5" t="s">
        <v>516</v>
      </c>
      <c r="E4297" s="5" t="s">
        <v>501</v>
      </c>
      <c r="F4297" s="9">
        <v>115</v>
      </c>
      <c r="G4297" s="9" t="s">
        <v>517</v>
      </c>
      <c r="H4297" s="5" t="s">
        <v>21</v>
      </c>
      <c r="I4297" s="5" t="s">
        <v>9793</v>
      </c>
      <c r="J4297" s="12" t="str">
        <f>HYPERLINK("https://www.boe.es/gazeta/dias/1801/12/15/pdfs/GMD-C-1801-115.pdf#page=7","Abrir facsímil")</f>
        <v>Abrir facsímil</v>
      </c>
      <c r="K4297" s="15" t="s">
        <v>23</v>
      </c>
    </row>
    <row r="4298" spans="1:11" ht="42" customHeight="1">
      <c r="A4298" s="4" t="s">
        <v>9794</v>
      </c>
      <c r="B4298" s="5" t="s">
        <v>9794</v>
      </c>
      <c r="C4298" s="5" t="s">
        <v>32</v>
      </c>
      <c r="D4298" s="5" t="s">
        <v>33</v>
      </c>
      <c r="E4298" s="5" t="s">
        <v>254</v>
      </c>
      <c r="F4298" s="9">
        <v>73</v>
      </c>
      <c r="G4298" s="9">
        <v>813</v>
      </c>
      <c r="H4298" s="5" t="s">
        <v>21</v>
      </c>
      <c r="I4298" s="5" t="s">
        <v>9795</v>
      </c>
      <c r="J4298" s="12" t="str">
        <f>HYPERLINK("https://www.boe.es/gazeta/dias/1801/07/28/pdfs/GMD-1801-73.pdf#page=6","Abrir facsímil")</f>
        <v>Abrir facsímil</v>
      </c>
      <c r="K4298" s="15" t="s">
        <v>23</v>
      </c>
    </row>
    <row r="4299" spans="1:11" ht="42" customHeight="1">
      <c r="A4299" s="4" t="s">
        <v>9796</v>
      </c>
      <c r="B4299" s="5" t="s">
        <v>9796</v>
      </c>
      <c r="C4299" s="5" t="s">
        <v>38</v>
      </c>
      <c r="D4299" s="5" t="s">
        <v>39</v>
      </c>
      <c r="E4299" s="5" t="s">
        <v>179</v>
      </c>
      <c r="F4299" s="9">
        <v>11</v>
      </c>
      <c r="G4299" s="9">
        <v>138</v>
      </c>
      <c r="H4299" s="5" t="s">
        <v>21</v>
      </c>
      <c r="I4299" s="5" t="s">
        <v>9797</v>
      </c>
      <c r="J4299" s="12" t="str">
        <f>HYPERLINK("https://www.boe.es/gazeta/dias/1801/02/06/pdfs/GMD-1801-11.pdf#page=11","Abrir facsímil")</f>
        <v>Abrir facsímil</v>
      </c>
      <c r="K4299" s="15" t="s">
        <v>23</v>
      </c>
    </row>
    <row r="4300" spans="1:11" ht="42" customHeight="1">
      <c r="A4300" s="4" t="s">
        <v>9796</v>
      </c>
      <c r="B4300" s="5" t="s">
        <v>9796</v>
      </c>
      <c r="C4300" s="5" t="s">
        <v>18</v>
      </c>
      <c r="D4300" s="5" t="s">
        <v>19</v>
      </c>
      <c r="E4300" s="5" t="s">
        <v>143</v>
      </c>
      <c r="F4300" s="9">
        <v>34</v>
      </c>
      <c r="G4300" s="9">
        <v>441</v>
      </c>
      <c r="H4300" s="5" t="s">
        <v>21</v>
      </c>
      <c r="I4300" s="5" t="s">
        <v>9798</v>
      </c>
      <c r="J4300" s="12" t="str">
        <f>HYPERLINK("https://www.boe.es/gazeta/dias/1801/04/28/pdfs/GMD-C-1801-34.pdf#page=1","Abrir facsímil")</f>
        <v>Abrir facsímil</v>
      </c>
      <c r="K4300" s="15" t="s">
        <v>23</v>
      </c>
    </row>
    <row r="4301" spans="1:11" ht="42" customHeight="1">
      <c r="A4301" s="4" t="s">
        <v>9799</v>
      </c>
      <c r="B4301" s="5" t="s">
        <v>9799</v>
      </c>
      <c r="C4301" s="5" t="s">
        <v>18</v>
      </c>
      <c r="D4301" s="5" t="s">
        <v>19</v>
      </c>
      <c r="E4301" s="5" t="s">
        <v>182</v>
      </c>
      <c r="F4301" s="9">
        <v>18</v>
      </c>
      <c r="G4301" s="9">
        <v>233</v>
      </c>
      <c r="H4301" s="5" t="s">
        <v>21</v>
      </c>
      <c r="I4301" s="5" t="s">
        <v>9800</v>
      </c>
      <c r="J4301" s="12" t="str">
        <f>HYPERLINK("https://www.boe.es/gazeta/dias/1801/03/03/pdfs/GMD-C-1801-18.pdf#page=2","Abrir facsímil")</f>
        <v>Abrir facsímil</v>
      </c>
      <c r="K4301" s="15" t="s">
        <v>23</v>
      </c>
    </row>
    <row r="4302" spans="1:11" ht="42" customHeight="1">
      <c r="A4302" s="4" t="s">
        <v>9801</v>
      </c>
      <c r="B4302" s="5" t="s">
        <v>9801</v>
      </c>
      <c r="C4302" s="5" t="s">
        <v>18</v>
      </c>
      <c r="D4302" s="5" t="s">
        <v>19</v>
      </c>
      <c r="E4302" s="5" t="s">
        <v>112</v>
      </c>
      <c r="F4302" s="9">
        <v>114</v>
      </c>
      <c r="G4302" s="9">
        <v>1249</v>
      </c>
      <c r="H4302" s="5" t="s">
        <v>21</v>
      </c>
      <c r="I4302" s="5" t="s">
        <v>9802</v>
      </c>
      <c r="J4302" s="12" t="str">
        <f>HYPERLINK("https://www.boe.es/gazeta/dias/1801/12/11/pdfs/GMD-1801-114.pdf#page=11","Abrir facsímil")</f>
        <v>Abrir facsímil</v>
      </c>
      <c r="K4302" s="15" t="s">
        <v>23</v>
      </c>
    </row>
    <row r="4303" spans="1:11" ht="42" customHeight="1">
      <c r="A4303" s="4" t="s">
        <v>9803</v>
      </c>
      <c r="B4303" s="5" t="s">
        <v>9803</v>
      </c>
      <c r="C4303" s="5" t="s">
        <v>26</v>
      </c>
      <c r="D4303" s="5" t="s">
        <v>27</v>
      </c>
      <c r="E4303" s="5" t="s">
        <v>215</v>
      </c>
      <c r="F4303" s="9">
        <v>71</v>
      </c>
      <c r="G4303" s="9">
        <v>790</v>
      </c>
      <c r="H4303" s="5" t="s">
        <v>21</v>
      </c>
      <c r="I4303" s="5" t="s">
        <v>9804</v>
      </c>
      <c r="J4303" s="12" t="str">
        <f>HYPERLINK("https://www.boe.es/gazeta/dias/1801/07/21/pdfs/GMD-1801-71.pdf#page=11","Abrir facsímil")</f>
        <v>Abrir facsímil</v>
      </c>
      <c r="K4303" s="15" t="s">
        <v>23</v>
      </c>
    </row>
    <row r="4304" spans="1:11" ht="42" customHeight="1">
      <c r="A4304" s="4" t="s">
        <v>9805</v>
      </c>
      <c r="B4304" s="5" t="s">
        <v>9805</v>
      </c>
      <c r="C4304" s="5" t="s">
        <v>18</v>
      </c>
      <c r="D4304" s="5" t="s">
        <v>19</v>
      </c>
      <c r="E4304" s="5" t="s">
        <v>124</v>
      </c>
      <c r="F4304" s="9">
        <v>12</v>
      </c>
      <c r="G4304" s="9">
        <v>150</v>
      </c>
      <c r="H4304" s="5" t="s">
        <v>21</v>
      </c>
      <c r="I4304" s="5" t="s">
        <v>9806</v>
      </c>
      <c r="J4304" s="12" t="str">
        <f>HYPERLINK("https://www.boe.es/gazeta/dias/1801/02/10/pdfs/GMD-1801-12.pdf#page=11","Abrir facsímil")</f>
        <v>Abrir facsímil</v>
      </c>
      <c r="K4304" s="15" t="s">
        <v>23</v>
      </c>
    </row>
    <row r="4305" spans="1:11" ht="42" customHeight="1">
      <c r="A4305" s="4" t="s">
        <v>9805</v>
      </c>
      <c r="B4305" s="5" t="s">
        <v>9805</v>
      </c>
      <c r="C4305" s="5" t="s">
        <v>26</v>
      </c>
      <c r="D4305" s="5" t="s">
        <v>27</v>
      </c>
      <c r="E4305" s="5" t="s">
        <v>186</v>
      </c>
      <c r="F4305" s="9">
        <v>21</v>
      </c>
      <c r="G4305" s="9">
        <v>282</v>
      </c>
      <c r="H4305" s="5" t="s">
        <v>21</v>
      </c>
      <c r="I4305" s="5" t="s">
        <v>9807</v>
      </c>
      <c r="J4305" s="12" t="str">
        <f>HYPERLINK("https://www.boe.es/gazeta/dias/1801/03/13/pdfs/GMD-1801-21.pdf#page=11","Abrir facsímil")</f>
        <v>Abrir facsímil</v>
      </c>
      <c r="K4305" s="15" t="s">
        <v>23</v>
      </c>
    </row>
    <row r="4306" spans="1:11" ht="42" customHeight="1">
      <c r="A4306" s="4" t="s">
        <v>9805</v>
      </c>
      <c r="B4306" s="5" t="s">
        <v>9805</v>
      </c>
      <c r="C4306" s="5" t="s">
        <v>18</v>
      </c>
      <c r="D4306" s="5" t="s">
        <v>19</v>
      </c>
      <c r="E4306" s="5" t="s">
        <v>66</v>
      </c>
      <c r="F4306" s="9">
        <v>52</v>
      </c>
      <c r="G4306" s="9">
        <v>609</v>
      </c>
      <c r="H4306" s="5" t="s">
        <v>21</v>
      </c>
      <c r="I4306" s="5" t="s">
        <v>9808</v>
      </c>
      <c r="J4306" s="12" t="str">
        <f>HYPERLINK("https://www.boe.es/gazeta/dias/1801/06/12/pdfs/GMD-1801-52.pdf#page=8","Abrir facsímil")</f>
        <v>Abrir facsímil</v>
      </c>
      <c r="K4306" s="15" t="s">
        <v>23</v>
      </c>
    </row>
    <row r="4307" spans="1:11" ht="42" customHeight="1">
      <c r="A4307" s="4" t="s">
        <v>9805</v>
      </c>
      <c r="B4307" s="5" t="s">
        <v>9805</v>
      </c>
      <c r="C4307" s="5" t="s">
        <v>38</v>
      </c>
      <c r="D4307" s="5" t="s">
        <v>39</v>
      </c>
      <c r="E4307" s="5" t="s">
        <v>72</v>
      </c>
      <c r="F4307" s="9">
        <v>60</v>
      </c>
      <c r="G4307" s="9">
        <v>690</v>
      </c>
      <c r="H4307" s="5" t="s">
        <v>21</v>
      </c>
      <c r="I4307" s="5" t="s">
        <v>9809</v>
      </c>
      <c r="J4307" s="12" t="str">
        <f>HYPERLINK("https://www.boe.es/gazeta/dias/1801/06/26/pdfs/GMD-1801-60.pdf#page=11","Abrir facsímil")</f>
        <v>Abrir facsímil</v>
      </c>
      <c r="K4307" s="15" t="s">
        <v>23</v>
      </c>
    </row>
    <row r="4308" spans="1:11" ht="42" customHeight="1">
      <c r="A4308" s="4" t="s">
        <v>9810</v>
      </c>
      <c r="B4308" s="5" t="s">
        <v>9810</v>
      </c>
      <c r="C4308" s="5" t="s">
        <v>18</v>
      </c>
      <c r="D4308" s="5" t="s">
        <v>19</v>
      </c>
      <c r="E4308" s="5" t="s">
        <v>215</v>
      </c>
      <c r="F4308" s="9">
        <v>71</v>
      </c>
      <c r="G4308" s="9">
        <v>790</v>
      </c>
      <c r="H4308" s="5" t="s">
        <v>21</v>
      </c>
      <c r="I4308" s="5" t="s">
        <v>9811</v>
      </c>
      <c r="J4308" s="12" t="str">
        <f>HYPERLINK("https://www.boe.es/gazeta/dias/1801/07/21/pdfs/GMD-1801-71.pdf#page=11","Abrir facsímil")</f>
        <v>Abrir facsímil</v>
      </c>
      <c r="K4308" s="15" t="s">
        <v>23</v>
      </c>
    </row>
    <row r="4309" spans="1:11" ht="42" customHeight="1">
      <c r="A4309" s="4" t="s">
        <v>9805</v>
      </c>
      <c r="B4309" s="5" t="s">
        <v>9805</v>
      </c>
      <c r="C4309" s="5" t="s">
        <v>18</v>
      </c>
      <c r="D4309" s="5" t="s">
        <v>19</v>
      </c>
      <c r="E4309" s="5" t="s">
        <v>640</v>
      </c>
      <c r="F4309" s="9">
        <v>81</v>
      </c>
      <c r="G4309" s="9">
        <v>911</v>
      </c>
      <c r="H4309" s="5" t="s">
        <v>21</v>
      </c>
      <c r="I4309" s="5" t="s">
        <v>9812</v>
      </c>
      <c r="J4309" s="12" t="str">
        <f>HYPERLINK("https://www.boe.es/gazeta/dias/1801/08/25/pdfs/GMD-1801-81.pdf#page=8","Abrir facsímil")</f>
        <v>Abrir facsímil</v>
      </c>
      <c r="K4309" s="15" t="s">
        <v>23</v>
      </c>
    </row>
    <row r="4310" spans="1:11" ht="42" customHeight="1">
      <c r="A4310" s="4" t="s">
        <v>9805</v>
      </c>
      <c r="B4310" s="5" t="s">
        <v>9805</v>
      </c>
      <c r="C4310" s="5" t="s">
        <v>38</v>
      </c>
      <c r="D4310" s="5" t="s">
        <v>39</v>
      </c>
      <c r="E4310" s="5" t="s">
        <v>505</v>
      </c>
      <c r="F4310" s="9">
        <v>94</v>
      </c>
      <c r="G4310" s="9">
        <v>1034</v>
      </c>
      <c r="H4310" s="5" t="s">
        <v>21</v>
      </c>
      <c r="I4310" s="5" t="s">
        <v>9813</v>
      </c>
      <c r="J4310" s="12" t="str">
        <f>HYPERLINK("https://www.boe.es/gazeta/dias/1801/10/02/pdfs/GMD-1801-94.pdf#page=10","Abrir facsímil")</f>
        <v>Abrir facsímil</v>
      </c>
      <c r="K4310" s="15" t="s">
        <v>23</v>
      </c>
    </row>
    <row r="4311" spans="1:11" ht="42" customHeight="1">
      <c r="A4311" s="4" t="s">
        <v>9805</v>
      </c>
      <c r="B4311" s="5" t="s">
        <v>9805</v>
      </c>
      <c r="C4311" s="5" t="s">
        <v>18</v>
      </c>
      <c r="D4311" s="5" t="s">
        <v>19</v>
      </c>
      <c r="E4311" s="5" t="s">
        <v>888</v>
      </c>
      <c r="F4311" s="9">
        <v>103</v>
      </c>
      <c r="G4311" s="9">
        <v>1136</v>
      </c>
      <c r="H4311" s="5" t="s">
        <v>21</v>
      </c>
      <c r="I4311" s="5" t="s">
        <v>9814</v>
      </c>
      <c r="J4311" s="12" t="str">
        <f>HYPERLINK("https://www.boe.es/gazeta/dias/1801/11/03/pdfs/GMD-1801-103.pdf#page=9","Abrir facsímil")</f>
        <v>Abrir facsímil</v>
      </c>
      <c r="K4311" s="15" t="s">
        <v>23</v>
      </c>
    </row>
    <row r="4312" spans="1:11" ht="42" customHeight="1">
      <c r="A4312" s="4" t="s">
        <v>9805</v>
      </c>
      <c r="B4312" s="5" t="s">
        <v>9805</v>
      </c>
      <c r="C4312" s="5" t="s">
        <v>26</v>
      </c>
      <c r="D4312" s="5" t="s">
        <v>27</v>
      </c>
      <c r="E4312" s="5" t="s">
        <v>262</v>
      </c>
      <c r="F4312" s="9">
        <v>109</v>
      </c>
      <c r="G4312" s="9">
        <v>1205</v>
      </c>
      <c r="H4312" s="5" t="s">
        <v>21</v>
      </c>
      <c r="I4312" s="5" t="s">
        <v>9815</v>
      </c>
      <c r="J4312" s="12" t="str">
        <f>HYPERLINK("https://www.boe.es/gazeta/dias/1801/11/24/pdfs/GMD-1801-109.pdf#page=10","Abrir facsímil")</f>
        <v>Abrir facsímil</v>
      </c>
      <c r="K4312" s="15" t="s">
        <v>23</v>
      </c>
    </row>
    <row r="4313" spans="1:11" ht="42" customHeight="1">
      <c r="A4313" s="4" t="s">
        <v>9805</v>
      </c>
      <c r="B4313" s="5" t="s">
        <v>9805</v>
      </c>
      <c r="C4313" s="5" t="s">
        <v>32</v>
      </c>
      <c r="D4313" s="5" t="s">
        <v>33</v>
      </c>
      <c r="E4313" s="5" t="s">
        <v>501</v>
      </c>
      <c r="F4313" s="9">
        <v>115</v>
      </c>
      <c r="G4313" s="9">
        <v>1257</v>
      </c>
      <c r="H4313" s="5" t="s">
        <v>21</v>
      </c>
      <c r="I4313" s="5" t="s">
        <v>9816</v>
      </c>
      <c r="J4313" s="12" t="str">
        <f>HYPERLINK("https://www.boe.es/gazeta/dias/1801/12/15/pdfs/GMD-1801-115.pdf#page=7","Abrir facsímil")</f>
        <v>Abrir facsímil</v>
      </c>
      <c r="K4313" s="15" t="s">
        <v>23</v>
      </c>
    </row>
    <row r="4314" spans="1:11" ht="42" customHeight="1">
      <c r="A4314" s="4" t="s">
        <v>9817</v>
      </c>
      <c r="B4314" s="5" t="s">
        <v>9817</v>
      </c>
      <c r="C4314" s="5" t="s">
        <v>18</v>
      </c>
      <c r="D4314" s="5" t="s">
        <v>19</v>
      </c>
      <c r="E4314" s="5" t="s">
        <v>97</v>
      </c>
      <c r="F4314" s="9">
        <v>31</v>
      </c>
      <c r="G4314" s="9">
        <v>404</v>
      </c>
      <c r="H4314" s="5" t="s">
        <v>21</v>
      </c>
      <c r="I4314" s="5" t="s">
        <v>9818</v>
      </c>
      <c r="J4314" s="12" t="str">
        <f>HYPERLINK("https://www.boe.es/gazeta/dias/1801/04/17/pdfs/GMD-1801-31.pdf#page=8","Abrir facsímil")</f>
        <v>Abrir facsímil</v>
      </c>
      <c r="K4314" s="15" t="s">
        <v>23</v>
      </c>
    </row>
    <row r="4315" spans="1:11" ht="42" customHeight="1">
      <c r="A4315" s="4" t="s">
        <v>9819</v>
      </c>
      <c r="B4315" s="5" t="s">
        <v>9819</v>
      </c>
      <c r="C4315" s="5" t="s">
        <v>18</v>
      </c>
      <c r="D4315" s="5" t="s">
        <v>19</v>
      </c>
      <c r="E4315" s="5" t="s">
        <v>151</v>
      </c>
      <c r="F4315" s="9">
        <v>45</v>
      </c>
      <c r="G4315" s="9">
        <v>563</v>
      </c>
      <c r="H4315" s="5" t="s">
        <v>21</v>
      </c>
      <c r="I4315" s="5" t="s">
        <v>9820</v>
      </c>
      <c r="J4315" s="12" t="str">
        <f>HYPERLINK("https://www.boe.es/gazeta/dias/1801/06/02/pdfs/GMD-1801-45.pdf#page=11","Abrir facsímil")</f>
        <v>Abrir facsímil</v>
      </c>
      <c r="K4315" s="15" t="s">
        <v>23</v>
      </c>
    </row>
    <row r="4316" spans="1:11" ht="42" customHeight="1">
      <c r="A4316" s="4" t="s">
        <v>9821</v>
      </c>
      <c r="B4316" s="5" t="s">
        <v>9821</v>
      </c>
      <c r="C4316" s="5" t="s">
        <v>38</v>
      </c>
      <c r="D4316" s="5" t="s">
        <v>39</v>
      </c>
      <c r="E4316" s="5" t="s">
        <v>2430</v>
      </c>
      <c r="F4316" s="9">
        <v>27</v>
      </c>
      <c r="G4316" s="9">
        <v>356</v>
      </c>
      <c r="H4316" s="5" t="s">
        <v>21</v>
      </c>
      <c r="I4316" s="5" t="s">
        <v>9822</v>
      </c>
      <c r="J4316" s="12" t="str">
        <f>HYPERLINK("https://www.boe.es/gazeta/dias/1801/04/03/pdfs/GMD-1801-27.pdf#page=8","Abrir facsímil")</f>
        <v>Abrir facsímil</v>
      </c>
      <c r="K4316" s="15" t="s">
        <v>23</v>
      </c>
    </row>
    <row r="4317" spans="1:11" ht="42" customHeight="1">
      <c r="A4317" s="4" t="s">
        <v>9823</v>
      </c>
      <c r="B4317" s="5" t="s">
        <v>9823</v>
      </c>
      <c r="C4317" s="5" t="s">
        <v>38</v>
      </c>
      <c r="D4317" s="5" t="s">
        <v>39</v>
      </c>
      <c r="E4317" s="5" t="s">
        <v>223</v>
      </c>
      <c r="F4317" s="9">
        <v>74</v>
      </c>
      <c r="G4317" s="9">
        <v>828</v>
      </c>
      <c r="H4317" s="5" t="s">
        <v>21</v>
      </c>
      <c r="I4317" s="5" t="s">
        <v>9824</v>
      </c>
      <c r="J4317" s="12" t="str">
        <f>HYPERLINK("https://www.boe.es/gazeta/dias/1801/07/31/pdfs/GMD-1801-74.pdf#page=9","Abrir facsímil")</f>
        <v>Abrir facsímil</v>
      </c>
      <c r="K4317" s="15" t="s">
        <v>23</v>
      </c>
    </row>
    <row r="4318" spans="1:11" ht="42" customHeight="1">
      <c r="A4318" s="4" t="s">
        <v>9825</v>
      </c>
      <c r="B4318" s="5" t="s">
        <v>9825</v>
      </c>
      <c r="C4318" s="5" t="s">
        <v>18</v>
      </c>
      <c r="D4318" s="5" t="s">
        <v>19</v>
      </c>
      <c r="E4318" s="5" t="s">
        <v>201</v>
      </c>
      <c r="F4318" s="9">
        <v>79</v>
      </c>
      <c r="G4318" s="9">
        <v>890</v>
      </c>
      <c r="H4318" s="5" t="s">
        <v>21</v>
      </c>
      <c r="I4318" s="5" t="s">
        <v>9826</v>
      </c>
      <c r="J4318" s="12" t="str">
        <f>HYPERLINK("https://www.boe.es/gazeta/dias/1801/08/18/pdfs/GMD-1801-79.pdf#page=7","Abrir facsímil")</f>
        <v>Abrir facsímil</v>
      </c>
      <c r="K4318" s="15" t="s">
        <v>23</v>
      </c>
    </row>
    <row r="4319" spans="1:11" ht="42" customHeight="1">
      <c r="A4319" s="4" t="s">
        <v>9827</v>
      </c>
      <c r="B4319" s="5" t="s">
        <v>9827</v>
      </c>
      <c r="C4319" s="5" t="s">
        <v>18</v>
      </c>
      <c r="D4319" s="5" t="s">
        <v>19</v>
      </c>
      <c r="E4319" s="5" t="s">
        <v>161</v>
      </c>
      <c r="F4319" s="9">
        <v>58</v>
      </c>
      <c r="G4319" s="9">
        <v>665</v>
      </c>
      <c r="H4319" s="5" t="s">
        <v>21</v>
      </c>
      <c r="I4319" s="5" t="s">
        <v>9828</v>
      </c>
      <c r="J4319" s="12" t="str">
        <f>HYPERLINK("https://www.boe.es/gazeta/dias/1801/06/19/pdfs/GMD-1801-58.pdf#page=10","Abrir facsímil")</f>
        <v>Abrir facsímil</v>
      </c>
      <c r="K4319" s="15" t="s">
        <v>23</v>
      </c>
    </row>
    <row r="4320" spans="1:11" ht="42" customHeight="1">
      <c r="A4320" s="4" t="s">
        <v>9829</v>
      </c>
      <c r="B4320" s="5" t="s">
        <v>9829</v>
      </c>
      <c r="C4320" s="5" t="s">
        <v>18</v>
      </c>
      <c r="D4320" s="5" t="s">
        <v>19</v>
      </c>
      <c r="E4320" s="5" t="s">
        <v>262</v>
      </c>
      <c r="F4320" s="9">
        <v>109</v>
      </c>
      <c r="G4320" s="9">
        <v>1205</v>
      </c>
      <c r="H4320" s="5" t="s">
        <v>21</v>
      </c>
      <c r="I4320" s="5" t="s">
        <v>9830</v>
      </c>
      <c r="J4320" s="12" t="str">
        <f>HYPERLINK("https://www.boe.es/gazeta/dias/1801/11/24/pdfs/GMD-1801-109.pdf#page=10","Abrir facsímil")</f>
        <v>Abrir facsímil</v>
      </c>
      <c r="K4320" s="15" t="s">
        <v>23</v>
      </c>
    </row>
    <row r="4321" spans="1:11" ht="42" customHeight="1">
      <c r="A4321" s="4" t="s">
        <v>9831</v>
      </c>
      <c r="B4321" s="5" t="s">
        <v>9831</v>
      </c>
      <c r="C4321" s="5" t="s">
        <v>75</v>
      </c>
      <c r="D4321" s="5" t="s">
        <v>76</v>
      </c>
      <c r="E4321" s="5" t="s">
        <v>182</v>
      </c>
      <c r="F4321" s="9">
        <v>18</v>
      </c>
      <c r="G4321" s="9">
        <v>225</v>
      </c>
      <c r="H4321" s="5" t="s">
        <v>21</v>
      </c>
      <c r="I4321" s="5" t="s">
        <v>9832</v>
      </c>
      <c r="J4321" s="12" t="str">
        <f>HYPERLINK("https://www.boe.es/gazeta/dias/1801/03/03/pdfs/GMD-1801-18.pdf#page=6","Abrir facsímil")</f>
        <v>Abrir facsímil</v>
      </c>
      <c r="K4321" s="15" t="s">
        <v>23</v>
      </c>
    </row>
    <row r="4322" spans="1:11" ht="42" customHeight="1">
      <c r="A4322" s="4" t="s">
        <v>9833</v>
      </c>
      <c r="B4322" s="5" t="s">
        <v>9833</v>
      </c>
      <c r="C4322" s="5" t="s">
        <v>18</v>
      </c>
      <c r="D4322" s="5" t="s">
        <v>19</v>
      </c>
      <c r="E4322" s="5" t="s">
        <v>723</v>
      </c>
      <c r="F4322" s="9">
        <v>113</v>
      </c>
      <c r="G4322" s="9">
        <v>1234</v>
      </c>
      <c r="H4322" s="5" t="s">
        <v>21</v>
      </c>
      <c r="I4322" s="5" t="s">
        <v>9834</v>
      </c>
      <c r="J4322" s="12" t="str">
        <f>HYPERLINK("https://www.boe.es/gazeta/dias/1801/12/08/pdfs/GMD-1801-113.pdf#page=7","Abrir facsímil")</f>
        <v>Abrir facsímil</v>
      </c>
      <c r="K4322" s="15" t="s">
        <v>23</v>
      </c>
    </row>
    <row r="4323" spans="1:11" ht="42" customHeight="1">
      <c r="A4323" s="4" t="s">
        <v>9835</v>
      </c>
      <c r="B4323" s="5" t="s">
        <v>9835</v>
      </c>
      <c r="C4323" s="5" t="s">
        <v>75</v>
      </c>
      <c r="D4323" s="5" t="s">
        <v>76</v>
      </c>
      <c r="E4323" s="5" t="s">
        <v>712</v>
      </c>
      <c r="F4323" s="9">
        <v>105</v>
      </c>
      <c r="G4323" s="9">
        <v>1156</v>
      </c>
      <c r="H4323" s="5" t="s">
        <v>21</v>
      </c>
      <c r="I4323" s="5" t="s">
        <v>9836</v>
      </c>
      <c r="J4323" s="12" t="str">
        <f>HYPERLINK("https://www.boe.es/gazeta/dias/1801/11/10/pdfs/GMD-1801-105.pdf#page=9","Abrir facsímil")</f>
        <v>Abrir facsímil</v>
      </c>
      <c r="K4323" s="15" t="s">
        <v>23</v>
      </c>
    </row>
    <row r="4324" spans="1:11" ht="42" customHeight="1">
      <c r="A4324" s="4" t="s">
        <v>9837</v>
      </c>
      <c r="B4324" s="5" t="s">
        <v>9837</v>
      </c>
      <c r="C4324" s="5" t="s">
        <v>32</v>
      </c>
      <c r="D4324" s="5" t="s">
        <v>33</v>
      </c>
      <c r="E4324" s="5" t="s">
        <v>219</v>
      </c>
      <c r="F4324" s="9">
        <v>26</v>
      </c>
      <c r="G4324" s="9">
        <v>344</v>
      </c>
      <c r="H4324" s="5" t="s">
        <v>21</v>
      </c>
      <c r="I4324" s="5" t="s">
        <v>9838</v>
      </c>
      <c r="J4324" s="12" t="str">
        <f>HYPERLINK("https://www.boe.es/gazeta/dias/1801/03/31/pdfs/GMD-1801-26.pdf#page=8","Abrir facsímil")</f>
        <v>Abrir facsímil</v>
      </c>
      <c r="K4324" s="15" t="s">
        <v>23</v>
      </c>
    </row>
    <row r="4325" spans="1:11" ht="42" customHeight="1">
      <c r="A4325" s="4" t="s">
        <v>9839</v>
      </c>
      <c r="B4325" s="5" t="s">
        <v>9839</v>
      </c>
      <c r="C4325" s="5" t="s">
        <v>32</v>
      </c>
      <c r="D4325" s="5" t="s">
        <v>33</v>
      </c>
      <c r="E4325" s="5" t="s">
        <v>126</v>
      </c>
      <c r="F4325" s="9">
        <v>13</v>
      </c>
      <c r="G4325" s="9">
        <v>164</v>
      </c>
      <c r="H4325" s="5" t="s">
        <v>21</v>
      </c>
      <c r="I4325" s="5" t="s">
        <v>9840</v>
      </c>
      <c r="J4325" s="12" t="str">
        <f>HYPERLINK("https://www.boe.es/gazeta/dias/1801/02/13/pdfs/GMD-1801-13.pdf#page=11","Abrir facsímil")</f>
        <v>Abrir facsímil</v>
      </c>
      <c r="K4325" s="15" t="s">
        <v>23</v>
      </c>
    </row>
    <row r="4326" spans="1:11" ht="42" customHeight="1">
      <c r="A4326" s="4" t="s">
        <v>9841</v>
      </c>
      <c r="B4326" s="5" t="s">
        <v>9841</v>
      </c>
      <c r="C4326" s="5" t="s">
        <v>32</v>
      </c>
      <c r="D4326" s="5" t="s">
        <v>33</v>
      </c>
      <c r="E4326" s="5" t="s">
        <v>101</v>
      </c>
      <c r="F4326" s="9">
        <v>41</v>
      </c>
      <c r="G4326" s="9">
        <v>523</v>
      </c>
      <c r="H4326" s="5" t="s">
        <v>21</v>
      </c>
      <c r="I4326" s="5" t="s">
        <v>9842</v>
      </c>
      <c r="J4326" s="12" t="str">
        <f>HYPERLINK("https://www.boe.es/gazeta/dias/1801/05/22/pdfs/GMD-1801-41.pdf#page=7","Abrir facsímil")</f>
        <v>Abrir facsímil</v>
      </c>
      <c r="K4326" s="15" t="s">
        <v>23</v>
      </c>
    </row>
    <row r="4327" spans="1:11" ht="42" customHeight="1">
      <c r="A4327" s="4" t="s">
        <v>9843</v>
      </c>
      <c r="B4327" s="5" t="s">
        <v>9843</v>
      </c>
      <c r="C4327" s="5" t="s">
        <v>18</v>
      </c>
      <c r="D4327" s="5" t="s">
        <v>19</v>
      </c>
      <c r="E4327" s="5" t="s">
        <v>128</v>
      </c>
      <c r="F4327" s="9">
        <v>17</v>
      </c>
      <c r="G4327" s="9">
        <v>216</v>
      </c>
      <c r="H4327" s="5" t="s">
        <v>21</v>
      </c>
      <c r="I4327" s="5" t="s">
        <v>9844</v>
      </c>
      <c r="J4327" s="12" t="str">
        <f>HYPERLINK("https://www.boe.es/gazeta/dias/1801/02/27/pdfs/GMD-1801-17.pdf#page=11","Abrir facsímil")</f>
        <v>Abrir facsímil</v>
      </c>
      <c r="K4327" s="15" t="s">
        <v>23</v>
      </c>
    </row>
    <row r="4328" spans="1:11" ht="42" customHeight="1">
      <c r="A4328" s="4" t="s">
        <v>9845</v>
      </c>
      <c r="B4328" s="5" t="s">
        <v>9845</v>
      </c>
      <c r="C4328" s="5" t="s">
        <v>18</v>
      </c>
      <c r="D4328" s="5" t="s">
        <v>19</v>
      </c>
      <c r="E4328" s="5" t="s">
        <v>108</v>
      </c>
      <c r="F4328" s="9">
        <v>61</v>
      </c>
      <c r="G4328" s="9">
        <v>699</v>
      </c>
      <c r="H4328" s="5" t="s">
        <v>21</v>
      </c>
      <c r="I4328" s="5" t="s">
        <v>9846</v>
      </c>
      <c r="J4328" s="12" t="str">
        <f>HYPERLINK("https://www.boe.es/gazeta/dias/1801/06/30/pdfs/GMD-1801-61.pdf#page=8","Abrir facsímil")</f>
        <v>Abrir facsímil</v>
      </c>
      <c r="K4328" s="15" t="s">
        <v>23</v>
      </c>
    </row>
    <row r="4329" spans="1:11" ht="42" customHeight="1">
      <c r="A4329" s="4" t="s">
        <v>9847</v>
      </c>
      <c r="B4329" s="5" t="s">
        <v>9847</v>
      </c>
      <c r="C4329" s="5" t="s">
        <v>18</v>
      </c>
      <c r="D4329" s="5" t="s">
        <v>19</v>
      </c>
      <c r="E4329" s="5" t="s">
        <v>366</v>
      </c>
      <c r="F4329" s="9">
        <v>86</v>
      </c>
      <c r="G4329" s="9">
        <v>956</v>
      </c>
      <c r="H4329" s="5" t="s">
        <v>21</v>
      </c>
      <c r="I4329" s="5" t="s">
        <v>9848</v>
      </c>
      <c r="J4329" s="12" t="str">
        <f>HYPERLINK("https://www.boe.es/gazeta/dias/1801/09/08/pdfs/GMD-1801-86.pdf#page=7","Abrir facsímil")</f>
        <v>Abrir facsímil</v>
      </c>
      <c r="K4329" s="15" t="s">
        <v>23</v>
      </c>
    </row>
    <row r="4330" spans="1:11" ht="42" customHeight="1">
      <c r="A4330" s="4" t="s">
        <v>9849</v>
      </c>
      <c r="B4330" s="5" t="s">
        <v>9849</v>
      </c>
      <c r="C4330" s="5" t="s">
        <v>18</v>
      </c>
      <c r="D4330" s="5" t="s">
        <v>19</v>
      </c>
      <c r="E4330" s="5" t="s">
        <v>735</v>
      </c>
      <c r="F4330" s="9">
        <v>97</v>
      </c>
      <c r="G4330" s="9">
        <v>1066</v>
      </c>
      <c r="H4330" s="5" t="s">
        <v>21</v>
      </c>
      <c r="I4330" s="5" t="s">
        <v>9850</v>
      </c>
      <c r="J4330" s="12" t="str">
        <f>HYPERLINK("https://www.boe.es/gazeta/dias/1801/10/13/pdfs/GMD-1801-97.pdf#page=10","Abrir facsímil")</f>
        <v>Abrir facsímil</v>
      </c>
      <c r="K4330" s="15" t="s">
        <v>23</v>
      </c>
    </row>
    <row r="4331" spans="1:11" ht="42" customHeight="1">
      <c r="A4331" s="4" t="s">
        <v>9851</v>
      </c>
      <c r="B4331" s="5" t="s">
        <v>9851</v>
      </c>
      <c r="C4331" s="5" t="s">
        <v>38</v>
      </c>
      <c r="D4331" s="5" t="s">
        <v>39</v>
      </c>
      <c r="E4331" s="5" t="s">
        <v>201</v>
      </c>
      <c r="F4331" s="9">
        <v>79</v>
      </c>
      <c r="G4331" s="9">
        <v>890</v>
      </c>
      <c r="H4331" s="5" t="s">
        <v>21</v>
      </c>
      <c r="I4331" s="5" t="s">
        <v>9852</v>
      </c>
      <c r="J4331" s="12" t="str">
        <f>HYPERLINK("https://www.boe.es/gazeta/dias/1801/08/18/pdfs/GMD-1801-79.pdf#page=7","Abrir facsímil")</f>
        <v>Abrir facsímil</v>
      </c>
      <c r="K4331" s="15" t="s">
        <v>23</v>
      </c>
    </row>
    <row r="4332" spans="1:11" ht="42" customHeight="1">
      <c r="A4332" s="4" t="s">
        <v>9853</v>
      </c>
      <c r="B4332" s="5" t="s">
        <v>9853</v>
      </c>
      <c r="C4332" s="5" t="s">
        <v>18</v>
      </c>
      <c r="D4332" s="5" t="s">
        <v>19</v>
      </c>
      <c r="E4332" s="5" t="s">
        <v>131</v>
      </c>
      <c r="F4332" s="9">
        <v>22</v>
      </c>
      <c r="G4332" s="9">
        <v>293</v>
      </c>
      <c r="H4332" s="5" t="s">
        <v>21</v>
      </c>
      <c r="I4332" s="5" t="s">
        <v>9854</v>
      </c>
      <c r="J4332" s="12" t="str">
        <f>HYPERLINK("https://www.boe.es/gazeta/dias/1801/03/17/pdfs/GMD-1801-22.pdf#page=10","Abrir facsímil")</f>
        <v>Abrir facsímil</v>
      </c>
      <c r="K4332" s="15" t="s">
        <v>23</v>
      </c>
    </row>
    <row r="4333" spans="1:11" ht="42" customHeight="1">
      <c r="A4333" s="4" t="s">
        <v>9855</v>
      </c>
      <c r="B4333" s="5" t="s">
        <v>9855</v>
      </c>
      <c r="C4333" s="5" t="s">
        <v>18</v>
      </c>
      <c r="D4333" s="5" t="s">
        <v>19</v>
      </c>
      <c r="E4333" s="5" t="s">
        <v>781</v>
      </c>
      <c r="F4333" s="9">
        <v>14</v>
      </c>
      <c r="G4333" s="9">
        <v>175</v>
      </c>
      <c r="H4333" s="5" t="s">
        <v>21</v>
      </c>
      <c r="I4333" s="5" t="s">
        <v>9856</v>
      </c>
      <c r="J4333" s="12" t="str">
        <f>HYPERLINK("https://www.boe.es/gazeta/dias/1801/02/17/pdfs/GMD-1801-14.pdf#page=10","Abrir facsímil")</f>
        <v>Abrir facsímil</v>
      </c>
      <c r="K4333" s="15" t="s">
        <v>23</v>
      </c>
    </row>
    <row r="4334" spans="1:11" ht="42" customHeight="1">
      <c r="A4334" s="4" t="s">
        <v>9857</v>
      </c>
      <c r="B4334" s="5" t="s">
        <v>9857</v>
      </c>
      <c r="C4334" s="5" t="s">
        <v>38</v>
      </c>
      <c r="D4334" s="5" t="s">
        <v>39</v>
      </c>
      <c r="E4334" s="5" t="s">
        <v>2185</v>
      </c>
      <c r="F4334" s="9">
        <v>84</v>
      </c>
      <c r="G4334" s="9">
        <v>944</v>
      </c>
      <c r="H4334" s="5" t="s">
        <v>21</v>
      </c>
      <c r="I4334" s="5" t="s">
        <v>9858</v>
      </c>
      <c r="J4334" s="12" t="str">
        <f>HYPERLINK("https://www.boe.es/gazeta/dias/1801/09/04/pdfs/GMD-1801-84.pdf#page=7","Abrir facsímil")</f>
        <v>Abrir facsímil</v>
      </c>
      <c r="K4334" s="15" t="s">
        <v>23</v>
      </c>
    </row>
    <row r="4335" spans="1:11" ht="42" customHeight="1">
      <c r="A4335" s="4" t="s">
        <v>9859</v>
      </c>
      <c r="B4335" s="5" t="s">
        <v>9859</v>
      </c>
      <c r="C4335" s="5" t="s">
        <v>38</v>
      </c>
      <c r="D4335" s="5" t="s">
        <v>39</v>
      </c>
      <c r="E4335" s="5" t="s">
        <v>44</v>
      </c>
      <c r="F4335" s="9">
        <v>117</v>
      </c>
      <c r="G4335" s="9">
        <v>1280</v>
      </c>
      <c r="H4335" s="5" t="s">
        <v>21</v>
      </c>
      <c r="I4335" s="5" t="s">
        <v>9860</v>
      </c>
      <c r="J4335" s="12" t="str">
        <f>HYPERLINK("https://www.boe.es/gazeta/dias/1801/12/22/pdfs/GMD-1801-117.pdf#page=7","Abrir facsímil")</f>
        <v>Abrir facsímil</v>
      </c>
      <c r="K4335" s="15" t="s">
        <v>23</v>
      </c>
    </row>
    <row r="4336" spans="1:11" ht="42" customHeight="1">
      <c r="A4336" s="4" t="s">
        <v>9861</v>
      </c>
      <c r="B4336" s="5" t="s">
        <v>9861</v>
      </c>
      <c r="C4336" s="5" t="s">
        <v>38</v>
      </c>
      <c r="D4336" s="5" t="s">
        <v>39</v>
      </c>
      <c r="E4336" s="5" t="s">
        <v>131</v>
      </c>
      <c r="F4336" s="9">
        <v>22</v>
      </c>
      <c r="G4336" s="9">
        <v>286</v>
      </c>
      <c r="H4336" s="5" t="s">
        <v>21</v>
      </c>
      <c r="I4336" s="5" t="s">
        <v>9862</v>
      </c>
      <c r="J4336" s="12" t="str">
        <f>HYPERLINK("https://www.boe.es/gazeta/dias/1801/03/17/pdfs/GMD-1801-22.pdf#page=3","Abrir facsímil")</f>
        <v>Abrir facsímil</v>
      </c>
      <c r="K4336" s="15" t="s">
        <v>23</v>
      </c>
    </row>
    <row r="4337" spans="1:11" ht="42" customHeight="1">
      <c r="A4337" s="4" t="s">
        <v>9863</v>
      </c>
      <c r="B4337" s="5" t="s">
        <v>9864</v>
      </c>
      <c r="C4337" s="5" t="s">
        <v>32</v>
      </c>
      <c r="D4337" s="5" t="s">
        <v>33</v>
      </c>
      <c r="E4337" s="5" t="s">
        <v>201</v>
      </c>
      <c r="F4337" s="9">
        <v>79</v>
      </c>
      <c r="G4337" s="9">
        <v>889</v>
      </c>
      <c r="H4337" s="5" t="s">
        <v>21</v>
      </c>
      <c r="I4337" s="5" t="s">
        <v>9865</v>
      </c>
      <c r="J4337" s="12" t="str">
        <f>HYPERLINK("https://www.boe.es/gazeta/dias/1801/08/18/pdfs/GMD-1801-79.pdf#page=6","Abrir facsímil")</f>
        <v>Abrir facsímil</v>
      </c>
      <c r="K4337" s="15" t="s">
        <v>23</v>
      </c>
    </row>
    <row r="4338" spans="1:11" ht="42" customHeight="1">
      <c r="A4338" s="4" t="s">
        <v>9866</v>
      </c>
      <c r="B4338" s="5" t="s">
        <v>9867</v>
      </c>
      <c r="C4338" s="5" t="s">
        <v>38</v>
      </c>
      <c r="D4338" s="5" t="s">
        <v>39</v>
      </c>
      <c r="E4338" s="5" t="s">
        <v>751</v>
      </c>
      <c r="F4338" s="9">
        <v>106</v>
      </c>
      <c r="G4338" s="9">
        <v>1160</v>
      </c>
      <c r="H4338" s="5" t="s">
        <v>21</v>
      </c>
      <c r="I4338" s="5" t="s">
        <v>9868</v>
      </c>
      <c r="J4338" s="12" t="str">
        <f>HYPERLINK("https://www.boe.es/gazeta/dias/1801/11/13/pdfs/GMD-1801-106.pdf#page=1","Abrir facsímil")</f>
        <v>Abrir facsímil</v>
      </c>
      <c r="K4338" s="15" t="s">
        <v>23</v>
      </c>
    </row>
    <row r="4339" spans="1:11" ht="42" customHeight="1">
      <c r="A4339" s="4" t="s">
        <v>9869</v>
      </c>
      <c r="B4339" s="5" t="s">
        <v>9870</v>
      </c>
      <c r="C4339" s="5" t="s">
        <v>32</v>
      </c>
      <c r="D4339" s="5" t="s">
        <v>33</v>
      </c>
      <c r="E4339" s="5" t="s">
        <v>366</v>
      </c>
      <c r="F4339" s="9">
        <v>86</v>
      </c>
      <c r="G4339" s="9">
        <v>955</v>
      </c>
      <c r="H4339" s="5" t="s">
        <v>21</v>
      </c>
      <c r="I4339" s="5" t="s">
        <v>9871</v>
      </c>
      <c r="J4339" s="12" t="str">
        <f>HYPERLINK("https://www.boe.es/gazeta/dias/1801/09/08/pdfs/GMD-1801-86.pdf#page=6","Abrir facsímil")</f>
        <v>Abrir facsímil</v>
      </c>
      <c r="K4339" s="15" t="s">
        <v>23</v>
      </c>
    </row>
    <row r="4340" spans="1:11" ht="42" customHeight="1">
      <c r="A4340" s="4" t="s">
        <v>9872</v>
      </c>
      <c r="B4340" s="5" t="s">
        <v>9872</v>
      </c>
      <c r="C4340" s="5" t="s">
        <v>38</v>
      </c>
      <c r="D4340" s="5" t="s">
        <v>39</v>
      </c>
      <c r="E4340" s="5" t="s">
        <v>615</v>
      </c>
      <c r="F4340" s="9">
        <v>72</v>
      </c>
      <c r="G4340" s="9">
        <v>807</v>
      </c>
      <c r="H4340" s="5" t="s">
        <v>21</v>
      </c>
      <c r="I4340" s="5" t="s">
        <v>9873</v>
      </c>
      <c r="J4340" s="12" t="str">
        <f>HYPERLINK("https://www.boe.es/gazeta/dias/1801/07/24/pdfs/GMD-1801-72.pdf#page=12","Abrir facsímil")</f>
        <v>Abrir facsímil</v>
      </c>
      <c r="K4340" s="15" t="s">
        <v>23</v>
      </c>
    </row>
    <row r="4341" spans="1:11" ht="42" customHeight="1">
      <c r="A4341" s="4" t="s">
        <v>9874</v>
      </c>
      <c r="B4341" s="5" t="s">
        <v>9874</v>
      </c>
      <c r="C4341" s="5" t="s">
        <v>515</v>
      </c>
      <c r="D4341" s="5" t="s">
        <v>516</v>
      </c>
      <c r="E4341" s="5" t="s">
        <v>143</v>
      </c>
      <c r="F4341" s="9">
        <v>34</v>
      </c>
      <c r="G4341" s="9">
        <v>441</v>
      </c>
      <c r="H4341" s="5" t="s">
        <v>21</v>
      </c>
      <c r="I4341" s="5" t="s">
        <v>9875</v>
      </c>
      <c r="J4341" s="12" t="str">
        <f>HYPERLINK("https://www.boe.es/gazeta/dias/1801/04/28/pdfs/GMD-C-1801-34.pdf#page=1","Abrir facsímil")</f>
        <v>Abrir facsímil</v>
      </c>
      <c r="K4341" s="15" t="s">
        <v>23</v>
      </c>
    </row>
    <row r="4342" spans="1:11" ht="42" customHeight="1">
      <c r="A4342" s="4" t="s">
        <v>9876</v>
      </c>
      <c r="B4342" s="5" t="s">
        <v>9876</v>
      </c>
      <c r="C4342" s="5" t="s">
        <v>26</v>
      </c>
      <c r="D4342" s="5" t="s">
        <v>27</v>
      </c>
      <c r="E4342" s="5" t="s">
        <v>171</v>
      </c>
      <c r="F4342" s="9">
        <v>76</v>
      </c>
      <c r="G4342" s="9">
        <v>855</v>
      </c>
      <c r="H4342" s="5" t="s">
        <v>21</v>
      </c>
      <c r="I4342" s="5" t="s">
        <v>9877</v>
      </c>
      <c r="J4342" s="12" t="str">
        <f>HYPERLINK("https://www.boe.es/gazeta/dias/1801/08/07/pdfs/GMD-1801-76.pdf#page=12","Abrir facsímil")</f>
        <v>Abrir facsímil</v>
      </c>
      <c r="K4342" s="15" t="s">
        <v>23</v>
      </c>
    </row>
    <row r="4343" spans="1:11" ht="42" customHeight="1">
      <c r="A4343" s="4" t="s">
        <v>9878</v>
      </c>
      <c r="B4343" s="5" t="s">
        <v>9879</v>
      </c>
      <c r="C4343" s="5" t="s">
        <v>69</v>
      </c>
      <c r="D4343" s="5" t="s">
        <v>19</v>
      </c>
      <c r="E4343" s="5" t="s">
        <v>417</v>
      </c>
      <c r="F4343" s="9">
        <v>64</v>
      </c>
      <c r="G4343" s="9">
        <v>729</v>
      </c>
      <c r="H4343" s="5" t="s">
        <v>21</v>
      </c>
      <c r="I4343" s="5" t="s">
        <v>9880</v>
      </c>
      <c r="J4343" s="12" t="str">
        <f>HYPERLINK("https://www.boe.es/gazeta/dias/1801/07/07/pdfs/GMD-1801-64.pdf#page=10","Abrir facsímil")</f>
        <v>Abrir facsímil</v>
      </c>
      <c r="K4343" s="15" t="s">
        <v>23</v>
      </c>
    </row>
    <row r="4344" spans="1:11" ht="42" customHeight="1">
      <c r="A4344" s="4" t="s">
        <v>9878</v>
      </c>
      <c r="B4344" s="5" t="s">
        <v>9879</v>
      </c>
      <c r="C4344" s="5" t="s">
        <v>38</v>
      </c>
      <c r="D4344" s="5" t="s">
        <v>39</v>
      </c>
      <c r="E4344" s="5" t="s">
        <v>1058</v>
      </c>
      <c r="F4344" s="9">
        <v>108</v>
      </c>
      <c r="G4344" s="9">
        <v>1190</v>
      </c>
      <c r="H4344" s="5" t="s">
        <v>21</v>
      </c>
      <c r="I4344" s="5" t="s">
        <v>9881</v>
      </c>
      <c r="J4344" s="12" t="str">
        <f>HYPERLINK("https://www.boe.es/gazeta/dias/1801/11/20/pdfs/GMD-1801-108.pdf#page=7","Abrir facsímil")</f>
        <v>Abrir facsímil</v>
      </c>
      <c r="K4344" s="15" t="s">
        <v>23</v>
      </c>
    </row>
    <row r="4345" spans="1:11" ht="42" customHeight="1">
      <c r="A4345" s="4" t="s">
        <v>9878</v>
      </c>
      <c r="B4345" s="5" t="s">
        <v>9879</v>
      </c>
      <c r="C4345" s="5" t="s">
        <v>69</v>
      </c>
      <c r="D4345" s="5" t="s">
        <v>19</v>
      </c>
      <c r="E4345" s="5" t="s">
        <v>44</v>
      </c>
      <c r="F4345" s="9">
        <v>117</v>
      </c>
      <c r="G4345" s="9">
        <v>1281</v>
      </c>
      <c r="H4345" s="5" t="s">
        <v>21</v>
      </c>
      <c r="I4345" s="5" t="s">
        <v>9882</v>
      </c>
      <c r="J4345" s="12" t="str">
        <f>HYPERLINK("https://www.boe.es/gazeta/dias/1801/12/22/pdfs/GMD-1801-117.pdf#page=8","Abrir facsímil")</f>
        <v>Abrir facsímil</v>
      </c>
      <c r="K4345" s="15" t="s">
        <v>23</v>
      </c>
    </row>
    <row r="4346" spans="1:11" ht="42" customHeight="1">
      <c r="A4346" s="4" t="s">
        <v>9883</v>
      </c>
      <c r="B4346" s="5" t="s">
        <v>9884</v>
      </c>
      <c r="C4346" s="5" t="s">
        <v>32</v>
      </c>
      <c r="D4346" s="5" t="s">
        <v>33</v>
      </c>
      <c r="E4346" s="5" t="s">
        <v>90</v>
      </c>
      <c r="F4346" s="9">
        <v>1</v>
      </c>
      <c r="G4346" s="9">
        <v>8</v>
      </c>
      <c r="H4346" s="5" t="s">
        <v>21</v>
      </c>
      <c r="I4346" s="5" t="s">
        <v>9885</v>
      </c>
      <c r="J4346" s="12" t="str">
        <f>HYPERLINK("https://www.boe.es/gazeta/dias/1801/01/02/pdfs/GMD-1801-1.pdf#page=8","Abrir facsímil")</f>
        <v>Abrir facsímil</v>
      </c>
      <c r="K4346" s="15" t="s">
        <v>23</v>
      </c>
    </row>
    <row r="4347" spans="1:11" ht="42" customHeight="1">
      <c r="A4347" s="4" t="s">
        <v>9883</v>
      </c>
      <c r="B4347" s="5" t="s">
        <v>9884</v>
      </c>
      <c r="C4347" s="5" t="s">
        <v>32</v>
      </c>
      <c r="D4347" s="5" t="s">
        <v>33</v>
      </c>
      <c r="E4347" s="5" t="s">
        <v>465</v>
      </c>
      <c r="F4347" s="9">
        <v>4</v>
      </c>
      <c r="G4347" s="9">
        <v>46</v>
      </c>
      <c r="H4347" s="5" t="s">
        <v>21</v>
      </c>
      <c r="I4347" s="5" t="s">
        <v>9886</v>
      </c>
      <c r="J4347" s="12" t="str">
        <f>HYPERLINK("https://www.boe.es/gazeta/dias/1801/01/13/pdfs/GMD-1801-4.pdf#page=10","Abrir facsímil")</f>
        <v>Abrir facsímil</v>
      </c>
      <c r="K4347" s="15" t="s">
        <v>23</v>
      </c>
    </row>
    <row r="4348" spans="1:11" ht="42" customHeight="1">
      <c r="A4348" s="4" t="s">
        <v>9887</v>
      </c>
      <c r="B4348" s="5" t="s">
        <v>9887</v>
      </c>
      <c r="C4348" s="5" t="s">
        <v>32</v>
      </c>
      <c r="D4348" s="5" t="s">
        <v>33</v>
      </c>
      <c r="E4348" s="5" t="s">
        <v>155</v>
      </c>
      <c r="F4348" s="9">
        <v>50</v>
      </c>
      <c r="G4348" s="9">
        <v>597</v>
      </c>
      <c r="H4348" s="5" t="s">
        <v>21</v>
      </c>
      <c r="I4348" s="5" t="s">
        <v>9888</v>
      </c>
      <c r="J4348" s="12" t="str">
        <f>HYPERLINK("https://www.boe.es/gazeta/dias/1801/06/09/pdfs/GMD-1801-50.pdf#page=9","Abrir facsímil")</f>
        <v>Abrir facsímil</v>
      </c>
      <c r="K4348" s="15" t="s">
        <v>23</v>
      </c>
    </row>
    <row r="4349" spans="1:11" ht="42" customHeight="1">
      <c r="A4349" s="4" t="s">
        <v>9889</v>
      </c>
      <c r="B4349" s="5" t="s">
        <v>9889</v>
      </c>
      <c r="C4349" s="5" t="s">
        <v>32</v>
      </c>
      <c r="D4349" s="5" t="s">
        <v>33</v>
      </c>
      <c r="E4349" s="5" t="s">
        <v>462</v>
      </c>
      <c r="F4349" s="9">
        <v>5</v>
      </c>
      <c r="G4349" s="9">
        <v>57</v>
      </c>
      <c r="H4349" s="5" t="s">
        <v>21</v>
      </c>
      <c r="I4349" s="5" t="s">
        <v>9890</v>
      </c>
      <c r="J4349" s="12" t="str">
        <f>HYPERLINK("https://www.boe.es/gazeta/dias/1801/01/16/pdfs/GMD-1801-5.pdf#page=9","Abrir facsímil")</f>
        <v>Abrir facsímil</v>
      </c>
      <c r="K4349" s="15" t="s">
        <v>23</v>
      </c>
    </row>
    <row r="4350" spans="1:11" ht="42" customHeight="1">
      <c r="A4350" s="4" t="s">
        <v>9891</v>
      </c>
      <c r="B4350" s="5" t="s">
        <v>9891</v>
      </c>
      <c r="C4350" s="5" t="s">
        <v>32</v>
      </c>
      <c r="D4350" s="5" t="s">
        <v>33</v>
      </c>
      <c r="E4350" s="5" t="s">
        <v>378</v>
      </c>
      <c r="F4350" s="9">
        <v>23</v>
      </c>
      <c r="G4350" s="9">
        <v>306</v>
      </c>
      <c r="H4350" s="5" t="s">
        <v>21</v>
      </c>
      <c r="I4350" s="5" t="s">
        <v>9892</v>
      </c>
      <c r="J4350" s="12" t="str">
        <f>HYPERLINK("https://www.boe.es/gazeta/dias/1801/03/20/pdfs/GMD-1801-23.pdf#page=9","Abrir facsímil")</f>
        <v>Abrir facsímil</v>
      </c>
      <c r="K4350" s="15" t="s">
        <v>23</v>
      </c>
    </row>
    <row r="4351" spans="1:11" ht="42" customHeight="1">
      <c r="A4351" s="4" t="s">
        <v>9893</v>
      </c>
      <c r="B4351" s="5" t="s">
        <v>9893</v>
      </c>
      <c r="C4351" s="5" t="s">
        <v>32</v>
      </c>
      <c r="D4351" s="5" t="s">
        <v>33</v>
      </c>
      <c r="E4351" s="5" t="s">
        <v>275</v>
      </c>
      <c r="F4351" s="9">
        <v>9</v>
      </c>
      <c r="G4351" s="9">
        <v>112</v>
      </c>
      <c r="H4351" s="5" t="s">
        <v>21</v>
      </c>
      <c r="I4351" s="5" t="s">
        <v>9894</v>
      </c>
      <c r="J4351" s="12" t="str">
        <f>HYPERLINK("https://www.boe.es/gazeta/dias/1801/01/30/pdfs/GMD-1801-9.pdf#page=9","Abrir facsímil")</f>
        <v>Abrir facsímil</v>
      </c>
      <c r="K4351" s="15" t="s">
        <v>23</v>
      </c>
    </row>
    <row r="4352" spans="1:11" ht="42" customHeight="1">
      <c r="A4352" s="4" t="s">
        <v>9895</v>
      </c>
      <c r="B4352" s="5" t="s">
        <v>9896</v>
      </c>
      <c r="C4352" s="5" t="s">
        <v>18</v>
      </c>
      <c r="D4352" s="5" t="s">
        <v>19</v>
      </c>
      <c r="E4352" s="5" t="s">
        <v>292</v>
      </c>
      <c r="F4352" s="9">
        <v>25</v>
      </c>
      <c r="G4352" s="9">
        <v>332</v>
      </c>
      <c r="H4352" s="5" t="s">
        <v>21</v>
      </c>
      <c r="I4352" s="5" t="s">
        <v>9897</v>
      </c>
      <c r="J4352" s="12" t="str">
        <f>HYPERLINK("https://www.boe.es/gazeta/dias/1801/03/27/pdfs/GMD-1801-25.pdf#page=11","Abrir facsímil")</f>
        <v>Abrir facsímil</v>
      </c>
      <c r="K4352" s="15" t="s">
        <v>23</v>
      </c>
    </row>
    <row r="4353" spans="1:11" ht="42" customHeight="1">
      <c r="A4353" s="4" t="s">
        <v>9898</v>
      </c>
      <c r="B4353" s="5" t="s">
        <v>9898</v>
      </c>
      <c r="C4353" s="5" t="s">
        <v>32</v>
      </c>
      <c r="D4353" s="5" t="s">
        <v>33</v>
      </c>
      <c r="E4353" s="5" t="s">
        <v>201</v>
      </c>
      <c r="F4353" s="9">
        <v>79</v>
      </c>
      <c r="G4353" s="9">
        <v>889</v>
      </c>
      <c r="H4353" s="5" t="s">
        <v>21</v>
      </c>
      <c r="I4353" s="5" t="s">
        <v>9899</v>
      </c>
      <c r="J4353" s="12" t="str">
        <f>HYPERLINK("https://www.boe.es/gazeta/dias/1801/08/18/pdfs/GMD-1801-79.pdf#page=6","Abrir facsímil")</f>
        <v>Abrir facsímil</v>
      </c>
      <c r="K4353" s="15" t="s">
        <v>23</v>
      </c>
    </row>
    <row r="4354" spans="1:11" ht="42" customHeight="1">
      <c r="A4354" s="4" t="s">
        <v>9900</v>
      </c>
      <c r="B4354" s="5" t="s">
        <v>9900</v>
      </c>
      <c r="C4354" s="5" t="s">
        <v>80</v>
      </c>
      <c r="D4354" s="5" t="s">
        <v>81</v>
      </c>
      <c r="E4354" s="5" t="s">
        <v>82</v>
      </c>
      <c r="F4354" s="9">
        <v>75</v>
      </c>
      <c r="G4354" s="9" t="s">
        <v>86</v>
      </c>
      <c r="H4354" s="5" t="s">
        <v>21</v>
      </c>
      <c r="I4354" s="5" t="s">
        <v>9901</v>
      </c>
      <c r="J4354" s="12" t="str">
        <f>HYPERLINK("https://www.boe.es/gazeta/dias/1801/08/04/pdfs/GMD-C-1801-75.pdf#page=3","Abrir facsímil")</f>
        <v>Abrir facsímil</v>
      </c>
      <c r="K4354" s="15" t="s">
        <v>23</v>
      </c>
    </row>
    <row r="4355" spans="1:11" ht="42" customHeight="1">
      <c r="A4355" s="4" t="s">
        <v>9902</v>
      </c>
      <c r="B4355" s="5" t="s">
        <v>9902</v>
      </c>
      <c r="C4355" s="5" t="s">
        <v>32</v>
      </c>
      <c r="D4355" s="5" t="s">
        <v>33</v>
      </c>
      <c r="E4355" s="5" t="s">
        <v>151</v>
      </c>
      <c r="F4355" s="9">
        <v>45</v>
      </c>
      <c r="G4355" s="9">
        <v>561</v>
      </c>
      <c r="H4355" s="5" t="s">
        <v>21</v>
      </c>
      <c r="I4355" s="5" t="s">
        <v>9903</v>
      </c>
      <c r="J4355" s="12" t="str">
        <f>HYPERLINK("https://www.boe.es/gazeta/dias/1801/06/02/pdfs/GMD-1801-45.pdf#page=9","Abrir facsímil")</f>
        <v>Abrir facsímil</v>
      </c>
      <c r="K4355" s="15" t="s">
        <v>23</v>
      </c>
    </row>
    <row r="4356" spans="1:11" ht="42" customHeight="1">
      <c r="A4356" s="4" t="s">
        <v>9904</v>
      </c>
      <c r="B4356" s="5" t="s">
        <v>9905</v>
      </c>
      <c r="C4356" s="5" t="s">
        <v>38</v>
      </c>
      <c r="D4356" s="5" t="s">
        <v>39</v>
      </c>
      <c r="E4356" s="5" t="s">
        <v>219</v>
      </c>
      <c r="F4356" s="9">
        <v>26</v>
      </c>
      <c r="G4356" s="9">
        <v>346</v>
      </c>
      <c r="H4356" s="5" t="s">
        <v>21</v>
      </c>
      <c r="I4356" s="5" t="s">
        <v>9906</v>
      </c>
      <c r="J4356" s="12" t="str">
        <f>HYPERLINK("https://www.boe.es/gazeta/dias/1801/03/31/pdfs/GMD-1801-26.pdf#page=10","Abrir facsímil")</f>
        <v>Abrir facsímil</v>
      </c>
      <c r="K4356" s="15" t="s">
        <v>23</v>
      </c>
    </row>
    <row r="4357" spans="1:11" ht="42" customHeight="1">
      <c r="A4357" s="4" t="s">
        <v>9907</v>
      </c>
      <c r="B4357" s="5" t="s">
        <v>9908</v>
      </c>
      <c r="C4357" s="5" t="s">
        <v>32</v>
      </c>
      <c r="D4357" s="5" t="s">
        <v>33</v>
      </c>
      <c r="E4357" s="5" t="s">
        <v>165</v>
      </c>
      <c r="F4357" s="9">
        <v>59</v>
      </c>
      <c r="G4357" s="9">
        <v>676</v>
      </c>
      <c r="H4357" s="5" t="s">
        <v>21</v>
      </c>
      <c r="I4357" s="5" t="s">
        <v>9909</v>
      </c>
      <c r="J4357" s="12" t="str">
        <f>HYPERLINK("https://www.boe.es/gazeta/dias/1801/06/23/pdfs/GMD-1801-59.pdf#page=9","Abrir facsímil")</f>
        <v>Abrir facsímil</v>
      </c>
      <c r="K4357" s="15" t="s">
        <v>23</v>
      </c>
    </row>
    <row r="4358" spans="1:11" ht="42" customHeight="1">
      <c r="A4358" s="4" t="s">
        <v>9910</v>
      </c>
      <c r="B4358" s="5" t="s">
        <v>9910</v>
      </c>
      <c r="C4358" s="5" t="s">
        <v>75</v>
      </c>
      <c r="D4358" s="5" t="s">
        <v>76</v>
      </c>
      <c r="E4358" s="5" t="s">
        <v>219</v>
      </c>
      <c r="F4358" s="9">
        <v>26</v>
      </c>
      <c r="G4358" s="9">
        <v>340</v>
      </c>
      <c r="H4358" s="5" t="s">
        <v>21</v>
      </c>
      <c r="I4358" s="5" t="s">
        <v>9911</v>
      </c>
      <c r="J4358" s="12" t="str">
        <f>HYPERLINK("https://www.boe.es/gazeta/dias/1801/03/31/pdfs/GMD-1801-26.pdf#page=4","Abrir facsímil")</f>
        <v>Abrir facsímil</v>
      </c>
      <c r="K4358" s="15" t="s">
        <v>23</v>
      </c>
    </row>
    <row r="4359" spans="1:11" ht="42" customHeight="1">
      <c r="A4359" s="4" t="s">
        <v>9912</v>
      </c>
      <c r="B4359" s="5" t="s">
        <v>9913</v>
      </c>
      <c r="C4359" s="5" t="s">
        <v>26</v>
      </c>
      <c r="D4359" s="5" t="s">
        <v>27</v>
      </c>
      <c r="E4359" s="5" t="s">
        <v>131</v>
      </c>
      <c r="F4359" s="9">
        <v>22</v>
      </c>
      <c r="G4359" s="9">
        <v>294</v>
      </c>
      <c r="H4359" s="5" t="s">
        <v>21</v>
      </c>
      <c r="I4359" s="5" t="s">
        <v>9914</v>
      </c>
      <c r="J4359" s="12" t="str">
        <f>HYPERLINK("https://www.boe.es/gazeta/dias/1801/03/17/pdfs/GMD-1801-22.pdf#page=11","Abrir facsímil")</f>
        <v>Abrir facsímil</v>
      </c>
      <c r="K4359" s="15" t="s">
        <v>23</v>
      </c>
    </row>
    <row r="4360" spans="1:11" ht="42" customHeight="1">
      <c r="A4360" s="4" t="s">
        <v>9915</v>
      </c>
      <c r="B4360" s="5" t="s">
        <v>9916</v>
      </c>
      <c r="C4360" s="5" t="s">
        <v>26</v>
      </c>
      <c r="D4360" s="5" t="s">
        <v>27</v>
      </c>
      <c r="E4360" s="5" t="s">
        <v>120</v>
      </c>
      <c r="F4360" s="9">
        <v>7</v>
      </c>
      <c r="G4360" s="9">
        <v>88</v>
      </c>
      <c r="H4360" s="5" t="s">
        <v>21</v>
      </c>
      <c r="I4360" s="5" t="s">
        <v>9917</v>
      </c>
      <c r="J4360" s="12" t="str">
        <f>HYPERLINK("https://www.boe.es/gazeta/dias/1801/01/23/pdfs/GMD-1801-7.pdf#page=12","Abrir facsímil")</f>
        <v>Abrir facsímil</v>
      </c>
      <c r="K4360" s="15" t="s">
        <v>1296</v>
      </c>
    </row>
    <row r="4361" spans="1:11" ht="42" customHeight="1">
      <c r="A4361" s="4" t="s">
        <v>9918</v>
      </c>
      <c r="B4361" s="5" t="s">
        <v>9919</v>
      </c>
      <c r="C4361" s="5" t="s">
        <v>515</v>
      </c>
      <c r="D4361" s="5" t="s">
        <v>516</v>
      </c>
      <c r="E4361" s="5" t="s">
        <v>501</v>
      </c>
      <c r="F4361" s="9">
        <v>115</v>
      </c>
      <c r="G4361" s="9" t="s">
        <v>668</v>
      </c>
      <c r="H4361" s="5" t="s">
        <v>21</v>
      </c>
      <c r="I4361" s="5" t="s">
        <v>9920</v>
      </c>
      <c r="J4361" s="12" t="str">
        <f>HYPERLINK("https://www.boe.es/gazeta/dias/1801/12/15/pdfs/GMD-C-1801-115.pdf#page=1","Abrir facsímil")</f>
        <v>Abrir facsímil</v>
      </c>
      <c r="K4361" s="15" t="s">
        <v>1296</v>
      </c>
    </row>
    <row r="4362" spans="1:11" ht="42" customHeight="1">
      <c r="A4362" s="4" t="s">
        <v>9921</v>
      </c>
      <c r="B4362" s="5" t="s">
        <v>9922</v>
      </c>
      <c r="C4362" s="5" t="s">
        <v>32</v>
      </c>
      <c r="D4362" s="5" t="s">
        <v>33</v>
      </c>
      <c r="E4362" s="5" t="s">
        <v>2339</v>
      </c>
      <c r="F4362" s="9" t="s">
        <v>2340</v>
      </c>
      <c r="G4362" s="9">
        <v>619</v>
      </c>
      <c r="H4362" s="5" t="s">
        <v>21</v>
      </c>
      <c r="I4362" s="5" t="s">
        <v>9923</v>
      </c>
      <c r="J4362" s="12" t="str">
        <f>HYPERLINK("https://www.boe.es/gazeta/dias/1801/06/15/pdfs/GMD-1801-54E.pdf#page=3","Abrir facsímil")</f>
        <v>Abrir facsímil</v>
      </c>
      <c r="K4362" s="15" t="s">
        <v>23</v>
      </c>
    </row>
    <row r="4363" spans="1:11" ht="42" customHeight="1">
      <c r="A4363" s="4" t="s">
        <v>9924</v>
      </c>
      <c r="B4363" s="5" t="s">
        <v>9925</v>
      </c>
      <c r="C4363" s="5" t="s">
        <v>69</v>
      </c>
      <c r="D4363" s="5" t="s">
        <v>19</v>
      </c>
      <c r="E4363" s="5" t="s">
        <v>151</v>
      </c>
      <c r="F4363" s="9">
        <v>45</v>
      </c>
      <c r="G4363" s="9">
        <v>560</v>
      </c>
      <c r="H4363" s="5" t="s">
        <v>21</v>
      </c>
      <c r="I4363" s="5" t="s">
        <v>9926</v>
      </c>
      <c r="J4363" s="12" t="str">
        <f>HYPERLINK("https://www.boe.es/gazeta/dias/1801/06/02/pdfs/GMD-1801-45.pdf#page=8","Abrir facsímil")</f>
        <v>Abrir facsímil</v>
      </c>
      <c r="K4363" s="15" t="s">
        <v>23</v>
      </c>
    </row>
    <row r="4364" spans="1:11" ht="42" customHeight="1">
      <c r="A4364" s="4" t="s">
        <v>9927</v>
      </c>
      <c r="B4364" s="5" t="s">
        <v>9927</v>
      </c>
      <c r="C4364" s="5" t="s">
        <v>75</v>
      </c>
      <c r="D4364" s="5" t="s">
        <v>76</v>
      </c>
      <c r="E4364" s="5" t="s">
        <v>44</v>
      </c>
      <c r="F4364" s="9">
        <v>117</v>
      </c>
      <c r="G4364" s="9">
        <v>1277</v>
      </c>
      <c r="H4364" s="5" t="s">
        <v>21</v>
      </c>
      <c r="I4364" s="5" t="s">
        <v>9928</v>
      </c>
      <c r="J4364" s="12" t="str">
        <f>HYPERLINK("https://www.boe.es/gazeta/dias/1801/12/22/pdfs/GMD-1801-117.pdf#page=4","Abrir facsímil")</f>
        <v>Abrir facsímil</v>
      </c>
      <c r="K4364" s="15" t="s">
        <v>23</v>
      </c>
    </row>
    <row r="4365" spans="1:11" ht="42" customHeight="1">
      <c r="A4365" s="4" t="s">
        <v>9929</v>
      </c>
      <c r="B4365" s="5" t="s">
        <v>9929</v>
      </c>
      <c r="C4365" s="5" t="s">
        <v>32</v>
      </c>
      <c r="D4365" s="5" t="s">
        <v>33</v>
      </c>
      <c r="E4365" s="5" t="s">
        <v>256</v>
      </c>
      <c r="F4365" s="9">
        <v>78</v>
      </c>
      <c r="G4365" s="9">
        <v>882</v>
      </c>
      <c r="H4365" s="5" t="s">
        <v>21</v>
      </c>
      <c r="I4365" s="5" t="s">
        <v>9930</v>
      </c>
      <c r="J4365" s="12" t="str">
        <f>HYPERLINK("https://www.boe.es/gazeta/dias/1801/08/14/pdfs/GMD-1801-78.pdf#page=11","Abrir facsímil")</f>
        <v>Abrir facsímil</v>
      </c>
      <c r="K4365" s="15" t="s">
        <v>23</v>
      </c>
    </row>
    <row r="4366" spans="1:11" ht="42" customHeight="1">
      <c r="A4366" s="4" t="s">
        <v>9931</v>
      </c>
      <c r="B4366" s="5" t="s">
        <v>9931</v>
      </c>
      <c r="C4366" s="5" t="s">
        <v>32</v>
      </c>
      <c r="D4366" s="5" t="s">
        <v>33</v>
      </c>
      <c r="E4366" s="5" t="s">
        <v>55</v>
      </c>
      <c r="F4366" s="9">
        <v>104</v>
      </c>
      <c r="G4366" s="9">
        <v>1144</v>
      </c>
      <c r="H4366" s="5" t="s">
        <v>21</v>
      </c>
      <c r="I4366" s="5" t="s">
        <v>9932</v>
      </c>
      <c r="J4366" s="12" t="str">
        <f>HYPERLINK("https://www.boe.es/gazeta/dias/1801/11/06/pdfs/GMD-1801-104.pdf#page=5","Abrir facsímil")</f>
        <v>Abrir facsímil</v>
      </c>
      <c r="K4366" s="15" t="s">
        <v>23</v>
      </c>
    </row>
    <row r="4367" spans="1:11" ht="42" customHeight="1">
      <c r="A4367" s="4" t="s">
        <v>9933</v>
      </c>
      <c r="B4367" s="5" t="s">
        <v>9933</v>
      </c>
      <c r="C4367" s="5" t="s">
        <v>32</v>
      </c>
      <c r="D4367" s="5" t="s">
        <v>33</v>
      </c>
      <c r="E4367" s="5" t="s">
        <v>505</v>
      </c>
      <c r="F4367" s="9">
        <v>94</v>
      </c>
      <c r="G4367" s="9">
        <v>1033</v>
      </c>
      <c r="H4367" s="5" t="s">
        <v>21</v>
      </c>
      <c r="I4367" s="5" t="s">
        <v>9934</v>
      </c>
      <c r="J4367" s="12" t="str">
        <f>HYPERLINK("https://www.boe.es/gazeta/dias/1801/10/02/pdfs/GMD-1801-94.pdf#page=9","Abrir facsímil")</f>
        <v>Abrir facsímil</v>
      </c>
      <c r="K4367" s="15" t="s">
        <v>23</v>
      </c>
    </row>
    <row r="4368" spans="1:11" ht="42" customHeight="1">
      <c r="A4368" s="4" t="s">
        <v>9935</v>
      </c>
      <c r="B4368" s="5" t="s">
        <v>9935</v>
      </c>
      <c r="C4368" s="5" t="s">
        <v>80</v>
      </c>
      <c r="D4368" s="5" t="s">
        <v>81</v>
      </c>
      <c r="E4368" s="5" t="s">
        <v>289</v>
      </c>
      <c r="F4368" s="9">
        <v>40</v>
      </c>
      <c r="G4368" s="9" t="s">
        <v>299</v>
      </c>
      <c r="H4368" s="5" t="s">
        <v>21</v>
      </c>
      <c r="I4368" s="5" t="s">
        <v>9936</v>
      </c>
      <c r="J4368" s="12" t="str">
        <f>HYPERLINK("https://www.boe.es/gazeta/dias/1801/05/19/pdfs/GMD-C-1801-40.pdf#page=5","Abrir facsímil")</f>
        <v>Abrir facsímil</v>
      </c>
      <c r="K4368" s="15" t="s">
        <v>23</v>
      </c>
    </row>
    <row r="4369" spans="1:11" ht="42" customHeight="1">
      <c r="A4369" s="4" t="s">
        <v>9937</v>
      </c>
      <c r="B4369" s="5" t="s">
        <v>9938</v>
      </c>
      <c r="C4369" s="5" t="s">
        <v>38</v>
      </c>
      <c r="D4369" s="5" t="s">
        <v>39</v>
      </c>
      <c r="E4369" s="5" t="s">
        <v>101</v>
      </c>
      <c r="F4369" s="9">
        <v>41</v>
      </c>
      <c r="G4369" s="9">
        <v>524</v>
      </c>
      <c r="H4369" s="5" t="s">
        <v>21</v>
      </c>
      <c r="I4369" s="5" t="s">
        <v>9939</v>
      </c>
      <c r="J4369" s="12" t="str">
        <f>HYPERLINK("https://www.boe.es/gazeta/dias/1801/05/22/pdfs/GMD-1801-41.pdf#page=8","Abrir facsímil")</f>
        <v>Abrir facsímil</v>
      </c>
      <c r="K4369" s="15" t="s">
        <v>23</v>
      </c>
    </row>
    <row r="4370" spans="1:11" ht="42" customHeight="1">
      <c r="A4370" s="4" t="s">
        <v>9940</v>
      </c>
      <c r="B4370" s="5" t="s">
        <v>9940</v>
      </c>
      <c r="C4370" s="5" t="s">
        <v>38</v>
      </c>
      <c r="D4370" s="5" t="s">
        <v>39</v>
      </c>
      <c r="E4370" s="5" t="s">
        <v>112</v>
      </c>
      <c r="F4370" s="9">
        <v>114</v>
      </c>
      <c r="G4370" s="9">
        <v>1245</v>
      </c>
      <c r="H4370" s="5" t="s">
        <v>21</v>
      </c>
      <c r="I4370" s="5" t="s">
        <v>9941</v>
      </c>
      <c r="J4370" s="12" t="str">
        <f>HYPERLINK("https://www.boe.es/gazeta/dias/1801/12/11/pdfs/GMD-1801-114.pdf#page=7","Abrir facsímil")</f>
        <v>Abrir facsímil</v>
      </c>
      <c r="K4370" s="15" t="s">
        <v>23</v>
      </c>
    </row>
    <row r="4371" spans="1:11" ht="42" customHeight="1">
      <c r="A4371" s="4" t="s">
        <v>9940</v>
      </c>
      <c r="B4371" s="5" t="s">
        <v>9940</v>
      </c>
      <c r="C4371" s="5" t="s">
        <v>75</v>
      </c>
      <c r="D4371" s="5" t="s">
        <v>76</v>
      </c>
      <c r="E4371" s="5" t="s">
        <v>935</v>
      </c>
      <c r="F4371" s="9">
        <v>116</v>
      </c>
      <c r="G4371" s="9">
        <v>1262</v>
      </c>
      <c r="H4371" s="5" t="s">
        <v>21</v>
      </c>
      <c r="I4371" s="5" t="s">
        <v>9942</v>
      </c>
      <c r="J4371" s="12" t="str">
        <f>HYPERLINK("https://www.boe.es/gazeta/dias/1801/12/18/pdfs/GMD-1801-116.pdf#page=4","Abrir facsímil")</f>
        <v>Abrir facsímil</v>
      </c>
      <c r="K4371" s="15" t="s">
        <v>23</v>
      </c>
    </row>
    <row r="4372" spans="1:11" ht="42" customHeight="1">
      <c r="A4372" s="4" t="s">
        <v>9943</v>
      </c>
      <c r="B4372" s="5" t="s">
        <v>9944</v>
      </c>
      <c r="C4372" s="5" t="s">
        <v>38</v>
      </c>
      <c r="D4372" s="5" t="s">
        <v>39</v>
      </c>
      <c r="E4372" s="5" t="s">
        <v>48</v>
      </c>
      <c r="F4372" s="9">
        <v>20</v>
      </c>
      <c r="G4372" s="9">
        <v>264</v>
      </c>
      <c r="H4372" s="5" t="s">
        <v>21</v>
      </c>
      <c r="I4372" s="5" t="s">
        <v>9945</v>
      </c>
      <c r="J4372" s="12" t="str">
        <f>HYPERLINK("https://www.boe.es/gazeta/dias/1801/03/10/pdfs/GMD-1801-20.pdf#page=9","Abrir facsímil")</f>
        <v>Abrir facsímil</v>
      </c>
      <c r="K4372" s="15" t="s">
        <v>23</v>
      </c>
    </row>
    <row r="4373" spans="1:11" ht="42" customHeight="1">
      <c r="A4373" s="4" t="s">
        <v>9946</v>
      </c>
      <c r="B4373" s="5" t="s">
        <v>9947</v>
      </c>
      <c r="C4373" s="5" t="s">
        <v>38</v>
      </c>
      <c r="D4373" s="5" t="s">
        <v>39</v>
      </c>
      <c r="E4373" s="5" t="s">
        <v>48</v>
      </c>
      <c r="F4373" s="9">
        <v>20</v>
      </c>
      <c r="G4373" s="9">
        <v>264</v>
      </c>
      <c r="H4373" s="5" t="s">
        <v>21</v>
      </c>
      <c r="I4373" s="5" t="s">
        <v>9948</v>
      </c>
      <c r="J4373" s="12" t="str">
        <f>HYPERLINK("https://www.boe.es/gazeta/dias/1801/03/10/pdfs/GMD-1801-20.pdf#page=9","Abrir facsímil")</f>
        <v>Abrir facsímil</v>
      </c>
      <c r="K4373" s="15" t="s">
        <v>23</v>
      </c>
    </row>
    <row r="4374" spans="1:11" ht="42" customHeight="1">
      <c r="A4374" s="4" t="s">
        <v>9946</v>
      </c>
      <c r="B4374" s="5" t="s">
        <v>9947</v>
      </c>
      <c r="C4374" s="5" t="s">
        <v>38</v>
      </c>
      <c r="D4374" s="5" t="s">
        <v>39</v>
      </c>
      <c r="E4374" s="5" t="s">
        <v>48</v>
      </c>
      <c r="F4374" s="9">
        <v>20</v>
      </c>
      <c r="G4374" s="9">
        <v>265</v>
      </c>
      <c r="H4374" s="5" t="s">
        <v>21</v>
      </c>
      <c r="I4374" s="5" t="s">
        <v>9949</v>
      </c>
      <c r="J4374" s="12" t="str">
        <f>HYPERLINK("https://www.boe.es/gazeta/dias/1801/03/10/pdfs/GMD-1801-20.pdf#page=10","Abrir facsímil")</f>
        <v>Abrir facsímil</v>
      </c>
      <c r="K4374" s="15" t="s">
        <v>23</v>
      </c>
    </row>
    <row r="4375" spans="1:11" ht="42" customHeight="1">
      <c r="A4375" s="4" t="s">
        <v>9950</v>
      </c>
      <c r="B4375" s="5" t="s">
        <v>9951</v>
      </c>
      <c r="C4375" s="5" t="s">
        <v>75</v>
      </c>
      <c r="D4375" s="5" t="s">
        <v>76</v>
      </c>
      <c r="E4375" s="5" t="s">
        <v>219</v>
      </c>
      <c r="F4375" s="9">
        <v>26</v>
      </c>
      <c r="G4375" s="9">
        <v>341</v>
      </c>
      <c r="H4375" s="5" t="s">
        <v>21</v>
      </c>
      <c r="I4375" s="5" t="s">
        <v>9952</v>
      </c>
      <c r="J4375" s="12" t="str">
        <f>HYPERLINK("https://www.boe.es/gazeta/dias/1801/03/31/pdfs/GMD-1801-26.pdf#page=5","Abrir facsímil")</f>
        <v>Abrir facsímil</v>
      </c>
      <c r="K4375" s="15" t="s">
        <v>23</v>
      </c>
    </row>
    <row r="4376" spans="1:11" ht="42" customHeight="1">
      <c r="A4376" s="4" t="s">
        <v>9953</v>
      </c>
      <c r="B4376" s="5" t="s">
        <v>9954</v>
      </c>
      <c r="C4376" s="5" t="s">
        <v>32</v>
      </c>
      <c r="D4376" s="5" t="s">
        <v>33</v>
      </c>
      <c r="E4376" s="5" t="s">
        <v>50</v>
      </c>
      <c r="F4376" s="9">
        <v>29</v>
      </c>
      <c r="G4376" s="9">
        <v>382</v>
      </c>
      <c r="H4376" s="5" t="s">
        <v>21</v>
      </c>
      <c r="I4376" s="5" t="s">
        <v>9955</v>
      </c>
      <c r="J4376" s="12" t="str">
        <f>HYPERLINK("https://www.boe.es/gazeta/dias/1801/04/10/pdfs/GMD-1801-29.pdf#page=10","Abrir facsímil")</f>
        <v>Abrir facsímil</v>
      </c>
      <c r="K4376" s="15" t="s">
        <v>23</v>
      </c>
    </row>
    <row r="4377" spans="1:11" ht="42" customHeight="1">
      <c r="A4377" s="4" t="s">
        <v>9956</v>
      </c>
      <c r="B4377" s="5" t="s">
        <v>9957</v>
      </c>
      <c r="C4377" s="5" t="s">
        <v>80</v>
      </c>
      <c r="D4377" s="5" t="s">
        <v>81</v>
      </c>
      <c r="E4377" s="5" t="s">
        <v>289</v>
      </c>
      <c r="F4377" s="9">
        <v>40</v>
      </c>
      <c r="G4377" s="9" t="s">
        <v>299</v>
      </c>
      <c r="H4377" s="5" t="s">
        <v>21</v>
      </c>
      <c r="I4377" s="5" t="s">
        <v>9958</v>
      </c>
      <c r="J4377" s="12" t="str">
        <f>HYPERLINK("https://www.boe.es/gazeta/dias/1801/05/19/pdfs/GMD-C-1801-40.pdf#page=5","Abrir facsímil")</f>
        <v>Abrir facsímil</v>
      </c>
      <c r="K4377" s="15" t="s">
        <v>23</v>
      </c>
    </row>
    <row r="4378" spans="1:11" ht="42" customHeight="1">
      <c r="A4378" s="4" t="s">
        <v>9959</v>
      </c>
      <c r="B4378" s="5" t="s">
        <v>9960</v>
      </c>
      <c r="C4378" s="5" t="s">
        <v>32</v>
      </c>
      <c r="D4378" s="5" t="s">
        <v>33</v>
      </c>
      <c r="E4378" s="5" t="s">
        <v>194</v>
      </c>
      <c r="F4378" s="9">
        <v>92</v>
      </c>
      <c r="G4378" s="9">
        <v>1011</v>
      </c>
      <c r="H4378" s="5" t="s">
        <v>21</v>
      </c>
      <c r="I4378" s="5" t="s">
        <v>9961</v>
      </c>
      <c r="J4378" s="12" t="str">
        <f>HYPERLINK("https://www.boe.es/gazeta/dias/1801/09/25/pdfs/GMD-1801-92.pdf#page=6","Abrir facsímil")</f>
        <v>Abrir facsímil</v>
      </c>
      <c r="K4378" s="15" t="s">
        <v>23</v>
      </c>
    </row>
    <row r="4379" spans="1:11" ht="42" customHeight="1">
      <c r="A4379" s="4" t="s">
        <v>9962</v>
      </c>
      <c r="B4379" s="5" t="s">
        <v>9962</v>
      </c>
      <c r="C4379" s="5" t="s">
        <v>80</v>
      </c>
      <c r="D4379" s="5" t="s">
        <v>81</v>
      </c>
      <c r="E4379" s="5" t="s">
        <v>289</v>
      </c>
      <c r="F4379" s="9">
        <v>40</v>
      </c>
      <c r="G4379" s="9" t="s">
        <v>517</v>
      </c>
      <c r="H4379" s="5" t="s">
        <v>21</v>
      </c>
      <c r="I4379" s="5" t="s">
        <v>9963</v>
      </c>
      <c r="J4379" s="12" t="str">
        <f>HYPERLINK("https://www.boe.es/gazeta/dias/1801/05/19/pdfs/GMD-C-1801-40.pdf#page=7","Abrir facsímil")</f>
        <v>Abrir facsímil</v>
      </c>
      <c r="K4379" s="15" t="s">
        <v>23</v>
      </c>
    </row>
    <row r="4380" spans="1:11" ht="42" customHeight="1">
      <c r="A4380" s="4" t="s">
        <v>9964</v>
      </c>
      <c r="B4380" s="5" t="s">
        <v>9964</v>
      </c>
      <c r="C4380" s="5" t="s">
        <v>80</v>
      </c>
      <c r="D4380" s="5" t="s">
        <v>81</v>
      </c>
      <c r="E4380" s="5" t="s">
        <v>82</v>
      </c>
      <c r="F4380" s="9">
        <v>75</v>
      </c>
      <c r="G4380" s="9" t="s">
        <v>86</v>
      </c>
      <c r="H4380" s="5" t="s">
        <v>21</v>
      </c>
      <c r="I4380" s="5" t="s">
        <v>9965</v>
      </c>
      <c r="J4380" s="12" t="str">
        <f>HYPERLINK("https://www.boe.es/gazeta/dias/1801/08/04/pdfs/GMD-C-1801-75.pdf#page=3","Abrir facsímil")</f>
        <v>Abrir facsímil</v>
      </c>
      <c r="K4380" s="15" t="s">
        <v>23</v>
      </c>
    </row>
    <row r="4381" spans="1:11" ht="42" customHeight="1">
      <c r="A4381" s="4" t="s">
        <v>9966</v>
      </c>
      <c r="B4381" s="5" t="s">
        <v>9967</v>
      </c>
      <c r="C4381" s="5" t="s">
        <v>80</v>
      </c>
      <c r="D4381" s="5" t="s">
        <v>81</v>
      </c>
      <c r="E4381" s="5" t="s">
        <v>82</v>
      </c>
      <c r="F4381" s="9">
        <v>75</v>
      </c>
      <c r="G4381" s="9" t="s">
        <v>305</v>
      </c>
      <c r="H4381" s="5" t="s">
        <v>21</v>
      </c>
      <c r="I4381" s="5" t="s">
        <v>9968</v>
      </c>
      <c r="J4381" s="12" t="str">
        <f>HYPERLINK("https://www.boe.es/gazeta/dias/1801/08/04/pdfs/GMD-C-1801-75.pdf#page=4","Abrir facsímil")</f>
        <v>Abrir facsímil</v>
      </c>
      <c r="K4381" s="15" t="s">
        <v>23</v>
      </c>
    </row>
    <row r="4382" spans="1:11" ht="42" customHeight="1">
      <c r="A4382" s="4" t="s">
        <v>9969</v>
      </c>
      <c r="B4382" s="5" t="s">
        <v>9969</v>
      </c>
      <c r="C4382" s="5" t="s">
        <v>69</v>
      </c>
      <c r="D4382" s="5" t="s">
        <v>19</v>
      </c>
      <c r="E4382" s="5" t="s">
        <v>70</v>
      </c>
      <c r="F4382" s="9">
        <v>2</v>
      </c>
      <c r="G4382" s="9">
        <v>24</v>
      </c>
      <c r="H4382" s="5" t="s">
        <v>21</v>
      </c>
      <c r="I4382" s="5" t="s">
        <v>9970</v>
      </c>
      <c r="J4382" s="12" t="str">
        <f>HYPERLINK("https://www.boe.es/gazeta/dias/1801/01/06/pdfs/GMD-1801-2.pdf#page=12","Abrir facsímil")</f>
        <v>Abrir facsímil</v>
      </c>
      <c r="K4382" s="15" t="s">
        <v>23</v>
      </c>
    </row>
    <row r="4383" spans="1:11" ht="42" customHeight="1">
      <c r="A4383" s="4" t="s">
        <v>9971</v>
      </c>
      <c r="B4383" s="5" t="s">
        <v>9971</v>
      </c>
      <c r="C4383" s="5" t="s">
        <v>80</v>
      </c>
      <c r="D4383" s="5" t="s">
        <v>81</v>
      </c>
      <c r="E4383" s="5" t="s">
        <v>82</v>
      </c>
      <c r="F4383" s="9">
        <v>75</v>
      </c>
      <c r="G4383" s="9" t="s">
        <v>517</v>
      </c>
      <c r="H4383" s="5" t="s">
        <v>21</v>
      </c>
      <c r="I4383" s="5" t="s">
        <v>9972</v>
      </c>
      <c r="J4383" s="12" t="str">
        <f>HYPERLINK("https://www.boe.es/gazeta/dias/1801/08/04/pdfs/GMD-C-1801-75.pdf#page=7","Abrir facsímil")</f>
        <v>Abrir facsímil</v>
      </c>
      <c r="K4383" s="15" t="s">
        <v>23</v>
      </c>
    </row>
    <row r="4384" spans="1:11" ht="42" customHeight="1">
      <c r="A4384" s="4" t="s">
        <v>9973</v>
      </c>
      <c r="B4384" s="5" t="s">
        <v>9974</v>
      </c>
      <c r="C4384" s="5" t="s">
        <v>26</v>
      </c>
      <c r="D4384" s="5" t="s">
        <v>27</v>
      </c>
      <c r="E4384" s="5" t="s">
        <v>99</v>
      </c>
      <c r="F4384" s="9">
        <v>32</v>
      </c>
      <c r="G4384" s="9">
        <v>416</v>
      </c>
      <c r="H4384" s="5" t="s">
        <v>21</v>
      </c>
      <c r="I4384" s="5" t="s">
        <v>9975</v>
      </c>
      <c r="J4384" s="12" t="str">
        <f>HYPERLINK("https://www.boe.es/gazeta/dias/1801/04/21/pdfs/GMD-1801-32.pdf#page=12","Abrir facsímil")</f>
        <v>Abrir facsímil</v>
      </c>
      <c r="K4384" s="15" t="s">
        <v>23</v>
      </c>
    </row>
    <row r="4385" spans="1:11" ht="42" customHeight="1">
      <c r="A4385" s="4" t="s">
        <v>9976</v>
      </c>
      <c r="B4385" s="5" t="s">
        <v>9976</v>
      </c>
      <c r="C4385" s="5" t="s">
        <v>80</v>
      </c>
      <c r="D4385" s="5" t="s">
        <v>81</v>
      </c>
      <c r="E4385" s="5" t="s">
        <v>82</v>
      </c>
      <c r="F4385" s="9">
        <v>75</v>
      </c>
      <c r="G4385" s="9" t="s">
        <v>517</v>
      </c>
      <c r="H4385" s="5" t="s">
        <v>21</v>
      </c>
      <c r="I4385" s="5" t="s">
        <v>9977</v>
      </c>
      <c r="J4385" s="12" t="str">
        <f>HYPERLINK("https://www.boe.es/gazeta/dias/1801/08/04/pdfs/GMD-C-1801-75.pdf#page=7","Abrir facsímil")</f>
        <v>Abrir facsímil</v>
      </c>
      <c r="K4385" s="15" t="s">
        <v>23</v>
      </c>
    </row>
    <row r="4386" spans="1:11" ht="42" customHeight="1">
      <c r="A4386" s="4" t="s">
        <v>9978</v>
      </c>
      <c r="B4386" s="5" t="s">
        <v>9978</v>
      </c>
      <c r="C4386" s="5" t="s">
        <v>80</v>
      </c>
      <c r="D4386" s="5" t="s">
        <v>81</v>
      </c>
      <c r="E4386" s="5" t="s">
        <v>82</v>
      </c>
      <c r="F4386" s="9">
        <v>75</v>
      </c>
      <c r="G4386" s="9" t="s">
        <v>86</v>
      </c>
      <c r="H4386" s="5" t="s">
        <v>21</v>
      </c>
      <c r="I4386" s="5" t="s">
        <v>9979</v>
      </c>
      <c r="J4386" s="12" t="str">
        <f>HYPERLINK("https://www.boe.es/gazeta/dias/1801/08/04/pdfs/GMD-C-1801-75.pdf#page=3","Abrir facsímil")</f>
        <v>Abrir facsímil</v>
      </c>
      <c r="K4386" s="15" t="s">
        <v>23</v>
      </c>
    </row>
    <row r="4387" spans="1:11" ht="42" customHeight="1">
      <c r="A4387" s="4" t="s">
        <v>9980</v>
      </c>
      <c r="B4387" s="5" t="s">
        <v>9980</v>
      </c>
      <c r="C4387" s="5" t="s">
        <v>32</v>
      </c>
      <c r="D4387" s="5" t="s">
        <v>33</v>
      </c>
      <c r="E4387" s="5" t="s">
        <v>264</v>
      </c>
      <c r="F4387" s="9">
        <v>111</v>
      </c>
      <c r="G4387" s="9">
        <v>1218</v>
      </c>
      <c r="H4387" s="5" t="s">
        <v>21</v>
      </c>
      <c r="I4387" s="5" t="s">
        <v>9981</v>
      </c>
      <c r="J4387" s="12" t="str">
        <f>HYPERLINK("https://www.boe.es/gazeta/dias/1801/12/01/pdfs/GMD-1801-111.pdf#page=7","Abrir facsímil")</f>
        <v>Abrir facsímil</v>
      </c>
      <c r="K4387" s="15" t="s">
        <v>23</v>
      </c>
    </row>
    <row r="4388" spans="1:11" ht="42" customHeight="1">
      <c r="A4388" s="4" t="s">
        <v>9982</v>
      </c>
      <c r="B4388" s="5" t="s">
        <v>9982</v>
      </c>
      <c r="C4388" s="5" t="s">
        <v>75</v>
      </c>
      <c r="D4388" s="5" t="s">
        <v>76</v>
      </c>
      <c r="E4388" s="5" t="s">
        <v>702</v>
      </c>
      <c r="F4388" s="9">
        <v>69</v>
      </c>
      <c r="G4388" s="9">
        <v>760</v>
      </c>
      <c r="H4388" s="5" t="s">
        <v>21</v>
      </c>
      <c r="I4388" s="5" t="s">
        <v>9983</v>
      </c>
      <c r="J4388" s="12" t="str">
        <f>HYPERLINK("https://www.boe.es/gazeta/dias/1801/07/14/pdfs/GMD-1801-69.pdf#page=5","Abrir facsímil")</f>
        <v>Abrir facsímil</v>
      </c>
      <c r="K4388" s="15" t="s">
        <v>23</v>
      </c>
    </row>
    <row r="4389" spans="1:11" ht="42" customHeight="1">
      <c r="A4389" s="4" t="s">
        <v>9984</v>
      </c>
      <c r="B4389" s="5" t="s">
        <v>9984</v>
      </c>
      <c r="C4389" s="5" t="s">
        <v>80</v>
      </c>
      <c r="D4389" s="5" t="s">
        <v>81</v>
      </c>
      <c r="E4389" s="5" t="s">
        <v>82</v>
      </c>
      <c r="F4389" s="9">
        <v>75</v>
      </c>
      <c r="G4389" s="9" t="s">
        <v>299</v>
      </c>
      <c r="H4389" s="5" t="s">
        <v>21</v>
      </c>
      <c r="I4389" s="5" t="s">
        <v>9985</v>
      </c>
      <c r="J4389" s="12" t="str">
        <f>HYPERLINK("https://www.boe.es/gazeta/dias/1801/08/04/pdfs/GMD-C-1801-75.pdf#page=5","Abrir facsímil")</f>
        <v>Abrir facsímil</v>
      </c>
      <c r="K4389" s="15" t="s">
        <v>23</v>
      </c>
    </row>
    <row r="4390" spans="1:11" ht="42" customHeight="1">
      <c r="A4390" s="4" t="s">
        <v>9986</v>
      </c>
      <c r="B4390" s="5" t="s">
        <v>9986</v>
      </c>
      <c r="C4390" s="5" t="s">
        <v>32</v>
      </c>
      <c r="D4390" s="5" t="s">
        <v>33</v>
      </c>
      <c r="E4390" s="5" t="s">
        <v>90</v>
      </c>
      <c r="F4390" s="9">
        <v>1</v>
      </c>
      <c r="G4390" s="9">
        <v>9</v>
      </c>
      <c r="H4390" s="5" t="s">
        <v>21</v>
      </c>
      <c r="I4390" s="5" t="s">
        <v>9987</v>
      </c>
      <c r="J4390" s="12" t="str">
        <f>HYPERLINK("https://www.boe.es/gazeta/dias/1801/01/02/pdfs/GMD-1801-1.pdf#page=9","Abrir facsímil")</f>
        <v>Abrir facsímil</v>
      </c>
      <c r="K4390" s="15" t="s">
        <v>23</v>
      </c>
    </row>
    <row r="4391" spans="1:11" ht="42" customHeight="1">
      <c r="A4391" s="4" t="s">
        <v>9986</v>
      </c>
      <c r="B4391" s="5" t="s">
        <v>9986</v>
      </c>
      <c r="C4391" s="5" t="s">
        <v>32</v>
      </c>
      <c r="D4391" s="5" t="s">
        <v>33</v>
      </c>
      <c r="E4391" s="5" t="s">
        <v>120</v>
      </c>
      <c r="F4391" s="9">
        <v>7</v>
      </c>
      <c r="G4391" s="9">
        <v>84</v>
      </c>
      <c r="H4391" s="5" t="s">
        <v>21</v>
      </c>
      <c r="I4391" s="5" t="s">
        <v>9988</v>
      </c>
      <c r="J4391" s="12" t="str">
        <f>HYPERLINK("https://www.boe.es/gazeta/dias/1801/01/23/pdfs/GMD-1801-7.pdf#page=8","Abrir facsímil")</f>
        <v>Abrir facsímil</v>
      </c>
      <c r="K4391" s="15" t="s">
        <v>23</v>
      </c>
    </row>
    <row r="4392" spans="1:11" ht="42" customHeight="1">
      <c r="A4392" s="4" t="s">
        <v>9989</v>
      </c>
      <c r="B4392" s="5" t="s">
        <v>9989</v>
      </c>
      <c r="C4392" s="5" t="s">
        <v>80</v>
      </c>
      <c r="D4392" s="5" t="s">
        <v>81</v>
      </c>
      <c r="E4392" s="5" t="s">
        <v>82</v>
      </c>
      <c r="F4392" s="9">
        <v>75</v>
      </c>
      <c r="G4392" s="9" t="s">
        <v>86</v>
      </c>
      <c r="H4392" s="5" t="s">
        <v>21</v>
      </c>
      <c r="I4392" s="5" t="s">
        <v>9990</v>
      </c>
      <c r="J4392" s="12" t="str">
        <f>HYPERLINK("https://www.boe.es/gazeta/dias/1801/08/04/pdfs/GMD-C-1801-75.pdf#page=3","Abrir facsímil")</f>
        <v>Abrir facsímil</v>
      </c>
      <c r="K4392" s="15" t="s">
        <v>23</v>
      </c>
    </row>
    <row r="4393" spans="1:11" ht="42" customHeight="1">
      <c r="A4393" s="4" t="s">
        <v>9991</v>
      </c>
      <c r="B4393" s="5" t="s">
        <v>9991</v>
      </c>
      <c r="C4393" s="5" t="s">
        <v>80</v>
      </c>
      <c r="D4393" s="5" t="s">
        <v>81</v>
      </c>
      <c r="E4393" s="5" t="s">
        <v>82</v>
      </c>
      <c r="F4393" s="9">
        <v>75</v>
      </c>
      <c r="G4393" s="9" t="s">
        <v>996</v>
      </c>
      <c r="H4393" s="5" t="s">
        <v>21</v>
      </c>
      <c r="I4393" s="5" t="s">
        <v>9992</v>
      </c>
      <c r="J4393" s="12" t="str">
        <f>HYPERLINK("https://www.boe.es/gazeta/dias/1801/08/04/pdfs/GMD-C-1801-75.pdf#page=6","Abrir facsímil")</f>
        <v>Abrir facsímil</v>
      </c>
      <c r="K4393" s="15" t="s">
        <v>23</v>
      </c>
    </row>
    <row r="4394" spans="1:11" ht="42" customHeight="1">
      <c r="A4394" s="4" t="s">
        <v>9993</v>
      </c>
      <c r="B4394" s="5" t="s">
        <v>9993</v>
      </c>
      <c r="C4394" s="5" t="s">
        <v>32</v>
      </c>
      <c r="D4394" s="5" t="s">
        <v>33</v>
      </c>
      <c r="E4394" s="5" t="s">
        <v>90</v>
      </c>
      <c r="F4394" s="9">
        <v>1</v>
      </c>
      <c r="G4394" s="9">
        <v>8</v>
      </c>
      <c r="H4394" s="5" t="s">
        <v>21</v>
      </c>
      <c r="I4394" s="5" t="s">
        <v>9994</v>
      </c>
      <c r="J4394" s="12" t="str">
        <f>HYPERLINK("https://www.boe.es/gazeta/dias/1801/01/02/pdfs/GMD-1801-1.pdf#page=8","Abrir facsímil")</f>
        <v>Abrir facsímil</v>
      </c>
      <c r="K4394" s="15" t="s">
        <v>23</v>
      </c>
    </row>
    <row r="4395" spans="1:11" ht="42" customHeight="1">
      <c r="A4395" s="4" t="s">
        <v>9995</v>
      </c>
      <c r="B4395" s="5" t="s">
        <v>9995</v>
      </c>
      <c r="C4395" s="5" t="s">
        <v>80</v>
      </c>
      <c r="D4395" s="5" t="s">
        <v>81</v>
      </c>
      <c r="E4395" s="5" t="s">
        <v>82</v>
      </c>
      <c r="F4395" s="9">
        <v>75</v>
      </c>
      <c r="G4395" s="9" t="s">
        <v>83</v>
      </c>
      <c r="H4395" s="5" t="s">
        <v>21</v>
      </c>
      <c r="I4395" s="5" t="s">
        <v>9996</v>
      </c>
      <c r="J4395" s="12" t="str">
        <f>HYPERLINK("https://www.boe.es/gazeta/dias/1801/08/04/pdfs/GMD-C-1801-75.pdf#page=2","Abrir facsímil")</f>
        <v>Abrir facsímil</v>
      </c>
      <c r="K4395" s="15" t="s">
        <v>23</v>
      </c>
    </row>
    <row r="4396" spans="1:11" ht="42" customHeight="1">
      <c r="A4396" s="4" t="s">
        <v>9997</v>
      </c>
      <c r="B4396" s="5" t="s">
        <v>9997</v>
      </c>
      <c r="C4396" s="5" t="s">
        <v>75</v>
      </c>
      <c r="D4396" s="5" t="s">
        <v>76</v>
      </c>
      <c r="E4396" s="5" t="s">
        <v>137</v>
      </c>
      <c r="F4396" s="9">
        <v>30</v>
      </c>
      <c r="G4396" s="9">
        <v>390</v>
      </c>
      <c r="H4396" s="5" t="s">
        <v>21</v>
      </c>
      <c r="I4396" s="5" t="s">
        <v>9998</v>
      </c>
      <c r="J4396" s="12" t="str">
        <f>HYPERLINK("https://www.boe.es/gazeta/dias/1801/04/14/pdfs/GMD-1801-30.pdf#page=6","Abrir facsímil")</f>
        <v>Abrir facsímil</v>
      </c>
      <c r="K4396" s="15" t="s">
        <v>23</v>
      </c>
    </row>
    <row r="4397" spans="1:11" ht="42" customHeight="1">
      <c r="A4397" s="4" t="s">
        <v>9999</v>
      </c>
      <c r="B4397" s="5" t="s">
        <v>9999</v>
      </c>
      <c r="C4397" s="5" t="s">
        <v>75</v>
      </c>
      <c r="D4397" s="5" t="s">
        <v>76</v>
      </c>
      <c r="E4397" s="5" t="s">
        <v>349</v>
      </c>
      <c r="F4397" s="9">
        <v>112</v>
      </c>
      <c r="G4397" s="9">
        <v>1223</v>
      </c>
      <c r="H4397" s="5" t="s">
        <v>21</v>
      </c>
      <c r="I4397" s="5" t="s">
        <v>10000</v>
      </c>
      <c r="J4397" s="12" t="str">
        <f>HYPERLINK("https://www.boe.es/gazeta/dias/1801/12/04/pdfs/GMD-1801-112.pdf#page=4","Abrir facsímil")</f>
        <v>Abrir facsímil</v>
      </c>
      <c r="K4397" s="15" t="s">
        <v>23</v>
      </c>
    </row>
    <row r="4398" spans="1:11" ht="42" customHeight="1">
      <c r="A4398" s="4" t="s">
        <v>10001</v>
      </c>
      <c r="B4398" s="5" t="s">
        <v>10001</v>
      </c>
      <c r="C4398" s="5" t="s">
        <v>80</v>
      </c>
      <c r="D4398" s="5" t="s">
        <v>81</v>
      </c>
      <c r="E4398" s="5" t="s">
        <v>82</v>
      </c>
      <c r="F4398" s="9">
        <v>75</v>
      </c>
      <c r="G4398" s="9" t="s">
        <v>305</v>
      </c>
      <c r="H4398" s="5" t="s">
        <v>21</v>
      </c>
      <c r="I4398" s="5" t="s">
        <v>10002</v>
      </c>
      <c r="J4398" s="12" t="str">
        <f>HYPERLINK("https://www.boe.es/gazeta/dias/1801/08/04/pdfs/GMD-C-1801-75.pdf#page=4","Abrir facsímil")</f>
        <v>Abrir facsímil</v>
      </c>
      <c r="K4398" s="15" t="s">
        <v>23</v>
      </c>
    </row>
    <row r="4399" spans="1:11" ht="42" customHeight="1">
      <c r="A4399" s="4" t="s">
        <v>10003</v>
      </c>
      <c r="B4399" s="5" t="s">
        <v>10003</v>
      </c>
      <c r="C4399" s="5" t="s">
        <v>80</v>
      </c>
      <c r="D4399" s="5" t="s">
        <v>81</v>
      </c>
      <c r="E4399" s="5" t="s">
        <v>82</v>
      </c>
      <c r="F4399" s="9">
        <v>75</v>
      </c>
      <c r="G4399" s="9" t="s">
        <v>299</v>
      </c>
      <c r="H4399" s="5" t="s">
        <v>21</v>
      </c>
      <c r="I4399" s="5" t="s">
        <v>10004</v>
      </c>
      <c r="J4399" s="12" t="str">
        <f>HYPERLINK("https://www.boe.es/gazeta/dias/1801/08/04/pdfs/GMD-C-1801-75.pdf#page=5","Abrir facsímil")</f>
        <v>Abrir facsímil</v>
      </c>
      <c r="K4399" s="15" t="s">
        <v>23</v>
      </c>
    </row>
    <row r="4400" spans="1:11" ht="42" customHeight="1">
      <c r="A4400" s="4" t="s">
        <v>10005</v>
      </c>
      <c r="B4400" s="5" t="s">
        <v>10005</v>
      </c>
      <c r="C4400" s="5" t="s">
        <v>32</v>
      </c>
      <c r="D4400" s="5" t="s">
        <v>33</v>
      </c>
      <c r="E4400" s="5" t="s">
        <v>781</v>
      </c>
      <c r="F4400" s="9">
        <v>14</v>
      </c>
      <c r="G4400" s="9">
        <v>173</v>
      </c>
      <c r="H4400" s="5" t="s">
        <v>21</v>
      </c>
      <c r="I4400" s="5" t="s">
        <v>10006</v>
      </c>
      <c r="J4400" s="12" t="str">
        <f>HYPERLINK("https://www.boe.es/gazeta/dias/1801/02/17/pdfs/GMD-1801-14.pdf#page=8","Abrir facsímil")</f>
        <v>Abrir facsímil</v>
      </c>
      <c r="K4400" s="15" t="s">
        <v>23</v>
      </c>
    </row>
    <row r="4401" spans="1:11" ht="42" customHeight="1">
      <c r="A4401" s="4" t="s">
        <v>10007</v>
      </c>
      <c r="B4401" s="5" t="s">
        <v>10007</v>
      </c>
      <c r="C4401" s="5" t="s">
        <v>32</v>
      </c>
      <c r="D4401" s="5" t="s">
        <v>33</v>
      </c>
      <c r="E4401" s="5" t="s">
        <v>135</v>
      </c>
      <c r="F4401" s="9">
        <v>24</v>
      </c>
      <c r="G4401" s="9">
        <v>318</v>
      </c>
      <c r="H4401" s="5" t="s">
        <v>21</v>
      </c>
      <c r="I4401" s="5" t="s">
        <v>10008</v>
      </c>
      <c r="J4401" s="12" t="str">
        <f>HYPERLINK("https://www.boe.es/gazeta/dias/1801/03/24/pdfs/GMD-1801-24.pdf#page=9","Abrir facsímil")</f>
        <v>Abrir facsímil</v>
      </c>
      <c r="K4401" s="15" t="s">
        <v>23</v>
      </c>
    </row>
    <row r="4402" spans="1:11" ht="42" customHeight="1">
      <c r="A4402" s="4" t="s">
        <v>10009</v>
      </c>
      <c r="B4402" s="5" t="s">
        <v>10009</v>
      </c>
      <c r="C4402" s="5" t="s">
        <v>75</v>
      </c>
      <c r="D4402" s="5" t="s">
        <v>76</v>
      </c>
      <c r="E4402" s="5" t="s">
        <v>254</v>
      </c>
      <c r="F4402" s="9">
        <v>73</v>
      </c>
      <c r="G4402" s="9">
        <v>811</v>
      </c>
      <c r="H4402" s="5" t="s">
        <v>21</v>
      </c>
      <c r="I4402" s="5" t="s">
        <v>10010</v>
      </c>
      <c r="J4402" s="12" t="str">
        <f>HYPERLINK("https://www.boe.es/gazeta/dias/1801/07/28/pdfs/GMD-1801-73.pdf#page=4","Abrir facsímil")</f>
        <v>Abrir facsímil</v>
      </c>
      <c r="K4402" s="15" t="s">
        <v>23</v>
      </c>
    </row>
    <row r="4403" spans="1:11" ht="42" customHeight="1">
      <c r="A4403" s="4" t="s">
        <v>10011</v>
      </c>
      <c r="B4403" s="5" t="s">
        <v>10011</v>
      </c>
      <c r="C4403" s="5" t="s">
        <v>32</v>
      </c>
      <c r="D4403" s="5" t="s">
        <v>33</v>
      </c>
      <c r="E4403" s="5" t="s">
        <v>128</v>
      </c>
      <c r="F4403" s="9">
        <v>17</v>
      </c>
      <c r="G4403" s="9">
        <v>214</v>
      </c>
      <c r="H4403" s="5" t="s">
        <v>21</v>
      </c>
      <c r="I4403" s="5" t="s">
        <v>10012</v>
      </c>
      <c r="J4403" s="12" t="str">
        <f>HYPERLINK("https://www.boe.es/gazeta/dias/1801/02/27/pdfs/GMD-1801-17.pdf#page=9","Abrir facsímil")</f>
        <v>Abrir facsímil</v>
      </c>
      <c r="K4403" s="15" t="s">
        <v>23</v>
      </c>
    </row>
    <row r="4404" spans="1:11" ht="42" customHeight="1">
      <c r="A4404" s="4" t="s">
        <v>10013</v>
      </c>
      <c r="B4404" s="5" t="s">
        <v>10014</v>
      </c>
      <c r="C4404" s="5" t="s">
        <v>32</v>
      </c>
      <c r="D4404" s="5" t="s">
        <v>33</v>
      </c>
      <c r="E4404" s="5" t="s">
        <v>378</v>
      </c>
      <c r="F4404" s="9">
        <v>23</v>
      </c>
      <c r="G4404" s="9">
        <v>306</v>
      </c>
      <c r="H4404" s="5" t="s">
        <v>21</v>
      </c>
      <c r="I4404" s="5" t="s">
        <v>10015</v>
      </c>
      <c r="J4404" s="12" t="str">
        <f>HYPERLINK("https://www.boe.es/gazeta/dias/1801/03/20/pdfs/GMD-1801-23.pdf#page=9","Abrir facsímil")</f>
        <v>Abrir facsímil</v>
      </c>
      <c r="K4404" s="15" t="s">
        <v>23</v>
      </c>
    </row>
    <row r="4405" spans="1:11" ht="42" customHeight="1">
      <c r="A4405" s="4" t="s">
        <v>10016</v>
      </c>
      <c r="B4405" s="5" t="s">
        <v>10016</v>
      </c>
      <c r="C4405" s="5" t="s">
        <v>18</v>
      </c>
      <c r="D4405" s="5" t="s">
        <v>19</v>
      </c>
      <c r="E4405" s="5" t="s">
        <v>182</v>
      </c>
      <c r="F4405" s="9">
        <v>18</v>
      </c>
      <c r="G4405" s="9">
        <v>232</v>
      </c>
      <c r="H4405" s="5" t="s">
        <v>21</v>
      </c>
      <c r="I4405" s="5" t="s">
        <v>10017</v>
      </c>
      <c r="J4405" s="12" t="str">
        <f>HYPERLINK("https://www.boe.es/gazeta/dias/1801/03/03/pdfs/GMD-C-1801-18.pdf#page=1","Abrir facsímil")</f>
        <v>Abrir facsímil</v>
      </c>
      <c r="K4405" s="15" t="s">
        <v>23</v>
      </c>
    </row>
    <row r="4406" spans="1:11" ht="42" customHeight="1">
      <c r="A4406" s="4" t="s">
        <v>10018</v>
      </c>
      <c r="B4406" s="5" t="s">
        <v>10018</v>
      </c>
      <c r="C4406" s="5" t="s">
        <v>32</v>
      </c>
      <c r="D4406" s="5" t="s">
        <v>33</v>
      </c>
      <c r="E4406" s="5" t="s">
        <v>221</v>
      </c>
      <c r="F4406" s="9">
        <v>28</v>
      </c>
      <c r="G4406" s="9">
        <v>370</v>
      </c>
      <c r="H4406" s="5" t="s">
        <v>21</v>
      </c>
      <c r="I4406" s="5" t="s">
        <v>10019</v>
      </c>
      <c r="J4406" s="12" t="str">
        <f>HYPERLINK("https://www.boe.es/gazeta/dias/1801/04/07/pdfs/GMD-1801-28.pdf#page=10","Abrir facsímil")</f>
        <v>Abrir facsímil</v>
      </c>
      <c r="K4406" s="15" t="s">
        <v>23</v>
      </c>
    </row>
    <row r="4407" spans="1:11" ht="42" customHeight="1">
      <c r="A4407" s="4" t="s">
        <v>10020</v>
      </c>
      <c r="B4407" s="5" t="s">
        <v>10020</v>
      </c>
      <c r="C4407" s="5" t="s">
        <v>75</v>
      </c>
      <c r="D4407" s="5" t="s">
        <v>76</v>
      </c>
      <c r="E4407" s="5" t="s">
        <v>48</v>
      </c>
      <c r="F4407" s="9">
        <v>20</v>
      </c>
      <c r="G4407" s="9">
        <v>260</v>
      </c>
      <c r="H4407" s="5" t="s">
        <v>21</v>
      </c>
      <c r="I4407" s="5" t="s">
        <v>10021</v>
      </c>
      <c r="J4407" s="12" t="str">
        <f>HYPERLINK("https://www.boe.es/gazeta/dias/1801/03/10/pdfs/GMD-1801-20.pdf#page=5","Abrir facsímil")</f>
        <v>Abrir facsímil</v>
      </c>
      <c r="K4407" s="15" t="s">
        <v>23</v>
      </c>
    </row>
    <row r="4408" spans="1:11" ht="42" customHeight="1">
      <c r="A4408" s="4" t="s">
        <v>10020</v>
      </c>
      <c r="B4408" s="5" t="s">
        <v>10020</v>
      </c>
      <c r="C4408" s="5" t="s">
        <v>32</v>
      </c>
      <c r="D4408" s="5" t="s">
        <v>33</v>
      </c>
      <c r="E4408" s="5" t="s">
        <v>66</v>
      </c>
      <c r="F4408" s="9">
        <v>52</v>
      </c>
      <c r="G4408" s="9">
        <v>607</v>
      </c>
      <c r="H4408" s="5" t="s">
        <v>21</v>
      </c>
      <c r="I4408" s="5" t="s">
        <v>10022</v>
      </c>
      <c r="J4408" s="12" t="str">
        <f>HYPERLINK("https://www.boe.es/gazeta/dias/1801/06/12/pdfs/GMD-1801-52.pdf#page=6","Abrir facsímil")</f>
        <v>Abrir facsímil</v>
      </c>
      <c r="K4408" s="15" t="s">
        <v>23</v>
      </c>
    </row>
    <row r="4409" spans="1:11" ht="42" customHeight="1">
      <c r="A4409" s="4" t="s">
        <v>10023</v>
      </c>
      <c r="B4409" s="5" t="s">
        <v>10023</v>
      </c>
      <c r="C4409" s="5" t="s">
        <v>75</v>
      </c>
      <c r="D4409" s="5" t="s">
        <v>76</v>
      </c>
      <c r="E4409" s="5" t="s">
        <v>219</v>
      </c>
      <c r="F4409" s="9">
        <v>26</v>
      </c>
      <c r="G4409" s="9">
        <v>341</v>
      </c>
      <c r="H4409" s="5" t="s">
        <v>21</v>
      </c>
      <c r="I4409" s="5" t="s">
        <v>10024</v>
      </c>
      <c r="J4409" s="12" t="str">
        <f>HYPERLINK("https://www.boe.es/gazeta/dias/1801/03/31/pdfs/GMD-1801-26.pdf#page=5","Abrir facsímil")</f>
        <v>Abrir facsímil</v>
      </c>
      <c r="K4409" s="15" t="s">
        <v>23</v>
      </c>
    </row>
    <row r="4410" spans="1:11" ht="42" customHeight="1">
      <c r="A4410" s="4" t="s">
        <v>10025</v>
      </c>
      <c r="B4410" s="5" t="s">
        <v>10026</v>
      </c>
      <c r="C4410" s="5" t="s">
        <v>38</v>
      </c>
      <c r="D4410" s="5" t="s">
        <v>39</v>
      </c>
      <c r="E4410" s="5" t="s">
        <v>453</v>
      </c>
      <c r="F4410" s="9">
        <v>100</v>
      </c>
      <c r="G4410" s="9">
        <v>1094</v>
      </c>
      <c r="H4410" s="5" t="s">
        <v>21</v>
      </c>
      <c r="I4410" s="5" t="s">
        <v>10027</v>
      </c>
      <c r="J4410" s="12" t="str">
        <f>HYPERLINK("https://www.boe.es/gazeta/dias/1801/10/23/pdfs/GMD-1801-100.pdf#page=3","Abrir facsímil")</f>
        <v>Abrir facsímil</v>
      </c>
      <c r="K4410" s="15" t="s">
        <v>23</v>
      </c>
    </row>
    <row r="4411" spans="1:11" ht="42" customHeight="1">
      <c r="A4411" s="4" t="s">
        <v>10028</v>
      </c>
      <c r="B4411" s="5" t="s">
        <v>10029</v>
      </c>
      <c r="C4411" s="5" t="s">
        <v>75</v>
      </c>
      <c r="D4411" s="5" t="s">
        <v>76</v>
      </c>
      <c r="E4411" s="5" t="s">
        <v>1085</v>
      </c>
      <c r="F4411" s="9">
        <v>99</v>
      </c>
      <c r="G4411" s="9">
        <v>1085</v>
      </c>
      <c r="H4411" s="5" t="s">
        <v>21</v>
      </c>
      <c r="I4411" s="5" t="s">
        <v>10030</v>
      </c>
      <c r="J4411" s="12" t="str">
        <f>HYPERLINK("https://www.boe.es/gazeta/dias/1801/10/20/pdfs/GMD-1801-99.pdf#page=2","Abrir facsímil")</f>
        <v>Abrir facsímil</v>
      </c>
      <c r="K4411" s="15" t="s">
        <v>23</v>
      </c>
    </row>
    <row r="4412" spans="1:11" ht="42" customHeight="1">
      <c r="A4412" s="4" t="s">
        <v>10031</v>
      </c>
      <c r="B4412" s="5" t="s">
        <v>10031</v>
      </c>
      <c r="C4412" s="5" t="s">
        <v>69</v>
      </c>
      <c r="D4412" s="5" t="s">
        <v>19</v>
      </c>
      <c r="E4412" s="5" t="s">
        <v>1085</v>
      </c>
      <c r="F4412" s="9">
        <v>99</v>
      </c>
      <c r="G4412" s="9">
        <v>1089</v>
      </c>
      <c r="H4412" s="5" t="s">
        <v>21</v>
      </c>
      <c r="I4412" s="5" t="s">
        <v>10032</v>
      </c>
      <c r="J4412" s="12" t="str">
        <f>HYPERLINK("https://www.boe.es/gazeta/dias/1801/10/20/pdfs/GMD-1801-99.pdf#page=6","Abrir facsímil")</f>
        <v>Abrir facsímil</v>
      </c>
      <c r="K4412" s="15" t="s">
        <v>23</v>
      </c>
    </row>
    <row r="4413" spans="1:11" ht="42" customHeight="1">
      <c r="A4413" s="4" t="s">
        <v>10033</v>
      </c>
      <c r="B4413" s="5" t="s">
        <v>10033</v>
      </c>
      <c r="C4413" s="5" t="s">
        <v>26</v>
      </c>
      <c r="D4413" s="5" t="s">
        <v>27</v>
      </c>
      <c r="E4413" s="5" t="s">
        <v>72</v>
      </c>
      <c r="F4413" s="9">
        <v>60</v>
      </c>
      <c r="G4413" s="9">
        <v>685</v>
      </c>
      <c r="H4413" s="5" t="s">
        <v>21</v>
      </c>
      <c r="I4413" s="5" t="s">
        <v>10034</v>
      </c>
      <c r="J4413" s="12" t="str">
        <f>HYPERLINK("https://www.boe.es/gazeta/dias/1801/06/26/pdfs/GMD-1801-60.pdf#page=6","Abrir facsímil")</f>
        <v>Abrir facsímil</v>
      </c>
      <c r="K4413" s="15" t="s">
        <v>23</v>
      </c>
    </row>
    <row r="4414" spans="1:11" ht="42" customHeight="1">
      <c r="A4414" s="4" t="s">
        <v>10033</v>
      </c>
      <c r="B4414" s="5" t="s">
        <v>10033</v>
      </c>
      <c r="C4414" s="5" t="s">
        <v>75</v>
      </c>
      <c r="D4414" s="5" t="s">
        <v>76</v>
      </c>
      <c r="E4414" s="5" t="s">
        <v>338</v>
      </c>
      <c r="F4414" s="9">
        <v>83</v>
      </c>
      <c r="G4414" s="9">
        <v>933</v>
      </c>
      <c r="H4414" s="5" t="s">
        <v>21</v>
      </c>
      <c r="I4414" s="5" t="s">
        <v>10035</v>
      </c>
      <c r="J4414" s="12" t="str">
        <f>HYPERLINK("https://www.boe.es/gazeta/dias/1801/09/01/pdfs/GMD-1801-83.pdf#page=8","Abrir facsímil")</f>
        <v>Abrir facsímil</v>
      </c>
      <c r="K4414" s="15" t="s">
        <v>23</v>
      </c>
    </row>
    <row r="4415" spans="1:11" ht="42" customHeight="1">
      <c r="A4415" s="4" t="s">
        <v>10033</v>
      </c>
      <c r="B4415" s="5" t="s">
        <v>10033</v>
      </c>
      <c r="C4415" s="5" t="s">
        <v>32</v>
      </c>
      <c r="D4415" s="5" t="s">
        <v>33</v>
      </c>
      <c r="E4415" s="5" t="s">
        <v>112</v>
      </c>
      <c r="F4415" s="9">
        <v>114</v>
      </c>
      <c r="G4415" s="9">
        <v>1242</v>
      </c>
      <c r="H4415" s="5" t="s">
        <v>21</v>
      </c>
      <c r="I4415" s="5" t="s">
        <v>10036</v>
      </c>
      <c r="J4415" s="12" t="str">
        <f>HYPERLINK("https://www.boe.es/gazeta/dias/1801/12/11/pdfs/GMD-1801-114.pdf#page=4","Abrir facsímil")</f>
        <v>Abrir facsímil</v>
      </c>
      <c r="K4415" s="15" t="s">
        <v>23</v>
      </c>
    </row>
    <row r="4416" spans="1:11" ht="42" customHeight="1">
      <c r="A4416" s="4" t="s">
        <v>10033</v>
      </c>
      <c r="B4416" s="5" t="s">
        <v>10033</v>
      </c>
      <c r="C4416" s="5" t="s">
        <v>38</v>
      </c>
      <c r="D4416" s="5" t="s">
        <v>39</v>
      </c>
      <c r="E4416" s="5" t="s">
        <v>112</v>
      </c>
      <c r="F4416" s="9">
        <v>114</v>
      </c>
      <c r="G4416" s="9">
        <v>1248</v>
      </c>
      <c r="H4416" s="5" t="s">
        <v>21</v>
      </c>
      <c r="I4416" s="5" t="s">
        <v>10037</v>
      </c>
      <c r="J4416" s="12" t="str">
        <f>HYPERLINK("https://www.boe.es/gazeta/dias/1801/12/11/pdfs/GMD-1801-114.pdf#page=10","Abrir facsímil")</f>
        <v>Abrir facsímil</v>
      </c>
      <c r="K4416" s="15" t="s">
        <v>23</v>
      </c>
    </row>
    <row r="4417" spans="1:11" ht="42" customHeight="1">
      <c r="A4417" s="4" t="s">
        <v>10038</v>
      </c>
      <c r="B4417" s="5" t="s">
        <v>10038</v>
      </c>
      <c r="C4417" s="5" t="s">
        <v>32</v>
      </c>
      <c r="D4417" s="5" t="s">
        <v>33</v>
      </c>
      <c r="E4417" s="5" t="s">
        <v>120</v>
      </c>
      <c r="F4417" s="9">
        <v>7</v>
      </c>
      <c r="G4417" s="9">
        <v>84</v>
      </c>
      <c r="H4417" s="5" t="s">
        <v>21</v>
      </c>
      <c r="I4417" s="5" t="s">
        <v>10039</v>
      </c>
      <c r="J4417" s="12" t="str">
        <f>HYPERLINK("https://www.boe.es/gazeta/dias/1801/01/23/pdfs/GMD-1801-7.pdf#page=8","Abrir facsímil")</f>
        <v>Abrir facsímil</v>
      </c>
      <c r="K4417" s="15" t="s">
        <v>23</v>
      </c>
    </row>
    <row r="4418" spans="1:11" ht="42" customHeight="1">
      <c r="A4418" s="4" t="s">
        <v>10040</v>
      </c>
      <c r="B4418" s="5" t="s">
        <v>10040</v>
      </c>
      <c r="C4418" s="5" t="s">
        <v>32</v>
      </c>
      <c r="D4418" s="5" t="s">
        <v>33</v>
      </c>
      <c r="E4418" s="5" t="s">
        <v>66</v>
      </c>
      <c r="F4418" s="9">
        <v>52</v>
      </c>
      <c r="G4418" s="9">
        <v>608</v>
      </c>
      <c r="H4418" s="5" t="s">
        <v>21</v>
      </c>
      <c r="I4418" s="5" t="s">
        <v>10041</v>
      </c>
      <c r="J4418" s="12" t="str">
        <f>HYPERLINK("https://www.boe.es/gazeta/dias/1801/06/12/pdfs/GMD-1801-52.pdf#page=7","Abrir facsímil")</f>
        <v>Abrir facsímil</v>
      </c>
      <c r="K4418" s="15" t="s">
        <v>23</v>
      </c>
    </row>
    <row r="4419" spans="1:11" ht="42" customHeight="1">
      <c r="A4419" s="4" t="s">
        <v>10042</v>
      </c>
      <c r="B4419" s="5" t="s">
        <v>10043</v>
      </c>
      <c r="C4419" s="5" t="s">
        <v>32</v>
      </c>
      <c r="D4419" s="5" t="s">
        <v>33</v>
      </c>
      <c r="E4419" s="5" t="s">
        <v>640</v>
      </c>
      <c r="F4419" s="9">
        <v>81</v>
      </c>
      <c r="G4419" s="9">
        <v>910</v>
      </c>
      <c r="H4419" s="5" t="s">
        <v>21</v>
      </c>
      <c r="I4419" s="5" t="s">
        <v>10044</v>
      </c>
      <c r="J4419" s="12" t="str">
        <f>HYPERLINK("https://www.boe.es/gazeta/dias/1801/08/25/pdfs/GMD-1801-81.pdf#page=7","Abrir facsímil")</f>
        <v>Abrir facsímil</v>
      </c>
      <c r="K4419" s="15" t="s">
        <v>23</v>
      </c>
    </row>
    <row r="4420" spans="1:11" ht="42" customHeight="1">
      <c r="A4420" s="4" t="s">
        <v>10045</v>
      </c>
      <c r="B4420" s="5" t="s">
        <v>10045</v>
      </c>
      <c r="C4420" s="5" t="s">
        <v>75</v>
      </c>
      <c r="D4420" s="5" t="s">
        <v>76</v>
      </c>
      <c r="E4420" s="5" t="s">
        <v>1015</v>
      </c>
      <c r="F4420" s="9">
        <v>15</v>
      </c>
      <c r="G4420" s="9">
        <v>186</v>
      </c>
      <c r="H4420" s="5" t="s">
        <v>21</v>
      </c>
      <c r="I4420" s="5" t="s">
        <v>10046</v>
      </c>
      <c r="J4420" s="12" t="str">
        <f>HYPERLINK("https://www.boe.es/gazeta/dias/1801/02/20/pdfs/GMD-1801-15.pdf#page=5","Abrir facsímil")</f>
        <v>Abrir facsímil</v>
      </c>
      <c r="K4420" s="15" t="s">
        <v>23</v>
      </c>
    </row>
    <row r="4421" spans="1:11" ht="42" customHeight="1">
      <c r="A4421" s="4" t="s">
        <v>10047</v>
      </c>
      <c r="B4421" s="5" t="s">
        <v>10047</v>
      </c>
      <c r="C4421" s="5" t="s">
        <v>18</v>
      </c>
      <c r="D4421" s="5" t="s">
        <v>19</v>
      </c>
      <c r="E4421" s="5" t="s">
        <v>640</v>
      </c>
      <c r="F4421" s="9">
        <v>81</v>
      </c>
      <c r="G4421" s="9">
        <v>911</v>
      </c>
      <c r="H4421" s="5" t="s">
        <v>21</v>
      </c>
      <c r="I4421" s="5" t="s">
        <v>10048</v>
      </c>
      <c r="J4421" s="12" t="str">
        <f>HYPERLINK("https://www.boe.es/gazeta/dias/1801/08/25/pdfs/GMD-1801-81.pdf#page=8","Abrir facsímil")</f>
        <v>Abrir facsímil</v>
      </c>
      <c r="K4421" s="15" t="s">
        <v>23</v>
      </c>
    </row>
    <row r="4422" spans="1:11" ht="42" customHeight="1">
      <c r="A4422" s="4" t="s">
        <v>10049</v>
      </c>
      <c r="B4422" s="5" t="s">
        <v>10050</v>
      </c>
      <c r="C4422" s="5" t="s">
        <v>18</v>
      </c>
      <c r="D4422" s="5" t="s">
        <v>19</v>
      </c>
      <c r="E4422" s="5" t="s">
        <v>501</v>
      </c>
      <c r="F4422" s="9">
        <v>115</v>
      </c>
      <c r="G4422" s="9" t="s">
        <v>83</v>
      </c>
      <c r="H4422" s="5" t="s">
        <v>21</v>
      </c>
      <c r="I4422" s="5" t="s">
        <v>10051</v>
      </c>
      <c r="J4422" s="12" t="str">
        <f>HYPERLINK("https://www.boe.es/gazeta/dias/1801/12/15/pdfs/GMD-C-1801-115.pdf#page=2","Abrir facsímil")</f>
        <v>Abrir facsímil</v>
      </c>
      <c r="K4422" s="15" t="s">
        <v>23</v>
      </c>
    </row>
    <row r="4423" spans="1:11" ht="42" customHeight="1">
      <c r="A4423" s="4" t="s">
        <v>10052</v>
      </c>
      <c r="B4423" s="5" t="s">
        <v>10053</v>
      </c>
      <c r="C4423" s="5" t="s">
        <v>32</v>
      </c>
      <c r="D4423" s="5" t="s">
        <v>33</v>
      </c>
      <c r="E4423" s="5" t="s">
        <v>179</v>
      </c>
      <c r="F4423" s="9">
        <v>11</v>
      </c>
      <c r="G4423" s="9">
        <v>138</v>
      </c>
      <c r="H4423" s="5" t="s">
        <v>21</v>
      </c>
      <c r="I4423" s="5" t="s">
        <v>10054</v>
      </c>
      <c r="J4423" s="12" t="str">
        <f>HYPERLINK("https://www.boe.es/gazeta/dias/1801/02/06/pdfs/GMD-1801-11.pdf#page=11","Abrir facsímil")</f>
        <v>Abrir facsímil</v>
      </c>
      <c r="K4423" s="15" t="s">
        <v>23</v>
      </c>
    </row>
    <row r="4424" spans="1:11" ht="42" customHeight="1">
      <c r="A4424" s="4" t="s">
        <v>10055</v>
      </c>
      <c r="B4424" s="5" t="s">
        <v>10056</v>
      </c>
      <c r="C4424" s="5" t="s">
        <v>32</v>
      </c>
      <c r="D4424" s="5" t="s">
        <v>33</v>
      </c>
      <c r="E4424" s="5" t="s">
        <v>615</v>
      </c>
      <c r="F4424" s="9">
        <v>72</v>
      </c>
      <c r="G4424" s="9">
        <v>805</v>
      </c>
      <c r="H4424" s="5" t="s">
        <v>21</v>
      </c>
      <c r="I4424" s="5" t="s">
        <v>10057</v>
      </c>
      <c r="J4424" s="12" t="str">
        <f>HYPERLINK("https://www.boe.es/gazeta/dias/1801/07/24/pdfs/GMD-1801-72.pdf#page=10","Abrir facsímil")</f>
        <v>Abrir facsímil</v>
      </c>
      <c r="K4424" s="15" t="s">
        <v>23</v>
      </c>
    </row>
    <row r="4425" spans="1:11" ht="42" customHeight="1">
      <c r="A4425" s="4" t="s">
        <v>10058</v>
      </c>
      <c r="B4425" s="5" t="s">
        <v>10058</v>
      </c>
      <c r="C4425" s="5" t="s">
        <v>69</v>
      </c>
      <c r="D4425" s="5" t="s">
        <v>19</v>
      </c>
      <c r="E4425" s="5" t="s">
        <v>158</v>
      </c>
      <c r="F4425" s="9">
        <v>55</v>
      </c>
      <c r="G4425" s="9">
        <v>631</v>
      </c>
      <c r="H4425" s="5" t="s">
        <v>21</v>
      </c>
      <c r="I4425" s="5" t="s">
        <v>10059</v>
      </c>
      <c r="J4425" s="12" t="str">
        <f>HYPERLINK("https://www.boe.es/gazeta/dias/1801/06/16/pdfs/GMD-1801-55.pdf#page=7","Abrir facsímil")</f>
        <v>Abrir facsímil</v>
      </c>
      <c r="K4425" s="15" t="s">
        <v>23</v>
      </c>
    </row>
    <row r="4426" spans="1:11" ht="42" customHeight="1">
      <c r="A4426" s="4" t="s">
        <v>10060</v>
      </c>
      <c r="B4426" s="5" t="s">
        <v>10060</v>
      </c>
      <c r="C4426" s="5" t="s">
        <v>80</v>
      </c>
      <c r="D4426" s="5" t="s">
        <v>81</v>
      </c>
      <c r="E4426" s="5" t="s">
        <v>289</v>
      </c>
      <c r="F4426" s="9">
        <v>40</v>
      </c>
      <c r="G4426" s="9" t="s">
        <v>996</v>
      </c>
      <c r="H4426" s="5" t="s">
        <v>21</v>
      </c>
      <c r="I4426" s="5" t="s">
        <v>10061</v>
      </c>
      <c r="J4426" s="12" t="str">
        <f>HYPERLINK("https://www.boe.es/gazeta/dias/1801/05/19/pdfs/GMD-C-1801-40.pdf#page=6","Abrir facsímil")</f>
        <v>Abrir facsímil</v>
      </c>
      <c r="K4426" s="15" t="s">
        <v>23</v>
      </c>
    </row>
    <row r="4427" spans="1:11" ht="42" customHeight="1">
      <c r="A4427" s="4" t="s">
        <v>10062</v>
      </c>
      <c r="B4427" s="5" t="s">
        <v>10062</v>
      </c>
      <c r="C4427" s="5" t="s">
        <v>38</v>
      </c>
      <c r="D4427" s="5" t="s">
        <v>39</v>
      </c>
      <c r="E4427" s="5" t="s">
        <v>462</v>
      </c>
      <c r="F4427" s="9">
        <v>5</v>
      </c>
      <c r="G4427" s="9">
        <v>60</v>
      </c>
      <c r="H4427" s="5" t="s">
        <v>21</v>
      </c>
      <c r="I4427" s="5" t="s">
        <v>10063</v>
      </c>
      <c r="J4427" s="12" t="str">
        <f>HYPERLINK("https://www.boe.es/gazeta/dias/1801/01/16/pdfs/GMD-1801-5.pdf#page=12","Abrir facsímil")</f>
        <v>Abrir facsímil</v>
      </c>
      <c r="K4427" s="15" t="s">
        <v>23</v>
      </c>
    </row>
    <row r="4428" spans="1:11" ht="42" customHeight="1">
      <c r="A4428" s="4" t="s">
        <v>10064</v>
      </c>
      <c r="B4428" s="5" t="s">
        <v>10064</v>
      </c>
      <c r="C4428" s="5" t="s">
        <v>32</v>
      </c>
      <c r="D4428" s="5" t="s">
        <v>33</v>
      </c>
      <c r="E4428" s="5" t="s">
        <v>171</v>
      </c>
      <c r="F4428" s="9">
        <v>76</v>
      </c>
      <c r="G4428" s="9">
        <v>852</v>
      </c>
      <c r="H4428" s="5" t="s">
        <v>21</v>
      </c>
      <c r="I4428" s="5" t="s">
        <v>10065</v>
      </c>
      <c r="J4428" s="12" t="str">
        <f>HYPERLINK("https://www.boe.es/gazeta/dias/1801/08/07/pdfs/GMD-1801-76.pdf#page=9","Abrir facsímil")</f>
        <v>Abrir facsímil</v>
      </c>
      <c r="K4428" s="15" t="s">
        <v>23</v>
      </c>
    </row>
    <row r="4429" spans="1:11" ht="42" customHeight="1">
      <c r="A4429" s="4" t="s">
        <v>10066</v>
      </c>
      <c r="B4429" s="5" t="s">
        <v>10066</v>
      </c>
      <c r="C4429" s="5" t="s">
        <v>32</v>
      </c>
      <c r="D4429" s="5" t="s">
        <v>33</v>
      </c>
      <c r="E4429" s="5" t="s">
        <v>378</v>
      </c>
      <c r="F4429" s="9">
        <v>23</v>
      </c>
      <c r="G4429" s="9">
        <v>306</v>
      </c>
      <c r="H4429" s="5" t="s">
        <v>21</v>
      </c>
      <c r="I4429" s="5" t="s">
        <v>10067</v>
      </c>
      <c r="J4429" s="12" t="str">
        <f>HYPERLINK("https://www.boe.es/gazeta/dias/1801/03/20/pdfs/GMD-1801-23.pdf#page=9","Abrir facsímil")</f>
        <v>Abrir facsímil</v>
      </c>
      <c r="K4429" s="15" t="s">
        <v>23</v>
      </c>
    </row>
    <row r="4430" spans="1:11" ht="42" customHeight="1">
      <c r="A4430" s="4" t="s">
        <v>10068</v>
      </c>
      <c r="B4430" s="5" t="s">
        <v>10069</v>
      </c>
      <c r="C4430" s="5" t="s">
        <v>32</v>
      </c>
      <c r="D4430" s="5" t="s">
        <v>33</v>
      </c>
      <c r="E4430" s="5" t="s">
        <v>313</v>
      </c>
      <c r="F4430" s="9">
        <v>39</v>
      </c>
      <c r="G4430" s="9">
        <v>506</v>
      </c>
      <c r="H4430" s="5" t="s">
        <v>21</v>
      </c>
      <c r="I4430" s="5" t="s">
        <v>10070</v>
      </c>
      <c r="J4430" s="12" t="str">
        <f>HYPERLINK("https://www.boe.es/gazeta/dias/1801/05/15/pdfs/GMD-1801-39.pdf#page=10","Abrir facsímil")</f>
        <v>Abrir facsímil</v>
      </c>
      <c r="K4430" s="15" t="s">
        <v>23</v>
      </c>
    </row>
    <row r="4431" spans="1:11" ht="42" customHeight="1">
      <c r="A4431" s="4" t="s">
        <v>10071</v>
      </c>
      <c r="B4431" s="5" t="s">
        <v>10071</v>
      </c>
      <c r="C4431" s="5" t="s">
        <v>32</v>
      </c>
      <c r="D4431" s="5" t="s">
        <v>33</v>
      </c>
      <c r="E4431" s="5" t="s">
        <v>328</v>
      </c>
      <c r="F4431" s="9">
        <v>89</v>
      </c>
      <c r="G4431" s="9">
        <v>982</v>
      </c>
      <c r="H4431" s="5" t="s">
        <v>21</v>
      </c>
      <c r="I4431" s="5" t="s">
        <v>10072</v>
      </c>
      <c r="J4431" s="12" t="str">
        <f>HYPERLINK("https://www.boe.es/gazeta/dias/1801/09/15/pdfs/GMD-1801-89.pdf#page=9","Abrir facsímil")</f>
        <v>Abrir facsímil</v>
      </c>
      <c r="K4431" s="15" t="s">
        <v>23</v>
      </c>
    </row>
    <row r="4432" spans="1:11" ht="42" customHeight="1">
      <c r="A4432" s="4" t="s">
        <v>10073</v>
      </c>
      <c r="B4432" s="5" t="s">
        <v>10073</v>
      </c>
      <c r="C4432" s="5" t="s">
        <v>32</v>
      </c>
      <c r="D4432" s="5" t="s">
        <v>33</v>
      </c>
      <c r="E4432" s="5" t="s">
        <v>99</v>
      </c>
      <c r="F4432" s="9">
        <v>32</v>
      </c>
      <c r="G4432" s="9">
        <v>414</v>
      </c>
      <c r="H4432" s="5" t="s">
        <v>21</v>
      </c>
      <c r="I4432" s="5" t="s">
        <v>10074</v>
      </c>
      <c r="J4432" s="12" t="str">
        <f>HYPERLINK("https://www.boe.es/gazeta/dias/1801/04/21/pdfs/GMD-1801-32.pdf#page=10","Abrir facsímil")</f>
        <v>Abrir facsímil</v>
      </c>
      <c r="K4432" s="15" t="s">
        <v>23</v>
      </c>
    </row>
    <row r="4433" spans="1:11" ht="42" customHeight="1">
      <c r="A4433" s="4" t="s">
        <v>10075</v>
      </c>
      <c r="B4433" s="5" t="s">
        <v>10075</v>
      </c>
      <c r="C4433" s="5" t="s">
        <v>32</v>
      </c>
      <c r="D4433" s="5" t="s">
        <v>33</v>
      </c>
      <c r="E4433" s="5" t="s">
        <v>186</v>
      </c>
      <c r="F4433" s="9">
        <v>21</v>
      </c>
      <c r="G4433" s="9">
        <v>283</v>
      </c>
      <c r="H4433" s="5" t="s">
        <v>21</v>
      </c>
      <c r="I4433" s="5" t="s">
        <v>10076</v>
      </c>
      <c r="J4433" s="12" t="str">
        <f>HYPERLINK("https://www.boe.es/gazeta/dias/1801/03/13/pdfs/GMD-1801-21.pdf#page=12","Abrir facsímil")</f>
        <v>Abrir facsímil</v>
      </c>
      <c r="K4433" s="15" t="s">
        <v>23</v>
      </c>
    </row>
    <row r="4434" spans="1:11" ht="42" customHeight="1">
      <c r="A4434" s="4" t="s">
        <v>10077</v>
      </c>
      <c r="B4434" s="5" t="s">
        <v>10077</v>
      </c>
      <c r="C4434" s="5" t="s">
        <v>32</v>
      </c>
      <c r="D4434" s="5" t="s">
        <v>33</v>
      </c>
      <c r="E4434" s="5" t="s">
        <v>44</v>
      </c>
      <c r="F4434" s="9">
        <v>117</v>
      </c>
      <c r="G4434" s="9">
        <v>1281</v>
      </c>
      <c r="H4434" s="5" t="s">
        <v>21</v>
      </c>
      <c r="I4434" s="5" t="s">
        <v>10078</v>
      </c>
      <c r="J4434" s="12" t="str">
        <f>HYPERLINK("https://www.boe.es/gazeta/dias/1801/12/22/pdfs/GMD-1801-117.pdf#page=8","Abrir facsímil")</f>
        <v>Abrir facsímil</v>
      </c>
      <c r="K4434" s="15" t="s">
        <v>23</v>
      </c>
    </row>
    <row r="4435" spans="1:11" ht="42" customHeight="1">
      <c r="A4435" s="4" t="s">
        <v>10079</v>
      </c>
      <c r="B4435" s="5" t="s">
        <v>10079</v>
      </c>
      <c r="C4435" s="5" t="s">
        <v>32</v>
      </c>
      <c r="D4435" s="5" t="s">
        <v>33</v>
      </c>
      <c r="E4435" s="5" t="s">
        <v>292</v>
      </c>
      <c r="F4435" s="9">
        <v>25</v>
      </c>
      <c r="G4435" s="9">
        <v>332</v>
      </c>
      <c r="H4435" s="5" t="s">
        <v>21</v>
      </c>
      <c r="I4435" s="5" t="s">
        <v>10080</v>
      </c>
      <c r="J4435" s="12" t="str">
        <f>HYPERLINK("https://www.boe.es/gazeta/dias/1801/03/27/pdfs/GMD-1801-25.pdf#page=11","Abrir facsímil")</f>
        <v>Abrir facsímil</v>
      </c>
      <c r="K4435" s="15" t="s">
        <v>23</v>
      </c>
    </row>
    <row r="4436" spans="1:11" ht="42" customHeight="1">
      <c r="A4436" s="4" t="s">
        <v>10081</v>
      </c>
      <c r="B4436" s="5" t="s">
        <v>10082</v>
      </c>
      <c r="C4436" s="5" t="s">
        <v>69</v>
      </c>
      <c r="D4436" s="5" t="s">
        <v>19</v>
      </c>
      <c r="E4436" s="5" t="s">
        <v>158</v>
      </c>
      <c r="F4436" s="9">
        <v>55</v>
      </c>
      <c r="G4436" s="9">
        <v>631</v>
      </c>
      <c r="H4436" s="5" t="s">
        <v>21</v>
      </c>
      <c r="I4436" s="5" t="s">
        <v>10083</v>
      </c>
      <c r="J4436" s="12" t="str">
        <f>HYPERLINK("https://www.boe.es/gazeta/dias/1801/06/16/pdfs/GMD-1801-55.pdf#page=7","Abrir facsímil")</f>
        <v>Abrir facsímil</v>
      </c>
      <c r="K4436" s="15" t="s">
        <v>23</v>
      </c>
    </row>
    <row r="4437" spans="1:11" ht="42" customHeight="1">
      <c r="A4437" s="4" t="s">
        <v>10084</v>
      </c>
      <c r="B4437" s="5" t="s">
        <v>10084</v>
      </c>
      <c r="C4437" s="5" t="s">
        <v>32</v>
      </c>
      <c r="D4437" s="5" t="s">
        <v>33</v>
      </c>
      <c r="E4437" s="5" t="s">
        <v>105</v>
      </c>
      <c r="F4437" s="9">
        <v>44</v>
      </c>
      <c r="G4437" s="9">
        <v>548</v>
      </c>
      <c r="H4437" s="5" t="s">
        <v>21</v>
      </c>
      <c r="I4437" s="5" t="s">
        <v>10085</v>
      </c>
      <c r="J4437" s="12" t="str">
        <f>HYPERLINK("https://www.boe.es/gazeta/dias/1801/05/29/pdfs/GMD-1801-44.pdf#page=8","Abrir facsímil")</f>
        <v>Abrir facsímil</v>
      </c>
      <c r="K4437" s="15" t="s">
        <v>23</v>
      </c>
    </row>
    <row r="4438" spans="1:11" ht="42" customHeight="1">
      <c r="A4438" s="4" t="s">
        <v>10086</v>
      </c>
      <c r="B4438" s="5" t="s">
        <v>10086</v>
      </c>
      <c r="C4438" s="5" t="s">
        <v>32</v>
      </c>
      <c r="D4438" s="5" t="s">
        <v>33</v>
      </c>
      <c r="E4438" s="5" t="s">
        <v>141</v>
      </c>
      <c r="F4438" s="9">
        <v>33</v>
      </c>
      <c r="G4438" s="9">
        <v>425</v>
      </c>
      <c r="H4438" s="5" t="s">
        <v>21</v>
      </c>
      <c r="I4438" s="5" t="s">
        <v>10087</v>
      </c>
      <c r="J4438" s="12" t="str">
        <f>HYPERLINK("https://www.boe.es/gazeta/dias/1801/04/24/pdfs/GMD-1801-33.pdf#page=9","Abrir facsímil")</f>
        <v>Abrir facsímil</v>
      </c>
      <c r="K4438" s="15" t="s">
        <v>23</v>
      </c>
    </row>
    <row r="4439" spans="1:11" ht="42" customHeight="1">
      <c r="A4439" s="4" t="s">
        <v>10088</v>
      </c>
      <c r="B4439" s="5" t="s">
        <v>10088</v>
      </c>
      <c r="C4439" s="5" t="s">
        <v>38</v>
      </c>
      <c r="D4439" s="5" t="s">
        <v>39</v>
      </c>
      <c r="E4439" s="5" t="s">
        <v>151</v>
      </c>
      <c r="F4439" s="9">
        <v>45</v>
      </c>
      <c r="G4439" s="9">
        <v>564</v>
      </c>
      <c r="H4439" s="5" t="s">
        <v>21</v>
      </c>
      <c r="I4439" s="5" t="s">
        <v>10089</v>
      </c>
      <c r="J4439" s="12" t="str">
        <f>HYPERLINK("https://www.boe.es/gazeta/dias/1801/06/02/pdfs/GMD-1801-45.pdf#page=12","Abrir facsímil")</f>
        <v>Abrir facsímil</v>
      </c>
      <c r="K4439" s="15" t="s">
        <v>23</v>
      </c>
    </row>
    <row r="4440" spans="1:11" ht="42" customHeight="1">
      <c r="A4440" s="4" t="s">
        <v>10090</v>
      </c>
      <c r="B4440" s="5" t="s">
        <v>10090</v>
      </c>
      <c r="C4440" s="5" t="s">
        <v>26</v>
      </c>
      <c r="D4440" s="5" t="s">
        <v>27</v>
      </c>
      <c r="E4440" s="5" t="s">
        <v>105</v>
      </c>
      <c r="F4440" s="9">
        <v>44</v>
      </c>
      <c r="G4440" s="9">
        <v>552</v>
      </c>
      <c r="H4440" s="5" t="s">
        <v>21</v>
      </c>
      <c r="I4440" s="5" t="s">
        <v>10091</v>
      </c>
      <c r="J4440" s="12" t="str">
        <f>HYPERLINK("https://www.boe.es/gazeta/dias/1801/05/29/pdfs/GMD-1801-44.pdf#page=12","Abrir facsímil")</f>
        <v>Abrir facsímil</v>
      </c>
      <c r="K4440" s="15" t="s">
        <v>23</v>
      </c>
    </row>
    <row r="4441" spans="1:11" ht="42" customHeight="1">
      <c r="A4441" s="4" t="s">
        <v>10092</v>
      </c>
      <c r="B4441" s="5" t="s">
        <v>10093</v>
      </c>
      <c r="C4441" s="5" t="s">
        <v>80</v>
      </c>
      <c r="D4441" s="5" t="s">
        <v>81</v>
      </c>
      <c r="E4441" s="5" t="s">
        <v>82</v>
      </c>
      <c r="F4441" s="9">
        <v>75</v>
      </c>
      <c r="G4441" s="9" t="s">
        <v>86</v>
      </c>
      <c r="H4441" s="5" t="s">
        <v>21</v>
      </c>
      <c r="I4441" s="5" t="s">
        <v>10094</v>
      </c>
      <c r="J4441" s="12" t="str">
        <f>HYPERLINK("https://www.boe.es/gazeta/dias/1801/08/04/pdfs/GMD-C-1801-75.pdf#page=3","Abrir facsímil")</f>
        <v>Abrir facsímil</v>
      </c>
      <c r="K4441" s="15" t="s">
        <v>23</v>
      </c>
    </row>
    <row r="4442" spans="1:11" ht="42" customHeight="1">
      <c r="A4442" s="4" t="s">
        <v>10095</v>
      </c>
      <c r="B4442" s="5" t="s">
        <v>10095</v>
      </c>
      <c r="C4442" s="5" t="s">
        <v>75</v>
      </c>
      <c r="D4442" s="5" t="s">
        <v>76</v>
      </c>
      <c r="E4442" s="5" t="s">
        <v>935</v>
      </c>
      <c r="F4442" s="9">
        <v>116</v>
      </c>
      <c r="G4442" s="9">
        <v>1268</v>
      </c>
      <c r="H4442" s="5" t="s">
        <v>21</v>
      </c>
      <c r="I4442" s="5" t="s">
        <v>10096</v>
      </c>
      <c r="J4442" s="12" t="str">
        <f>HYPERLINK("https://www.boe.es/gazeta/dias/1801/12/18/pdfs/GMD-1801-116.pdf#page=10","Abrir facsímil")</f>
        <v>Abrir facsímil</v>
      </c>
      <c r="K4442" s="15" t="s">
        <v>23</v>
      </c>
    </row>
    <row r="4443" spans="1:11" ht="42" customHeight="1">
      <c r="A4443" s="4" t="s">
        <v>10097</v>
      </c>
      <c r="B4443" s="5" t="s">
        <v>10097</v>
      </c>
      <c r="C4443" s="5" t="s">
        <v>515</v>
      </c>
      <c r="D4443" s="5" t="s">
        <v>516</v>
      </c>
      <c r="E4443" s="5" t="s">
        <v>501</v>
      </c>
      <c r="F4443" s="9">
        <v>115</v>
      </c>
      <c r="G4443" s="9" t="s">
        <v>668</v>
      </c>
      <c r="H4443" s="5" t="s">
        <v>21</v>
      </c>
      <c r="I4443" s="5" t="s">
        <v>10098</v>
      </c>
      <c r="J4443" s="12" t="str">
        <f>HYPERLINK("https://www.boe.es/gazeta/dias/1801/12/15/pdfs/GMD-C-1801-115.pdf#page=1","Abrir facsímil")</f>
        <v>Abrir facsímil</v>
      </c>
      <c r="K4443" s="15" t="s">
        <v>23</v>
      </c>
    </row>
    <row r="4444" spans="1:11" ht="42" customHeight="1">
      <c r="A4444" s="4" t="s">
        <v>10099</v>
      </c>
      <c r="B4444" s="5" t="s">
        <v>10100</v>
      </c>
      <c r="C4444" s="5" t="s">
        <v>38</v>
      </c>
      <c r="D4444" s="5" t="s">
        <v>39</v>
      </c>
      <c r="E4444" s="5" t="s">
        <v>2430</v>
      </c>
      <c r="F4444" s="9">
        <v>27</v>
      </c>
      <c r="G4444" s="9">
        <v>353</v>
      </c>
      <c r="H4444" s="5" t="s">
        <v>21</v>
      </c>
      <c r="I4444" s="5" t="s">
        <v>10101</v>
      </c>
      <c r="J4444" s="12" t="str">
        <f>HYPERLINK("https://www.boe.es/gazeta/dias/1801/04/03/pdfs/GMD-1801-27.pdf#page=5","Abrir facsímil")</f>
        <v>Abrir facsímil</v>
      </c>
      <c r="K4444" s="15" t="s">
        <v>23</v>
      </c>
    </row>
    <row r="4445" spans="1:11" ht="42" customHeight="1">
      <c r="A4445" s="4" t="s">
        <v>10102</v>
      </c>
      <c r="B4445" s="5" t="s">
        <v>10103</v>
      </c>
      <c r="C4445" s="5" t="s">
        <v>38</v>
      </c>
      <c r="D4445" s="5" t="s">
        <v>39</v>
      </c>
      <c r="E4445" s="5" t="s">
        <v>2430</v>
      </c>
      <c r="F4445" s="9">
        <v>27</v>
      </c>
      <c r="G4445" s="9">
        <v>354</v>
      </c>
      <c r="H4445" s="5" t="s">
        <v>21</v>
      </c>
      <c r="I4445" s="5" t="s">
        <v>10104</v>
      </c>
      <c r="J4445" s="12" t="str">
        <f>HYPERLINK("https://www.boe.es/gazeta/dias/1801/04/03/pdfs/GMD-1801-27.pdf#page=6","Abrir facsímil")</f>
        <v>Abrir facsímil</v>
      </c>
      <c r="K4445" s="15" t="s">
        <v>23</v>
      </c>
    </row>
    <row r="4446" spans="1:11" ht="42" customHeight="1">
      <c r="A4446" s="4" t="s">
        <v>10105</v>
      </c>
      <c r="B4446" s="5" t="s">
        <v>10105</v>
      </c>
      <c r="C4446" s="5" t="s">
        <v>75</v>
      </c>
      <c r="D4446" s="5" t="s">
        <v>76</v>
      </c>
      <c r="E4446" s="5" t="s">
        <v>90</v>
      </c>
      <c r="F4446" s="9">
        <v>1</v>
      </c>
      <c r="G4446" s="9">
        <v>4</v>
      </c>
      <c r="H4446" s="5" t="s">
        <v>21</v>
      </c>
      <c r="I4446" s="5" t="s">
        <v>10106</v>
      </c>
      <c r="J4446" s="12" t="str">
        <f>HYPERLINK("https://www.boe.es/gazeta/dias/1801/01/02/pdfs/GMD-1801-1.pdf#page=4","Abrir facsímil")</f>
        <v>Abrir facsímil</v>
      </c>
      <c r="K4446" s="15" t="s">
        <v>23</v>
      </c>
    </row>
    <row r="4447" spans="1:11" ht="42" customHeight="1">
      <c r="A4447" s="4" t="s">
        <v>10105</v>
      </c>
      <c r="B4447" s="5" t="s">
        <v>10105</v>
      </c>
      <c r="C4447" s="5" t="s">
        <v>75</v>
      </c>
      <c r="D4447" s="5" t="s">
        <v>76</v>
      </c>
      <c r="E4447" s="5" t="s">
        <v>90</v>
      </c>
      <c r="F4447" s="9">
        <v>1</v>
      </c>
      <c r="G4447" s="9">
        <v>5</v>
      </c>
      <c r="H4447" s="5" t="s">
        <v>21</v>
      </c>
      <c r="I4447" s="5" t="s">
        <v>10107</v>
      </c>
      <c r="J4447" s="12" t="str">
        <f>HYPERLINK("https://www.boe.es/gazeta/dias/1801/01/02/pdfs/GMD-1801-1.pdf#page=5","Abrir facsímil")</f>
        <v>Abrir facsímil</v>
      </c>
      <c r="K4447" s="15" t="s">
        <v>23</v>
      </c>
    </row>
    <row r="4448" spans="1:11" ht="42" customHeight="1">
      <c r="A4448" s="4" t="s">
        <v>10105</v>
      </c>
      <c r="B4448" s="5" t="s">
        <v>10105</v>
      </c>
      <c r="C4448" s="5" t="s">
        <v>75</v>
      </c>
      <c r="D4448" s="5" t="s">
        <v>76</v>
      </c>
      <c r="E4448" s="5" t="s">
        <v>70</v>
      </c>
      <c r="F4448" s="9">
        <v>2</v>
      </c>
      <c r="G4448" s="9">
        <v>15</v>
      </c>
      <c r="H4448" s="5" t="s">
        <v>21</v>
      </c>
      <c r="I4448" s="5" t="s">
        <v>10108</v>
      </c>
      <c r="J4448" s="12" t="str">
        <f>HYPERLINK("https://www.boe.es/gazeta/dias/1801/01/06/pdfs/GMD-1801-2.pdf#page=3","Abrir facsímil")</f>
        <v>Abrir facsímil</v>
      </c>
      <c r="K4448" s="15" t="s">
        <v>23</v>
      </c>
    </row>
    <row r="4449" spans="1:11" ht="42" customHeight="1">
      <c r="A4449" s="4" t="s">
        <v>10105</v>
      </c>
      <c r="B4449" s="5" t="s">
        <v>10105</v>
      </c>
      <c r="C4449" s="5" t="s">
        <v>75</v>
      </c>
      <c r="D4449" s="5" t="s">
        <v>76</v>
      </c>
      <c r="E4449" s="5" t="s">
        <v>70</v>
      </c>
      <c r="F4449" s="9">
        <v>2</v>
      </c>
      <c r="G4449" s="9">
        <v>16</v>
      </c>
      <c r="H4449" s="5" t="s">
        <v>21</v>
      </c>
      <c r="I4449" s="5" t="s">
        <v>10109</v>
      </c>
      <c r="J4449" s="12" t="str">
        <f>HYPERLINK("https://www.boe.es/gazeta/dias/1801/01/06/pdfs/GMD-1801-2.pdf#page=4","Abrir facsímil")</f>
        <v>Abrir facsímil</v>
      </c>
      <c r="K4449" s="15" t="s">
        <v>23</v>
      </c>
    </row>
    <row r="4450" spans="1:11" ht="42" customHeight="1">
      <c r="A4450" s="4" t="s">
        <v>10105</v>
      </c>
      <c r="B4450" s="5" t="s">
        <v>10105</v>
      </c>
      <c r="C4450" s="5" t="s">
        <v>38</v>
      </c>
      <c r="D4450" s="5" t="s">
        <v>39</v>
      </c>
      <c r="E4450" s="5" t="s">
        <v>143</v>
      </c>
      <c r="F4450" s="9">
        <v>34</v>
      </c>
      <c r="G4450" s="9">
        <v>433</v>
      </c>
      <c r="H4450" s="5" t="s">
        <v>21</v>
      </c>
      <c r="I4450" s="5" t="s">
        <v>10110</v>
      </c>
      <c r="J4450" s="12" t="str">
        <f>HYPERLINK("https://www.boe.es/gazeta/dias/1801/04/28/pdfs/GMD-1801-34.pdf#page=5","Abrir facsímil")</f>
        <v>Abrir facsímil</v>
      </c>
      <c r="K4450" s="15" t="s">
        <v>23</v>
      </c>
    </row>
    <row r="4451" spans="1:11" ht="42" customHeight="1">
      <c r="A4451" s="4" t="s">
        <v>10105</v>
      </c>
      <c r="B4451" s="5" t="s">
        <v>10105</v>
      </c>
      <c r="C4451" s="5" t="s">
        <v>75</v>
      </c>
      <c r="D4451" s="5" t="s">
        <v>76</v>
      </c>
      <c r="E4451" s="5" t="s">
        <v>153</v>
      </c>
      <c r="F4451" s="9">
        <v>48</v>
      </c>
      <c r="G4451" s="9">
        <v>582</v>
      </c>
      <c r="H4451" s="5" t="s">
        <v>21</v>
      </c>
      <c r="I4451" s="5" t="s">
        <v>10111</v>
      </c>
      <c r="J4451" s="12" t="str">
        <f>HYPERLINK("https://www.boe.es/gazeta/dias/1801/06/05/pdfs/GMD-1801-48.pdf#page=4","Abrir facsímil")</f>
        <v>Abrir facsímil</v>
      </c>
      <c r="K4451" s="15" t="s">
        <v>23</v>
      </c>
    </row>
    <row r="4452" spans="1:11" ht="42" customHeight="1">
      <c r="A4452" s="4" t="s">
        <v>10105</v>
      </c>
      <c r="B4452" s="5" t="s">
        <v>10105</v>
      </c>
      <c r="C4452" s="5" t="s">
        <v>75</v>
      </c>
      <c r="D4452" s="5" t="s">
        <v>76</v>
      </c>
      <c r="E4452" s="5" t="s">
        <v>251</v>
      </c>
      <c r="F4452" s="9">
        <v>66</v>
      </c>
      <c r="G4452" s="9">
        <v>738</v>
      </c>
      <c r="H4452" s="5" t="s">
        <v>21</v>
      </c>
      <c r="I4452" s="5" t="s">
        <v>10112</v>
      </c>
      <c r="J4452" s="12" t="str">
        <f>HYPERLINK("https://www.boe.es/gazeta/dias/1801/07/10/pdfs/GMD-1801-66.pdf#page=3","Abrir facsímil")</f>
        <v>Abrir facsímil</v>
      </c>
      <c r="K4452" s="15" t="s">
        <v>23</v>
      </c>
    </row>
    <row r="4453" spans="1:11" ht="42" customHeight="1">
      <c r="A4453" s="4" t="s">
        <v>10105</v>
      </c>
      <c r="B4453" s="5" t="s">
        <v>10105</v>
      </c>
      <c r="C4453" s="5" t="s">
        <v>75</v>
      </c>
      <c r="D4453" s="5" t="s">
        <v>76</v>
      </c>
      <c r="E4453" s="5" t="s">
        <v>615</v>
      </c>
      <c r="F4453" s="9">
        <v>72</v>
      </c>
      <c r="G4453" s="9">
        <v>800</v>
      </c>
      <c r="H4453" s="5" t="s">
        <v>21</v>
      </c>
      <c r="I4453" s="5" t="s">
        <v>10113</v>
      </c>
      <c r="J4453" s="12" t="str">
        <f>HYPERLINK("https://www.boe.es/gazeta/dias/1801/07/24/pdfs/GMD-1801-72.pdf#page=5","Abrir facsímil")</f>
        <v>Abrir facsímil</v>
      </c>
      <c r="K4453" s="15" t="s">
        <v>23</v>
      </c>
    </row>
    <row r="4454" spans="1:11" ht="42" customHeight="1">
      <c r="A4454" s="4" t="s">
        <v>10114</v>
      </c>
      <c r="B4454" s="5" t="s">
        <v>10115</v>
      </c>
      <c r="C4454" s="5" t="s">
        <v>75</v>
      </c>
      <c r="D4454" s="5" t="s">
        <v>76</v>
      </c>
      <c r="E4454" s="5" t="s">
        <v>179</v>
      </c>
      <c r="F4454" s="9">
        <v>11</v>
      </c>
      <c r="G4454" s="9">
        <v>133</v>
      </c>
      <c r="H4454" s="5" t="s">
        <v>21</v>
      </c>
      <c r="I4454" s="5" t="s">
        <v>10116</v>
      </c>
      <c r="J4454" s="12" t="str">
        <f>HYPERLINK("https://www.boe.es/gazeta/dias/1801/02/06/pdfs/GMD-1801-11.pdf#page=6","Abrir facsímil")</f>
        <v>Abrir facsímil</v>
      </c>
      <c r="K4454" s="15" t="s">
        <v>23</v>
      </c>
    </row>
    <row r="4455" spans="1:11" ht="42" customHeight="1">
      <c r="A4455" s="4" t="s">
        <v>10117</v>
      </c>
      <c r="B4455" s="5" t="s">
        <v>10117</v>
      </c>
      <c r="C4455" s="5" t="s">
        <v>32</v>
      </c>
      <c r="D4455" s="5" t="s">
        <v>33</v>
      </c>
      <c r="E4455" s="5" t="s">
        <v>781</v>
      </c>
      <c r="F4455" s="9">
        <v>14</v>
      </c>
      <c r="G4455" s="9">
        <v>173</v>
      </c>
      <c r="H4455" s="5" t="s">
        <v>21</v>
      </c>
      <c r="I4455" s="5" t="s">
        <v>10118</v>
      </c>
      <c r="J4455" s="12" t="str">
        <f>HYPERLINK("https://www.boe.es/gazeta/dias/1801/02/17/pdfs/GMD-1801-14.pdf#page=8","Abrir facsímil")</f>
        <v>Abrir facsímil</v>
      </c>
      <c r="K4455" s="15" t="s">
        <v>23</v>
      </c>
    </row>
    <row r="4456" spans="1:11" ht="42" customHeight="1">
      <c r="A4456" s="4" t="s">
        <v>10119</v>
      </c>
      <c r="B4456" s="5" t="s">
        <v>10120</v>
      </c>
      <c r="C4456" s="5" t="s">
        <v>32</v>
      </c>
      <c r="D4456" s="5" t="s">
        <v>33</v>
      </c>
      <c r="E4456" s="5" t="s">
        <v>313</v>
      </c>
      <c r="F4456" s="9">
        <v>39</v>
      </c>
      <c r="G4456" s="9">
        <v>506</v>
      </c>
      <c r="H4456" s="5" t="s">
        <v>21</v>
      </c>
      <c r="I4456" s="5" t="s">
        <v>10121</v>
      </c>
      <c r="J4456" s="12" t="str">
        <f>HYPERLINK("https://www.boe.es/gazeta/dias/1801/05/15/pdfs/GMD-1801-39.pdf#page=10","Abrir facsímil")</f>
        <v>Abrir facsímil</v>
      </c>
      <c r="K4456" s="15" t="s">
        <v>23</v>
      </c>
    </row>
    <row r="4457" spans="1:11" ht="42" customHeight="1">
      <c r="A4457" s="4" t="s">
        <v>10122</v>
      </c>
      <c r="B4457" s="5" t="s">
        <v>10122</v>
      </c>
      <c r="C4457" s="5" t="s">
        <v>38</v>
      </c>
      <c r="D4457" s="5" t="s">
        <v>39</v>
      </c>
      <c r="E4457" s="5" t="s">
        <v>328</v>
      </c>
      <c r="F4457" s="9">
        <v>89</v>
      </c>
      <c r="G4457" s="9">
        <v>981</v>
      </c>
      <c r="H4457" s="5" t="s">
        <v>21</v>
      </c>
      <c r="I4457" s="5" t="s">
        <v>10123</v>
      </c>
      <c r="J4457" s="12" t="str">
        <f>HYPERLINK("https://www.boe.es/gazeta/dias/1801/09/15/pdfs/GMD-1801-89.pdf#page=8","Abrir facsímil")</f>
        <v>Abrir facsímil</v>
      </c>
      <c r="K4457" s="15" t="s">
        <v>23</v>
      </c>
    </row>
    <row r="4458" spans="1:11" ht="42" customHeight="1">
      <c r="A4458" s="4" t="s">
        <v>10124</v>
      </c>
      <c r="B4458" s="5" t="s">
        <v>10124</v>
      </c>
      <c r="C4458" s="5" t="s">
        <v>69</v>
      </c>
      <c r="D4458" s="5" t="s">
        <v>19</v>
      </c>
      <c r="E4458" s="5" t="s">
        <v>453</v>
      </c>
      <c r="F4458" s="9">
        <v>100</v>
      </c>
      <c r="G4458" s="9">
        <v>1099</v>
      </c>
      <c r="H4458" s="5" t="s">
        <v>21</v>
      </c>
      <c r="I4458" s="5" t="s">
        <v>10125</v>
      </c>
      <c r="J4458" s="12" t="str">
        <f>HYPERLINK("https://www.boe.es/gazeta/dias/1801/10/23/pdfs/GMD-1801-100.pdf#page=8","Abrir facsímil")</f>
        <v>Abrir facsímil</v>
      </c>
      <c r="K4458" s="15" t="s">
        <v>23</v>
      </c>
    </row>
    <row r="4459" spans="1:11" ht="42" customHeight="1">
      <c r="A4459" s="4" t="s">
        <v>10126</v>
      </c>
      <c r="B4459" s="5" t="s">
        <v>10126</v>
      </c>
      <c r="C4459" s="5" t="s">
        <v>18</v>
      </c>
      <c r="D4459" s="5" t="s">
        <v>19</v>
      </c>
      <c r="E4459" s="5" t="s">
        <v>1058</v>
      </c>
      <c r="F4459" s="9">
        <v>108</v>
      </c>
      <c r="G4459" s="9">
        <v>1193</v>
      </c>
      <c r="H4459" s="5" t="s">
        <v>21</v>
      </c>
      <c r="I4459" s="5" t="s">
        <v>10127</v>
      </c>
      <c r="J4459" s="12" t="str">
        <f>HYPERLINK("https://www.boe.es/gazeta/dias/1801/11/20/pdfs/GMD-1801-108.pdf#page=10","Abrir facsímil")</f>
        <v>Abrir facsímil</v>
      </c>
      <c r="K4459" s="15" t="s">
        <v>23</v>
      </c>
    </row>
    <row r="4460" spans="1:11" ht="42" customHeight="1">
      <c r="A4460" s="4" t="s">
        <v>10128</v>
      </c>
      <c r="B4460" s="5" t="s">
        <v>10129</v>
      </c>
      <c r="C4460" s="5" t="s">
        <v>1481</v>
      </c>
      <c r="D4460" s="5" t="s">
        <v>1482</v>
      </c>
      <c r="E4460" s="5" t="s">
        <v>151</v>
      </c>
      <c r="F4460" s="9" t="s">
        <v>1483</v>
      </c>
      <c r="G4460" s="9">
        <v>567</v>
      </c>
      <c r="H4460" s="5" t="s">
        <v>21</v>
      </c>
      <c r="I4460" s="5" t="s">
        <v>10130</v>
      </c>
      <c r="J4460" s="12" t="str">
        <f>HYPERLINK("https://www.boe.es/gazeta/dias/1801/06/02/pdfs/GMD-1801-46E.pdf#page=3","Abrir facsímil")</f>
        <v>Abrir facsímil</v>
      </c>
      <c r="K4460" s="15" t="s">
        <v>23</v>
      </c>
    </row>
    <row r="4461" spans="1:11" ht="42" customHeight="1">
      <c r="A4461" s="4" t="s">
        <v>10131</v>
      </c>
      <c r="B4461" s="5" t="s">
        <v>10131</v>
      </c>
      <c r="C4461" s="5" t="s">
        <v>38</v>
      </c>
      <c r="D4461" s="5" t="s">
        <v>39</v>
      </c>
      <c r="E4461" s="5" t="s">
        <v>328</v>
      </c>
      <c r="F4461" s="9">
        <v>89</v>
      </c>
      <c r="G4461" s="9">
        <v>981</v>
      </c>
      <c r="H4461" s="5" t="s">
        <v>21</v>
      </c>
      <c r="I4461" s="5" t="s">
        <v>10132</v>
      </c>
      <c r="J4461" s="12" t="str">
        <f>HYPERLINK("https://www.boe.es/gazeta/dias/1801/09/15/pdfs/GMD-1801-89.pdf#page=8","Abrir facsímil")</f>
        <v>Abrir facsímil</v>
      </c>
      <c r="K4461" s="15" t="s">
        <v>23</v>
      </c>
    </row>
    <row r="4462" spans="1:11" ht="42" customHeight="1">
      <c r="A4462" s="4" t="s">
        <v>10133</v>
      </c>
      <c r="B4462" s="5" t="s">
        <v>10133</v>
      </c>
      <c r="C4462" s="5" t="s">
        <v>80</v>
      </c>
      <c r="D4462" s="5" t="s">
        <v>81</v>
      </c>
      <c r="E4462" s="5" t="s">
        <v>289</v>
      </c>
      <c r="F4462" s="9">
        <v>40</v>
      </c>
      <c r="G4462" s="9" t="s">
        <v>305</v>
      </c>
      <c r="H4462" s="5" t="s">
        <v>21</v>
      </c>
      <c r="I4462" s="5" t="s">
        <v>10134</v>
      </c>
      <c r="J4462" s="12" t="str">
        <f>HYPERLINK("https://www.boe.es/gazeta/dias/1801/05/19/pdfs/GMD-C-1801-40.pdf#page=4","Abrir facsímil")</f>
        <v>Abrir facsímil</v>
      </c>
      <c r="K4462" s="15" t="s">
        <v>23</v>
      </c>
    </row>
    <row r="4463" spans="1:11" ht="42" customHeight="1">
      <c r="A4463" s="4" t="s">
        <v>10135</v>
      </c>
      <c r="B4463" s="5" t="s">
        <v>10135</v>
      </c>
      <c r="C4463" s="5" t="s">
        <v>69</v>
      </c>
      <c r="D4463" s="5" t="s">
        <v>19</v>
      </c>
      <c r="E4463" s="5" t="s">
        <v>50</v>
      </c>
      <c r="F4463" s="9">
        <v>29</v>
      </c>
      <c r="G4463" s="9">
        <v>384</v>
      </c>
      <c r="H4463" s="5" t="s">
        <v>21</v>
      </c>
      <c r="I4463" s="5" t="s">
        <v>10136</v>
      </c>
      <c r="J4463" s="12" t="str">
        <f>HYPERLINK("https://www.boe.es/gazeta/dias/1801/04/10/pdfs/GMD-1801-29.pdf#page=12","Abrir facsímil")</f>
        <v>Abrir facsímil</v>
      </c>
      <c r="K4463" s="15" t="s">
        <v>23</v>
      </c>
    </row>
    <row r="4464" spans="1:11" ht="42" customHeight="1">
      <c r="A4464" s="4" t="s">
        <v>10137</v>
      </c>
      <c r="B4464" s="5" t="s">
        <v>10137</v>
      </c>
      <c r="C4464" s="5" t="s">
        <v>69</v>
      </c>
      <c r="D4464" s="5" t="s">
        <v>19</v>
      </c>
      <c r="E4464" s="5" t="s">
        <v>112</v>
      </c>
      <c r="F4464" s="9">
        <v>114</v>
      </c>
      <c r="G4464" s="9">
        <v>1249</v>
      </c>
      <c r="H4464" s="5" t="s">
        <v>21</v>
      </c>
      <c r="I4464" s="5" t="s">
        <v>10138</v>
      </c>
      <c r="J4464" s="12" t="str">
        <f>HYPERLINK("https://www.boe.es/gazeta/dias/1801/12/11/pdfs/GMD-1801-114.pdf#page=11","Abrir facsímil")</f>
        <v>Abrir facsímil</v>
      </c>
      <c r="K4464" s="15" t="s">
        <v>23</v>
      </c>
    </row>
    <row r="4465" spans="1:11" ht="42" customHeight="1">
      <c r="A4465" s="4" t="s">
        <v>10139</v>
      </c>
      <c r="B4465" s="5" t="s">
        <v>10140</v>
      </c>
      <c r="C4465" s="5" t="s">
        <v>38</v>
      </c>
      <c r="D4465" s="5" t="s">
        <v>39</v>
      </c>
      <c r="E4465" s="5" t="s">
        <v>480</v>
      </c>
      <c r="F4465" s="9">
        <v>10</v>
      </c>
      <c r="G4465" s="9">
        <v>124</v>
      </c>
      <c r="H4465" s="5" t="s">
        <v>21</v>
      </c>
      <c r="I4465" s="5" t="s">
        <v>10141</v>
      </c>
      <c r="J4465" s="12" t="str">
        <f>HYPERLINK("https://www.boe.es/gazeta/dias/1801/02/03/pdfs/GMD-1801-10.pdf#page=9","Abrir facsímil")</f>
        <v>Abrir facsímil</v>
      </c>
      <c r="K4465" s="15" t="s">
        <v>23</v>
      </c>
    </row>
    <row r="4466" spans="1:11" ht="42" customHeight="1">
      <c r="A4466" s="4" t="s">
        <v>10142</v>
      </c>
      <c r="B4466" s="5" t="s">
        <v>10143</v>
      </c>
      <c r="C4466" s="5" t="s">
        <v>18</v>
      </c>
      <c r="D4466" s="5" t="s">
        <v>19</v>
      </c>
      <c r="E4466" s="5" t="s">
        <v>44</v>
      </c>
      <c r="F4466" s="9">
        <v>117</v>
      </c>
      <c r="G4466" s="9">
        <v>1281</v>
      </c>
      <c r="H4466" s="5" t="s">
        <v>21</v>
      </c>
      <c r="I4466" s="5" t="s">
        <v>10144</v>
      </c>
      <c r="J4466" s="12" t="str">
        <f>HYPERLINK("https://www.boe.es/gazeta/dias/1801/12/22/pdfs/GMD-1801-117.pdf#page=8","Abrir facsímil")</f>
        <v>Abrir facsímil</v>
      </c>
      <c r="K4466" s="15" t="s">
        <v>23</v>
      </c>
    </row>
    <row r="4467" spans="1:11" ht="42" customHeight="1">
      <c r="A4467" s="4" t="s">
        <v>10145</v>
      </c>
      <c r="B4467" s="5" t="s">
        <v>10145</v>
      </c>
      <c r="C4467" s="5" t="s">
        <v>69</v>
      </c>
      <c r="D4467" s="5" t="s">
        <v>19</v>
      </c>
      <c r="E4467" s="5" t="s">
        <v>145</v>
      </c>
      <c r="F4467" s="9">
        <v>36</v>
      </c>
      <c r="G4467" s="9">
        <v>467</v>
      </c>
      <c r="H4467" s="5" t="s">
        <v>21</v>
      </c>
      <c r="I4467" s="5" t="s">
        <v>10146</v>
      </c>
      <c r="J4467" s="12" t="str">
        <f>HYPERLINK("https://www.boe.es/gazeta/dias/1801/05/05/pdfs/GMD-1801-36.pdf#page=11","Abrir facsímil")</f>
        <v>Abrir facsímil</v>
      </c>
      <c r="K4467" s="15" t="s">
        <v>23</v>
      </c>
    </row>
    <row r="4468" spans="1:11" ht="42" customHeight="1">
      <c r="A4468" s="4" t="s">
        <v>10147</v>
      </c>
      <c r="B4468" s="5" t="s">
        <v>10147</v>
      </c>
      <c r="C4468" s="5" t="s">
        <v>32</v>
      </c>
      <c r="D4468" s="5" t="s">
        <v>33</v>
      </c>
      <c r="E4468" s="5" t="s">
        <v>712</v>
      </c>
      <c r="F4468" s="9">
        <v>105</v>
      </c>
      <c r="G4468" s="9">
        <v>1155</v>
      </c>
      <c r="H4468" s="5" t="s">
        <v>21</v>
      </c>
      <c r="I4468" s="5" t="s">
        <v>10148</v>
      </c>
      <c r="J4468" s="12" t="str">
        <f>HYPERLINK("https://www.boe.es/gazeta/dias/1801/11/10/pdfs/GMD-1801-105.pdf#page=8","Abrir facsímil")</f>
        <v>Abrir facsímil</v>
      </c>
      <c r="K4468" s="15" t="s">
        <v>23</v>
      </c>
    </row>
    <row r="4469" spans="1:11" ht="42" customHeight="1">
      <c r="A4469" s="4" t="s">
        <v>10149</v>
      </c>
      <c r="B4469" s="5" t="s">
        <v>10150</v>
      </c>
      <c r="C4469" s="5" t="s">
        <v>75</v>
      </c>
      <c r="D4469" s="5" t="s">
        <v>76</v>
      </c>
      <c r="E4469" s="5" t="s">
        <v>465</v>
      </c>
      <c r="F4469" s="9">
        <v>4</v>
      </c>
      <c r="G4469" s="9">
        <v>45</v>
      </c>
      <c r="H4469" s="5" t="s">
        <v>21</v>
      </c>
      <c r="I4469" s="5" t="s">
        <v>10151</v>
      </c>
      <c r="J4469" s="12" t="str">
        <f>HYPERLINK("https://www.boe.es/gazeta/dias/1801/01/13/pdfs/GMD-1801-4.pdf#page=9","Abrir facsímil")</f>
        <v>Abrir facsímil</v>
      </c>
      <c r="K4469" s="15" t="s">
        <v>23</v>
      </c>
    </row>
    <row r="4470" spans="1:11" ht="42" customHeight="1">
      <c r="A4470" s="4" t="s">
        <v>10152</v>
      </c>
      <c r="B4470" s="5" t="s">
        <v>10152</v>
      </c>
      <c r="C4470" s="5" t="s">
        <v>69</v>
      </c>
      <c r="D4470" s="5" t="s">
        <v>19</v>
      </c>
      <c r="E4470" s="5" t="s">
        <v>275</v>
      </c>
      <c r="F4470" s="9">
        <v>9</v>
      </c>
      <c r="G4470" s="9">
        <v>112</v>
      </c>
      <c r="H4470" s="5" t="s">
        <v>21</v>
      </c>
      <c r="I4470" s="5" t="s">
        <v>10153</v>
      </c>
      <c r="J4470" s="12" t="str">
        <f>HYPERLINK("https://www.boe.es/gazeta/dias/1801/01/30/pdfs/GMD-1801-9.pdf#page=9","Abrir facsímil")</f>
        <v>Abrir facsímil</v>
      </c>
      <c r="K4470" s="15" t="s">
        <v>23</v>
      </c>
    </row>
    <row r="4471" spans="1:11" ht="42" customHeight="1">
      <c r="A4471" s="4" t="s">
        <v>10154</v>
      </c>
      <c r="B4471" s="5" t="s">
        <v>10155</v>
      </c>
      <c r="C4471" s="5" t="s">
        <v>75</v>
      </c>
      <c r="D4471" s="5" t="s">
        <v>76</v>
      </c>
      <c r="E4471" s="5" t="s">
        <v>366</v>
      </c>
      <c r="F4471" s="9">
        <v>86</v>
      </c>
      <c r="G4471" s="9">
        <v>954</v>
      </c>
      <c r="H4471" s="5" t="s">
        <v>21</v>
      </c>
      <c r="I4471" s="5" t="s">
        <v>10156</v>
      </c>
      <c r="J4471" s="12" t="str">
        <f>HYPERLINK("https://www.boe.es/gazeta/dias/1801/09/08/pdfs/GMD-1801-86.pdf#page=5","Abrir facsímil")</f>
        <v>Abrir facsímil</v>
      </c>
      <c r="K4471" s="15" t="s">
        <v>23</v>
      </c>
    </row>
    <row r="4472" spans="1:11" ht="42" customHeight="1">
      <c r="A4472" s="4" t="s">
        <v>10157</v>
      </c>
      <c r="B4472" s="5" t="s">
        <v>10157</v>
      </c>
      <c r="C4472" s="5" t="s">
        <v>32</v>
      </c>
      <c r="D4472" s="5" t="s">
        <v>33</v>
      </c>
      <c r="E4472" s="5" t="s">
        <v>465</v>
      </c>
      <c r="F4472" s="9">
        <v>4</v>
      </c>
      <c r="G4472" s="9">
        <v>46</v>
      </c>
      <c r="H4472" s="5" t="s">
        <v>21</v>
      </c>
      <c r="I4472" s="5" t="s">
        <v>10158</v>
      </c>
      <c r="J4472" s="12" t="str">
        <f>HYPERLINK("https://www.boe.es/gazeta/dias/1801/01/13/pdfs/GMD-1801-4.pdf#page=10","Abrir facsímil")</f>
        <v>Abrir facsímil</v>
      </c>
      <c r="K4472" s="15" t="s">
        <v>23</v>
      </c>
    </row>
    <row r="4473" spans="1:11" ht="42" customHeight="1">
      <c r="A4473" s="4" t="s">
        <v>10159</v>
      </c>
      <c r="B4473" s="5" t="s">
        <v>10159</v>
      </c>
      <c r="C4473" s="5" t="s">
        <v>32</v>
      </c>
      <c r="D4473" s="5" t="s">
        <v>33</v>
      </c>
      <c r="E4473" s="5" t="s">
        <v>141</v>
      </c>
      <c r="F4473" s="9">
        <v>33</v>
      </c>
      <c r="G4473" s="9">
        <v>425</v>
      </c>
      <c r="H4473" s="5" t="s">
        <v>21</v>
      </c>
      <c r="I4473" s="5" t="s">
        <v>10160</v>
      </c>
      <c r="J4473" s="12" t="str">
        <f>HYPERLINK("https://www.boe.es/gazeta/dias/1801/04/24/pdfs/GMD-1801-33.pdf#page=9","Abrir facsímil")</f>
        <v>Abrir facsímil</v>
      </c>
      <c r="K4473" s="15" t="s">
        <v>23</v>
      </c>
    </row>
    <row r="4474" spans="1:11" ht="42" customHeight="1">
      <c r="A4474" s="4" t="s">
        <v>10161</v>
      </c>
      <c r="B4474" s="5" t="s">
        <v>10161</v>
      </c>
      <c r="C4474" s="5" t="s">
        <v>26</v>
      </c>
      <c r="D4474" s="5" t="s">
        <v>27</v>
      </c>
      <c r="E4474" s="5" t="s">
        <v>453</v>
      </c>
      <c r="F4474" s="9">
        <v>100</v>
      </c>
      <c r="G4474" s="9">
        <v>1101</v>
      </c>
      <c r="H4474" s="5" t="s">
        <v>21</v>
      </c>
      <c r="I4474" s="5" t="s">
        <v>10162</v>
      </c>
      <c r="J4474" s="12" t="str">
        <f>HYPERLINK("https://www.boe.es/gazeta/dias/1801/10/23/pdfs/GMD-1801-100.pdf#page=10","Abrir facsímil")</f>
        <v>Abrir facsímil</v>
      </c>
      <c r="K4474" s="15" t="s">
        <v>23</v>
      </c>
    </row>
    <row r="4475" spans="1:11" ht="42" customHeight="1">
      <c r="A4475" s="4" t="s">
        <v>10163</v>
      </c>
      <c r="B4475" s="5" t="s">
        <v>10163</v>
      </c>
      <c r="C4475" s="5" t="s">
        <v>69</v>
      </c>
      <c r="D4475" s="5" t="s">
        <v>19</v>
      </c>
      <c r="E4475" s="5" t="s">
        <v>258</v>
      </c>
      <c r="F4475" s="9">
        <v>96</v>
      </c>
      <c r="G4475" s="9">
        <v>1050</v>
      </c>
      <c r="H4475" s="5" t="s">
        <v>21</v>
      </c>
      <c r="I4475" s="5" t="s">
        <v>10164</v>
      </c>
      <c r="J4475" s="12" t="str">
        <f>HYPERLINK("https://www.boe.es/gazeta/dias/1801/10/09/pdfs/GMD-1801-96.pdf#page=6","Abrir facsímil")</f>
        <v>Abrir facsímil</v>
      </c>
      <c r="K4475" s="15" t="s">
        <v>23</v>
      </c>
    </row>
    <row r="4476" spans="1:11" ht="42" customHeight="1">
      <c r="A4476" s="4" t="s">
        <v>10165</v>
      </c>
      <c r="B4476" s="5" t="s">
        <v>10166</v>
      </c>
      <c r="C4476" s="5" t="s">
        <v>32</v>
      </c>
      <c r="D4476" s="5" t="s">
        <v>33</v>
      </c>
      <c r="E4476" s="5" t="s">
        <v>131</v>
      </c>
      <c r="F4476" s="9">
        <v>22</v>
      </c>
      <c r="G4476" s="9">
        <v>289</v>
      </c>
      <c r="H4476" s="5" t="s">
        <v>21</v>
      </c>
      <c r="I4476" s="5" t="s">
        <v>10167</v>
      </c>
      <c r="J4476" s="12" t="str">
        <f>HYPERLINK("https://www.boe.es/gazeta/dias/1801/03/17/pdfs/GMD-1801-22.pdf#page=6","Abrir facsímil")</f>
        <v>Abrir facsímil</v>
      </c>
      <c r="K4476" s="15" t="s">
        <v>23</v>
      </c>
    </row>
    <row r="4477" spans="1:11" ht="42" customHeight="1">
      <c r="A4477" s="4" t="s">
        <v>10168</v>
      </c>
      <c r="B4477" s="5" t="s">
        <v>10169</v>
      </c>
      <c r="C4477" s="5" t="s">
        <v>75</v>
      </c>
      <c r="D4477" s="5" t="s">
        <v>76</v>
      </c>
      <c r="E4477" s="5" t="s">
        <v>101</v>
      </c>
      <c r="F4477" s="9">
        <v>41</v>
      </c>
      <c r="G4477" s="9">
        <v>521</v>
      </c>
      <c r="H4477" s="5" t="s">
        <v>21</v>
      </c>
      <c r="I4477" s="5" t="s">
        <v>10170</v>
      </c>
      <c r="J4477" s="12" t="str">
        <f>HYPERLINK("https://www.boe.es/gazeta/dias/1801/05/22/pdfs/GMD-1801-41.pdf#page=5","Abrir facsímil")</f>
        <v>Abrir facsímil</v>
      </c>
      <c r="K4477" s="15" t="s">
        <v>23</v>
      </c>
    </row>
    <row r="4478" spans="1:11" ht="42" customHeight="1">
      <c r="A4478" s="4" t="s">
        <v>10168</v>
      </c>
      <c r="B4478" s="5" t="s">
        <v>10169</v>
      </c>
      <c r="C4478" s="5" t="s">
        <v>32</v>
      </c>
      <c r="D4478" s="5" t="s">
        <v>33</v>
      </c>
      <c r="E4478" s="5" t="s">
        <v>352</v>
      </c>
      <c r="F4478" s="9">
        <v>43</v>
      </c>
      <c r="G4478" s="9">
        <v>534</v>
      </c>
      <c r="H4478" s="5" t="s">
        <v>21</v>
      </c>
      <c r="I4478" s="5" t="s">
        <v>10171</v>
      </c>
      <c r="J4478" s="12" t="str">
        <f>HYPERLINK("https://www.boe.es/gazeta/dias/1801/05/26/pdfs/GMD-1801-43.pdf#page=6","Abrir facsímil")</f>
        <v>Abrir facsímil</v>
      </c>
      <c r="K4478" s="15" t="s">
        <v>23</v>
      </c>
    </row>
    <row r="4479" spans="1:11" ht="42" customHeight="1">
      <c r="A4479" s="4" t="s">
        <v>10168</v>
      </c>
      <c r="B4479" s="5" t="s">
        <v>10169</v>
      </c>
      <c r="C4479" s="5" t="s">
        <v>75</v>
      </c>
      <c r="D4479" s="5" t="s">
        <v>76</v>
      </c>
      <c r="E4479" s="5" t="s">
        <v>153</v>
      </c>
      <c r="F4479" s="9">
        <v>48</v>
      </c>
      <c r="G4479" s="9">
        <v>583</v>
      </c>
      <c r="H4479" s="5" t="s">
        <v>21</v>
      </c>
      <c r="I4479" s="5" t="s">
        <v>10172</v>
      </c>
      <c r="J4479" s="12" t="str">
        <f>HYPERLINK("https://www.boe.es/gazeta/dias/1801/06/05/pdfs/GMD-1801-48.pdf#page=5","Abrir facsímil")</f>
        <v>Abrir facsímil</v>
      </c>
      <c r="K4479" s="15" t="s">
        <v>23</v>
      </c>
    </row>
    <row r="4480" spans="1:11" ht="42" customHeight="1">
      <c r="A4480" s="4" t="s">
        <v>10173</v>
      </c>
      <c r="B4480" s="5" t="s">
        <v>10174</v>
      </c>
      <c r="C4480" s="5" t="s">
        <v>75</v>
      </c>
      <c r="D4480" s="5" t="s">
        <v>76</v>
      </c>
      <c r="E4480" s="5" t="s">
        <v>101</v>
      </c>
      <c r="F4480" s="9">
        <v>41</v>
      </c>
      <c r="G4480" s="9">
        <v>521</v>
      </c>
      <c r="H4480" s="5" t="s">
        <v>21</v>
      </c>
      <c r="I4480" s="5" t="s">
        <v>10175</v>
      </c>
      <c r="J4480" s="12" t="str">
        <f>HYPERLINK("https://www.boe.es/gazeta/dias/1801/05/22/pdfs/GMD-1801-41.pdf#page=5","Abrir facsímil")</f>
        <v>Abrir facsímil</v>
      </c>
      <c r="K4480" s="15" t="s">
        <v>23</v>
      </c>
    </row>
    <row r="4481" spans="1:11" ht="42" customHeight="1">
      <c r="A4481" s="4" t="s">
        <v>10176</v>
      </c>
      <c r="B4481" s="5" t="s">
        <v>10177</v>
      </c>
      <c r="C4481" s="5" t="s">
        <v>32</v>
      </c>
      <c r="D4481" s="5" t="s">
        <v>33</v>
      </c>
      <c r="E4481" s="5" t="s">
        <v>781</v>
      </c>
      <c r="F4481" s="9">
        <v>14</v>
      </c>
      <c r="G4481" s="9">
        <v>174</v>
      </c>
      <c r="H4481" s="5" t="s">
        <v>21</v>
      </c>
      <c r="I4481" s="5" t="s">
        <v>10178</v>
      </c>
      <c r="J4481" s="12" t="str">
        <f>HYPERLINK("https://www.boe.es/gazeta/dias/1801/02/17/pdfs/GMD-1801-14.pdf#page=9","Abrir facsímil")</f>
        <v>Abrir facsímil</v>
      </c>
      <c r="K4481" s="15" t="s">
        <v>23</v>
      </c>
    </row>
    <row r="4482" spans="1:11" ht="42" customHeight="1">
      <c r="A4482" s="4" t="s">
        <v>10179</v>
      </c>
      <c r="B4482" s="5" t="s">
        <v>10179</v>
      </c>
      <c r="C4482" s="5" t="s">
        <v>69</v>
      </c>
      <c r="D4482" s="5" t="s">
        <v>19</v>
      </c>
      <c r="E4482" s="5" t="s">
        <v>888</v>
      </c>
      <c r="F4482" s="9">
        <v>103</v>
      </c>
      <c r="G4482" s="9">
        <v>1137</v>
      </c>
      <c r="H4482" s="5" t="s">
        <v>21</v>
      </c>
      <c r="I4482" s="5" t="s">
        <v>10180</v>
      </c>
      <c r="J4482" s="12" t="str">
        <f>HYPERLINK("https://www.boe.es/gazeta/dias/1801/11/03/pdfs/GMD-1801-103.pdf#page=10","Abrir facsímil")</f>
        <v>Abrir facsímil</v>
      </c>
      <c r="K4482" s="15" t="s">
        <v>23</v>
      </c>
    </row>
    <row r="4483" spans="1:11" ht="42" customHeight="1">
      <c r="A4483" s="4" t="s">
        <v>10181</v>
      </c>
      <c r="B4483" s="5" t="s">
        <v>10182</v>
      </c>
      <c r="C4483" s="5" t="s">
        <v>80</v>
      </c>
      <c r="D4483" s="5" t="s">
        <v>81</v>
      </c>
      <c r="E4483" s="5" t="s">
        <v>289</v>
      </c>
      <c r="F4483" s="9">
        <v>40</v>
      </c>
      <c r="G4483" s="9" t="s">
        <v>305</v>
      </c>
      <c r="H4483" s="5" t="s">
        <v>21</v>
      </c>
      <c r="I4483" s="5" t="s">
        <v>10183</v>
      </c>
      <c r="J4483" s="12" t="str">
        <f>HYPERLINK("https://www.boe.es/gazeta/dias/1801/05/19/pdfs/GMD-C-1801-40.pdf#page=4","Abrir facsímil")</f>
        <v>Abrir facsímil</v>
      </c>
      <c r="K4483" s="15" t="s">
        <v>23</v>
      </c>
    </row>
    <row r="4484" spans="1:11" ht="42" customHeight="1">
      <c r="A4484" s="4" t="s">
        <v>10184</v>
      </c>
      <c r="B4484" s="5" t="s">
        <v>10184</v>
      </c>
      <c r="C4484" s="5" t="s">
        <v>75</v>
      </c>
      <c r="D4484" s="5" t="s">
        <v>76</v>
      </c>
      <c r="E4484" s="5" t="s">
        <v>480</v>
      </c>
      <c r="F4484" s="9">
        <v>10</v>
      </c>
      <c r="G4484" s="9">
        <v>121</v>
      </c>
      <c r="H4484" s="5" t="s">
        <v>21</v>
      </c>
      <c r="I4484" s="5" t="s">
        <v>10185</v>
      </c>
      <c r="J4484" s="12" t="str">
        <f>HYPERLINK("https://www.boe.es/gazeta/dias/1801/02/03/pdfs/GMD-1801-10.pdf#page=6","Abrir facsímil")</f>
        <v>Abrir facsímil</v>
      </c>
      <c r="K4484" s="15" t="s">
        <v>23</v>
      </c>
    </row>
    <row r="4485" spans="1:11" ht="42" customHeight="1">
      <c r="A4485" s="4" t="s">
        <v>10186</v>
      </c>
      <c r="B4485" s="5" t="s">
        <v>10187</v>
      </c>
      <c r="C4485" s="5" t="s">
        <v>75</v>
      </c>
      <c r="D4485" s="5" t="s">
        <v>76</v>
      </c>
      <c r="E4485" s="5" t="s">
        <v>211</v>
      </c>
      <c r="F4485" s="9">
        <v>87</v>
      </c>
      <c r="G4485" s="9">
        <v>961</v>
      </c>
      <c r="H4485" s="5" t="s">
        <v>21</v>
      </c>
      <c r="I4485" s="5" t="s">
        <v>10188</v>
      </c>
      <c r="J4485" s="12" t="str">
        <f>HYPERLINK("https://www.boe.es/gazeta/dias/1801/09/11/pdfs/GMD-1801-87.pdf#page=4","Abrir facsímil")</f>
        <v>Abrir facsímil</v>
      </c>
      <c r="K4485" s="15" t="s">
        <v>23</v>
      </c>
    </row>
    <row r="4486" spans="1:11" ht="42" customHeight="1">
      <c r="A4486" s="4" t="s">
        <v>10189</v>
      </c>
      <c r="B4486" s="5" t="s">
        <v>10190</v>
      </c>
      <c r="C4486" s="5" t="s">
        <v>75</v>
      </c>
      <c r="D4486" s="5" t="s">
        <v>76</v>
      </c>
      <c r="E4486" s="5" t="s">
        <v>20</v>
      </c>
      <c r="F4486" s="9">
        <v>37</v>
      </c>
      <c r="G4486" s="9">
        <v>479</v>
      </c>
      <c r="H4486" s="5" t="s">
        <v>21</v>
      </c>
      <c r="I4486" s="5" t="s">
        <v>10191</v>
      </c>
      <c r="J4486" s="12" t="str">
        <f>HYPERLINK("https://www.boe.es/gazeta/dias/1801/05/08/pdfs/GMD-1801-37.pdf#page=7","Abrir facsímil")</f>
        <v>Abrir facsímil</v>
      </c>
      <c r="K4486" s="15" t="s">
        <v>23</v>
      </c>
    </row>
    <row r="4487" spans="1:11" ht="42" customHeight="1">
      <c r="A4487" s="4" t="s">
        <v>10192</v>
      </c>
      <c r="B4487" s="5" t="s">
        <v>10193</v>
      </c>
      <c r="C4487" s="5" t="s">
        <v>18</v>
      </c>
      <c r="D4487" s="5" t="s">
        <v>19</v>
      </c>
      <c r="E4487" s="5" t="s">
        <v>366</v>
      </c>
      <c r="F4487" s="9">
        <v>86</v>
      </c>
      <c r="G4487" s="9">
        <v>957</v>
      </c>
      <c r="H4487" s="5" t="s">
        <v>21</v>
      </c>
      <c r="I4487" s="5" t="s">
        <v>10194</v>
      </c>
      <c r="J4487" s="12" t="str">
        <f>HYPERLINK("https://www.boe.es/gazeta/dias/1801/09/08/pdfs/GMD-1801-86.pdf#page=8","Abrir facsímil")</f>
        <v>Abrir facsímil</v>
      </c>
      <c r="K4487" s="15" t="s">
        <v>23</v>
      </c>
    </row>
    <row r="4488" spans="1:11" ht="42" customHeight="1">
      <c r="A4488" s="4" t="s">
        <v>10195</v>
      </c>
      <c r="B4488" s="5" t="s">
        <v>10195</v>
      </c>
      <c r="C4488" s="5" t="s">
        <v>38</v>
      </c>
      <c r="D4488" s="5" t="s">
        <v>39</v>
      </c>
      <c r="E4488" s="5" t="s">
        <v>480</v>
      </c>
      <c r="F4488" s="9">
        <v>10</v>
      </c>
      <c r="G4488" s="9">
        <v>127</v>
      </c>
      <c r="H4488" s="5" t="s">
        <v>21</v>
      </c>
      <c r="I4488" s="5" t="s">
        <v>10196</v>
      </c>
      <c r="J4488" s="12" t="str">
        <f>HYPERLINK("https://www.boe.es/gazeta/dias/1801/02/03/pdfs/GMD-1801-10.pdf#page=12","Abrir facsímil")</f>
        <v>Abrir facsímil</v>
      </c>
      <c r="K4488" s="15" t="s">
        <v>23</v>
      </c>
    </row>
    <row r="4489" spans="1:11" ht="42" customHeight="1">
      <c r="A4489" s="4" t="s">
        <v>10197</v>
      </c>
      <c r="B4489" s="5" t="s">
        <v>10197</v>
      </c>
      <c r="C4489" s="5" t="s">
        <v>75</v>
      </c>
      <c r="D4489" s="5" t="s">
        <v>76</v>
      </c>
      <c r="E4489" s="5" t="s">
        <v>20</v>
      </c>
      <c r="F4489" s="9">
        <v>37</v>
      </c>
      <c r="G4489" s="9">
        <v>475</v>
      </c>
      <c r="H4489" s="5" t="s">
        <v>21</v>
      </c>
      <c r="I4489" s="5" t="s">
        <v>10198</v>
      </c>
      <c r="J4489" s="12" t="str">
        <f>HYPERLINK("https://www.boe.es/gazeta/dias/1801/05/08/pdfs/GMD-1801-37.pdf#page=3","Abrir facsímil")</f>
        <v>Abrir facsímil</v>
      </c>
      <c r="K4489" s="15" t="s">
        <v>23</v>
      </c>
    </row>
    <row r="4490" spans="1:11" ht="42" customHeight="1">
      <c r="A4490" s="4" t="s">
        <v>10199</v>
      </c>
      <c r="B4490" s="5" t="s">
        <v>10199</v>
      </c>
      <c r="C4490" s="5" t="s">
        <v>38</v>
      </c>
      <c r="D4490" s="5" t="s">
        <v>39</v>
      </c>
      <c r="E4490" s="5" t="s">
        <v>151</v>
      </c>
      <c r="F4490" s="9">
        <v>45</v>
      </c>
      <c r="G4490" s="9">
        <v>562</v>
      </c>
      <c r="H4490" s="5" t="s">
        <v>21</v>
      </c>
      <c r="I4490" s="5" t="s">
        <v>10200</v>
      </c>
      <c r="J4490" s="12" t="str">
        <f>HYPERLINK("https://www.boe.es/gazeta/dias/1801/06/02/pdfs/GMD-1801-45.pdf#page=10","Abrir facsímil")</f>
        <v>Abrir facsímil</v>
      </c>
      <c r="K4490" s="15" t="s">
        <v>23</v>
      </c>
    </row>
    <row r="4491" spans="1:11" ht="42" customHeight="1">
      <c r="A4491" s="4" t="s">
        <v>10201</v>
      </c>
      <c r="B4491" s="5" t="s">
        <v>10202</v>
      </c>
      <c r="C4491" s="5" t="s">
        <v>32</v>
      </c>
      <c r="D4491" s="5" t="s">
        <v>33</v>
      </c>
      <c r="E4491" s="5" t="s">
        <v>292</v>
      </c>
      <c r="F4491" s="9">
        <v>25</v>
      </c>
      <c r="G4491" s="9">
        <v>324</v>
      </c>
      <c r="H4491" s="5" t="s">
        <v>21</v>
      </c>
      <c r="I4491" s="5" t="s">
        <v>10203</v>
      </c>
      <c r="J4491" s="12" t="str">
        <f>HYPERLINK("https://www.boe.es/gazeta/dias/1801/03/27/pdfs/GMD-1801-25.pdf#page=3","Abrir facsímil")</f>
        <v>Abrir facsímil</v>
      </c>
      <c r="K4491" s="15" t="s">
        <v>23</v>
      </c>
    </row>
    <row r="4492" spans="1:11" ht="42" customHeight="1">
      <c r="A4492" s="4" t="s">
        <v>10204</v>
      </c>
      <c r="B4492" s="5" t="s">
        <v>10204</v>
      </c>
      <c r="C4492" s="5" t="s">
        <v>32</v>
      </c>
      <c r="D4492" s="5" t="s">
        <v>33</v>
      </c>
      <c r="E4492" s="5" t="s">
        <v>137</v>
      </c>
      <c r="F4492" s="9">
        <v>30</v>
      </c>
      <c r="G4492" s="9">
        <v>394</v>
      </c>
      <c r="H4492" s="5" t="s">
        <v>21</v>
      </c>
      <c r="I4492" s="5" t="s">
        <v>10205</v>
      </c>
      <c r="J4492" s="12" t="str">
        <f>HYPERLINK("https://www.boe.es/gazeta/dias/1801/04/14/pdfs/GMD-1801-30.pdf#page=10","Abrir facsímil")</f>
        <v>Abrir facsímil</v>
      </c>
      <c r="K4492" s="15" t="s">
        <v>23</v>
      </c>
    </row>
    <row r="4493" spans="1:11" ht="42" customHeight="1">
      <c r="A4493" s="4" t="s">
        <v>10206</v>
      </c>
      <c r="B4493" s="5" t="s">
        <v>10206</v>
      </c>
      <c r="C4493" s="5" t="s">
        <v>18</v>
      </c>
      <c r="D4493" s="5" t="s">
        <v>19</v>
      </c>
      <c r="E4493" s="5" t="s">
        <v>223</v>
      </c>
      <c r="F4493" s="9">
        <v>74</v>
      </c>
      <c r="G4493" s="9">
        <v>831</v>
      </c>
      <c r="H4493" s="5" t="s">
        <v>21</v>
      </c>
      <c r="I4493" s="5" t="s">
        <v>10207</v>
      </c>
      <c r="J4493" s="12" t="str">
        <f>HYPERLINK("https://www.boe.es/gazeta/dias/1801/07/31/pdfs/GMD-1801-74.pdf#page=12","Abrir facsímil")</f>
        <v>Abrir facsímil</v>
      </c>
      <c r="K4493" s="15" t="s">
        <v>23</v>
      </c>
    </row>
    <row r="4494" spans="1:11" ht="42" customHeight="1">
      <c r="A4494" s="4" t="s">
        <v>10208</v>
      </c>
      <c r="B4494" s="5" t="s">
        <v>10208</v>
      </c>
      <c r="C4494" s="5" t="s">
        <v>32</v>
      </c>
      <c r="D4494" s="5" t="s">
        <v>33</v>
      </c>
      <c r="E4494" s="5" t="s">
        <v>99</v>
      </c>
      <c r="F4494" s="9">
        <v>32</v>
      </c>
      <c r="G4494" s="9">
        <v>415</v>
      </c>
      <c r="H4494" s="5" t="s">
        <v>21</v>
      </c>
      <c r="I4494" s="5" t="s">
        <v>10209</v>
      </c>
      <c r="J4494" s="12" t="str">
        <f>HYPERLINK("https://www.boe.es/gazeta/dias/1801/04/21/pdfs/GMD-1801-32.pdf#page=11","Abrir facsímil")</f>
        <v>Abrir facsímil</v>
      </c>
      <c r="K4494" s="15" t="s">
        <v>23</v>
      </c>
    </row>
    <row r="4495" spans="1:11" ht="42" customHeight="1">
      <c r="A4495" s="4" t="s">
        <v>10210</v>
      </c>
      <c r="B4495" s="5" t="s">
        <v>10210</v>
      </c>
      <c r="C4495" s="5" t="s">
        <v>32</v>
      </c>
      <c r="D4495" s="5" t="s">
        <v>33</v>
      </c>
      <c r="E4495" s="5" t="s">
        <v>186</v>
      </c>
      <c r="F4495" s="9">
        <v>21</v>
      </c>
      <c r="G4495" s="9">
        <v>280</v>
      </c>
      <c r="H4495" s="5" t="s">
        <v>21</v>
      </c>
      <c r="I4495" s="5" t="s">
        <v>10211</v>
      </c>
      <c r="J4495" s="12" t="str">
        <f>HYPERLINK("https://www.boe.es/gazeta/dias/1801/03/13/pdfs/GMD-1801-21.pdf#page=9","Abrir facsímil")</f>
        <v>Abrir facsímil</v>
      </c>
      <c r="K4495" s="15" t="s">
        <v>23</v>
      </c>
    </row>
    <row r="4496" spans="1:11" ht="42" customHeight="1">
      <c r="A4496" s="4" t="s">
        <v>10212</v>
      </c>
      <c r="B4496" s="5" t="s">
        <v>10212</v>
      </c>
      <c r="C4496" s="5" t="s">
        <v>69</v>
      </c>
      <c r="D4496" s="5" t="s">
        <v>19</v>
      </c>
      <c r="E4496" s="5" t="s">
        <v>359</v>
      </c>
      <c r="F4496" s="9">
        <v>101</v>
      </c>
      <c r="G4496" s="9">
        <v>1113</v>
      </c>
      <c r="H4496" s="5" t="s">
        <v>21</v>
      </c>
      <c r="I4496" s="5" t="s">
        <v>10213</v>
      </c>
      <c r="J4496" s="12" t="str">
        <f>HYPERLINK("https://www.boe.es/gazeta/dias/1801/10/27/pdfs/GMD-1801-101.pdf#page=6","Abrir facsímil")</f>
        <v>Abrir facsímil</v>
      </c>
      <c r="K4496" s="15" t="s">
        <v>23</v>
      </c>
    </row>
    <row r="4497" spans="1:11" ht="42" customHeight="1">
      <c r="A4497" s="4" t="s">
        <v>10214</v>
      </c>
      <c r="B4497" s="5" t="s">
        <v>10214</v>
      </c>
      <c r="C4497" s="5" t="s">
        <v>69</v>
      </c>
      <c r="D4497" s="5" t="s">
        <v>19</v>
      </c>
      <c r="E4497" s="5" t="s">
        <v>72</v>
      </c>
      <c r="F4497" s="9">
        <v>60</v>
      </c>
      <c r="G4497" s="9">
        <v>691</v>
      </c>
      <c r="H4497" s="5" t="s">
        <v>21</v>
      </c>
      <c r="I4497" s="5" t="s">
        <v>10215</v>
      </c>
      <c r="J4497" s="12" t="str">
        <f>HYPERLINK("https://www.boe.es/gazeta/dias/1801/06/26/pdfs/GMD-1801-60.pdf#page=12","Abrir facsímil")</f>
        <v>Abrir facsímil</v>
      </c>
      <c r="K4497" s="15" t="s">
        <v>23</v>
      </c>
    </row>
    <row r="4498" spans="1:11" ht="42" customHeight="1">
      <c r="A4498" s="4" t="s">
        <v>10216</v>
      </c>
      <c r="B4498" s="5" t="s">
        <v>10216</v>
      </c>
      <c r="C4498" s="5" t="s">
        <v>32</v>
      </c>
      <c r="D4498" s="5" t="s">
        <v>33</v>
      </c>
      <c r="E4498" s="5" t="s">
        <v>201</v>
      </c>
      <c r="F4498" s="9">
        <v>79</v>
      </c>
      <c r="G4498" s="9">
        <v>889</v>
      </c>
      <c r="H4498" s="5" t="s">
        <v>21</v>
      </c>
      <c r="I4498" s="5" t="s">
        <v>10217</v>
      </c>
      <c r="J4498" s="12" t="str">
        <f>HYPERLINK("https://www.boe.es/gazeta/dias/1801/08/18/pdfs/GMD-1801-79.pdf#page=6","Abrir facsímil")</f>
        <v>Abrir facsímil</v>
      </c>
      <c r="K4498" s="15" t="s">
        <v>23</v>
      </c>
    </row>
    <row r="4499" spans="1:11" ht="42" customHeight="1">
      <c r="A4499" s="4" t="s">
        <v>10218</v>
      </c>
      <c r="B4499" s="5" t="s">
        <v>10218</v>
      </c>
      <c r="C4499" s="5" t="s">
        <v>32</v>
      </c>
      <c r="D4499" s="5" t="s">
        <v>33</v>
      </c>
      <c r="E4499" s="5" t="s">
        <v>186</v>
      </c>
      <c r="F4499" s="9">
        <v>21</v>
      </c>
      <c r="G4499" s="9">
        <v>280</v>
      </c>
      <c r="H4499" s="5" t="s">
        <v>21</v>
      </c>
      <c r="I4499" s="5" t="s">
        <v>10219</v>
      </c>
      <c r="J4499" s="12" t="str">
        <f>HYPERLINK("https://www.boe.es/gazeta/dias/1801/03/13/pdfs/GMD-1801-21.pdf#page=9","Abrir facsímil")</f>
        <v>Abrir facsímil</v>
      </c>
      <c r="K4499" s="15" t="s">
        <v>23</v>
      </c>
    </row>
    <row r="4500" spans="1:11" ht="42" customHeight="1">
      <c r="A4500" s="4" t="s">
        <v>10220</v>
      </c>
      <c r="B4500" s="5" t="s">
        <v>10220</v>
      </c>
      <c r="C4500" s="5" t="s">
        <v>80</v>
      </c>
      <c r="D4500" s="5" t="s">
        <v>81</v>
      </c>
      <c r="E4500" s="5" t="s">
        <v>289</v>
      </c>
      <c r="F4500" s="9">
        <v>40</v>
      </c>
      <c r="G4500" s="9" t="s">
        <v>996</v>
      </c>
      <c r="H4500" s="5" t="s">
        <v>21</v>
      </c>
      <c r="I4500" s="5" t="s">
        <v>10221</v>
      </c>
      <c r="J4500" s="12" t="str">
        <f>HYPERLINK("https://www.boe.es/gazeta/dias/1801/05/19/pdfs/GMD-C-1801-40.pdf#page=6","Abrir facsímil")</f>
        <v>Abrir facsímil</v>
      </c>
      <c r="K4500" s="15" t="s">
        <v>23</v>
      </c>
    </row>
    <row r="4501" spans="1:11" ht="42" customHeight="1">
      <c r="A4501" s="4" t="s">
        <v>10222</v>
      </c>
      <c r="B4501" s="5" t="s">
        <v>10222</v>
      </c>
      <c r="C4501" s="5" t="s">
        <v>26</v>
      </c>
      <c r="D4501" s="5" t="s">
        <v>27</v>
      </c>
      <c r="E4501" s="5" t="s">
        <v>292</v>
      </c>
      <c r="F4501" s="9">
        <v>25</v>
      </c>
      <c r="G4501" s="9">
        <v>333</v>
      </c>
      <c r="H4501" s="5" t="s">
        <v>21</v>
      </c>
      <c r="I4501" s="5" t="s">
        <v>10223</v>
      </c>
      <c r="J4501" s="12" t="str">
        <f>HYPERLINK("https://www.boe.es/gazeta/dias/1801/03/27/pdfs/GMD-1801-25.pdf#page=12","Abrir facsímil")</f>
        <v>Abrir facsímil</v>
      </c>
      <c r="K4501" s="15" t="s">
        <v>23</v>
      </c>
    </row>
    <row r="4502" spans="1:11" ht="42" customHeight="1">
      <c r="A4502" s="4" t="s">
        <v>10224</v>
      </c>
      <c r="B4502" s="5" t="s">
        <v>10225</v>
      </c>
      <c r="C4502" s="5" t="s">
        <v>75</v>
      </c>
      <c r="D4502" s="5" t="s">
        <v>76</v>
      </c>
      <c r="E4502" s="5" t="s">
        <v>465</v>
      </c>
      <c r="F4502" s="9">
        <v>4</v>
      </c>
      <c r="G4502" s="9">
        <v>40</v>
      </c>
      <c r="H4502" s="5" t="s">
        <v>21</v>
      </c>
      <c r="I4502" s="5" t="s">
        <v>10226</v>
      </c>
      <c r="J4502" s="12" t="str">
        <f>HYPERLINK("https://www.boe.es/gazeta/dias/1801/01/13/pdfs/GMD-1801-4.pdf#page=4","Abrir facsímil")</f>
        <v>Abrir facsímil</v>
      </c>
      <c r="K4502" s="15" t="s">
        <v>23</v>
      </c>
    </row>
    <row r="4503" spans="1:11" ht="42" customHeight="1">
      <c r="A4503" s="4" t="s">
        <v>10224</v>
      </c>
      <c r="B4503" s="5" t="s">
        <v>10225</v>
      </c>
      <c r="C4503" s="5" t="s">
        <v>26</v>
      </c>
      <c r="D4503" s="5" t="s">
        <v>27</v>
      </c>
      <c r="E4503" s="5" t="s">
        <v>465</v>
      </c>
      <c r="F4503" s="9">
        <v>4</v>
      </c>
      <c r="G4503" s="9">
        <v>43</v>
      </c>
      <c r="H4503" s="5" t="s">
        <v>21</v>
      </c>
      <c r="I4503" s="5" t="s">
        <v>10227</v>
      </c>
      <c r="J4503" s="12" t="str">
        <f>HYPERLINK("https://www.boe.es/gazeta/dias/1801/01/13/pdfs/GMD-1801-4.pdf#page=7","Abrir facsímil")</f>
        <v>Abrir facsímil</v>
      </c>
      <c r="K4503" s="15" t="s">
        <v>23</v>
      </c>
    </row>
    <row r="4504" spans="1:11" ht="42" customHeight="1">
      <c r="A4504" s="4" t="s">
        <v>10224</v>
      </c>
      <c r="B4504" s="5" t="s">
        <v>10225</v>
      </c>
      <c r="C4504" s="5" t="s">
        <v>75</v>
      </c>
      <c r="D4504" s="5" t="s">
        <v>76</v>
      </c>
      <c r="E4504" s="5" t="s">
        <v>462</v>
      </c>
      <c r="F4504" s="9">
        <v>5</v>
      </c>
      <c r="G4504" s="9">
        <v>50</v>
      </c>
      <c r="H4504" s="5" t="s">
        <v>21</v>
      </c>
      <c r="I4504" s="5" t="s">
        <v>10228</v>
      </c>
      <c r="J4504" s="12" t="str">
        <f>HYPERLINK("https://www.boe.es/gazeta/dias/1801/01/16/pdfs/GMD-1801-5.pdf#page=2","Abrir facsímil")</f>
        <v>Abrir facsímil</v>
      </c>
      <c r="K4504" s="15" t="s">
        <v>23</v>
      </c>
    </row>
    <row r="4505" spans="1:11" ht="42" customHeight="1">
      <c r="A4505" s="4" t="s">
        <v>10224</v>
      </c>
      <c r="B4505" s="5" t="s">
        <v>10225</v>
      </c>
      <c r="C4505" s="5" t="s">
        <v>75</v>
      </c>
      <c r="D4505" s="5" t="s">
        <v>76</v>
      </c>
      <c r="E4505" s="5" t="s">
        <v>62</v>
      </c>
      <c r="F4505" s="9">
        <v>6</v>
      </c>
      <c r="G4505" s="9">
        <v>67</v>
      </c>
      <c r="H4505" s="5" t="s">
        <v>21</v>
      </c>
      <c r="I4505" s="5" t="s">
        <v>10229</v>
      </c>
      <c r="J4505" s="12" t="str">
        <f>HYPERLINK("https://www.boe.es/gazeta/dias/1801/01/20/pdfs/GMD-1801-6.pdf#page=3","Abrir facsímil")</f>
        <v>Abrir facsímil</v>
      </c>
      <c r="K4505" s="15" t="s">
        <v>23</v>
      </c>
    </row>
    <row r="4506" spans="1:11" ht="42" customHeight="1">
      <c r="A4506" s="4" t="s">
        <v>10224</v>
      </c>
      <c r="B4506" s="5" t="s">
        <v>10225</v>
      </c>
      <c r="C4506" s="5" t="s">
        <v>32</v>
      </c>
      <c r="D4506" s="5" t="s">
        <v>33</v>
      </c>
      <c r="E4506" s="5" t="s">
        <v>120</v>
      </c>
      <c r="F4506" s="9">
        <v>7</v>
      </c>
      <c r="G4506" s="9">
        <v>78</v>
      </c>
      <c r="H4506" s="5" t="s">
        <v>21</v>
      </c>
      <c r="I4506" s="5" t="s">
        <v>10230</v>
      </c>
      <c r="J4506" s="12" t="str">
        <f>HYPERLINK("https://www.boe.es/gazeta/dias/1801/01/23/pdfs/GMD-1801-7.pdf#page=2","Abrir facsímil")</f>
        <v>Abrir facsímil</v>
      </c>
      <c r="K4506" s="15" t="s">
        <v>23</v>
      </c>
    </row>
    <row r="4507" spans="1:11" ht="42" customHeight="1">
      <c r="A4507" s="4" t="s">
        <v>10224</v>
      </c>
      <c r="B4507" s="5" t="s">
        <v>10225</v>
      </c>
      <c r="C4507" s="5" t="s">
        <v>75</v>
      </c>
      <c r="D4507" s="5" t="s">
        <v>76</v>
      </c>
      <c r="E4507" s="5" t="s">
        <v>275</v>
      </c>
      <c r="F4507" s="9">
        <v>9</v>
      </c>
      <c r="G4507" s="9">
        <v>104</v>
      </c>
      <c r="H4507" s="5" t="s">
        <v>21</v>
      </c>
      <c r="I4507" s="5" t="s">
        <v>10231</v>
      </c>
      <c r="J4507" s="12" t="str">
        <f>HYPERLINK("https://www.boe.es/gazeta/dias/1801/01/30/pdfs/GMD-1801-9.pdf#page=1","Abrir facsímil")</f>
        <v>Abrir facsímil</v>
      </c>
      <c r="K4507" s="15" t="s">
        <v>23</v>
      </c>
    </row>
    <row r="4508" spans="1:11" ht="42" customHeight="1">
      <c r="A4508" s="4" t="s">
        <v>10224</v>
      </c>
      <c r="B4508" s="5" t="s">
        <v>10225</v>
      </c>
      <c r="C4508" s="5" t="s">
        <v>32</v>
      </c>
      <c r="D4508" s="5" t="s">
        <v>33</v>
      </c>
      <c r="E4508" s="5" t="s">
        <v>781</v>
      </c>
      <c r="F4508" s="9">
        <v>14</v>
      </c>
      <c r="G4508" s="9">
        <v>168</v>
      </c>
      <c r="H4508" s="5" t="s">
        <v>21</v>
      </c>
      <c r="I4508" s="5" t="s">
        <v>10232</v>
      </c>
      <c r="J4508" s="12" t="str">
        <f>HYPERLINK("https://www.boe.es/gazeta/dias/1801/02/17/pdfs/GMD-1801-14.pdf#page=3","Abrir facsímil")</f>
        <v>Abrir facsímil</v>
      </c>
      <c r="K4508" s="15" t="s">
        <v>23</v>
      </c>
    </row>
    <row r="4509" spans="1:11" ht="42" customHeight="1">
      <c r="A4509" s="4" t="s">
        <v>10224</v>
      </c>
      <c r="B4509" s="5" t="s">
        <v>10225</v>
      </c>
      <c r="C4509" s="5" t="s">
        <v>75</v>
      </c>
      <c r="D4509" s="5" t="s">
        <v>76</v>
      </c>
      <c r="E4509" s="5" t="s">
        <v>141</v>
      </c>
      <c r="F4509" s="9">
        <v>33</v>
      </c>
      <c r="G4509" s="9">
        <v>419</v>
      </c>
      <c r="H4509" s="5" t="s">
        <v>21</v>
      </c>
      <c r="I4509" s="5" t="s">
        <v>10233</v>
      </c>
      <c r="J4509" s="12" t="str">
        <f>HYPERLINK("https://www.boe.es/gazeta/dias/1801/04/24/pdfs/GMD-1801-33.pdf#page=3","Abrir facsímil")</f>
        <v>Abrir facsímil</v>
      </c>
      <c r="K4509" s="15" t="s">
        <v>23</v>
      </c>
    </row>
    <row r="4510" spans="1:11" ht="42" customHeight="1">
      <c r="A4510" s="4" t="s">
        <v>10224</v>
      </c>
      <c r="B4510" s="5" t="s">
        <v>10225</v>
      </c>
      <c r="C4510" s="5" t="s">
        <v>75</v>
      </c>
      <c r="D4510" s="5" t="s">
        <v>76</v>
      </c>
      <c r="E4510" s="5" t="s">
        <v>2237</v>
      </c>
      <c r="F4510" s="9">
        <v>82</v>
      </c>
      <c r="G4510" s="9">
        <v>913</v>
      </c>
      <c r="H4510" s="5" t="s">
        <v>21</v>
      </c>
      <c r="I4510" s="5" t="s">
        <v>10234</v>
      </c>
      <c r="J4510" s="12" t="str">
        <f>HYPERLINK("https://www.boe.es/gazeta/dias/1801/08/28/pdfs/GMD-1801-82.pdf#page=2","Abrir facsímil")</f>
        <v>Abrir facsímil</v>
      </c>
      <c r="K4510" s="15" t="s">
        <v>23</v>
      </c>
    </row>
    <row r="4511" spans="1:11" ht="42" customHeight="1">
      <c r="A4511" s="4" t="s">
        <v>10224</v>
      </c>
      <c r="B4511" s="5" t="s">
        <v>10225</v>
      </c>
      <c r="C4511" s="5" t="s">
        <v>38</v>
      </c>
      <c r="D4511" s="5" t="s">
        <v>39</v>
      </c>
      <c r="E4511" s="5" t="s">
        <v>1436</v>
      </c>
      <c r="F4511" s="9">
        <v>95</v>
      </c>
      <c r="G4511" s="9">
        <v>1038</v>
      </c>
      <c r="H4511" s="5" t="s">
        <v>21</v>
      </c>
      <c r="I4511" s="5" t="s">
        <v>10235</v>
      </c>
      <c r="J4511" s="12" t="str">
        <f>HYPERLINK("https://www.boe.es/gazeta/dias/1801/10/06/pdfs/GMD-1801-95.pdf#page=2","Abrir facsímil")</f>
        <v>Abrir facsímil</v>
      </c>
      <c r="K4511" s="15" t="s">
        <v>23</v>
      </c>
    </row>
    <row r="4512" spans="1:11" ht="42" customHeight="1">
      <c r="A4512" s="4" t="s">
        <v>10224</v>
      </c>
      <c r="B4512" s="5" t="s">
        <v>10225</v>
      </c>
      <c r="C4512" s="5" t="s">
        <v>75</v>
      </c>
      <c r="D4512" s="5" t="s">
        <v>76</v>
      </c>
      <c r="E4512" s="5" t="s">
        <v>173</v>
      </c>
      <c r="F4512" s="9">
        <v>98</v>
      </c>
      <c r="G4512" s="9">
        <v>1070</v>
      </c>
      <c r="H4512" s="5" t="s">
        <v>21</v>
      </c>
      <c r="I4512" s="5" t="s">
        <v>10236</v>
      </c>
      <c r="J4512" s="12" t="str">
        <f>HYPERLINK("https://www.boe.es/gazeta/dias/1801/10/16/pdfs/GMD-1801-98.pdf#page=2","Abrir facsímil")</f>
        <v>Abrir facsímil</v>
      </c>
      <c r="K4512" s="15" t="s">
        <v>23</v>
      </c>
    </row>
    <row r="4513" spans="1:11" ht="42" customHeight="1">
      <c r="A4513" s="4" t="s">
        <v>10237</v>
      </c>
      <c r="B4513" s="5" t="s">
        <v>10237</v>
      </c>
      <c r="C4513" s="5" t="s">
        <v>18</v>
      </c>
      <c r="D4513" s="5" t="s">
        <v>19</v>
      </c>
      <c r="E4513" s="5" t="s">
        <v>254</v>
      </c>
      <c r="F4513" s="9">
        <v>73</v>
      </c>
      <c r="G4513" s="9">
        <v>815</v>
      </c>
      <c r="H4513" s="5" t="s">
        <v>21</v>
      </c>
      <c r="I4513" s="5" t="s">
        <v>10238</v>
      </c>
      <c r="J4513" s="12" t="str">
        <f>HYPERLINK("https://www.boe.es/gazeta/dias/1801/07/28/pdfs/GMD-1801-73.pdf#page=8","Abrir facsímil")</f>
        <v>Abrir facsímil</v>
      </c>
      <c r="K4513" s="15" t="s">
        <v>23</v>
      </c>
    </row>
    <row r="4514" spans="1:11" ht="42" customHeight="1">
      <c r="A4514" s="4" t="s">
        <v>10239</v>
      </c>
      <c r="B4514" s="5" t="s">
        <v>10239</v>
      </c>
      <c r="C4514" s="5" t="s">
        <v>80</v>
      </c>
      <c r="D4514" s="5" t="s">
        <v>81</v>
      </c>
      <c r="E4514" s="5" t="s">
        <v>82</v>
      </c>
      <c r="F4514" s="9">
        <v>75</v>
      </c>
      <c r="G4514" s="9" t="s">
        <v>299</v>
      </c>
      <c r="H4514" s="5" t="s">
        <v>21</v>
      </c>
      <c r="I4514" s="5" t="s">
        <v>10240</v>
      </c>
      <c r="J4514" s="12" t="str">
        <f>HYPERLINK("https://www.boe.es/gazeta/dias/1801/08/04/pdfs/GMD-C-1801-75.pdf#page=5","Abrir facsímil")</f>
        <v>Abrir facsímil</v>
      </c>
      <c r="K4514" s="15" t="s">
        <v>23</v>
      </c>
    </row>
    <row r="4515" spans="1:11" ht="42" customHeight="1">
      <c r="A4515" s="4" t="s">
        <v>10241</v>
      </c>
      <c r="B4515" s="5" t="s">
        <v>10241</v>
      </c>
      <c r="C4515" s="5" t="s">
        <v>69</v>
      </c>
      <c r="D4515" s="5" t="s">
        <v>19</v>
      </c>
      <c r="E4515" s="5" t="s">
        <v>888</v>
      </c>
      <c r="F4515" s="9">
        <v>103</v>
      </c>
      <c r="G4515" s="9">
        <v>1137</v>
      </c>
      <c r="H4515" s="5" t="s">
        <v>21</v>
      </c>
      <c r="I4515" s="5" t="s">
        <v>10242</v>
      </c>
      <c r="J4515" s="12" t="str">
        <f>HYPERLINK("https://www.boe.es/gazeta/dias/1801/11/03/pdfs/GMD-1801-103.pdf#page=10","Abrir facsímil")</f>
        <v>Abrir facsímil</v>
      </c>
      <c r="K4515" s="15" t="s">
        <v>23</v>
      </c>
    </row>
    <row r="4516" spans="1:11" ht="42" customHeight="1">
      <c r="A4516" s="4" t="s">
        <v>10243</v>
      </c>
      <c r="B4516" s="5" t="s">
        <v>10243</v>
      </c>
      <c r="C4516" s="5" t="s">
        <v>38</v>
      </c>
      <c r="D4516" s="5" t="s">
        <v>39</v>
      </c>
      <c r="E4516" s="5" t="s">
        <v>50</v>
      </c>
      <c r="F4516" s="9">
        <v>29</v>
      </c>
      <c r="G4516" s="9">
        <v>384</v>
      </c>
      <c r="H4516" s="5" t="s">
        <v>21</v>
      </c>
      <c r="I4516" s="5" t="s">
        <v>10244</v>
      </c>
      <c r="J4516" s="12" t="str">
        <f>HYPERLINK("https://www.boe.es/gazeta/dias/1801/04/10/pdfs/GMD-1801-29.pdf#page=12","Abrir facsímil")</f>
        <v>Abrir facsímil</v>
      </c>
      <c r="K4516" s="15" t="s">
        <v>23</v>
      </c>
    </row>
    <row r="4517" spans="1:11" ht="42" customHeight="1">
      <c r="A4517" s="4" t="s">
        <v>10245</v>
      </c>
      <c r="B4517" s="5" t="s">
        <v>10245</v>
      </c>
      <c r="C4517" s="5" t="s">
        <v>32</v>
      </c>
      <c r="D4517" s="5" t="s">
        <v>33</v>
      </c>
      <c r="E4517" s="5" t="s">
        <v>292</v>
      </c>
      <c r="F4517" s="9">
        <v>25</v>
      </c>
      <c r="G4517" s="9">
        <v>331</v>
      </c>
      <c r="H4517" s="5" t="s">
        <v>21</v>
      </c>
      <c r="I4517" s="5" t="s">
        <v>10246</v>
      </c>
      <c r="J4517" s="12" t="str">
        <f>HYPERLINK("https://www.boe.es/gazeta/dias/1801/03/27/pdfs/GMD-1801-25.pdf#page=10","Abrir facsímil")</f>
        <v>Abrir facsímil</v>
      </c>
      <c r="K4517" s="15" t="s">
        <v>23</v>
      </c>
    </row>
    <row r="4518" spans="1:11" ht="42" customHeight="1">
      <c r="A4518" s="4" t="s">
        <v>10247</v>
      </c>
      <c r="B4518" s="5" t="s">
        <v>10248</v>
      </c>
      <c r="C4518" s="5" t="s">
        <v>32</v>
      </c>
      <c r="D4518" s="5" t="s">
        <v>33</v>
      </c>
      <c r="E4518" s="5" t="s">
        <v>465</v>
      </c>
      <c r="F4518" s="9">
        <v>4</v>
      </c>
      <c r="G4518" s="9">
        <v>46</v>
      </c>
      <c r="H4518" s="5" t="s">
        <v>21</v>
      </c>
      <c r="I4518" s="5" t="s">
        <v>10249</v>
      </c>
      <c r="J4518" s="12" t="str">
        <f>HYPERLINK("https://www.boe.es/gazeta/dias/1801/01/13/pdfs/GMD-1801-4.pdf#page=10","Abrir facsímil")</f>
        <v>Abrir facsímil</v>
      </c>
      <c r="K4518" s="15" t="s">
        <v>23</v>
      </c>
    </row>
    <row r="4519" spans="1:11" ht="42" customHeight="1">
      <c r="A4519" s="4" t="s">
        <v>10247</v>
      </c>
      <c r="B4519" s="5" t="s">
        <v>10248</v>
      </c>
      <c r="C4519" s="5" t="s">
        <v>32</v>
      </c>
      <c r="D4519" s="5" t="s">
        <v>33</v>
      </c>
      <c r="E4519" s="5" t="s">
        <v>256</v>
      </c>
      <c r="F4519" s="9">
        <v>78</v>
      </c>
      <c r="G4519" s="9">
        <v>881</v>
      </c>
      <c r="H4519" s="5" t="s">
        <v>21</v>
      </c>
      <c r="I4519" s="5" t="s">
        <v>10250</v>
      </c>
      <c r="J4519" s="12" t="str">
        <f>HYPERLINK("https://www.boe.es/gazeta/dias/1801/08/14/pdfs/GMD-1801-78.pdf#page=10","Abrir facsímil")</f>
        <v>Abrir facsímil</v>
      </c>
      <c r="K4519" s="15" t="s">
        <v>23</v>
      </c>
    </row>
    <row r="4520" spans="1:11" ht="42" customHeight="1">
      <c r="A4520" s="4" t="s">
        <v>10251</v>
      </c>
      <c r="B4520" s="5" t="s">
        <v>10252</v>
      </c>
      <c r="C4520" s="5" t="s">
        <v>32</v>
      </c>
      <c r="D4520" s="5" t="s">
        <v>33</v>
      </c>
      <c r="E4520" s="5" t="s">
        <v>90</v>
      </c>
      <c r="F4520" s="9">
        <v>1</v>
      </c>
      <c r="G4520" s="9">
        <v>9</v>
      </c>
      <c r="H4520" s="5" t="s">
        <v>21</v>
      </c>
      <c r="I4520" s="5" t="s">
        <v>10253</v>
      </c>
      <c r="J4520" s="12" t="str">
        <f>HYPERLINK("https://www.boe.es/gazeta/dias/1801/01/02/pdfs/GMD-1801-1.pdf#page=9","Abrir facsímil")</f>
        <v>Abrir facsímil</v>
      </c>
      <c r="K4520" s="15" t="s">
        <v>23</v>
      </c>
    </row>
    <row r="4521" spans="1:11" ht="42" customHeight="1">
      <c r="A4521" s="4" t="s">
        <v>10254</v>
      </c>
      <c r="B4521" s="5" t="s">
        <v>10255</v>
      </c>
      <c r="C4521" s="5" t="s">
        <v>80</v>
      </c>
      <c r="D4521" s="5" t="s">
        <v>81</v>
      </c>
      <c r="E4521" s="5" t="s">
        <v>289</v>
      </c>
      <c r="F4521" s="9">
        <v>40</v>
      </c>
      <c r="G4521" s="9" t="s">
        <v>502</v>
      </c>
      <c r="H4521" s="5" t="s">
        <v>21</v>
      </c>
      <c r="I4521" s="5" t="s">
        <v>10256</v>
      </c>
      <c r="J4521" s="12" t="str">
        <f>HYPERLINK("https://www.boe.es/gazeta/dias/1801/05/19/pdfs/GMD-C-1801-40.pdf#page=8","Abrir facsímil")</f>
        <v>Abrir facsímil</v>
      </c>
      <c r="K4521" s="15" t="s">
        <v>23</v>
      </c>
    </row>
    <row r="4522" spans="1:11" ht="42" customHeight="1">
      <c r="A4522" s="4" t="s">
        <v>10257</v>
      </c>
      <c r="B4522" s="5" t="s">
        <v>10257</v>
      </c>
      <c r="C4522" s="5" t="s">
        <v>38</v>
      </c>
      <c r="D4522" s="5" t="s">
        <v>39</v>
      </c>
      <c r="E4522" s="5" t="s">
        <v>90</v>
      </c>
      <c r="F4522" s="9">
        <v>1</v>
      </c>
      <c r="G4522" s="9">
        <v>9</v>
      </c>
      <c r="H4522" s="5" t="s">
        <v>21</v>
      </c>
      <c r="I4522" s="5" t="s">
        <v>10258</v>
      </c>
      <c r="J4522" s="12" t="str">
        <f>HYPERLINK("https://www.boe.es/gazeta/dias/1801/01/02/pdfs/GMD-1801-1.pdf#page=9","Abrir facsímil")</f>
        <v>Abrir facsímil</v>
      </c>
      <c r="K4522" s="15" t="s">
        <v>23</v>
      </c>
    </row>
    <row r="4523" spans="1:11" ht="42" customHeight="1">
      <c r="A4523" s="4" t="s">
        <v>10259</v>
      </c>
      <c r="B4523" s="5" t="s">
        <v>10259</v>
      </c>
      <c r="C4523" s="5" t="s">
        <v>75</v>
      </c>
      <c r="D4523" s="5" t="s">
        <v>76</v>
      </c>
      <c r="E4523" s="5" t="s">
        <v>935</v>
      </c>
      <c r="F4523" s="9">
        <v>116</v>
      </c>
      <c r="G4523" s="9">
        <v>1268</v>
      </c>
      <c r="H4523" s="5" t="s">
        <v>21</v>
      </c>
      <c r="I4523" s="5" t="s">
        <v>10260</v>
      </c>
      <c r="J4523" s="12" t="str">
        <f>HYPERLINK("https://www.boe.es/gazeta/dias/1801/12/18/pdfs/GMD-1801-116.pdf#page=10","Abrir facsímil")</f>
        <v>Abrir facsímil</v>
      </c>
      <c r="K4523" s="15" t="s">
        <v>23</v>
      </c>
    </row>
    <row r="4524" spans="1:11" ht="42" customHeight="1">
      <c r="A4524" s="4" t="s">
        <v>10261</v>
      </c>
      <c r="B4524" s="5" t="s">
        <v>10262</v>
      </c>
      <c r="C4524" s="5" t="s">
        <v>32</v>
      </c>
      <c r="D4524" s="5" t="s">
        <v>33</v>
      </c>
      <c r="E4524" s="5" t="s">
        <v>62</v>
      </c>
      <c r="F4524" s="9">
        <v>6</v>
      </c>
      <c r="G4524" s="9">
        <v>73</v>
      </c>
      <c r="H4524" s="5" t="s">
        <v>21</v>
      </c>
      <c r="I4524" s="5" t="s">
        <v>10263</v>
      </c>
      <c r="J4524" s="12" t="str">
        <f>HYPERLINK("https://www.boe.es/gazeta/dias/1801/01/20/pdfs/GMD-1801-6.pdf#page=9","Abrir facsímil")</f>
        <v>Abrir facsímil</v>
      </c>
      <c r="K4524" s="15" t="s">
        <v>23</v>
      </c>
    </row>
    <row r="4525" spans="1:11" ht="42" customHeight="1">
      <c r="A4525" s="4" t="s">
        <v>10264</v>
      </c>
      <c r="B4525" s="5" t="s">
        <v>10264</v>
      </c>
      <c r="C4525" s="5" t="s">
        <v>18</v>
      </c>
      <c r="D4525" s="5" t="s">
        <v>19</v>
      </c>
      <c r="E4525" s="5" t="s">
        <v>48</v>
      </c>
      <c r="F4525" s="9">
        <v>20</v>
      </c>
      <c r="G4525" s="9">
        <v>269</v>
      </c>
      <c r="H4525" s="5" t="s">
        <v>21</v>
      </c>
      <c r="I4525" s="5" t="s">
        <v>10265</v>
      </c>
      <c r="J4525" s="12" t="str">
        <f>HYPERLINK("https://www.boe.es/gazeta/dias/1801/03/10/pdfs/GMD-1801-20.pdf#page=14","Abrir facsímil")</f>
        <v>Abrir facsímil</v>
      </c>
      <c r="K4525" s="15" t="s">
        <v>23</v>
      </c>
    </row>
    <row r="4526" spans="1:11" ht="42" customHeight="1">
      <c r="A4526" s="4" t="s">
        <v>10266</v>
      </c>
      <c r="B4526" s="5" t="s">
        <v>10267</v>
      </c>
      <c r="C4526" s="5" t="s">
        <v>80</v>
      </c>
      <c r="D4526" s="5" t="s">
        <v>81</v>
      </c>
      <c r="E4526" s="5" t="s">
        <v>82</v>
      </c>
      <c r="F4526" s="9">
        <v>75</v>
      </c>
      <c r="G4526" s="9" t="s">
        <v>668</v>
      </c>
      <c r="H4526" s="5" t="s">
        <v>21</v>
      </c>
      <c r="I4526" s="5" t="s">
        <v>10268</v>
      </c>
      <c r="J4526" s="12" t="str">
        <f>HYPERLINK("https://www.boe.es/gazeta/dias/1801/08/04/pdfs/GMD-C-1801-75.pdf#page=1","Abrir facsímil")</f>
        <v>Abrir facsímil</v>
      </c>
      <c r="K4526" s="15" t="s">
        <v>23</v>
      </c>
    </row>
    <row r="4527" spans="1:11" ht="42" customHeight="1">
      <c r="A4527" s="4" t="s">
        <v>10269</v>
      </c>
      <c r="B4527" s="5" t="s">
        <v>10269</v>
      </c>
      <c r="C4527" s="5" t="s">
        <v>26</v>
      </c>
      <c r="D4527" s="5" t="s">
        <v>27</v>
      </c>
      <c r="E4527" s="5" t="s">
        <v>173</v>
      </c>
      <c r="F4527" s="9">
        <v>98</v>
      </c>
      <c r="G4527" s="9">
        <v>1078</v>
      </c>
      <c r="H4527" s="5" t="s">
        <v>21</v>
      </c>
      <c r="I4527" s="5" t="s">
        <v>10270</v>
      </c>
      <c r="J4527" s="12" t="str">
        <f>HYPERLINK("https://www.boe.es/gazeta/dias/1801/10/16/pdfs/GMD-1801-98.pdf#page=10","Abrir facsímil")</f>
        <v>Abrir facsímil</v>
      </c>
      <c r="K4527" s="15" t="s">
        <v>23</v>
      </c>
    </row>
    <row r="4528" spans="1:11" ht="42" customHeight="1">
      <c r="A4528" s="4" t="s">
        <v>10271</v>
      </c>
      <c r="B4528" s="5" t="s">
        <v>10272</v>
      </c>
      <c r="C4528" s="5" t="s">
        <v>32</v>
      </c>
      <c r="D4528" s="5" t="s">
        <v>33</v>
      </c>
      <c r="E4528" s="5" t="s">
        <v>34</v>
      </c>
      <c r="F4528" s="9">
        <v>38</v>
      </c>
      <c r="G4528" s="9">
        <v>493</v>
      </c>
      <c r="H4528" s="5" t="s">
        <v>21</v>
      </c>
      <c r="I4528" s="5" t="s">
        <v>10273</v>
      </c>
      <c r="J4528" s="12" t="str">
        <f>HYPERLINK("https://www.boe.es/gazeta/dias/1801/05/12/pdfs/GMD-1801-38.pdf#page=9","Abrir facsímil")</f>
        <v>Abrir facsímil</v>
      </c>
      <c r="K4528" s="15" t="s">
        <v>23</v>
      </c>
    </row>
    <row r="4529" spans="1:11" ht="42" customHeight="1">
      <c r="A4529" s="4" t="s">
        <v>10274</v>
      </c>
      <c r="B4529" s="5" t="s">
        <v>10275</v>
      </c>
      <c r="C4529" s="5" t="s">
        <v>32</v>
      </c>
      <c r="D4529" s="5" t="s">
        <v>33</v>
      </c>
      <c r="E4529" s="5" t="s">
        <v>120</v>
      </c>
      <c r="F4529" s="9">
        <v>7</v>
      </c>
      <c r="G4529" s="9">
        <v>85</v>
      </c>
      <c r="H4529" s="5" t="s">
        <v>21</v>
      </c>
      <c r="I4529" s="5" t="s">
        <v>10276</v>
      </c>
      <c r="J4529" s="12" t="str">
        <f>HYPERLINK("https://www.boe.es/gazeta/dias/1801/01/23/pdfs/GMD-1801-7.pdf#page=9","Abrir facsímil")</f>
        <v>Abrir facsímil</v>
      </c>
      <c r="K4529" s="15" t="s">
        <v>23</v>
      </c>
    </row>
    <row r="4530" spans="1:11" ht="42" customHeight="1">
      <c r="A4530" s="4" t="s">
        <v>10277</v>
      </c>
      <c r="B4530" s="5" t="s">
        <v>10278</v>
      </c>
      <c r="C4530" s="5" t="s">
        <v>18</v>
      </c>
      <c r="D4530" s="5" t="s">
        <v>19</v>
      </c>
      <c r="E4530" s="5" t="s">
        <v>145</v>
      </c>
      <c r="F4530" s="9">
        <v>36</v>
      </c>
      <c r="G4530" s="9">
        <v>464</v>
      </c>
      <c r="H4530" s="5" t="s">
        <v>21</v>
      </c>
      <c r="I4530" s="5" t="s">
        <v>10279</v>
      </c>
      <c r="J4530" s="12" t="str">
        <f>HYPERLINK("https://www.boe.es/gazeta/dias/1801/05/05/pdfs/GMD-1801-36.pdf#page=8","Abrir facsímil")</f>
        <v>Abrir facsímil</v>
      </c>
      <c r="K4530" s="15" t="s">
        <v>23</v>
      </c>
    </row>
    <row r="4531" spans="1:11" ht="42" customHeight="1">
      <c r="A4531" s="4" t="s">
        <v>10280</v>
      </c>
      <c r="B4531" s="5" t="s">
        <v>10281</v>
      </c>
      <c r="C4531" s="5" t="s">
        <v>32</v>
      </c>
      <c r="D4531" s="5" t="s">
        <v>33</v>
      </c>
      <c r="E4531" s="5" t="s">
        <v>712</v>
      </c>
      <c r="F4531" s="9">
        <v>105</v>
      </c>
      <c r="G4531" s="9">
        <v>1155</v>
      </c>
      <c r="H4531" s="5" t="s">
        <v>21</v>
      </c>
      <c r="I4531" s="5" t="s">
        <v>10282</v>
      </c>
      <c r="J4531" s="12" t="str">
        <f>HYPERLINK("https://www.boe.es/gazeta/dias/1801/11/10/pdfs/GMD-1801-105.pdf#page=8","Abrir facsímil")</f>
        <v>Abrir facsímil</v>
      </c>
      <c r="K4531" s="15" t="s">
        <v>23</v>
      </c>
    </row>
    <row r="4532" spans="1:11" ht="42" customHeight="1">
      <c r="A4532" s="4" t="s">
        <v>10283</v>
      </c>
      <c r="B4532" s="5" t="s">
        <v>10284</v>
      </c>
      <c r="C4532" s="5" t="s">
        <v>32</v>
      </c>
      <c r="D4532" s="5" t="s">
        <v>33</v>
      </c>
      <c r="E4532" s="5" t="s">
        <v>328</v>
      </c>
      <c r="F4532" s="9">
        <v>89</v>
      </c>
      <c r="G4532" s="9">
        <v>982</v>
      </c>
      <c r="H4532" s="5" t="s">
        <v>21</v>
      </c>
      <c r="I4532" s="5" t="s">
        <v>10285</v>
      </c>
      <c r="J4532" s="12" t="str">
        <f>HYPERLINK("https://www.boe.es/gazeta/dias/1801/09/15/pdfs/GMD-1801-89.pdf#page=9","Abrir facsímil")</f>
        <v>Abrir facsímil</v>
      </c>
      <c r="K4532" s="15" t="s">
        <v>23</v>
      </c>
    </row>
    <row r="4533" spans="1:11" ht="42" customHeight="1">
      <c r="A4533" s="4" t="s">
        <v>10286</v>
      </c>
      <c r="B4533" s="5" t="s">
        <v>10287</v>
      </c>
      <c r="C4533" s="5" t="s">
        <v>80</v>
      </c>
      <c r="D4533" s="5" t="s">
        <v>81</v>
      </c>
      <c r="E4533" s="5" t="s">
        <v>82</v>
      </c>
      <c r="F4533" s="9">
        <v>75</v>
      </c>
      <c r="G4533" s="9" t="s">
        <v>83</v>
      </c>
      <c r="H4533" s="5" t="s">
        <v>21</v>
      </c>
      <c r="I4533" s="5" t="s">
        <v>10288</v>
      </c>
      <c r="J4533" s="12" t="str">
        <f>HYPERLINK("https://www.boe.es/gazeta/dias/1801/08/04/pdfs/GMD-C-1801-75.pdf#page=2","Abrir facsímil")</f>
        <v>Abrir facsímil</v>
      </c>
      <c r="K4533" s="15" t="s">
        <v>23</v>
      </c>
    </row>
    <row r="4534" spans="1:11" ht="42" customHeight="1">
      <c r="A4534" s="4" t="s">
        <v>10289</v>
      </c>
      <c r="B4534" s="5" t="s">
        <v>10289</v>
      </c>
      <c r="C4534" s="5" t="s">
        <v>32</v>
      </c>
      <c r="D4534" s="5" t="s">
        <v>33</v>
      </c>
      <c r="E4534" s="5" t="s">
        <v>640</v>
      </c>
      <c r="F4534" s="9">
        <v>81</v>
      </c>
      <c r="G4534" s="9">
        <v>909</v>
      </c>
      <c r="H4534" s="5" t="s">
        <v>21</v>
      </c>
      <c r="I4534" s="5" t="s">
        <v>10290</v>
      </c>
      <c r="J4534" s="12" t="str">
        <f>HYPERLINK("https://www.boe.es/gazeta/dias/1801/08/25/pdfs/GMD-1801-81.pdf#page=6","Abrir facsímil")</f>
        <v>Abrir facsímil</v>
      </c>
      <c r="K4534" s="15" t="s">
        <v>23</v>
      </c>
    </row>
    <row r="4535" spans="1:11" ht="42" customHeight="1">
      <c r="A4535" s="4" t="s">
        <v>10291</v>
      </c>
      <c r="B4535" s="5" t="s">
        <v>10291</v>
      </c>
      <c r="C4535" s="5" t="s">
        <v>38</v>
      </c>
      <c r="D4535" s="5" t="s">
        <v>39</v>
      </c>
      <c r="E4535" s="5" t="s">
        <v>179</v>
      </c>
      <c r="F4535" s="9">
        <v>11</v>
      </c>
      <c r="G4535" s="9">
        <v>138</v>
      </c>
      <c r="H4535" s="5" t="s">
        <v>21</v>
      </c>
      <c r="I4535" s="5" t="s">
        <v>10292</v>
      </c>
      <c r="J4535" s="12" t="str">
        <f>HYPERLINK("https://www.boe.es/gazeta/dias/1801/02/06/pdfs/GMD-1801-11.pdf#page=11","Abrir facsímil")</f>
        <v>Abrir facsímil</v>
      </c>
      <c r="K4535" s="15" t="s">
        <v>23</v>
      </c>
    </row>
    <row r="4536" spans="1:11" ht="42" customHeight="1">
      <c r="A4536" s="4" t="s">
        <v>10293</v>
      </c>
      <c r="B4536" s="5" t="s">
        <v>10294</v>
      </c>
      <c r="C4536" s="5" t="s">
        <v>75</v>
      </c>
      <c r="D4536" s="5" t="s">
        <v>76</v>
      </c>
      <c r="E4536" s="5" t="s">
        <v>34</v>
      </c>
      <c r="F4536" s="9">
        <v>38</v>
      </c>
      <c r="G4536" s="9">
        <v>489</v>
      </c>
      <c r="H4536" s="5" t="s">
        <v>21</v>
      </c>
      <c r="I4536" s="5" t="s">
        <v>10295</v>
      </c>
      <c r="J4536" s="12" t="str">
        <f>HYPERLINK("https://www.boe.es/gazeta/dias/1801/05/12/pdfs/GMD-1801-38.pdf#page=5","Abrir facsímil")</f>
        <v>Abrir facsímil</v>
      </c>
      <c r="K4536" s="15" t="s">
        <v>23</v>
      </c>
    </row>
    <row r="4537" spans="1:11" ht="42" customHeight="1">
      <c r="A4537" s="4" t="s">
        <v>10296</v>
      </c>
      <c r="B4537" s="5" t="s">
        <v>10296</v>
      </c>
      <c r="C4537" s="5" t="s">
        <v>38</v>
      </c>
      <c r="D4537" s="5" t="s">
        <v>39</v>
      </c>
      <c r="E4537" s="5" t="s">
        <v>735</v>
      </c>
      <c r="F4537" s="9">
        <v>97</v>
      </c>
      <c r="G4537" s="9">
        <v>1061</v>
      </c>
      <c r="H4537" s="5" t="s">
        <v>21</v>
      </c>
      <c r="I4537" s="5" t="s">
        <v>10297</v>
      </c>
      <c r="J4537" s="12" t="str">
        <f>HYPERLINK("https://www.boe.es/gazeta/dias/1801/10/13/pdfs/GMD-1801-97.pdf#page=5","Abrir facsímil")</f>
        <v>Abrir facsímil</v>
      </c>
      <c r="K4537" s="15" t="s">
        <v>23</v>
      </c>
    </row>
    <row r="4538" spans="1:11" ht="42" customHeight="1">
      <c r="A4538" s="4" t="s">
        <v>10298</v>
      </c>
      <c r="B4538" s="5" t="s">
        <v>10298</v>
      </c>
      <c r="C4538" s="5" t="s">
        <v>75</v>
      </c>
      <c r="D4538" s="5" t="s">
        <v>76</v>
      </c>
      <c r="E4538" s="5" t="s">
        <v>186</v>
      </c>
      <c r="F4538" s="9">
        <v>21</v>
      </c>
      <c r="G4538" s="9">
        <v>273</v>
      </c>
      <c r="H4538" s="5" t="s">
        <v>21</v>
      </c>
      <c r="I4538" s="5" t="s">
        <v>10299</v>
      </c>
      <c r="J4538" s="12" t="str">
        <f>HYPERLINK("https://www.boe.es/gazeta/dias/1801/03/13/pdfs/GMD-1801-21.pdf#page=2","Abrir facsímil")</f>
        <v>Abrir facsímil</v>
      </c>
      <c r="K4538" s="15" t="s">
        <v>23</v>
      </c>
    </row>
    <row r="4539" spans="1:11" ht="42" customHeight="1">
      <c r="A4539" s="4" t="s">
        <v>10298</v>
      </c>
      <c r="B4539" s="5" t="s">
        <v>10298</v>
      </c>
      <c r="C4539" s="5" t="s">
        <v>32</v>
      </c>
      <c r="D4539" s="5" t="s">
        <v>33</v>
      </c>
      <c r="E4539" s="5" t="s">
        <v>2430</v>
      </c>
      <c r="F4539" s="9">
        <v>27</v>
      </c>
      <c r="G4539" s="9">
        <v>354</v>
      </c>
      <c r="H4539" s="5" t="s">
        <v>21</v>
      </c>
      <c r="I4539" s="5" t="s">
        <v>10300</v>
      </c>
      <c r="J4539" s="12" t="str">
        <f>HYPERLINK("https://www.boe.es/gazeta/dias/1801/04/03/pdfs/GMD-1801-27.pdf#page=6","Abrir facsímil")</f>
        <v>Abrir facsímil</v>
      </c>
      <c r="K4539" s="15" t="s">
        <v>23</v>
      </c>
    </row>
    <row r="4540" spans="1:11" ht="42" customHeight="1">
      <c r="A4540" s="4" t="s">
        <v>10301</v>
      </c>
      <c r="B4540" s="5" t="s">
        <v>10302</v>
      </c>
      <c r="C4540" s="5" t="s">
        <v>32</v>
      </c>
      <c r="D4540" s="5" t="s">
        <v>33</v>
      </c>
      <c r="E4540" s="5" t="s">
        <v>55</v>
      </c>
      <c r="F4540" s="9">
        <v>104</v>
      </c>
      <c r="G4540" s="9">
        <v>1145</v>
      </c>
      <c r="H4540" s="5" t="s">
        <v>21</v>
      </c>
      <c r="I4540" s="5" t="s">
        <v>10303</v>
      </c>
      <c r="J4540" s="12" t="str">
        <f>HYPERLINK("https://www.boe.es/gazeta/dias/1801/11/06/pdfs/GMD-1801-104.pdf#page=6","Abrir facsímil")</f>
        <v>Abrir facsímil</v>
      </c>
      <c r="K4540" s="15" t="s">
        <v>23</v>
      </c>
    </row>
    <row r="4541" spans="1:11" ht="42" customHeight="1">
      <c r="A4541" s="4" t="s">
        <v>10304</v>
      </c>
      <c r="B4541" s="5" t="s">
        <v>10305</v>
      </c>
      <c r="C4541" s="5" t="s">
        <v>32</v>
      </c>
      <c r="D4541" s="5" t="s">
        <v>33</v>
      </c>
      <c r="E4541" s="5" t="s">
        <v>505</v>
      </c>
      <c r="F4541" s="9">
        <v>94</v>
      </c>
      <c r="G4541" s="9">
        <v>1030</v>
      </c>
      <c r="H4541" s="5" t="s">
        <v>21</v>
      </c>
      <c r="I4541" s="5" t="s">
        <v>10306</v>
      </c>
      <c r="J4541" s="12" t="str">
        <f>HYPERLINK("https://www.boe.es/gazeta/dias/1801/10/02/pdfs/GMD-1801-94.pdf#page=6","Abrir facsímil")</f>
        <v>Abrir facsímil</v>
      </c>
      <c r="K4541" s="15" t="s">
        <v>23</v>
      </c>
    </row>
    <row r="4542" spans="1:11" ht="42" customHeight="1">
      <c r="A4542" s="4" t="s">
        <v>10307</v>
      </c>
      <c r="B4542" s="5" t="s">
        <v>10308</v>
      </c>
      <c r="C4542" s="5" t="s">
        <v>32</v>
      </c>
      <c r="D4542" s="5" t="s">
        <v>33</v>
      </c>
      <c r="E4542" s="5" t="s">
        <v>480</v>
      </c>
      <c r="F4542" s="9">
        <v>10</v>
      </c>
      <c r="G4542" s="9">
        <v>123</v>
      </c>
      <c r="H4542" s="5" t="s">
        <v>21</v>
      </c>
      <c r="I4542" s="5" t="s">
        <v>10309</v>
      </c>
      <c r="J4542" s="12" t="str">
        <f>HYPERLINK("https://www.boe.es/gazeta/dias/1801/02/03/pdfs/GMD-1801-10.pdf#page=8","Abrir facsímil")</f>
        <v>Abrir facsímil</v>
      </c>
      <c r="K4542" s="15" t="s">
        <v>23</v>
      </c>
    </row>
    <row r="4543" spans="1:11" ht="42" customHeight="1">
      <c r="A4543" s="4" t="s">
        <v>10310</v>
      </c>
      <c r="B4543" s="5" t="s">
        <v>10311</v>
      </c>
      <c r="C4543" s="5" t="s">
        <v>75</v>
      </c>
      <c r="D4543" s="5" t="s">
        <v>76</v>
      </c>
      <c r="E4543" s="5" t="s">
        <v>48</v>
      </c>
      <c r="F4543" s="9">
        <v>20</v>
      </c>
      <c r="G4543" s="9">
        <v>258</v>
      </c>
      <c r="H4543" s="5" t="s">
        <v>21</v>
      </c>
      <c r="I4543" s="5" t="s">
        <v>10312</v>
      </c>
      <c r="J4543" s="12" t="str">
        <f>HYPERLINK("https://www.boe.es/gazeta/dias/1801/03/10/pdfs/GMD-1801-20.pdf#page=3","Abrir facsímil")</f>
        <v>Abrir facsímil</v>
      </c>
      <c r="K4543" s="15" t="s">
        <v>23</v>
      </c>
    </row>
    <row r="4544" spans="1:11" ht="42" customHeight="1">
      <c r="A4544" s="4" t="s">
        <v>10313</v>
      </c>
      <c r="B4544" s="5" t="s">
        <v>10314</v>
      </c>
      <c r="C4544" s="5" t="s">
        <v>75</v>
      </c>
      <c r="D4544" s="5" t="s">
        <v>76</v>
      </c>
      <c r="E4544" s="5" t="s">
        <v>223</v>
      </c>
      <c r="F4544" s="9">
        <v>74</v>
      </c>
      <c r="G4544" s="9">
        <v>820</v>
      </c>
      <c r="H4544" s="5" t="s">
        <v>21</v>
      </c>
      <c r="I4544" s="5" t="s">
        <v>10315</v>
      </c>
      <c r="J4544" s="12" t="str">
        <f>HYPERLINK("https://www.boe.es/gazeta/dias/1801/07/31/pdfs/GMD-1801-74.pdf#page=1","Abrir facsímil")</f>
        <v>Abrir facsímil</v>
      </c>
      <c r="K4544" s="15" t="s">
        <v>23</v>
      </c>
    </row>
    <row r="4545" spans="1:11" ht="42" customHeight="1">
      <c r="A4545" s="4" t="s">
        <v>10316</v>
      </c>
      <c r="B4545" s="5" t="s">
        <v>10317</v>
      </c>
      <c r="C4545" s="5" t="s">
        <v>75</v>
      </c>
      <c r="D4545" s="5" t="s">
        <v>76</v>
      </c>
      <c r="E4545" s="5" t="s">
        <v>137</v>
      </c>
      <c r="F4545" s="9">
        <v>30</v>
      </c>
      <c r="G4545" s="9">
        <v>389</v>
      </c>
      <c r="H4545" s="5" t="s">
        <v>21</v>
      </c>
      <c r="I4545" s="5" t="s">
        <v>10318</v>
      </c>
      <c r="J4545" s="12" t="str">
        <f>HYPERLINK("https://www.boe.es/gazeta/dias/1801/04/14/pdfs/GMD-1801-30.pdf#page=5","Abrir facsímil")</f>
        <v>Abrir facsímil</v>
      </c>
      <c r="K4545" s="15" t="s">
        <v>23</v>
      </c>
    </row>
    <row r="4546" spans="1:11" ht="42" customHeight="1">
      <c r="A4546" s="4" t="s">
        <v>10319</v>
      </c>
      <c r="B4546" s="5" t="s">
        <v>10320</v>
      </c>
      <c r="C4546" s="5" t="s">
        <v>75</v>
      </c>
      <c r="D4546" s="5" t="s">
        <v>76</v>
      </c>
      <c r="E4546" s="5" t="s">
        <v>153</v>
      </c>
      <c r="F4546" s="9">
        <v>48</v>
      </c>
      <c r="G4546" s="9">
        <v>581</v>
      </c>
      <c r="H4546" s="5" t="s">
        <v>21</v>
      </c>
      <c r="I4546" s="5" t="s">
        <v>10321</v>
      </c>
      <c r="J4546" s="12" t="str">
        <f>HYPERLINK("https://www.boe.es/gazeta/dias/1801/06/05/pdfs/GMD-1801-48.pdf#page=3","Abrir facsímil")</f>
        <v>Abrir facsímil</v>
      </c>
      <c r="K4546" s="15" t="s">
        <v>23</v>
      </c>
    </row>
    <row r="4547" spans="1:11" ht="42" customHeight="1">
      <c r="A4547" s="4" t="s">
        <v>10322</v>
      </c>
      <c r="B4547" s="5" t="s">
        <v>10323</v>
      </c>
      <c r="C4547" s="5" t="s">
        <v>38</v>
      </c>
      <c r="D4547" s="5" t="s">
        <v>39</v>
      </c>
      <c r="E4547" s="5" t="s">
        <v>219</v>
      </c>
      <c r="F4547" s="9">
        <v>26</v>
      </c>
      <c r="G4547" s="9">
        <v>344</v>
      </c>
      <c r="H4547" s="5" t="s">
        <v>21</v>
      </c>
      <c r="I4547" s="5" t="s">
        <v>10324</v>
      </c>
      <c r="J4547" s="12" t="str">
        <f>HYPERLINK("https://www.boe.es/gazeta/dias/1801/03/31/pdfs/GMD-1801-26.pdf#page=8","Abrir facsímil")</f>
        <v>Abrir facsímil</v>
      </c>
      <c r="K4547" s="15" t="s">
        <v>23</v>
      </c>
    </row>
    <row r="4548" spans="1:11" ht="42" customHeight="1">
      <c r="A4548" s="4" t="s">
        <v>10322</v>
      </c>
      <c r="B4548" s="5" t="s">
        <v>10323</v>
      </c>
      <c r="C4548" s="5" t="s">
        <v>75</v>
      </c>
      <c r="D4548" s="5" t="s">
        <v>76</v>
      </c>
      <c r="E4548" s="5" t="s">
        <v>99</v>
      </c>
      <c r="F4548" s="9">
        <v>32</v>
      </c>
      <c r="G4548" s="9">
        <v>405</v>
      </c>
      <c r="H4548" s="5" t="s">
        <v>21</v>
      </c>
      <c r="I4548" s="5" t="s">
        <v>10325</v>
      </c>
      <c r="J4548" s="12" t="str">
        <f>HYPERLINK("https://www.boe.es/gazeta/dias/1801/04/21/pdfs/GMD-1801-32.pdf#page=1","Abrir facsímil")</f>
        <v>Abrir facsímil</v>
      </c>
      <c r="K4548" s="15" t="s">
        <v>23</v>
      </c>
    </row>
    <row r="4549" spans="1:11" ht="42" customHeight="1">
      <c r="A4549" s="4" t="s">
        <v>10322</v>
      </c>
      <c r="B4549" s="5" t="s">
        <v>10323</v>
      </c>
      <c r="C4549" s="5" t="s">
        <v>32</v>
      </c>
      <c r="D4549" s="5" t="s">
        <v>33</v>
      </c>
      <c r="E4549" s="5" t="s">
        <v>935</v>
      </c>
      <c r="F4549" s="9">
        <v>116</v>
      </c>
      <c r="G4549" s="9">
        <v>1263</v>
      </c>
      <c r="H4549" s="5" t="s">
        <v>21</v>
      </c>
      <c r="I4549" s="5" t="s">
        <v>10326</v>
      </c>
      <c r="J4549" s="12" t="str">
        <f>HYPERLINK("https://www.boe.es/gazeta/dias/1801/12/18/pdfs/GMD-1801-116.pdf#page=5","Abrir facsímil")</f>
        <v>Abrir facsímil</v>
      </c>
      <c r="K4549" s="15" t="s">
        <v>23</v>
      </c>
    </row>
    <row r="4550" spans="1:11" ht="42" customHeight="1">
      <c r="A4550" s="4" t="s">
        <v>10327</v>
      </c>
      <c r="B4550" s="5" t="s">
        <v>10328</v>
      </c>
      <c r="C4550" s="5" t="s">
        <v>75</v>
      </c>
      <c r="D4550" s="5" t="s">
        <v>76</v>
      </c>
      <c r="E4550" s="5" t="s">
        <v>781</v>
      </c>
      <c r="F4550" s="9">
        <v>14</v>
      </c>
      <c r="G4550" s="9">
        <v>170</v>
      </c>
      <c r="H4550" s="5" t="s">
        <v>21</v>
      </c>
      <c r="I4550" s="5" t="s">
        <v>10329</v>
      </c>
      <c r="J4550" s="12" t="str">
        <f>HYPERLINK("https://www.boe.es/gazeta/dias/1801/02/17/pdfs/GMD-1801-14.pdf#page=5","Abrir facsímil")</f>
        <v>Abrir facsímil</v>
      </c>
      <c r="K4550" s="15" t="s">
        <v>23</v>
      </c>
    </row>
    <row r="4551" spans="1:11" ht="42" customHeight="1">
      <c r="A4551" s="4" t="s">
        <v>10327</v>
      </c>
      <c r="B4551" s="5" t="s">
        <v>10328</v>
      </c>
      <c r="C4551" s="5" t="s">
        <v>75</v>
      </c>
      <c r="D4551" s="5" t="s">
        <v>76</v>
      </c>
      <c r="E4551" s="5" t="s">
        <v>292</v>
      </c>
      <c r="F4551" s="9">
        <v>25</v>
      </c>
      <c r="G4551" s="9">
        <v>329</v>
      </c>
      <c r="H4551" s="5" t="s">
        <v>21</v>
      </c>
      <c r="I4551" s="5" t="s">
        <v>10330</v>
      </c>
      <c r="J4551" s="12" t="str">
        <f>HYPERLINK("https://www.boe.es/gazeta/dias/1801/03/27/pdfs/GMD-1801-25.pdf#page=8","Abrir facsímil")</f>
        <v>Abrir facsímil</v>
      </c>
      <c r="K4551" s="15" t="s">
        <v>23</v>
      </c>
    </row>
    <row r="4552" spans="1:11" ht="42" customHeight="1">
      <c r="A4552" s="4" t="s">
        <v>10327</v>
      </c>
      <c r="B4552" s="5" t="s">
        <v>10328</v>
      </c>
      <c r="C4552" s="5" t="s">
        <v>75</v>
      </c>
      <c r="D4552" s="5" t="s">
        <v>76</v>
      </c>
      <c r="E4552" s="5" t="s">
        <v>221</v>
      </c>
      <c r="F4552" s="9">
        <v>28</v>
      </c>
      <c r="G4552" s="9">
        <v>366</v>
      </c>
      <c r="H4552" s="5" t="s">
        <v>21</v>
      </c>
      <c r="I4552" s="5" t="s">
        <v>10331</v>
      </c>
      <c r="J4552" s="12" t="str">
        <f>HYPERLINK("https://www.boe.es/gazeta/dias/1801/04/07/pdfs/GMD-1801-28.pdf#page=6","Abrir facsímil")</f>
        <v>Abrir facsímil</v>
      </c>
      <c r="K4552" s="15" t="s">
        <v>23</v>
      </c>
    </row>
    <row r="4553" spans="1:11" ht="42" customHeight="1">
      <c r="A4553" s="4" t="s">
        <v>10327</v>
      </c>
      <c r="B4553" s="5" t="s">
        <v>10328</v>
      </c>
      <c r="C4553" s="5" t="s">
        <v>75</v>
      </c>
      <c r="D4553" s="5" t="s">
        <v>76</v>
      </c>
      <c r="E4553" s="5" t="s">
        <v>221</v>
      </c>
      <c r="F4553" s="9">
        <v>28</v>
      </c>
      <c r="G4553" s="9">
        <v>368</v>
      </c>
      <c r="H4553" s="5" t="s">
        <v>21</v>
      </c>
      <c r="I4553" s="5" t="s">
        <v>10332</v>
      </c>
      <c r="J4553" s="12" t="str">
        <f>HYPERLINK("https://www.boe.es/gazeta/dias/1801/04/07/pdfs/GMD-1801-28.pdf#page=8","Abrir facsímil")</f>
        <v>Abrir facsímil</v>
      </c>
      <c r="K4553" s="15" t="s">
        <v>23</v>
      </c>
    </row>
    <row r="4554" spans="1:11" ht="42" customHeight="1">
      <c r="A4554" s="4" t="s">
        <v>10327</v>
      </c>
      <c r="B4554" s="5" t="s">
        <v>10328</v>
      </c>
      <c r="C4554" s="5" t="s">
        <v>75</v>
      </c>
      <c r="D4554" s="5" t="s">
        <v>76</v>
      </c>
      <c r="E4554" s="5" t="s">
        <v>99</v>
      </c>
      <c r="F4554" s="9">
        <v>32</v>
      </c>
      <c r="G4554" s="9">
        <v>405</v>
      </c>
      <c r="H4554" s="5" t="s">
        <v>21</v>
      </c>
      <c r="I4554" s="5" t="s">
        <v>10333</v>
      </c>
      <c r="J4554" s="12" t="str">
        <f>HYPERLINK("https://www.boe.es/gazeta/dias/1801/04/21/pdfs/GMD-1801-32.pdf#page=1","Abrir facsímil")</f>
        <v>Abrir facsímil</v>
      </c>
      <c r="K4554" s="15" t="s">
        <v>23</v>
      </c>
    </row>
    <row r="4555" spans="1:11" ht="42" customHeight="1">
      <c r="A4555" s="4" t="s">
        <v>10327</v>
      </c>
      <c r="B4555" s="5" t="s">
        <v>10328</v>
      </c>
      <c r="C4555" s="5" t="s">
        <v>32</v>
      </c>
      <c r="D4555" s="5" t="s">
        <v>33</v>
      </c>
      <c r="E4555" s="5" t="s">
        <v>34</v>
      </c>
      <c r="F4555" s="9">
        <v>38</v>
      </c>
      <c r="G4555" s="9">
        <v>490</v>
      </c>
      <c r="H4555" s="5" t="s">
        <v>21</v>
      </c>
      <c r="I4555" s="5" t="s">
        <v>10334</v>
      </c>
      <c r="J4555" s="12" t="str">
        <f>HYPERLINK("https://www.boe.es/gazeta/dias/1801/05/12/pdfs/GMD-1801-38.pdf#page=6","Abrir facsímil")</f>
        <v>Abrir facsímil</v>
      </c>
      <c r="K4555" s="15" t="s">
        <v>23</v>
      </c>
    </row>
    <row r="4556" spans="1:11" ht="42" customHeight="1">
      <c r="A4556" s="4" t="s">
        <v>10327</v>
      </c>
      <c r="B4556" s="5" t="s">
        <v>10328</v>
      </c>
      <c r="C4556" s="5" t="s">
        <v>75</v>
      </c>
      <c r="D4556" s="5" t="s">
        <v>76</v>
      </c>
      <c r="E4556" s="5" t="s">
        <v>151</v>
      </c>
      <c r="F4556" s="9">
        <v>45</v>
      </c>
      <c r="G4556" s="9">
        <v>553</v>
      </c>
      <c r="H4556" s="5" t="s">
        <v>21</v>
      </c>
      <c r="I4556" s="5" t="s">
        <v>10335</v>
      </c>
      <c r="J4556" s="12" t="str">
        <f>HYPERLINK("https://www.boe.es/gazeta/dias/1801/06/02/pdfs/GMD-1801-45.pdf#page=1","Abrir facsímil")</f>
        <v>Abrir facsímil</v>
      </c>
      <c r="K4556" s="15" t="s">
        <v>23</v>
      </c>
    </row>
    <row r="4557" spans="1:11" ht="42" customHeight="1">
      <c r="A4557" s="4" t="s">
        <v>10327</v>
      </c>
      <c r="B4557" s="5" t="s">
        <v>10328</v>
      </c>
      <c r="C4557" s="5" t="s">
        <v>32</v>
      </c>
      <c r="D4557" s="5" t="s">
        <v>33</v>
      </c>
      <c r="E4557" s="5" t="s">
        <v>66</v>
      </c>
      <c r="F4557" s="9">
        <v>52</v>
      </c>
      <c r="G4557" s="9">
        <v>606</v>
      </c>
      <c r="H4557" s="5" t="s">
        <v>21</v>
      </c>
      <c r="I4557" s="5" t="s">
        <v>10336</v>
      </c>
      <c r="J4557" s="12" t="str">
        <f>HYPERLINK("https://www.boe.es/gazeta/dias/1801/06/12/pdfs/GMD-1801-52.pdf#page=5","Abrir facsímil")</f>
        <v>Abrir facsímil</v>
      </c>
      <c r="K4557" s="15" t="s">
        <v>23</v>
      </c>
    </row>
    <row r="4558" spans="1:11" ht="42" customHeight="1">
      <c r="A4558" s="4" t="s">
        <v>10327</v>
      </c>
      <c r="B4558" s="5" t="s">
        <v>10328</v>
      </c>
      <c r="C4558" s="5" t="s">
        <v>32</v>
      </c>
      <c r="D4558" s="5" t="s">
        <v>33</v>
      </c>
      <c r="E4558" s="5" t="s">
        <v>158</v>
      </c>
      <c r="F4558" s="9">
        <v>55</v>
      </c>
      <c r="G4558" s="9">
        <v>627</v>
      </c>
      <c r="H4558" s="5" t="s">
        <v>21</v>
      </c>
      <c r="I4558" s="5" t="s">
        <v>10337</v>
      </c>
      <c r="J4558" s="12" t="str">
        <f>HYPERLINK("https://www.boe.es/gazeta/dias/1801/06/16/pdfs/GMD-1801-55.pdf#page=3","Abrir facsímil")</f>
        <v>Abrir facsímil</v>
      </c>
      <c r="K4558" s="15" t="s">
        <v>23</v>
      </c>
    </row>
    <row r="4559" spans="1:11" ht="42" customHeight="1">
      <c r="A4559" s="4" t="s">
        <v>10327</v>
      </c>
      <c r="B4559" s="5" t="s">
        <v>10328</v>
      </c>
      <c r="C4559" s="5" t="s">
        <v>38</v>
      </c>
      <c r="D4559" s="5" t="s">
        <v>39</v>
      </c>
      <c r="E4559" s="5" t="s">
        <v>161</v>
      </c>
      <c r="F4559" s="9">
        <v>58</v>
      </c>
      <c r="G4559" s="9">
        <v>662</v>
      </c>
      <c r="H4559" s="5" t="s">
        <v>21</v>
      </c>
      <c r="I4559" s="5" t="s">
        <v>10338</v>
      </c>
      <c r="J4559" s="12" t="str">
        <f>HYPERLINK("https://www.boe.es/gazeta/dias/1801/06/19/pdfs/GMD-1801-58.pdf#page=7","Abrir facsímil")</f>
        <v>Abrir facsímil</v>
      </c>
      <c r="K4559" s="15" t="s">
        <v>23</v>
      </c>
    </row>
    <row r="4560" spans="1:11" ht="42" customHeight="1">
      <c r="A4560" s="4" t="s">
        <v>10327</v>
      </c>
      <c r="B4560" s="5" t="s">
        <v>10328</v>
      </c>
      <c r="C4560" s="5" t="s">
        <v>38</v>
      </c>
      <c r="D4560" s="5" t="s">
        <v>39</v>
      </c>
      <c r="E4560" s="5" t="s">
        <v>161</v>
      </c>
      <c r="F4560" s="9">
        <v>58</v>
      </c>
      <c r="G4560" s="9">
        <v>663</v>
      </c>
      <c r="H4560" s="5" t="s">
        <v>21</v>
      </c>
      <c r="I4560" s="5" t="s">
        <v>10339</v>
      </c>
      <c r="J4560" s="12" t="str">
        <f>HYPERLINK("https://www.boe.es/gazeta/dias/1801/06/19/pdfs/GMD-1801-58.pdf#page=8","Abrir facsímil")</f>
        <v>Abrir facsímil</v>
      </c>
      <c r="K4560" s="15" t="s">
        <v>23</v>
      </c>
    </row>
    <row r="4561" spans="1:11" ht="42" customHeight="1">
      <c r="A4561" s="4" t="s">
        <v>10327</v>
      </c>
      <c r="B4561" s="5" t="s">
        <v>10328</v>
      </c>
      <c r="C4561" s="5" t="s">
        <v>18</v>
      </c>
      <c r="D4561" s="5" t="s">
        <v>19</v>
      </c>
      <c r="E4561" s="5" t="s">
        <v>165</v>
      </c>
      <c r="F4561" s="9">
        <v>59</v>
      </c>
      <c r="G4561" s="9">
        <v>675</v>
      </c>
      <c r="H4561" s="5" t="s">
        <v>21</v>
      </c>
      <c r="I4561" s="5" t="s">
        <v>10340</v>
      </c>
      <c r="J4561" s="12" t="str">
        <f>HYPERLINK("https://www.boe.es/gazeta/dias/1801/06/23/pdfs/GMD-1801-59.pdf#page=8","Abrir facsímil")</f>
        <v>Abrir facsímil</v>
      </c>
      <c r="K4561" s="15" t="s">
        <v>23</v>
      </c>
    </row>
    <row r="4562" spans="1:11" ht="42" customHeight="1">
      <c r="A4562" s="4" t="s">
        <v>10327</v>
      </c>
      <c r="B4562" s="5" t="s">
        <v>10328</v>
      </c>
      <c r="C4562" s="5" t="s">
        <v>38</v>
      </c>
      <c r="D4562" s="5" t="s">
        <v>39</v>
      </c>
      <c r="E4562" s="5" t="s">
        <v>72</v>
      </c>
      <c r="F4562" s="9">
        <v>60</v>
      </c>
      <c r="G4562" s="9">
        <v>682</v>
      </c>
      <c r="H4562" s="5" t="s">
        <v>21</v>
      </c>
      <c r="I4562" s="5" t="s">
        <v>10341</v>
      </c>
      <c r="J4562" s="12" t="str">
        <f>HYPERLINK("https://www.boe.es/gazeta/dias/1801/06/26/pdfs/GMD-1801-60.pdf#page=3","Abrir facsímil")</f>
        <v>Abrir facsímil</v>
      </c>
      <c r="K4562" s="15" t="s">
        <v>23</v>
      </c>
    </row>
    <row r="4563" spans="1:11" ht="42" customHeight="1">
      <c r="A4563" s="4" t="s">
        <v>10327</v>
      </c>
      <c r="B4563" s="5" t="s">
        <v>10328</v>
      </c>
      <c r="C4563" s="5" t="s">
        <v>75</v>
      </c>
      <c r="D4563" s="5" t="s">
        <v>76</v>
      </c>
      <c r="E4563" s="5" t="s">
        <v>169</v>
      </c>
      <c r="F4563" s="9">
        <v>70</v>
      </c>
      <c r="G4563" s="9">
        <v>770</v>
      </c>
      <c r="H4563" s="5" t="s">
        <v>21</v>
      </c>
      <c r="I4563" s="5" t="s">
        <v>10342</v>
      </c>
      <c r="J4563" s="12" t="str">
        <f>HYPERLINK("https://www.boe.es/gazeta/dias/1801/07/17/pdfs/GMD-1801-70.pdf#page=3","Abrir facsímil")</f>
        <v>Abrir facsímil</v>
      </c>
      <c r="K4563" s="15" t="s">
        <v>23</v>
      </c>
    </row>
    <row r="4564" spans="1:11" ht="42" customHeight="1">
      <c r="A4564" s="4" t="s">
        <v>10327</v>
      </c>
      <c r="B4564" s="5" t="s">
        <v>10328</v>
      </c>
      <c r="C4564" s="5" t="s">
        <v>26</v>
      </c>
      <c r="D4564" s="5" t="s">
        <v>27</v>
      </c>
      <c r="E4564" s="5" t="s">
        <v>919</v>
      </c>
      <c r="F4564" s="9">
        <v>91</v>
      </c>
      <c r="G4564" s="9">
        <v>1003</v>
      </c>
      <c r="H4564" s="5" t="s">
        <v>21</v>
      </c>
      <c r="I4564" s="5" t="s">
        <v>10343</v>
      </c>
      <c r="J4564" s="12" t="str">
        <f>HYPERLINK("https://www.boe.es/gazeta/dias/1801/09/22/pdfs/GMD-1801-91.pdf#page=6","Abrir facsímil")</f>
        <v>Abrir facsímil</v>
      </c>
      <c r="K4564" s="15" t="s">
        <v>23</v>
      </c>
    </row>
    <row r="4565" spans="1:11" ht="42" customHeight="1">
      <c r="A4565" s="4" t="s">
        <v>10327</v>
      </c>
      <c r="B4565" s="5" t="s">
        <v>10328</v>
      </c>
      <c r="C4565" s="5" t="s">
        <v>32</v>
      </c>
      <c r="D4565" s="5" t="s">
        <v>33</v>
      </c>
      <c r="E4565" s="5" t="s">
        <v>1436</v>
      </c>
      <c r="F4565" s="9">
        <v>95</v>
      </c>
      <c r="G4565" s="9">
        <v>1039</v>
      </c>
      <c r="H4565" s="5" t="s">
        <v>21</v>
      </c>
      <c r="I4565" s="5" t="s">
        <v>10344</v>
      </c>
      <c r="J4565" s="12" t="str">
        <f>HYPERLINK("https://www.boe.es/gazeta/dias/1801/10/06/pdfs/GMD-1801-95.pdf#page=3","Abrir facsímil")</f>
        <v>Abrir facsímil</v>
      </c>
      <c r="K4565" s="15" t="s">
        <v>23</v>
      </c>
    </row>
    <row r="4566" spans="1:11" ht="42" customHeight="1">
      <c r="A4566" s="4" t="s">
        <v>10345</v>
      </c>
      <c r="B4566" s="5" t="s">
        <v>10346</v>
      </c>
      <c r="C4566" s="5" t="s">
        <v>75</v>
      </c>
      <c r="D4566" s="5" t="s">
        <v>76</v>
      </c>
      <c r="E4566" s="5" t="s">
        <v>90</v>
      </c>
      <c r="F4566" s="9">
        <v>1</v>
      </c>
      <c r="G4566" s="9">
        <v>4</v>
      </c>
      <c r="H4566" s="5" t="s">
        <v>21</v>
      </c>
      <c r="I4566" s="5" t="s">
        <v>10347</v>
      </c>
      <c r="J4566" s="12" t="str">
        <f>HYPERLINK("https://www.boe.es/gazeta/dias/1801/01/02/pdfs/GMD-1801-1.pdf#page=4","Abrir facsímil")</f>
        <v>Abrir facsímil</v>
      </c>
      <c r="K4566" s="15" t="s">
        <v>23</v>
      </c>
    </row>
    <row r="4567" spans="1:11" ht="42" customHeight="1">
      <c r="A4567" s="4" t="s">
        <v>10345</v>
      </c>
      <c r="B4567" s="5" t="s">
        <v>10346</v>
      </c>
      <c r="C4567" s="5" t="s">
        <v>75</v>
      </c>
      <c r="D4567" s="5" t="s">
        <v>76</v>
      </c>
      <c r="E4567" s="5" t="s">
        <v>321</v>
      </c>
      <c r="F4567" s="9">
        <v>3</v>
      </c>
      <c r="G4567" s="9">
        <v>27</v>
      </c>
      <c r="H4567" s="5" t="s">
        <v>21</v>
      </c>
      <c r="I4567" s="5" t="s">
        <v>10348</v>
      </c>
      <c r="J4567" s="12" t="str">
        <f>HYPERLINK("https://www.boe.es/gazeta/dias/1801/01/09/pdfs/GMD-1801-3.pdf#page=3","Abrir facsímil")</f>
        <v>Abrir facsímil</v>
      </c>
      <c r="K4567" s="15" t="s">
        <v>23</v>
      </c>
    </row>
    <row r="4568" spans="1:11" ht="42" customHeight="1">
      <c r="A4568" s="4" t="s">
        <v>10345</v>
      </c>
      <c r="B4568" s="5" t="s">
        <v>10346</v>
      </c>
      <c r="C4568" s="5" t="s">
        <v>75</v>
      </c>
      <c r="D4568" s="5" t="s">
        <v>76</v>
      </c>
      <c r="E4568" s="5" t="s">
        <v>781</v>
      </c>
      <c r="F4568" s="9">
        <v>14</v>
      </c>
      <c r="G4568" s="9">
        <v>169</v>
      </c>
      <c r="H4568" s="5" t="s">
        <v>21</v>
      </c>
      <c r="I4568" s="5" t="s">
        <v>10349</v>
      </c>
      <c r="J4568" s="12" t="str">
        <f>HYPERLINK("https://www.boe.es/gazeta/dias/1801/02/17/pdfs/GMD-1801-14.pdf#page=4","Abrir facsímil")</f>
        <v>Abrir facsímil</v>
      </c>
      <c r="K4568" s="15" t="s">
        <v>23</v>
      </c>
    </row>
    <row r="4569" spans="1:11" ht="42" customHeight="1">
      <c r="A4569" s="4" t="s">
        <v>10345</v>
      </c>
      <c r="B4569" s="5" t="s">
        <v>10346</v>
      </c>
      <c r="C4569" s="5" t="s">
        <v>75</v>
      </c>
      <c r="D4569" s="5" t="s">
        <v>76</v>
      </c>
      <c r="E4569" s="5" t="s">
        <v>186</v>
      </c>
      <c r="F4569" s="9">
        <v>21</v>
      </c>
      <c r="G4569" s="9">
        <v>272</v>
      </c>
      <c r="H4569" s="5" t="s">
        <v>21</v>
      </c>
      <c r="I4569" s="5" t="s">
        <v>10350</v>
      </c>
      <c r="J4569" s="12" t="str">
        <f>HYPERLINK("https://www.boe.es/gazeta/dias/1801/03/13/pdfs/GMD-1801-21.pdf#page=1","Abrir facsímil")</f>
        <v>Abrir facsímil</v>
      </c>
      <c r="K4569" s="15" t="s">
        <v>23</v>
      </c>
    </row>
    <row r="4570" spans="1:11" ht="42" customHeight="1">
      <c r="A4570" s="4" t="s">
        <v>10345</v>
      </c>
      <c r="B4570" s="5" t="s">
        <v>10346</v>
      </c>
      <c r="C4570" s="5" t="s">
        <v>32</v>
      </c>
      <c r="D4570" s="5" t="s">
        <v>33</v>
      </c>
      <c r="E4570" s="5" t="s">
        <v>131</v>
      </c>
      <c r="F4570" s="9">
        <v>22</v>
      </c>
      <c r="G4570" s="9">
        <v>284</v>
      </c>
      <c r="H4570" s="5" t="s">
        <v>21</v>
      </c>
      <c r="I4570" s="5" t="s">
        <v>10351</v>
      </c>
      <c r="J4570" s="12" t="str">
        <f>HYPERLINK("https://www.boe.es/gazeta/dias/1801/03/17/pdfs/GMD-1801-22.pdf#page=1","Abrir facsímil")</f>
        <v>Abrir facsímil</v>
      </c>
      <c r="K4570" s="15" t="s">
        <v>23</v>
      </c>
    </row>
    <row r="4571" spans="1:11" ht="42" customHeight="1">
      <c r="A4571" s="4" t="s">
        <v>10345</v>
      </c>
      <c r="B4571" s="5" t="s">
        <v>10346</v>
      </c>
      <c r="C4571" s="5" t="s">
        <v>75</v>
      </c>
      <c r="D4571" s="5" t="s">
        <v>76</v>
      </c>
      <c r="E4571" s="5" t="s">
        <v>135</v>
      </c>
      <c r="F4571" s="9">
        <v>24</v>
      </c>
      <c r="G4571" s="9">
        <v>310</v>
      </c>
      <c r="H4571" s="5" t="s">
        <v>21</v>
      </c>
      <c r="I4571" s="5" t="s">
        <v>10352</v>
      </c>
      <c r="J4571" s="12" t="str">
        <f>HYPERLINK("https://www.boe.es/gazeta/dias/1801/03/24/pdfs/GMD-1801-24.pdf#page=1","Abrir facsímil")</f>
        <v>Abrir facsímil</v>
      </c>
      <c r="K4571" s="15" t="s">
        <v>23</v>
      </c>
    </row>
    <row r="4572" spans="1:11" ht="42" customHeight="1">
      <c r="A4572" s="4" t="s">
        <v>10345</v>
      </c>
      <c r="B4572" s="5" t="s">
        <v>10346</v>
      </c>
      <c r="C4572" s="5" t="s">
        <v>75</v>
      </c>
      <c r="D4572" s="5" t="s">
        <v>76</v>
      </c>
      <c r="E4572" s="5" t="s">
        <v>219</v>
      </c>
      <c r="F4572" s="9">
        <v>26</v>
      </c>
      <c r="G4572" s="9">
        <v>338</v>
      </c>
      <c r="H4572" s="5" t="s">
        <v>21</v>
      </c>
      <c r="I4572" s="5" t="s">
        <v>10353</v>
      </c>
      <c r="J4572" s="12" t="str">
        <f>HYPERLINK("https://www.boe.es/gazeta/dias/1801/03/31/pdfs/GMD-1801-26.pdf#page=2","Abrir facsímil")</f>
        <v>Abrir facsímil</v>
      </c>
      <c r="K4572" s="15" t="s">
        <v>23</v>
      </c>
    </row>
    <row r="4573" spans="1:11" ht="42" customHeight="1">
      <c r="A4573" s="4" t="s">
        <v>10345</v>
      </c>
      <c r="B4573" s="5" t="s">
        <v>10346</v>
      </c>
      <c r="C4573" s="5" t="s">
        <v>26</v>
      </c>
      <c r="D4573" s="5" t="s">
        <v>27</v>
      </c>
      <c r="E4573" s="5" t="s">
        <v>143</v>
      </c>
      <c r="F4573" s="9">
        <v>34</v>
      </c>
      <c r="G4573" s="9">
        <v>432</v>
      </c>
      <c r="H4573" s="5" t="s">
        <v>21</v>
      </c>
      <c r="I4573" s="5" t="s">
        <v>10354</v>
      </c>
      <c r="J4573" s="12" t="str">
        <f>HYPERLINK("https://www.boe.es/gazeta/dias/1801/04/28/pdfs/GMD-1801-34.pdf#page=4","Abrir facsímil")</f>
        <v>Abrir facsímil</v>
      </c>
      <c r="K4573" s="15" t="s">
        <v>23</v>
      </c>
    </row>
    <row r="4574" spans="1:11" ht="42" customHeight="1">
      <c r="A4574" s="4" t="s">
        <v>10345</v>
      </c>
      <c r="B4574" s="5" t="s">
        <v>10346</v>
      </c>
      <c r="C4574" s="5" t="s">
        <v>75</v>
      </c>
      <c r="D4574" s="5" t="s">
        <v>76</v>
      </c>
      <c r="E4574" s="5" t="s">
        <v>101</v>
      </c>
      <c r="F4574" s="9">
        <v>41</v>
      </c>
      <c r="G4574" s="9">
        <v>519</v>
      </c>
      <c r="H4574" s="5" t="s">
        <v>21</v>
      </c>
      <c r="I4574" s="5" t="s">
        <v>10355</v>
      </c>
      <c r="J4574" s="12" t="str">
        <f>HYPERLINK("https://www.boe.es/gazeta/dias/1801/05/22/pdfs/GMD-1801-41.pdf#page=3","Abrir facsímil")</f>
        <v>Abrir facsímil</v>
      </c>
      <c r="K4574" s="15" t="s">
        <v>23</v>
      </c>
    </row>
    <row r="4575" spans="1:11" ht="42" customHeight="1">
      <c r="A4575" s="4" t="s">
        <v>10345</v>
      </c>
      <c r="B4575" s="5" t="s">
        <v>10346</v>
      </c>
      <c r="C4575" s="5" t="s">
        <v>38</v>
      </c>
      <c r="D4575" s="5" t="s">
        <v>39</v>
      </c>
      <c r="E4575" s="5" t="s">
        <v>352</v>
      </c>
      <c r="F4575" s="9">
        <v>43</v>
      </c>
      <c r="G4575" s="9">
        <v>533</v>
      </c>
      <c r="H4575" s="5" t="s">
        <v>21</v>
      </c>
      <c r="I4575" s="5" t="s">
        <v>10356</v>
      </c>
      <c r="J4575" s="12" t="str">
        <f>HYPERLINK("https://www.boe.es/gazeta/dias/1801/05/26/pdfs/GMD-1801-43.pdf#page=5","Abrir facsímil")</f>
        <v>Abrir facsímil</v>
      </c>
      <c r="K4575" s="15" t="s">
        <v>23</v>
      </c>
    </row>
    <row r="4576" spans="1:11" ht="42" customHeight="1">
      <c r="A4576" s="4" t="s">
        <v>10345</v>
      </c>
      <c r="B4576" s="5" t="s">
        <v>10346</v>
      </c>
      <c r="C4576" s="5" t="s">
        <v>75</v>
      </c>
      <c r="D4576" s="5" t="s">
        <v>76</v>
      </c>
      <c r="E4576" s="5" t="s">
        <v>105</v>
      </c>
      <c r="F4576" s="9">
        <v>44</v>
      </c>
      <c r="G4576" s="9">
        <v>544</v>
      </c>
      <c r="H4576" s="5" t="s">
        <v>21</v>
      </c>
      <c r="I4576" s="5" t="s">
        <v>10357</v>
      </c>
      <c r="J4576" s="12" t="str">
        <f>HYPERLINK("https://www.boe.es/gazeta/dias/1801/05/29/pdfs/GMD-1801-44.pdf#page=4","Abrir facsímil")</f>
        <v>Abrir facsímil</v>
      </c>
      <c r="K4576" s="15" t="s">
        <v>23</v>
      </c>
    </row>
    <row r="4577" spans="1:11" ht="42" customHeight="1">
      <c r="A4577" s="4" t="s">
        <v>10345</v>
      </c>
      <c r="B4577" s="5" t="s">
        <v>10346</v>
      </c>
      <c r="C4577" s="5" t="s">
        <v>75</v>
      </c>
      <c r="D4577" s="5" t="s">
        <v>76</v>
      </c>
      <c r="E4577" s="5" t="s">
        <v>153</v>
      </c>
      <c r="F4577" s="9">
        <v>48</v>
      </c>
      <c r="G4577" s="9">
        <v>581</v>
      </c>
      <c r="H4577" s="5" t="s">
        <v>21</v>
      </c>
      <c r="I4577" s="5" t="s">
        <v>10358</v>
      </c>
      <c r="J4577" s="12" t="str">
        <f>HYPERLINK("https://www.boe.es/gazeta/dias/1801/06/05/pdfs/GMD-1801-48.pdf#page=3","Abrir facsímil")</f>
        <v>Abrir facsímil</v>
      </c>
      <c r="K4577" s="15" t="s">
        <v>23</v>
      </c>
    </row>
    <row r="4578" spans="1:11" ht="42" customHeight="1">
      <c r="A4578" s="4" t="s">
        <v>10345</v>
      </c>
      <c r="B4578" s="5" t="s">
        <v>10346</v>
      </c>
      <c r="C4578" s="5" t="s">
        <v>75</v>
      </c>
      <c r="D4578" s="5" t="s">
        <v>76</v>
      </c>
      <c r="E4578" s="5" t="s">
        <v>155</v>
      </c>
      <c r="F4578" s="9">
        <v>50</v>
      </c>
      <c r="G4578" s="9">
        <v>589</v>
      </c>
      <c r="H4578" s="5" t="s">
        <v>21</v>
      </c>
      <c r="I4578" s="5" t="s">
        <v>10359</v>
      </c>
      <c r="J4578" s="12" t="str">
        <f>HYPERLINK("https://www.boe.es/gazeta/dias/1801/06/09/pdfs/GMD-1801-50.pdf#page=1","Abrir facsímil")</f>
        <v>Abrir facsímil</v>
      </c>
      <c r="K4578" s="15" t="s">
        <v>23</v>
      </c>
    </row>
    <row r="4579" spans="1:11" ht="42" customHeight="1">
      <c r="A4579" s="4" t="s">
        <v>10345</v>
      </c>
      <c r="B4579" s="5" t="s">
        <v>10346</v>
      </c>
      <c r="C4579" s="5" t="s">
        <v>18</v>
      </c>
      <c r="D4579" s="5" t="s">
        <v>19</v>
      </c>
      <c r="E4579" s="5" t="s">
        <v>161</v>
      </c>
      <c r="F4579" s="9">
        <v>58</v>
      </c>
      <c r="G4579" s="9">
        <v>658</v>
      </c>
      <c r="H4579" s="5" t="s">
        <v>21</v>
      </c>
      <c r="I4579" s="5" t="s">
        <v>10360</v>
      </c>
      <c r="J4579" s="12" t="str">
        <f>HYPERLINK("https://www.boe.es/gazeta/dias/1801/06/19/pdfs/GMD-1801-58.pdf#page=3","Abrir facsímil")</f>
        <v>Abrir facsímil</v>
      </c>
      <c r="K4579" s="15" t="s">
        <v>23</v>
      </c>
    </row>
    <row r="4580" spans="1:11" ht="42" customHeight="1">
      <c r="A4580" s="4" t="s">
        <v>10345</v>
      </c>
      <c r="B4580" s="5" t="s">
        <v>10346</v>
      </c>
      <c r="C4580" s="5" t="s">
        <v>32</v>
      </c>
      <c r="D4580" s="5" t="s">
        <v>33</v>
      </c>
      <c r="E4580" s="5" t="s">
        <v>40</v>
      </c>
      <c r="F4580" s="9">
        <v>63</v>
      </c>
      <c r="G4580" s="9">
        <v>708</v>
      </c>
      <c r="H4580" s="5" t="s">
        <v>21</v>
      </c>
      <c r="I4580" s="5" t="s">
        <v>10361</v>
      </c>
      <c r="J4580" s="12" t="str">
        <f>HYPERLINK("https://www.boe.es/gazeta/dias/1801/07/03/pdfs/GMD-1801-63.pdf#page=5","Abrir facsímil")</f>
        <v>Abrir facsímil</v>
      </c>
      <c r="K4580" s="15" t="s">
        <v>23</v>
      </c>
    </row>
    <row r="4581" spans="1:11" ht="42" customHeight="1">
      <c r="A4581" s="4" t="s">
        <v>10345</v>
      </c>
      <c r="B4581" s="5" t="s">
        <v>10346</v>
      </c>
      <c r="C4581" s="5" t="s">
        <v>75</v>
      </c>
      <c r="D4581" s="5" t="s">
        <v>76</v>
      </c>
      <c r="E4581" s="5" t="s">
        <v>169</v>
      </c>
      <c r="F4581" s="9">
        <v>70</v>
      </c>
      <c r="G4581" s="9">
        <v>770</v>
      </c>
      <c r="H4581" s="5" t="s">
        <v>21</v>
      </c>
      <c r="I4581" s="5" t="s">
        <v>10362</v>
      </c>
      <c r="J4581" s="12" t="str">
        <f>HYPERLINK("https://www.boe.es/gazeta/dias/1801/07/17/pdfs/GMD-1801-70.pdf#page=3","Abrir facsímil")</f>
        <v>Abrir facsímil</v>
      </c>
      <c r="K4581" s="15" t="s">
        <v>23</v>
      </c>
    </row>
    <row r="4582" spans="1:11" ht="42" customHeight="1">
      <c r="A4582" s="4" t="s">
        <v>10345</v>
      </c>
      <c r="B4582" s="5" t="s">
        <v>10346</v>
      </c>
      <c r="C4582" s="5" t="s">
        <v>75</v>
      </c>
      <c r="D4582" s="5" t="s">
        <v>76</v>
      </c>
      <c r="E4582" s="5" t="s">
        <v>254</v>
      </c>
      <c r="F4582" s="9">
        <v>73</v>
      </c>
      <c r="G4582" s="9">
        <v>809</v>
      </c>
      <c r="H4582" s="5" t="s">
        <v>21</v>
      </c>
      <c r="I4582" s="5" t="s">
        <v>10363</v>
      </c>
      <c r="J4582" s="12" t="str">
        <f>HYPERLINK("https://www.boe.es/gazeta/dias/1801/07/28/pdfs/GMD-1801-73.pdf#page=2","Abrir facsímil")</f>
        <v>Abrir facsímil</v>
      </c>
      <c r="K4582" s="15" t="s">
        <v>23</v>
      </c>
    </row>
    <row r="4583" spans="1:11" ht="42" customHeight="1">
      <c r="A4583" s="4" t="s">
        <v>10364</v>
      </c>
      <c r="B4583" s="5" t="s">
        <v>10365</v>
      </c>
      <c r="C4583" s="5" t="s">
        <v>38</v>
      </c>
      <c r="D4583" s="5" t="s">
        <v>39</v>
      </c>
      <c r="E4583" s="5" t="s">
        <v>82</v>
      </c>
      <c r="F4583" s="9">
        <v>75</v>
      </c>
      <c r="G4583" s="9">
        <v>834</v>
      </c>
      <c r="H4583" s="5" t="s">
        <v>21</v>
      </c>
      <c r="I4583" s="5" t="s">
        <v>10366</v>
      </c>
      <c r="J4583" s="12" t="str">
        <f>HYPERLINK("https://www.boe.es/gazeta/dias/1801/08/04/pdfs/GMD-1801-75.pdf#page=3","Abrir facsímil")</f>
        <v>Abrir facsímil</v>
      </c>
      <c r="K4583" s="15" t="s">
        <v>23</v>
      </c>
    </row>
    <row r="4584" spans="1:11" ht="42" customHeight="1">
      <c r="A4584" s="4" t="s">
        <v>10345</v>
      </c>
      <c r="B4584" s="5" t="s">
        <v>10346</v>
      </c>
      <c r="C4584" s="5" t="s">
        <v>38</v>
      </c>
      <c r="D4584" s="5" t="s">
        <v>39</v>
      </c>
      <c r="E4584" s="5" t="s">
        <v>171</v>
      </c>
      <c r="F4584" s="9">
        <v>76</v>
      </c>
      <c r="G4584" s="9">
        <v>850</v>
      </c>
      <c r="H4584" s="5" t="s">
        <v>21</v>
      </c>
      <c r="I4584" s="5" t="s">
        <v>10367</v>
      </c>
      <c r="J4584" s="12" t="str">
        <f>HYPERLINK("https://www.boe.es/gazeta/dias/1801/08/07/pdfs/GMD-1801-76.pdf#page=7","Abrir facsímil")</f>
        <v>Abrir facsímil</v>
      </c>
      <c r="K4584" s="15" t="s">
        <v>23</v>
      </c>
    </row>
    <row r="4585" spans="1:11" ht="42" customHeight="1">
      <c r="A4585" s="4" t="s">
        <v>10345</v>
      </c>
      <c r="B4585" s="5" t="s">
        <v>10346</v>
      </c>
      <c r="C4585" s="5" t="s">
        <v>32</v>
      </c>
      <c r="D4585" s="5" t="s">
        <v>33</v>
      </c>
      <c r="E4585" s="5" t="s">
        <v>201</v>
      </c>
      <c r="F4585" s="9">
        <v>79</v>
      </c>
      <c r="G4585" s="9">
        <v>886</v>
      </c>
      <c r="H4585" s="5" t="s">
        <v>21</v>
      </c>
      <c r="I4585" s="5" t="s">
        <v>10368</v>
      </c>
      <c r="J4585" s="12" t="str">
        <f>HYPERLINK("https://www.boe.es/gazeta/dias/1801/08/18/pdfs/GMD-1801-79.pdf#page=3","Abrir facsímil")</f>
        <v>Abrir facsímil</v>
      </c>
      <c r="K4585" s="15" t="s">
        <v>23</v>
      </c>
    </row>
    <row r="4586" spans="1:11" ht="42" customHeight="1">
      <c r="A4586" s="4" t="s">
        <v>10345</v>
      </c>
      <c r="B4586" s="5" t="s">
        <v>10346</v>
      </c>
      <c r="C4586" s="5" t="s">
        <v>32</v>
      </c>
      <c r="D4586" s="5" t="s">
        <v>33</v>
      </c>
      <c r="E4586" s="5" t="s">
        <v>1085</v>
      </c>
      <c r="F4586" s="9">
        <v>99</v>
      </c>
      <c r="G4586" s="9">
        <v>1088</v>
      </c>
      <c r="H4586" s="5" t="s">
        <v>21</v>
      </c>
      <c r="I4586" s="5" t="s">
        <v>10369</v>
      </c>
      <c r="J4586" s="12" t="str">
        <f>HYPERLINK("https://www.boe.es/gazeta/dias/1801/10/20/pdfs/GMD-1801-99.pdf#page=5","Abrir facsímil")</f>
        <v>Abrir facsímil</v>
      </c>
      <c r="K4586" s="15" t="s">
        <v>23</v>
      </c>
    </row>
    <row r="4587" spans="1:11" ht="42" customHeight="1">
      <c r="A4587" s="4" t="s">
        <v>10345</v>
      </c>
      <c r="B4587" s="5" t="s">
        <v>10346</v>
      </c>
      <c r="C4587" s="5" t="s">
        <v>32</v>
      </c>
      <c r="D4587" s="5" t="s">
        <v>33</v>
      </c>
      <c r="E4587" s="5" t="s">
        <v>751</v>
      </c>
      <c r="F4587" s="9">
        <v>106</v>
      </c>
      <c r="G4587" s="9">
        <v>1163</v>
      </c>
      <c r="H4587" s="5" t="s">
        <v>21</v>
      </c>
      <c r="I4587" s="5" t="s">
        <v>10370</v>
      </c>
      <c r="J4587" s="12" t="str">
        <f>HYPERLINK("https://www.boe.es/gazeta/dias/1801/11/13/pdfs/GMD-1801-106.pdf#page=4","Abrir facsímil")</f>
        <v>Abrir facsímil</v>
      </c>
      <c r="K4587" s="15" t="s">
        <v>23</v>
      </c>
    </row>
    <row r="4588" spans="1:11" ht="42" customHeight="1">
      <c r="A4588" s="4" t="s">
        <v>10345</v>
      </c>
      <c r="B4588" s="5" t="s">
        <v>10346</v>
      </c>
      <c r="C4588" s="5" t="s">
        <v>75</v>
      </c>
      <c r="D4588" s="5" t="s">
        <v>76</v>
      </c>
      <c r="E4588" s="5" t="s">
        <v>112</v>
      </c>
      <c r="F4588" s="9">
        <v>114</v>
      </c>
      <c r="G4588" s="9">
        <v>1242</v>
      </c>
      <c r="H4588" s="5" t="s">
        <v>21</v>
      </c>
      <c r="I4588" s="5" t="s">
        <v>10371</v>
      </c>
      <c r="J4588" s="12" t="str">
        <f>HYPERLINK("https://www.boe.es/gazeta/dias/1801/12/11/pdfs/GMD-1801-114.pdf#page=4","Abrir facsímil")</f>
        <v>Abrir facsímil</v>
      </c>
      <c r="K4588" s="15" t="s">
        <v>23</v>
      </c>
    </row>
    <row r="4589" spans="1:11" ht="42" customHeight="1">
      <c r="A4589" s="4" t="s">
        <v>10345</v>
      </c>
      <c r="B4589" s="5" t="s">
        <v>10346</v>
      </c>
      <c r="C4589" s="5" t="s">
        <v>32</v>
      </c>
      <c r="D4589" s="5" t="s">
        <v>33</v>
      </c>
      <c r="E4589" s="5" t="s">
        <v>935</v>
      </c>
      <c r="F4589" s="9">
        <v>116</v>
      </c>
      <c r="G4589" s="9">
        <v>1262</v>
      </c>
      <c r="H4589" s="5" t="s">
        <v>21</v>
      </c>
      <c r="I4589" s="5" t="s">
        <v>10372</v>
      </c>
      <c r="J4589" s="12" t="str">
        <f>HYPERLINK("https://www.boe.es/gazeta/dias/1801/12/18/pdfs/GMD-1801-116.pdf#page=4","Abrir facsímil")</f>
        <v>Abrir facsímil</v>
      </c>
      <c r="K4589" s="15" t="s">
        <v>23</v>
      </c>
    </row>
    <row r="4590" spans="1:11" ht="42" customHeight="1">
      <c r="A4590" s="4" t="s">
        <v>10373</v>
      </c>
      <c r="B4590" s="5" t="s">
        <v>10374</v>
      </c>
      <c r="C4590" s="5" t="s">
        <v>32</v>
      </c>
      <c r="D4590" s="5" t="s">
        <v>33</v>
      </c>
      <c r="E4590" s="5" t="s">
        <v>615</v>
      </c>
      <c r="F4590" s="9">
        <v>72</v>
      </c>
      <c r="G4590" s="9">
        <v>796</v>
      </c>
      <c r="H4590" s="5" t="s">
        <v>21</v>
      </c>
      <c r="I4590" s="5" t="s">
        <v>10375</v>
      </c>
      <c r="J4590" s="12" t="str">
        <f>HYPERLINK("https://www.boe.es/gazeta/dias/1801/07/24/pdfs/GMD-1801-72.pdf#page=1","Abrir facsímil")</f>
        <v>Abrir facsímil</v>
      </c>
      <c r="K4590" s="15" t="s">
        <v>23</v>
      </c>
    </row>
    <row r="4591" spans="1:11" ht="42" customHeight="1">
      <c r="A4591" s="4" t="s">
        <v>10376</v>
      </c>
      <c r="B4591" s="5" t="s">
        <v>10377</v>
      </c>
      <c r="C4591" s="5" t="s">
        <v>38</v>
      </c>
      <c r="D4591" s="5" t="s">
        <v>39</v>
      </c>
      <c r="E4591" s="5" t="s">
        <v>219</v>
      </c>
      <c r="F4591" s="9">
        <v>26</v>
      </c>
      <c r="G4591" s="9">
        <v>344</v>
      </c>
      <c r="H4591" s="5" t="s">
        <v>21</v>
      </c>
      <c r="I4591" s="5" t="s">
        <v>10378</v>
      </c>
      <c r="J4591" s="12" t="str">
        <f>HYPERLINK("https://www.boe.es/gazeta/dias/1801/03/31/pdfs/GMD-1801-26.pdf#page=8","Abrir facsímil")</f>
        <v>Abrir facsímil</v>
      </c>
      <c r="K4591" s="15" t="s">
        <v>23</v>
      </c>
    </row>
    <row r="4592" spans="1:11" ht="42" customHeight="1">
      <c r="A4592" s="4" t="s">
        <v>10379</v>
      </c>
      <c r="B4592" s="5" t="s">
        <v>10380</v>
      </c>
      <c r="C4592" s="5" t="s">
        <v>32</v>
      </c>
      <c r="D4592" s="5" t="s">
        <v>33</v>
      </c>
      <c r="E4592" s="5" t="s">
        <v>723</v>
      </c>
      <c r="F4592" s="9">
        <v>113</v>
      </c>
      <c r="G4592" s="9">
        <v>1234</v>
      </c>
      <c r="H4592" s="5" t="s">
        <v>21</v>
      </c>
      <c r="I4592" s="5" t="s">
        <v>10381</v>
      </c>
      <c r="J4592" s="12" t="str">
        <f>HYPERLINK("https://www.boe.es/gazeta/dias/1801/12/08/pdfs/GMD-1801-113.pdf#page=7","Abrir facsímil")</f>
        <v>Abrir facsímil</v>
      </c>
      <c r="K4592" s="15" t="s">
        <v>23</v>
      </c>
    </row>
    <row r="4593" spans="1:11" ht="42" customHeight="1">
      <c r="A4593" s="4" t="s">
        <v>10382</v>
      </c>
      <c r="B4593" s="5" t="s">
        <v>10382</v>
      </c>
      <c r="C4593" s="5" t="s">
        <v>38</v>
      </c>
      <c r="D4593" s="5" t="s">
        <v>39</v>
      </c>
      <c r="E4593" s="5" t="s">
        <v>378</v>
      </c>
      <c r="F4593" s="9">
        <v>23</v>
      </c>
      <c r="G4593" s="9">
        <v>301</v>
      </c>
      <c r="H4593" s="5" t="s">
        <v>21</v>
      </c>
      <c r="I4593" s="5" t="s">
        <v>10383</v>
      </c>
      <c r="J4593" s="12" t="str">
        <f>HYPERLINK("https://www.boe.es/gazeta/dias/1801/03/20/pdfs/GMD-1801-23.pdf#page=4","Abrir facsímil")</f>
        <v>Abrir facsímil</v>
      </c>
      <c r="K4593" s="15" t="s">
        <v>23</v>
      </c>
    </row>
    <row r="4594" spans="1:11" ht="42" customHeight="1">
      <c r="A4594" s="4" t="s">
        <v>10384</v>
      </c>
      <c r="B4594" s="5" t="s">
        <v>10385</v>
      </c>
      <c r="C4594" s="5" t="s">
        <v>75</v>
      </c>
      <c r="D4594" s="5" t="s">
        <v>76</v>
      </c>
      <c r="E4594" s="5" t="s">
        <v>349</v>
      </c>
      <c r="F4594" s="9">
        <v>112</v>
      </c>
      <c r="G4594" s="9">
        <v>1223</v>
      </c>
      <c r="H4594" s="5" t="s">
        <v>21</v>
      </c>
      <c r="I4594" s="5" t="s">
        <v>10386</v>
      </c>
      <c r="J4594" s="12" t="str">
        <f>HYPERLINK("https://www.boe.es/gazeta/dias/1801/12/04/pdfs/GMD-1801-112.pdf#page=4","Abrir facsímil")</f>
        <v>Abrir facsímil</v>
      </c>
      <c r="K4594" s="15" t="s">
        <v>23</v>
      </c>
    </row>
    <row r="4595" spans="1:11" ht="42" customHeight="1">
      <c r="A4595" s="4" t="s">
        <v>10387</v>
      </c>
      <c r="B4595" s="5" t="s">
        <v>10388</v>
      </c>
      <c r="C4595" s="5" t="s">
        <v>75</v>
      </c>
      <c r="D4595" s="5" t="s">
        <v>76</v>
      </c>
      <c r="E4595" s="5" t="s">
        <v>221</v>
      </c>
      <c r="F4595" s="9">
        <v>28</v>
      </c>
      <c r="G4595" s="9">
        <v>368</v>
      </c>
      <c r="H4595" s="5" t="s">
        <v>21</v>
      </c>
      <c r="I4595" s="5" t="s">
        <v>10389</v>
      </c>
      <c r="J4595" s="12" t="str">
        <f>HYPERLINK("https://www.boe.es/gazeta/dias/1801/04/07/pdfs/GMD-1801-28.pdf#page=8","Abrir facsímil")</f>
        <v>Abrir facsímil</v>
      </c>
      <c r="K4595" s="15" t="s">
        <v>23</v>
      </c>
    </row>
    <row r="4596" spans="1:11" ht="42" customHeight="1">
      <c r="A4596" s="4" t="s">
        <v>10390</v>
      </c>
      <c r="B4596" s="5" t="s">
        <v>10391</v>
      </c>
      <c r="C4596" s="5" t="s">
        <v>75</v>
      </c>
      <c r="D4596" s="5" t="s">
        <v>76</v>
      </c>
      <c r="E4596" s="5" t="s">
        <v>145</v>
      </c>
      <c r="F4596" s="9">
        <v>36</v>
      </c>
      <c r="G4596" s="9">
        <v>460</v>
      </c>
      <c r="H4596" s="5" t="s">
        <v>21</v>
      </c>
      <c r="I4596" s="5" t="s">
        <v>10392</v>
      </c>
      <c r="J4596" s="12" t="str">
        <f>HYPERLINK("https://www.boe.es/gazeta/dias/1801/05/05/pdfs/GMD-1801-36.pdf#page=4","Abrir facsímil")</f>
        <v>Abrir facsímil</v>
      </c>
      <c r="K4596" s="15" t="s">
        <v>23</v>
      </c>
    </row>
    <row r="4597" spans="1:11" ht="42" customHeight="1">
      <c r="A4597" s="4" t="s">
        <v>10393</v>
      </c>
      <c r="B4597" s="5" t="s">
        <v>10393</v>
      </c>
      <c r="C4597" s="5" t="s">
        <v>38</v>
      </c>
      <c r="D4597" s="5" t="s">
        <v>39</v>
      </c>
      <c r="E4597" s="5" t="s">
        <v>171</v>
      </c>
      <c r="F4597" s="9">
        <v>76</v>
      </c>
      <c r="G4597" s="9">
        <v>847</v>
      </c>
      <c r="H4597" s="5" t="s">
        <v>21</v>
      </c>
      <c r="I4597" s="5" t="s">
        <v>10394</v>
      </c>
      <c r="J4597" s="12" t="str">
        <f>HYPERLINK("https://www.boe.es/gazeta/dias/1801/08/07/pdfs/GMD-1801-76.pdf#page=4","Abrir facsímil")</f>
        <v>Abrir facsímil</v>
      </c>
      <c r="K4597" s="15" t="s">
        <v>23</v>
      </c>
    </row>
    <row r="4598" spans="1:11" ht="42" customHeight="1">
      <c r="A4598" s="4" t="s">
        <v>10395</v>
      </c>
      <c r="B4598" s="5" t="s">
        <v>10396</v>
      </c>
      <c r="C4598" s="5" t="s">
        <v>32</v>
      </c>
      <c r="D4598" s="5" t="s">
        <v>33</v>
      </c>
      <c r="E4598" s="5" t="s">
        <v>20</v>
      </c>
      <c r="F4598" s="9">
        <v>37</v>
      </c>
      <c r="G4598" s="9">
        <v>477</v>
      </c>
      <c r="H4598" s="5" t="s">
        <v>21</v>
      </c>
      <c r="I4598" s="5" t="s">
        <v>10397</v>
      </c>
      <c r="J4598" s="12" t="str">
        <f>HYPERLINK("https://www.boe.es/gazeta/dias/1801/05/08/pdfs/GMD-1801-37.pdf#page=5","Abrir facsímil")</f>
        <v>Abrir facsímil</v>
      </c>
      <c r="K4598" s="15" t="s">
        <v>23</v>
      </c>
    </row>
    <row r="4599" spans="1:11" ht="42" customHeight="1">
      <c r="A4599" s="4" t="s">
        <v>10398</v>
      </c>
      <c r="B4599" s="5" t="s">
        <v>10398</v>
      </c>
      <c r="C4599" s="5" t="s">
        <v>75</v>
      </c>
      <c r="D4599" s="5" t="s">
        <v>76</v>
      </c>
      <c r="E4599" s="5" t="s">
        <v>70</v>
      </c>
      <c r="F4599" s="9">
        <v>2</v>
      </c>
      <c r="G4599" s="9">
        <v>18</v>
      </c>
      <c r="H4599" s="5" t="s">
        <v>21</v>
      </c>
      <c r="I4599" s="5" t="s">
        <v>10399</v>
      </c>
      <c r="J4599" s="12" t="str">
        <f>HYPERLINK("https://www.boe.es/gazeta/dias/1801/01/06/pdfs/GMD-1801-2.pdf#page=6","Abrir facsímil")</f>
        <v>Abrir facsímil</v>
      </c>
      <c r="K4599" s="15" t="s">
        <v>23</v>
      </c>
    </row>
    <row r="4600" spans="1:11" ht="42" customHeight="1">
      <c r="A4600" s="4" t="s">
        <v>10400</v>
      </c>
      <c r="B4600" s="5" t="s">
        <v>10401</v>
      </c>
      <c r="C4600" s="5" t="s">
        <v>38</v>
      </c>
      <c r="D4600" s="5" t="s">
        <v>39</v>
      </c>
      <c r="E4600" s="5" t="s">
        <v>919</v>
      </c>
      <c r="F4600" s="9">
        <v>91</v>
      </c>
      <c r="G4600" s="9">
        <v>1003</v>
      </c>
      <c r="H4600" s="5" t="s">
        <v>21</v>
      </c>
      <c r="I4600" s="5" t="s">
        <v>10402</v>
      </c>
      <c r="J4600" s="12" t="str">
        <f>HYPERLINK("https://www.boe.es/gazeta/dias/1801/09/22/pdfs/GMD-1801-91.pdf#page=6","Abrir facsímil")</f>
        <v>Abrir facsímil</v>
      </c>
      <c r="K4600" s="15" t="s">
        <v>23</v>
      </c>
    </row>
    <row r="4601" spans="1:11" ht="42" customHeight="1">
      <c r="A4601" s="4" t="s">
        <v>10403</v>
      </c>
      <c r="B4601" s="5" t="s">
        <v>10404</v>
      </c>
      <c r="C4601" s="5" t="s">
        <v>75</v>
      </c>
      <c r="D4601" s="5" t="s">
        <v>76</v>
      </c>
      <c r="E4601" s="5" t="s">
        <v>313</v>
      </c>
      <c r="F4601" s="9">
        <v>39</v>
      </c>
      <c r="G4601" s="9">
        <v>499</v>
      </c>
      <c r="H4601" s="5" t="s">
        <v>21</v>
      </c>
      <c r="I4601" s="5" t="s">
        <v>10405</v>
      </c>
      <c r="J4601" s="12" t="str">
        <f>HYPERLINK("https://www.boe.es/gazeta/dias/1801/05/15/pdfs/GMD-1801-39.pdf#page=3","Abrir facsímil")</f>
        <v>Abrir facsímil</v>
      </c>
      <c r="K4601" s="15" t="s">
        <v>23</v>
      </c>
    </row>
    <row r="4602" spans="1:11" ht="42" customHeight="1">
      <c r="A4602" s="4" t="s">
        <v>10403</v>
      </c>
      <c r="B4602" s="5" t="s">
        <v>10404</v>
      </c>
      <c r="C4602" s="5" t="s">
        <v>75</v>
      </c>
      <c r="D4602" s="5" t="s">
        <v>76</v>
      </c>
      <c r="E4602" s="5" t="s">
        <v>313</v>
      </c>
      <c r="F4602" s="9">
        <v>39</v>
      </c>
      <c r="G4602" s="9">
        <v>500</v>
      </c>
      <c r="H4602" s="5" t="s">
        <v>21</v>
      </c>
      <c r="I4602" s="5" t="s">
        <v>10406</v>
      </c>
      <c r="J4602" s="12" t="str">
        <f>HYPERLINK("https://www.boe.es/gazeta/dias/1801/05/15/pdfs/GMD-1801-39.pdf#page=4","Abrir facsímil")</f>
        <v>Abrir facsímil</v>
      </c>
      <c r="K4602" s="15" t="s">
        <v>23</v>
      </c>
    </row>
    <row r="4603" spans="1:11" ht="42" customHeight="1">
      <c r="A4603" s="4" t="s">
        <v>10403</v>
      </c>
      <c r="B4603" s="5" t="s">
        <v>10404</v>
      </c>
      <c r="C4603" s="5" t="s">
        <v>75</v>
      </c>
      <c r="D4603" s="5" t="s">
        <v>76</v>
      </c>
      <c r="E4603" s="5" t="s">
        <v>66</v>
      </c>
      <c r="F4603" s="9">
        <v>52</v>
      </c>
      <c r="G4603" s="9">
        <v>603</v>
      </c>
      <c r="H4603" s="5" t="s">
        <v>21</v>
      </c>
      <c r="I4603" s="5" t="s">
        <v>10407</v>
      </c>
      <c r="J4603" s="12" t="str">
        <f>HYPERLINK("https://www.boe.es/gazeta/dias/1801/06/12/pdfs/GMD-1801-52.pdf#page=2","Abrir facsímil")</f>
        <v>Abrir facsímil</v>
      </c>
      <c r="K4603" s="15" t="s">
        <v>23</v>
      </c>
    </row>
    <row r="4604" spans="1:11" ht="42" customHeight="1">
      <c r="A4604" s="4" t="s">
        <v>10403</v>
      </c>
      <c r="B4604" s="5" t="s">
        <v>10404</v>
      </c>
      <c r="C4604" s="5" t="s">
        <v>38</v>
      </c>
      <c r="D4604" s="5" t="s">
        <v>39</v>
      </c>
      <c r="E4604" s="5" t="s">
        <v>417</v>
      </c>
      <c r="F4604" s="9">
        <v>64</v>
      </c>
      <c r="G4604" s="9">
        <v>722</v>
      </c>
      <c r="H4604" s="5" t="s">
        <v>21</v>
      </c>
      <c r="I4604" s="5" t="s">
        <v>10408</v>
      </c>
      <c r="J4604" s="12" t="str">
        <f>HYPERLINK("https://www.boe.es/gazeta/dias/1801/07/07/pdfs/GMD-1801-64.pdf#page=3","Abrir facsímil")</f>
        <v>Abrir facsímil</v>
      </c>
      <c r="K4604" s="15" t="s">
        <v>23</v>
      </c>
    </row>
    <row r="4605" spans="1:11" ht="42" customHeight="1">
      <c r="A4605" s="4" t="s">
        <v>10403</v>
      </c>
      <c r="B4605" s="5" t="s">
        <v>10404</v>
      </c>
      <c r="C4605" s="5" t="s">
        <v>75</v>
      </c>
      <c r="D4605" s="5" t="s">
        <v>76</v>
      </c>
      <c r="E4605" s="5" t="s">
        <v>702</v>
      </c>
      <c r="F4605" s="9">
        <v>69</v>
      </c>
      <c r="G4605" s="9">
        <v>759</v>
      </c>
      <c r="H4605" s="5" t="s">
        <v>21</v>
      </c>
      <c r="I4605" s="5" t="s">
        <v>10409</v>
      </c>
      <c r="J4605" s="12" t="str">
        <f>HYPERLINK("https://www.boe.es/gazeta/dias/1801/07/14/pdfs/GMD-1801-69.pdf#page=4","Abrir facsímil")</f>
        <v>Abrir facsímil</v>
      </c>
      <c r="K4605" s="15" t="s">
        <v>23</v>
      </c>
    </row>
    <row r="4606" spans="1:11" ht="42" customHeight="1">
      <c r="A4606" s="4" t="s">
        <v>10403</v>
      </c>
      <c r="B4606" s="5" t="s">
        <v>10404</v>
      </c>
      <c r="C4606" s="5" t="s">
        <v>75</v>
      </c>
      <c r="D4606" s="5" t="s">
        <v>76</v>
      </c>
      <c r="E4606" s="5" t="s">
        <v>254</v>
      </c>
      <c r="F4606" s="9">
        <v>73</v>
      </c>
      <c r="G4606" s="9">
        <v>809</v>
      </c>
      <c r="H4606" s="5" t="s">
        <v>21</v>
      </c>
      <c r="I4606" s="5" t="s">
        <v>10410</v>
      </c>
      <c r="J4606" s="12" t="str">
        <f>HYPERLINK("https://www.boe.es/gazeta/dias/1801/07/28/pdfs/GMD-1801-73.pdf#page=2","Abrir facsímil")</f>
        <v>Abrir facsímil</v>
      </c>
      <c r="K4606" s="15" t="s">
        <v>23</v>
      </c>
    </row>
    <row r="4607" spans="1:11" ht="42" customHeight="1">
      <c r="A4607" s="4" t="s">
        <v>10403</v>
      </c>
      <c r="B4607" s="5" t="s">
        <v>10404</v>
      </c>
      <c r="C4607" s="5" t="s">
        <v>38</v>
      </c>
      <c r="D4607" s="5" t="s">
        <v>39</v>
      </c>
      <c r="E4607" s="5" t="s">
        <v>82</v>
      </c>
      <c r="F4607" s="9">
        <v>75</v>
      </c>
      <c r="G4607" s="9">
        <v>834</v>
      </c>
      <c r="H4607" s="5" t="s">
        <v>21</v>
      </c>
      <c r="I4607" s="5" t="s">
        <v>10411</v>
      </c>
      <c r="J4607" s="12" t="str">
        <f>HYPERLINK("https://www.boe.es/gazeta/dias/1801/08/04/pdfs/GMD-1801-75.pdf#page=3","Abrir facsímil")</f>
        <v>Abrir facsímil</v>
      </c>
      <c r="K4607" s="15" t="s">
        <v>23</v>
      </c>
    </row>
    <row r="4608" spans="1:11" ht="42" customHeight="1">
      <c r="A4608" s="4" t="s">
        <v>10403</v>
      </c>
      <c r="B4608" s="5" t="s">
        <v>10404</v>
      </c>
      <c r="C4608" s="5" t="s">
        <v>75</v>
      </c>
      <c r="D4608" s="5" t="s">
        <v>76</v>
      </c>
      <c r="E4608" s="5" t="s">
        <v>77</v>
      </c>
      <c r="F4608" s="9">
        <v>93</v>
      </c>
      <c r="G4608" s="9">
        <v>1016</v>
      </c>
      <c r="H4608" s="5" t="s">
        <v>21</v>
      </c>
      <c r="I4608" s="5" t="s">
        <v>10412</v>
      </c>
      <c r="J4608" s="12" t="str">
        <f>HYPERLINK("https://www.boe.es/gazeta/dias/1801/09/29/pdfs/GMD-1801-93.pdf#page=3","Abrir facsímil")</f>
        <v>Abrir facsímil</v>
      </c>
      <c r="K4608" s="15" t="s">
        <v>23</v>
      </c>
    </row>
    <row r="4609" spans="1:11" ht="42" customHeight="1">
      <c r="A4609" s="4" t="s">
        <v>10403</v>
      </c>
      <c r="B4609" s="5" t="s">
        <v>10404</v>
      </c>
      <c r="C4609" s="5" t="s">
        <v>75</v>
      </c>
      <c r="D4609" s="5" t="s">
        <v>76</v>
      </c>
      <c r="E4609" s="5" t="s">
        <v>258</v>
      </c>
      <c r="F4609" s="9">
        <v>96</v>
      </c>
      <c r="G4609" s="9">
        <v>1049</v>
      </c>
      <c r="H4609" s="5" t="s">
        <v>21</v>
      </c>
      <c r="I4609" s="5" t="s">
        <v>10413</v>
      </c>
      <c r="J4609" s="12" t="str">
        <f>HYPERLINK("https://www.boe.es/gazeta/dias/1801/10/09/pdfs/GMD-1801-96.pdf#page=5","Abrir facsímil")</f>
        <v>Abrir facsímil</v>
      </c>
      <c r="K4609" s="15" t="s">
        <v>23</v>
      </c>
    </row>
    <row r="4610" spans="1:11" ht="42" customHeight="1">
      <c r="A4610" s="4" t="s">
        <v>10403</v>
      </c>
      <c r="B4610" s="5" t="s">
        <v>10404</v>
      </c>
      <c r="C4610" s="5" t="s">
        <v>38</v>
      </c>
      <c r="D4610" s="5" t="s">
        <v>39</v>
      </c>
      <c r="E4610" s="5" t="s">
        <v>264</v>
      </c>
      <c r="F4610" s="9">
        <v>111</v>
      </c>
      <c r="G4610" s="9">
        <v>1214</v>
      </c>
      <c r="H4610" s="5" t="s">
        <v>21</v>
      </c>
      <c r="I4610" s="5" t="s">
        <v>10414</v>
      </c>
      <c r="J4610" s="12" t="str">
        <f>HYPERLINK("https://www.boe.es/gazeta/dias/1801/12/01/pdfs/GMD-1801-111.pdf#page=3","Abrir facsímil")</f>
        <v>Abrir facsímil</v>
      </c>
      <c r="K4610" s="15" t="s">
        <v>23</v>
      </c>
    </row>
    <row r="4611" spans="1:11" ht="42" customHeight="1">
      <c r="A4611" s="4" t="s">
        <v>10415</v>
      </c>
      <c r="B4611" s="5" t="s">
        <v>10416</v>
      </c>
      <c r="C4611" s="5" t="s">
        <v>75</v>
      </c>
      <c r="D4611" s="5" t="s">
        <v>76</v>
      </c>
      <c r="E4611" s="5" t="s">
        <v>90</v>
      </c>
      <c r="F4611" s="9">
        <v>1</v>
      </c>
      <c r="G4611" s="9">
        <v>3</v>
      </c>
      <c r="H4611" s="5" t="s">
        <v>21</v>
      </c>
      <c r="I4611" s="5" t="s">
        <v>10417</v>
      </c>
      <c r="J4611" s="12" t="str">
        <f>HYPERLINK("https://www.boe.es/gazeta/dias/1801/01/02/pdfs/GMD-1801-1.pdf#page=3","Abrir facsímil")</f>
        <v>Abrir facsímil</v>
      </c>
      <c r="K4611" s="15" t="s">
        <v>23</v>
      </c>
    </row>
    <row r="4612" spans="1:11" ht="42" customHeight="1">
      <c r="A4612" s="4" t="s">
        <v>10415</v>
      </c>
      <c r="B4612" s="5" t="s">
        <v>10416</v>
      </c>
      <c r="C4612" s="5" t="s">
        <v>32</v>
      </c>
      <c r="D4612" s="5" t="s">
        <v>33</v>
      </c>
      <c r="E4612" s="5" t="s">
        <v>90</v>
      </c>
      <c r="F4612" s="9">
        <v>1</v>
      </c>
      <c r="G4612" s="9">
        <v>5</v>
      </c>
      <c r="H4612" s="5" t="s">
        <v>21</v>
      </c>
      <c r="I4612" s="5" t="s">
        <v>10418</v>
      </c>
      <c r="J4612" s="12" t="str">
        <f>HYPERLINK("https://www.boe.es/gazeta/dias/1801/01/02/pdfs/GMD-1801-1.pdf#page=5","Abrir facsímil")</f>
        <v>Abrir facsímil</v>
      </c>
      <c r="K4612" s="15" t="s">
        <v>23</v>
      </c>
    </row>
    <row r="4613" spans="1:11" ht="42" customHeight="1">
      <c r="A4613" s="4" t="s">
        <v>10415</v>
      </c>
      <c r="B4613" s="5" t="s">
        <v>10416</v>
      </c>
      <c r="C4613" s="5" t="s">
        <v>75</v>
      </c>
      <c r="D4613" s="5" t="s">
        <v>76</v>
      </c>
      <c r="E4613" s="5" t="s">
        <v>321</v>
      </c>
      <c r="F4613" s="9">
        <v>3</v>
      </c>
      <c r="G4613" s="9">
        <v>27</v>
      </c>
      <c r="H4613" s="5" t="s">
        <v>21</v>
      </c>
      <c r="I4613" s="5" t="s">
        <v>10419</v>
      </c>
      <c r="J4613" s="12" t="str">
        <f>HYPERLINK("https://www.boe.es/gazeta/dias/1801/01/09/pdfs/GMD-1801-3.pdf#page=3","Abrir facsímil")</f>
        <v>Abrir facsímil</v>
      </c>
      <c r="K4613" s="15" t="s">
        <v>23</v>
      </c>
    </row>
    <row r="4614" spans="1:11" ht="42" customHeight="1">
      <c r="A4614" s="4" t="s">
        <v>10420</v>
      </c>
      <c r="B4614" s="5" t="s">
        <v>10421</v>
      </c>
      <c r="C4614" s="5" t="s">
        <v>32</v>
      </c>
      <c r="D4614" s="5" t="s">
        <v>33</v>
      </c>
      <c r="E4614" s="5" t="s">
        <v>465</v>
      </c>
      <c r="F4614" s="9">
        <v>4</v>
      </c>
      <c r="G4614" s="9">
        <v>38</v>
      </c>
      <c r="H4614" s="5" t="s">
        <v>21</v>
      </c>
      <c r="I4614" s="5" t="s">
        <v>10422</v>
      </c>
      <c r="J4614" s="12" t="str">
        <f>HYPERLINK("https://www.boe.es/gazeta/dias/1801/01/13/pdfs/GMD-1801-4.pdf#page=2","Abrir facsímil")</f>
        <v>Abrir facsímil</v>
      </c>
      <c r="K4614" s="15" t="s">
        <v>23</v>
      </c>
    </row>
    <row r="4615" spans="1:11" ht="42" customHeight="1">
      <c r="A4615" s="4" t="s">
        <v>10423</v>
      </c>
      <c r="B4615" s="5" t="s">
        <v>10423</v>
      </c>
      <c r="C4615" s="5" t="s">
        <v>32</v>
      </c>
      <c r="D4615" s="5" t="s">
        <v>33</v>
      </c>
      <c r="E4615" s="5" t="s">
        <v>223</v>
      </c>
      <c r="F4615" s="9">
        <v>74</v>
      </c>
      <c r="G4615" s="9">
        <v>825</v>
      </c>
      <c r="H4615" s="5" t="s">
        <v>21</v>
      </c>
      <c r="I4615" s="5" t="s">
        <v>10424</v>
      </c>
      <c r="J4615" s="12" t="str">
        <f>HYPERLINK("https://www.boe.es/gazeta/dias/1801/07/31/pdfs/GMD-1801-74.pdf#page=6","Abrir facsímil")</f>
        <v>Abrir facsímil</v>
      </c>
      <c r="K4615" s="15" t="s">
        <v>23</v>
      </c>
    </row>
    <row r="4616" spans="1:11" ht="42" customHeight="1">
      <c r="A4616" s="4" t="s">
        <v>10425</v>
      </c>
      <c r="B4616" s="5" t="s">
        <v>10426</v>
      </c>
      <c r="C4616" s="5" t="s">
        <v>32</v>
      </c>
      <c r="D4616" s="5" t="s">
        <v>33</v>
      </c>
      <c r="E4616" s="5" t="s">
        <v>82</v>
      </c>
      <c r="F4616" s="9">
        <v>75</v>
      </c>
      <c r="G4616" s="9">
        <v>840</v>
      </c>
      <c r="H4616" s="5" t="s">
        <v>21</v>
      </c>
      <c r="I4616" s="5" t="s">
        <v>10427</v>
      </c>
      <c r="J4616" s="12" t="str">
        <f>HYPERLINK("https://www.boe.es/gazeta/dias/1801/08/04/pdfs/GMD-1801-75.pdf#page=9","Abrir facsímil")</f>
        <v>Abrir facsímil</v>
      </c>
      <c r="K4616" s="15" t="s">
        <v>23</v>
      </c>
    </row>
    <row r="4617" spans="1:11" ht="42" customHeight="1">
      <c r="A4617" s="4" t="s">
        <v>10428</v>
      </c>
      <c r="B4617" s="5" t="s">
        <v>10428</v>
      </c>
      <c r="C4617" s="5" t="s">
        <v>32</v>
      </c>
      <c r="D4617" s="5" t="s">
        <v>33</v>
      </c>
      <c r="E4617" s="5" t="s">
        <v>221</v>
      </c>
      <c r="F4617" s="9">
        <v>28</v>
      </c>
      <c r="G4617" s="9">
        <v>363</v>
      </c>
      <c r="H4617" s="5" t="s">
        <v>21</v>
      </c>
      <c r="I4617" s="5" t="s">
        <v>10429</v>
      </c>
      <c r="J4617" s="12" t="str">
        <f>HYPERLINK("https://www.boe.es/gazeta/dias/1801/04/07/pdfs/GMD-1801-28.pdf#page=3","Abrir facsímil")</f>
        <v>Abrir facsímil</v>
      </c>
      <c r="K4617" s="15" t="s">
        <v>23</v>
      </c>
    </row>
    <row r="4618" spans="1:11" ht="42" customHeight="1">
      <c r="A4618" s="4" t="s">
        <v>10430</v>
      </c>
      <c r="B4618" s="5" t="s">
        <v>10430</v>
      </c>
      <c r="C4618" s="5" t="s">
        <v>75</v>
      </c>
      <c r="D4618" s="5" t="s">
        <v>76</v>
      </c>
      <c r="E4618" s="5" t="s">
        <v>190</v>
      </c>
      <c r="F4618" s="9">
        <v>16</v>
      </c>
      <c r="G4618" s="9">
        <v>195</v>
      </c>
      <c r="H4618" s="5" t="s">
        <v>21</v>
      </c>
      <c r="I4618" s="5" t="s">
        <v>10431</v>
      </c>
      <c r="J4618" s="12" t="str">
        <f>HYPERLINK("https://www.boe.es/gazeta/dias/1801/02/24/pdfs/GMD-1801-16.pdf#page=2","Abrir facsímil")</f>
        <v>Abrir facsímil</v>
      </c>
      <c r="K4618" s="15" t="s">
        <v>23</v>
      </c>
    </row>
    <row r="4619" spans="1:11" ht="42" customHeight="1">
      <c r="A4619" s="4" t="s">
        <v>10432</v>
      </c>
      <c r="B4619" s="5" t="s">
        <v>10433</v>
      </c>
      <c r="C4619" s="5" t="s">
        <v>75</v>
      </c>
      <c r="D4619" s="5" t="s">
        <v>76</v>
      </c>
      <c r="E4619" s="5" t="s">
        <v>182</v>
      </c>
      <c r="F4619" s="9">
        <v>18</v>
      </c>
      <c r="G4619" s="9">
        <v>220</v>
      </c>
      <c r="H4619" s="5" t="s">
        <v>21</v>
      </c>
      <c r="I4619" s="5" t="s">
        <v>10434</v>
      </c>
      <c r="J4619" s="12" t="str">
        <f>HYPERLINK("https://www.boe.es/gazeta/dias/1801/03/03/pdfs/GMD-1801-18.pdf#page=1","Abrir facsímil")</f>
        <v>Abrir facsímil</v>
      </c>
      <c r="K4619" s="15" t="s">
        <v>23</v>
      </c>
    </row>
    <row r="4620" spans="1:11" ht="42" customHeight="1">
      <c r="A4620" s="4" t="s">
        <v>10435</v>
      </c>
      <c r="B4620" s="5" t="s">
        <v>10435</v>
      </c>
      <c r="C4620" s="5" t="s">
        <v>75</v>
      </c>
      <c r="D4620" s="5" t="s">
        <v>76</v>
      </c>
      <c r="E4620" s="5" t="s">
        <v>99</v>
      </c>
      <c r="F4620" s="9">
        <v>32</v>
      </c>
      <c r="G4620" s="9">
        <v>408</v>
      </c>
      <c r="H4620" s="5" t="s">
        <v>21</v>
      </c>
      <c r="I4620" s="5" t="s">
        <v>10436</v>
      </c>
      <c r="J4620" s="12" t="str">
        <f>HYPERLINK("https://www.boe.es/gazeta/dias/1801/04/21/pdfs/GMD-1801-32.pdf#page=4","Abrir facsímil")</f>
        <v>Abrir facsímil</v>
      </c>
      <c r="K4620" s="15" t="s">
        <v>23</v>
      </c>
    </row>
    <row r="4621" spans="1:11" ht="42" customHeight="1">
      <c r="A4621" s="4" t="s">
        <v>10437</v>
      </c>
      <c r="B4621" s="5" t="s">
        <v>10438</v>
      </c>
      <c r="C4621" s="5" t="s">
        <v>32</v>
      </c>
      <c r="D4621" s="5" t="s">
        <v>33</v>
      </c>
      <c r="E4621" s="5" t="s">
        <v>201</v>
      </c>
      <c r="F4621" s="9">
        <v>79</v>
      </c>
      <c r="G4621" s="9">
        <v>889</v>
      </c>
      <c r="H4621" s="5" t="s">
        <v>21</v>
      </c>
      <c r="I4621" s="5" t="s">
        <v>10439</v>
      </c>
      <c r="J4621" s="12" t="str">
        <f>HYPERLINK("https://www.boe.es/gazeta/dias/1801/08/18/pdfs/GMD-1801-79.pdf#page=6","Abrir facsímil")</f>
        <v>Abrir facsímil</v>
      </c>
      <c r="K4621" s="15" t="s">
        <v>23</v>
      </c>
    </row>
    <row r="4622" spans="1:11" ht="42" customHeight="1">
      <c r="A4622" s="4" t="s">
        <v>10440</v>
      </c>
      <c r="B4622" s="5" t="s">
        <v>10441</v>
      </c>
      <c r="C4622" s="5" t="s">
        <v>75</v>
      </c>
      <c r="D4622" s="5" t="s">
        <v>76</v>
      </c>
      <c r="E4622" s="5" t="s">
        <v>165</v>
      </c>
      <c r="F4622" s="9">
        <v>59</v>
      </c>
      <c r="G4622" s="9">
        <v>668</v>
      </c>
      <c r="H4622" s="5" t="s">
        <v>21</v>
      </c>
      <c r="I4622" s="5" t="s">
        <v>10442</v>
      </c>
      <c r="J4622" s="12" t="str">
        <f>HYPERLINK("https://www.boe.es/gazeta/dias/1801/06/23/pdfs/GMD-1801-59.pdf#page=1","Abrir facsímil")</f>
        <v>Abrir facsímil</v>
      </c>
      <c r="K4622" s="15" t="s">
        <v>23</v>
      </c>
    </row>
    <row r="4623" spans="1:11" ht="42" customHeight="1">
      <c r="A4623" s="4" t="s">
        <v>10440</v>
      </c>
      <c r="B4623" s="5" t="s">
        <v>10441</v>
      </c>
      <c r="C4623" s="5" t="s">
        <v>32</v>
      </c>
      <c r="D4623" s="5" t="s">
        <v>33</v>
      </c>
      <c r="E4623" s="5" t="s">
        <v>735</v>
      </c>
      <c r="F4623" s="9">
        <v>97</v>
      </c>
      <c r="G4623" s="9">
        <v>1061</v>
      </c>
      <c r="H4623" s="5" t="s">
        <v>21</v>
      </c>
      <c r="I4623" s="5" t="s">
        <v>10443</v>
      </c>
      <c r="J4623" s="12" t="str">
        <f>HYPERLINK("https://www.boe.es/gazeta/dias/1801/10/13/pdfs/GMD-1801-97.pdf#page=5","Abrir facsímil")</f>
        <v>Abrir facsímil</v>
      </c>
      <c r="K4623" s="15" t="s">
        <v>23</v>
      </c>
    </row>
    <row r="4624" spans="1:11" ht="42" customHeight="1">
      <c r="A4624" s="4" t="s">
        <v>10444</v>
      </c>
      <c r="B4624" s="5" t="s">
        <v>10445</v>
      </c>
      <c r="C4624" s="5" t="s">
        <v>32</v>
      </c>
      <c r="D4624" s="5" t="s">
        <v>33</v>
      </c>
      <c r="E4624" s="5" t="s">
        <v>151</v>
      </c>
      <c r="F4624" s="9">
        <v>45</v>
      </c>
      <c r="G4624" s="9">
        <v>553</v>
      </c>
      <c r="H4624" s="5" t="s">
        <v>21</v>
      </c>
      <c r="I4624" s="5" t="s">
        <v>10446</v>
      </c>
      <c r="J4624" s="12" t="str">
        <f>HYPERLINK("https://www.boe.es/gazeta/dias/1801/06/02/pdfs/GMD-1801-45.pdf#page=1","Abrir facsímil")</f>
        <v>Abrir facsímil</v>
      </c>
      <c r="K4624" s="15" t="s">
        <v>23</v>
      </c>
    </row>
    <row r="4625" spans="1:11" ht="42" customHeight="1">
      <c r="A4625" s="4" t="s">
        <v>10447</v>
      </c>
      <c r="B4625" s="5" t="s">
        <v>10448</v>
      </c>
      <c r="C4625" s="5" t="s">
        <v>32</v>
      </c>
      <c r="D4625" s="5" t="s">
        <v>33</v>
      </c>
      <c r="E4625" s="5" t="s">
        <v>2225</v>
      </c>
      <c r="F4625" s="9" t="s">
        <v>2226</v>
      </c>
      <c r="G4625" s="9">
        <v>574</v>
      </c>
      <c r="H4625" s="5" t="s">
        <v>21</v>
      </c>
      <c r="I4625" s="5" t="s">
        <v>10449</v>
      </c>
      <c r="J4625" s="12" t="str">
        <f>HYPERLINK("https://www.boe.es/gazeta/dias/1801/06/03/pdfs/GMD-1801-47E.pdf#page=4","Abrir facsímil")</f>
        <v>Abrir facsímil</v>
      </c>
      <c r="K4625" s="15" t="s">
        <v>23</v>
      </c>
    </row>
    <row r="4626" spans="1:11" ht="42" customHeight="1">
      <c r="A4626" s="4" t="s">
        <v>10450</v>
      </c>
      <c r="B4626" s="5" t="s">
        <v>10451</v>
      </c>
      <c r="C4626" s="5" t="s">
        <v>32</v>
      </c>
      <c r="D4626" s="5" t="s">
        <v>33</v>
      </c>
      <c r="E4626" s="5" t="s">
        <v>62</v>
      </c>
      <c r="F4626" s="9">
        <v>6</v>
      </c>
      <c r="G4626" s="9">
        <v>73</v>
      </c>
      <c r="H4626" s="5" t="s">
        <v>21</v>
      </c>
      <c r="I4626" s="5" t="s">
        <v>10452</v>
      </c>
      <c r="J4626" s="12" t="str">
        <f>HYPERLINK("https://www.boe.es/gazeta/dias/1801/01/20/pdfs/GMD-1801-6.pdf#page=9","Abrir facsímil")</f>
        <v>Abrir facsímil</v>
      </c>
      <c r="K4626" s="15" t="s">
        <v>23</v>
      </c>
    </row>
    <row r="4627" spans="1:11" ht="42" customHeight="1">
      <c r="A4627" s="4" t="s">
        <v>10453</v>
      </c>
      <c r="B4627" s="5" t="s">
        <v>10454</v>
      </c>
      <c r="C4627" s="5" t="s">
        <v>69</v>
      </c>
      <c r="D4627" s="5" t="s">
        <v>19</v>
      </c>
      <c r="E4627" s="5" t="s">
        <v>751</v>
      </c>
      <c r="F4627" s="9">
        <v>106</v>
      </c>
      <c r="G4627" s="9">
        <v>1162</v>
      </c>
      <c r="H4627" s="5" t="s">
        <v>21</v>
      </c>
      <c r="I4627" s="5" t="s">
        <v>10455</v>
      </c>
      <c r="J4627" s="12" t="str">
        <f>HYPERLINK("https://www.boe.es/gazeta/dias/1801/11/13/pdfs/GMD-1801-106.pdf#page=3","Abrir facsímil")</f>
        <v>Abrir facsímil</v>
      </c>
      <c r="K4627" s="15" t="s">
        <v>23</v>
      </c>
    </row>
    <row r="4628" spans="1:11" ht="42" customHeight="1">
      <c r="A4628" s="4" t="s">
        <v>10456</v>
      </c>
      <c r="B4628" s="5" t="s">
        <v>10457</v>
      </c>
      <c r="C4628" s="5" t="s">
        <v>80</v>
      </c>
      <c r="D4628" s="5" t="s">
        <v>81</v>
      </c>
      <c r="E4628" s="5" t="s">
        <v>82</v>
      </c>
      <c r="F4628" s="9">
        <v>75</v>
      </c>
      <c r="G4628" s="9" t="s">
        <v>86</v>
      </c>
      <c r="H4628" s="5" t="s">
        <v>21</v>
      </c>
      <c r="I4628" s="5" t="s">
        <v>10458</v>
      </c>
      <c r="J4628" s="12" t="str">
        <f>HYPERLINK("https://www.boe.es/gazeta/dias/1801/08/04/pdfs/GMD-C-1801-75.pdf#page=3","Abrir facsímil")</f>
        <v>Abrir facsímil</v>
      </c>
      <c r="K4628" s="15" t="s">
        <v>23</v>
      </c>
    </row>
    <row r="4629" spans="1:11" ht="42" customHeight="1">
      <c r="A4629" s="4" t="s">
        <v>10459</v>
      </c>
      <c r="B4629" s="5" t="s">
        <v>10460</v>
      </c>
      <c r="C4629" s="5" t="s">
        <v>18</v>
      </c>
      <c r="D4629" s="5" t="s">
        <v>19</v>
      </c>
      <c r="E4629" s="5" t="s">
        <v>321</v>
      </c>
      <c r="F4629" s="9">
        <v>3</v>
      </c>
      <c r="G4629" s="9">
        <v>27</v>
      </c>
      <c r="H4629" s="5" t="s">
        <v>21</v>
      </c>
      <c r="I4629" s="5" t="s">
        <v>10461</v>
      </c>
      <c r="J4629" s="12" t="str">
        <f>HYPERLINK("https://www.boe.es/gazeta/dias/1801/01/09/pdfs/GMD-1801-3.pdf#page=3","Abrir facsímil")</f>
        <v>Abrir facsímil</v>
      </c>
      <c r="K4629" s="15" t="s">
        <v>23</v>
      </c>
    </row>
    <row r="4630" spans="1:11" ht="42" customHeight="1">
      <c r="A4630" s="4" t="s">
        <v>10459</v>
      </c>
      <c r="B4630" s="5" t="s">
        <v>10460</v>
      </c>
      <c r="C4630" s="5" t="s">
        <v>75</v>
      </c>
      <c r="D4630" s="5" t="s">
        <v>76</v>
      </c>
      <c r="E4630" s="5" t="s">
        <v>321</v>
      </c>
      <c r="F4630" s="9">
        <v>3</v>
      </c>
      <c r="G4630" s="9">
        <v>28</v>
      </c>
      <c r="H4630" s="5" t="s">
        <v>21</v>
      </c>
      <c r="I4630" s="5" t="s">
        <v>10462</v>
      </c>
      <c r="J4630" s="12" t="str">
        <f>HYPERLINK("https://www.boe.es/gazeta/dias/1801/01/09/pdfs/GMD-1801-3.pdf#page=4","Abrir facsímil")</f>
        <v>Abrir facsímil</v>
      </c>
      <c r="K4630" s="15" t="s">
        <v>23</v>
      </c>
    </row>
    <row r="4631" spans="1:11" ht="42" customHeight="1">
      <c r="A4631" s="4" t="s">
        <v>10463</v>
      </c>
      <c r="B4631" s="5" t="s">
        <v>10464</v>
      </c>
      <c r="C4631" s="5" t="s">
        <v>80</v>
      </c>
      <c r="D4631" s="5" t="s">
        <v>81</v>
      </c>
      <c r="E4631" s="5" t="s">
        <v>82</v>
      </c>
      <c r="F4631" s="9">
        <v>75</v>
      </c>
      <c r="G4631" s="9" t="s">
        <v>299</v>
      </c>
      <c r="H4631" s="5" t="s">
        <v>21</v>
      </c>
      <c r="I4631" s="5" t="s">
        <v>10465</v>
      </c>
      <c r="J4631" s="12" t="str">
        <f>HYPERLINK("https://www.boe.es/gazeta/dias/1801/08/04/pdfs/GMD-C-1801-75.pdf#page=5","Abrir facsímil")</f>
        <v>Abrir facsímil</v>
      </c>
      <c r="K4631" s="15" t="s">
        <v>23</v>
      </c>
    </row>
    <row r="4632" spans="1:11" ht="42" customHeight="1">
      <c r="A4632" s="4" t="s">
        <v>10466</v>
      </c>
      <c r="B4632" s="5" t="s">
        <v>10467</v>
      </c>
      <c r="C4632" s="5" t="s">
        <v>32</v>
      </c>
      <c r="D4632" s="5" t="s">
        <v>33</v>
      </c>
      <c r="E4632" s="5" t="s">
        <v>120</v>
      </c>
      <c r="F4632" s="9">
        <v>7</v>
      </c>
      <c r="G4632" s="9">
        <v>84</v>
      </c>
      <c r="H4632" s="5" t="s">
        <v>21</v>
      </c>
      <c r="I4632" s="5" t="s">
        <v>10468</v>
      </c>
      <c r="J4632" s="12" t="str">
        <f>HYPERLINK("https://www.boe.es/gazeta/dias/1801/01/23/pdfs/GMD-1801-7.pdf#page=8","Abrir facsímil")</f>
        <v>Abrir facsímil</v>
      </c>
      <c r="K4632" s="15" t="s">
        <v>23</v>
      </c>
    </row>
    <row r="4633" spans="1:11" ht="42" customHeight="1">
      <c r="A4633" s="4" t="s">
        <v>10469</v>
      </c>
      <c r="B4633" s="5" t="s">
        <v>10470</v>
      </c>
      <c r="C4633" s="5" t="s">
        <v>38</v>
      </c>
      <c r="D4633" s="5" t="s">
        <v>39</v>
      </c>
      <c r="E4633" s="5" t="s">
        <v>480</v>
      </c>
      <c r="F4633" s="9">
        <v>10</v>
      </c>
      <c r="G4633" s="9">
        <v>125</v>
      </c>
      <c r="H4633" s="5" t="s">
        <v>21</v>
      </c>
      <c r="I4633" s="5" t="s">
        <v>10471</v>
      </c>
      <c r="J4633" s="12" t="str">
        <f>HYPERLINK("https://www.boe.es/gazeta/dias/1801/02/03/pdfs/GMD-1801-10.pdf#page=10","Abrir facsímil")</f>
        <v>Abrir facsímil</v>
      </c>
      <c r="K4633" s="15" t="s">
        <v>23</v>
      </c>
    </row>
    <row r="4634" spans="1:11" ht="42" customHeight="1">
      <c r="A4634" s="4" t="s">
        <v>10472</v>
      </c>
      <c r="B4634" s="5" t="s">
        <v>10473</v>
      </c>
      <c r="C4634" s="5" t="s">
        <v>32</v>
      </c>
      <c r="D4634" s="5" t="s">
        <v>33</v>
      </c>
      <c r="E4634" s="5" t="s">
        <v>137</v>
      </c>
      <c r="F4634" s="9">
        <v>30</v>
      </c>
      <c r="G4634" s="9">
        <v>394</v>
      </c>
      <c r="H4634" s="5" t="s">
        <v>21</v>
      </c>
      <c r="I4634" s="5" t="s">
        <v>10474</v>
      </c>
      <c r="J4634" s="12" t="str">
        <f>HYPERLINK("https://www.boe.es/gazeta/dias/1801/04/14/pdfs/GMD-1801-30.pdf#page=10","Abrir facsímil")</f>
        <v>Abrir facsímil</v>
      </c>
      <c r="K4634" s="15" t="s">
        <v>23</v>
      </c>
    </row>
    <row r="4635" spans="1:11" ht="42" customHeight="1">
      <c r="A4635" s="4" t="s">
        <v>10475</v>
      </c>
      <c r="B4635" s="5" t="s">
        <v>10476</v>
      </c>
      <c r="C4635" s="5" t="s">
        <v>80</v>
      </c>
      <c r="D4635" s="5" t="s">
        <v>81</v>
      </c>
      <c r="E4635" s="5" t="s">
        <v>82</v>
      </c>
      <c r="F4635" s="9">
        <v>75</v>
      </c>
      <c r="G4635" s="9" t="s">
        <v>305</v>
      </c>
      <c r="H4635" s="5" t="s">
        <v>21</v>
      </c>
      <c r="I4635" s="5" t="s">
        <v>10477</v>
      </c>
      <c r="J4635" s="12" t="str">
        <f>HYPERLINK("https://www.boe.es/gazeta/dias/1801/08/04/pdfs/GMD-C-1801-75.pdf#page=4","Abrir facsímil")</f>
        <v>Abrir facsímil</v>
      </c>
      <c r="K4635" s="15" t="s">
        <v>23</v>
      </c>
    </row>
    <row r="4636" spans="1:11" ht="42" customHeight="1">
      <c r="A4636" s="4" t="s">
        <v>10478</v>
      </c>
      <c r="B4636" s="5" t="s">
        <v>10479</v>
      </c>
      <c r="C4636" s="5" t="s">
        <v>38</v>
      </c>
      <c r="D4636" s="5" t="s">
        <v>39</v>
      </c>
      <c r="E4636" s="5" t="s">
        <v>328</v>
      </c>
      <c r="F4636" s="9">
        <v>89</v>
      </c>
      <c r="G4636" s="9">
        <v>981</v>
      </c>
      <c r="H4636" s="5" t="s">
        <v>21</v>
      </c>
      <c r="I4636" s="5" t="s">
        <v>10480</v>
      </c>
      <c r="J4636" s="12" t="str">
        <f>HYPERLINK("https://www.boe.es/gazeta/dias/1801/09/15/pdfs/GMD-1801-89.pdf#page=8","Abrir facsímil")</f>
        <v>Abrir facsímil</v>
      </c>
      <c r="K4636" s="15" t="s">
        <v>23</v>
      </c>
    </row>
    <row r="4637" spans="1:11" ht="42" customHeight="1">
      <c r="A4637" s="4" t="s">
        <v>10481</v>
      </c>
      <c r="B4637" s="5" t="s">
        <v>10482</v>
      </c>
      <c r="C4637" s="5" t="s">
        <v>18</v>
      </c>
      <c r="D4637" s="5" t="s">
        <v>19</v>
      </c>
      <c r="E4637" s="5" t="s">
        <v>40</v>
      </c>
      <c r="F4637" s="9">
        <v>63</v>
      </c>
      <c r="G4637" s="9">
        <v>713</v>
      </c>
      <c r="H4637" s="5" t="s">
        <v>21</v>
      </c>
      <c r="I4637" s="5" t="s">
        <v>10483</v>
      </c>
      <c r="J4637" s="12" t="str">
        <f>HYPERLINK("https://www.boe.es/gazeta/dias/1801/07/03/pdfs/GMD-1801-63.pdf#page=10","Abrir facsímil")</f>
        <v>Abrir facsímil</v>
      </c>
      <c r="K4637" s="15" t="s">
        <v>23</v>
      </c>
    </row>
    <row r="4638" spans="1:11" ht="42" customHeight="1">
      <c r="A4638" s="4" t="s">
        <v>10484</v>
      </c>
      <c r="B4638" s="5" t="s">
        <v>10485</v>
      </c>
      <c r="C4638" s="5" t="s">
        <v>32</v>
      </c>
      <c r="D4638" s="5" t="s">
        <v>33</v>
      </c>
      <c r="E4638" s="5" t="s">
        <v>120</v>
      </c>
      <c r="F4638" s="9">
        <v>7</v>
      </c>
      <c r="G4638" s="9">
        <v>84</v>
      </c>
      <c r="H4638" s="5" t="s">
        <v>21</v>
      </c>
      <c r="I4638" s="5" t="s">
        <v>10486</v>
      </c>
      <c r="J4638" s="12" t="str">
        <f>HYPERLINK("https://www.boe.es/gazeta/dias/1801/01/23/pdfs/GMD-1801-7.pdf#page=8","Abrir facsímil")</f>
        <v>Abrir facsímil</v>
      </c>
      <c r="K4638" s="15" t="s">
        <v>23</v>
      </c>
    </row>
    <row r="4639" spans="1:11" ht="42" customHeight="1">
      <c r="A4639" s="4" t="s">
        <v>10487</v>
      </c>
      <c r="B4639" s="5" t="s">
        <v>10488</v>
      </c>
      <c r="C4639" s="5" t="s">
        <v>32</v>
      </c>
      <c r="D4639" s="5" t="s">
        <v>33</v>
      </c>
      <c r="E4639" s="5" t="s">
        <v>201</v>
      </c>
      <c r="F4639" s="9">
        <v>79</v>
      </c>
      <c r="G4639" s="9">
        <v>889</v>
      </c>
      <c r="H4639" s="5" t="s">
        <v>21</v>
      </c>
      <c r="I4639" s="5" t="s">
        <v>10489</v>
      </c>
      <c r="J4639" s="12" t="str">
        <f>HYPERLINK("https://www.boe.es/gazeta/dias/1801/08/18/pdfs/GMD-1801-79.pdf#page=6","Abrir facsímil")</f>
        <v>Abrir facsímil</v>
      </c>
      <c r="K4639" s="15" t="s">
        <v>23</v>
      </c>
    </row>
    <row r="4640" spans="1:11" ht="42" customHeight="1">
      <c r="A4640" s="4" t="s">
        <v>10490</v>
      </c>
      <c r="B4640" s="5" t="s">
        <v>10491</v>
      </c>
      <c r="C4640" s="5" t="s">
        <v>32</v>
      </c>
      <c r="D4640" s="5" t="s">
        <v>33</v>
      </c>
      <c r="E4640" s="5" t="s">
        <v>55</v>
      </c>
      <c r="F4640" s="9">
        <v>104</v>
      </c>
      <c r="G4640" s="9">
        <v>1146</v>
      </c>
      <c r="H4640" s="5" t="s">
        <v>21</v>
      </c>
      <c r="I4640" s="5" t="s">
        <v>10492</v>
      </c>
      <c r="J4640" s="12" t="str">
        <f>HYPERLINK("https://www.boe.es/gazeta/dias/1801/11/06/pdfs/GMD-1801-104.pdf#page=7","Abrir facsímil")</f>
        <v>Abrir facsímil</v>
      </c>
      <c r="K4640" s="15" t="s">
        <v>23</v>
      </c>
    </row>
    <row r="4641" spans="1:11" ht="42" customHeight="1">
      <c r="A4641" s="4" t="s">
        <v>10493</v>
      </c>
      <c r="B4641" s="5" t="s">
        <v>10494</v>
      </c>
      <c r="C4641" s="5" t="s">
        <v>80</v>
      </c>
      <c r="D4641" s="5" t="s">
        <v>81</v>
      </c>
      <c r="E4641" s="5" t="s">
        <v>82</v>
      </c>
      <c r="F4641" s="9">
        <v>75</v>
      </c>
      <c r="G4641" s="9" t="s">
        <v>996</v>
      </c>
      <c r="H4641" s="5" t="s">
        <v>21</v>
      </c>
      <c r="I4641" s="5" t="s">
        <v>10495</v>
      </c>
      <c r="J4641" s="12" t="str">
        <f>HYPERLINK("https://www.boe.es/gazeta/dias/1801/08/04/pdfs/GMD-C-1801-75.pdf#page=6","Abrir facsímil")</f>
        <v>Abrir facsímil</v>
      </c>
      <c r="K4641" s="15" t="s">
        <v>23</v>
      </c>
    </row>
    <row r="4642" spans="1:11" ht="42" customHeight="1">
      <c r="A4642" s="4" t="s">
        <v>10496</v>
      </c>
      <c r="B4642" s="5" t="s">
        <v>10497</v>
      </c>
      <c r="C4642" s="5" t="s">
        <v>32</v>
      </c>
      <c r="D4642" s="5" t="s">
        <v>33</v>
      </c>
      <c r="E4642" s="5" t="s">
        <v>262</v>
      </c>
      <c r="F4642" s="9">
        <v>109</v>
      </c>
      <c r="G4642" s="9">
        <v>1204</v>
      </c>
      <c r="H4642" s="5" t="s">
        <v>21</v>
      </c>
      <c r="I4642" s="5" t="s">
        <v>10498</v>
      </c>
      <c r="J4642" s="12" t="str">
        <f>HYPERLINK("https://www.boe.es/gazeta/dias/1801/11/24/pdfs/GMD-1801-109.pdf#page=9","Abrir facsímil")</f>
        <v>Abrir facsímil</v>
      </c>
      <c r="K4642" s="15" t="s">
        <v>23</v>
      </c>
    </row>
    <row r="4643" spans="1:11" ht="42" customHeight="1">
      <c r="A4643" s="4" t="s">
        <v>10499</v>
      </c>
      <c r="B4643" s="5" t="s">
        <v>10500</v>
      </c>
      <c r="C4643" s="5" t="s">
        <v>32</v>
      </c>
      <c r="D4643" s="5" t="s">
        <v>33</v>
      </c>
      <c r="E4643" s="5" t="s">
        <v>44</v>
      </c>
      <c r="F4643" s="9">
        <v>117</v>
      </c>
      <c r="G4643" s="9">
        <v>1281</v>
      </c>
      <c r="H4643" s="5" t="s">
        <v>21</v>
      </c>
      <c r="I4643" s="5" t="s">
        <v>10501</v>
      </c>
      <c r="J4643" s="12" t="str">
        <f>HYPERLINK("https://www.boe.es/gazeta/dias/1801/12/22/pdfs/GMD-1801-117.pdf#page=8","Abrir facsímil")</f>
        <v>Abrir facsímil</v>
      </c>
      <c r="K4643" s="15" t="s">
        <v>23</v>
      </c>
    </row>
    <row r="4644" spans="1:11" ht="42" customHeight="1">
      <c r="A4644" s="4" t="s">
        <v>10502</v>
      </c>
      <c r="B4644" s="5" t="s">
        <v>10503</v>
      </c>
      <c r="C4644" s="5" t="s">
        <v>32</v>
      </c>
      <c r="D4644" s="5" t="s">
        <v>33</v>
      </c>
      <c r="E4644" s="5" t="s">
        <v>781</v>
      </c>
      <c r="F4644" s="9">
        <v>14</v>
      </c>
      <c r="G4644" s="9">
        <v>174</v>
      </c>
      <c r="H4644" s="5" t="s">
        <v>21</v>
      </c>
      <c r="I4644" s="5" t="s">
        <v>10504</v>
      </c>
      <c r="J4644" s="12" t="str">
        <f>HYPERLINK("https://www.boe.es/gazeta/dias/1801/02/17/pdfs/GMD-1801-14.pdf#page=9","Abrir facsímil")</f>
        <v>Abrir facsímil</v>
      </c>
      <c r="K4644" s="15" t="s">
        <v>23</v>
      </c>
    </row>
    <row r="4645" spans="1:11" ht="42" customHeight="1">
      <c r="A4645" s="4" t="s">
        <v>10505</v>
      </c>
      <c r="B4645" s="5" t="s">
        <v>10506</v>
      </c>
      <c r="C4645" s="5" t="s">
        <v>75</v>
      </c>
      <c r="D4645" s="5" t="s">
        <v>76</v>
      </c>
      <c r="E4645" s="5" t="s">
        <v>256</v>
      </c>
      <c r="F4645" s="9">
        <v>78</v>
      </c>
      <c r="G4645" s="9">
        <v>875</v>
      </c>
      <c r="H4645" s="5" t="s">
        <v>21</v>
      </c>
      <c r="I4645" s="5" t="s">
        <v>10507</v>
      </c>
      <c r="J4645" s="12" t="str">
        <f>HYPERLINK("https://www.boe.es/gazeta/dias/1801/08/14/pdfs/GMD-1801-78.pdf#page=4","Abrir facsímil")</f>
        <v>Abrir facsímil</v>
      </c>
      <c r="K4645" s="15" t="s">
        <v>23</v>
      </c>
    </row>
    <row r="4646" spans="1:11" ht="42" customHeight="1">
      <c r="A4646" s="4" t="s">
        <v>10505</v>
      </c>
      <c r="B4646" s="5" t="s">
        <v>10506</v>
      </c>
      <c r="C4646" s="5" t="s">
        <v>38</v>
      </c>
      <c r="D4646" s="5" t="s">
        <v>39</v>
      </c>
      <c r="E4646" s="5" t="s">
        <v>173</v>
      </c>
      <c r="F4646" s="9">
        <v>98</v>
      </c>
      <c r="G4646" s="9">
        <v>1075</v>
      </c>
      <c r="H4646" s="5" t="s">
        <v>21</v>
      </c>
      <c r="I4646" s="5" t="s">
        <v>10508</v>
      </c>
      <c r="J4646" s="12" t="str">
        <f>HYPERLINK("https://www.boe.es/gazeta/dias/1801/10/16/pdfs/GMD-1801-98.pdf#page=7","Abrir facsímil")</f>
        <v>Abrir facsímil</v>
      </c>
      <c r="K4646" s="15" t="s">
        <v>23</v>
      </c>
    </row>
    <row r="4647" spans="1:11" ht="42" customHeight="1">
      <c r="A4647" s="4" t="s">
        <v>10509</v>
      </c>
      <c r="B4647" s="5" t="s">
        <v>10509</v>
      </c>
      <c r="C4647" s="5" t="s">
        <v>75</v>
      </c>
      <c r="D4647" s="5" t="s">
        <v>76</v>
      </c>
      <c r="E4647" s="5" t="s">
        <v>501</v>
      </c>
      <c r="F4647" s="9">
        <v>115</v>
      </c>
      <c r="G4647" s="9">
        <v>1251</v>
      </c>
      <c r="H4647" s="5" t="s">
        <v>21</v>
      </c>
      <c r="I4647" s="5" t="s">
        <v>10510</v>
      </c>
      <c r="J4647" s="12" t="str">
        <f>HYPERLINK("https://www.boe.es/gazeta/dias/1801/12/15/pdfs/GMD-1801-115.pdf#page=1","Abrir facsímil")</f>
        <v>Abrir facsímil</v>
      </c>
      <c r="K4647" s="15" t="s">
        <v>23</v>
      </c>
    </row>
    <row r="4648" spans="1:11" ht="42" customHeight="1">
      <c r="A4648" s="4" t="s">
        <v>10511</v>
      </c>
      <c r="B4648" s="5" t="s">
        <v>10512</v>
      </c>
      <c r="C4648" s="5" t="s">
        <v>38</v>
      </c>
      <c r="D4648" s="5" t="s">
        <v>39</v>
      </c>
      <c r="E4648" s="5" t="s">
        <v>155</v>
      </c>
      <c r="F4648" s="9">
        <v>50</v>
      </c>
      <c r="G4648" s="9">
        <v>595</v>
      </c>
      <c r="H4648" s="5" t="s">
        <v>21</v>
      </c>
      <c r="I4648" s="5" t="s">
        <v>10513</v>
      </c>
      <c r="J4648" s="12" t="str">
        <f>HYPERLINK("https://www.boe.es/gazeta/dias/1801/06/09/pdfs/GMD-1801-50.pdf#page=7","Abrir facsímil")</f>
        <v>Abrir facsímil</v>
      </c>
      <c r="K4648" s="15" t="s">
        <v>23</v>
      </c>
    </row>
    <row r="4649" spans="1:11" ht="42" customHeight="1">
      <c r="A4649" s="4" t="s">
        <v>10514</v>
      </c>
      <c r="B4649" s="5" t="s">
        <v>10515</v>
      </c>
      <c r="C4649" s="5" t="s">
        <v>38</v>
      </c>
      <c r="D4649" s="5" t="s">
        <v>39</v>
      </c>
      <c r="E4649" s="5" t="s">
        <v>615</v>
      </c>
      <c r="F4649" s="9">
        <v>72</v>
      </c>
      <c r="G4649" s="9">
        <v>803</v>
      </c>
      <c r="H4649" s="5" t="s">
        <v>21</v>
      </c>
      <c r="I4649" s="5" t="s">
        <v>10516</v>
      </c>
      <c r="J4649" s="12" t="str">
        <f>HYPERLINK("https://www.boe.es/gazeta/dias/1801/07/24/pdfs/GMD-1801-72.pdf#page=8","Abrir facsímil")</f>
        <v>Abrir facsímil</v>
      </c>
      <c r="K4649" s="15" t="s">
        <v>23</v>
      </c>
    </row>
    <row r="4650" spans="1:11" ht="42" customHeight="1">
      <c r="A4650" s="4" t="s">
        <v>10517</v>
      </c>
      <c r="B4650" s="5" t="s">
        <v>10518</v>
      </c>
      <c r="C4650" s="5" t="s">
        <v>80</v>
      </c>
      <c r="D4650" s="5" t="s">
        <v>81</v>
      </c>
      <c r="E4650" s="5" t="s">
        <v>289</v>
      </c>
      <c r="F4650" s="9">
        <v>40</v>
      </c>
      <c r="G4650" s="9" t="s">
        <v>83</v>
      </c>
      <c r="H4650" s="5" t="s">
        <v>21</v>
      </c>
      <c r="I4650" s="5" t="s">
        <v>10519</v>
      </c>
      <c r="J4650" s="12" t="str">
        <f>HYPERLINK("https://www.boe.es/gazeta/dias/1801/05/19/pdfs/GMD-C-1801-40.pdf#page=2","Abrir facsímil")</f>
        <v>Abrir facsímil</v>
      </c>
      <c r="K4650" s="15" t="s">
        <v>23</v>
      </c>
    </row>
    <row r="4651" spans="1:11" ht="42" customHeight="1">
      <c r="A4651" s="4" t="s">
        <v>10520</v>
      </c>
      <c r="B4651" s="5" t="s">
        <v>10521</v>
      </c>
      <c r="C4651" s="5" t="s">
        <v>32</v>
      </c>
      <c r="D4651" s="5" t="s">
        <v>33</v>
      </c>
      <c r="E4651" s="5" t="s">
        <v>169</v>
      </c>
      <c r="F4651" s="9">
        <v>70</v>
      </c>
      <c r="G4651" s="9">
        <v>775</v>
      </c>
      <c r="H4651" s="5" t="s">
        <v>21</v>
      </c>
      <c r="I4651" s="5" t="s">
        <v>10522</v>
      </c>
      <c r="J4651" s="12" t="str">
        <f>HYPERLINK("https://www.boe.es/gazeta/dias/1801/07/17/pdfs/GMD-1801-70.pdf#page=8","Abrir facsímil")</f>
        <v>Abrir facsímil</v>
      </c>
      <c r="K4651" s="15" t="s">
        <v>23</v>
      </c>
    </row>
    <row r="4652" spans="1:11" ht="42" customHeight="1">
      <c r="A4652" s="4" t="s">
        <v>10523</v>
      </c>
      <c r="B4652" s="5" t="s">
        <v>10524</v>
      </c>
      <c r="C4652" s="5" t="s">
        <v>32</v>
      </c>
      <c r="D4652" s="5" t="s">
        <v>33</v>
      </c>
      <c r="E4652" s="5" t="s">
        <v>90</v>
      </c>
      <c r="F4652" s="9">
        <v>1</v>
      </c>
      <c r="G4652" s="9">
        <v>9</v>
      </c>
      <c r="H4652" s="5" t="s">
        <v>21</v>
      </c>
      <c r="I4652" s="5" t="s">
        <v>10525</v>
      </c>
      <c r="J4652" s="12" t="str">
        <f>HYPERLINK("https://www.boe.es/gazeta/dias/1801/01/02/pdfs/GMD-1801-1.pdf#page=9","Abrir facsímil")</f>
        <v>Abrir facsímil</v>
      </c>
      <c r="K4652" s="15" t="s">
        <v>23</v>
      </c>
    </row>
    <row r="4653" spans="1:11" ht="42" customHeight="1">
      <c r="A4653" s="4" t="s">
        <v>10526</v>
      </c>
      <c r="B4653" s="5" t="s">
        <v>10527</v>
      </c>
      <c r="C4653" s="5" t="s">
        <v>32</v>
      </c>
      <c r="D4653" s="5" t="s">
        <v>33</v>
      </c>
      <c r="E4653" s="5" t="s">
        <v>186</v>
      </c>
      <c r="F4653" s="9">
        <v>21</v>
      </c>
      <c r="G4653" s="9">
        <v>279</v>
      </c>
      <c r="H4653" s="5" t="s">
        <v>21</v>
      </c>
      <c r="I4653" s="5" t="s">
        <v>10528</v>
      </c>
      <c r="J4653" s="12" t="str">
        <f>HYPERLINK("https://www.boe.es/gazeta/dias/1801/03/13/pdfs/GMD-1801-21.pdf#page=8","Abrir facsímil")</f>
        <v>Abrir facsímil</v>
      </c>
      <c r="K4653" s="15" t="s">
        <v>23</v>
      </c>
    </row>
    <row r="4654" spans="1:11" ht="42" customHeight="1">
      <c r="A4654" s="4" t="s">
        <v>10529</v>
      </c>
      <c r="B4654" s="5" t="s">
        <v>10530</v>
      </c>
      <c r="C4654" s="5" t="s">
        <v>26</v>
      </c>
      <c r="D4654" s="5" t="s">
        <v>27</v>
      </c>
      <c r="E4654" s="5" t="s">
        <v>888</v>
      </c>
      <c r="F4654" s="9">
        <v>103</v>
      </c>
      <c r="G4654" s="9">
        <v>1139</v>
      </c>
      <c r="H4654" s="5" t="s">
        <v>21</v>
      </c>
      <c r="I4654" s="5" t="s">
        <v>10531</v>
      </c>
      <c r="J4654" s="12" t="str">
        <f>HYPERLINK("https://www.boe.es/gazeta/dias/1801/11/03/pdfs/GMD-1801-103.pdf#page=12","Abrir facsímil")</f>
        <v>Abrir facsímil</v>
      </c>
      <c r="K4654" s="15" t="s">
        <v>23</v>
      </c>
    </row>
    <row r="4655" spans="1:11" ht="42" customHeight="1">
      <c r="A4655" s="4" t="s">
        <v>10532</v>
      </c>
      <c r="B4655" s="5" t="s">
        <v>10532</v>
      </c>
      <c r="C4655" s="5" t="s">
        <v>26</v>
      </c>
      <c r="D4655" s="5" t="s">
        <v>27</v>
      </c>
      <c r="E4655" s="5" t="s">
        <v>94</v>
      </c>
      <c r="F4655" s="9">
        <v>19</v>
      </c>
      <c r="G4655" s="9">
        <v>246</v>
      </c>
      <c r="H4655" s="5" t="s">
        <v>21</v>
      </c>
      <c r="I4655" s="5" t="s">
        <v>10533</v>
      </c>
      <c r="J4655" s="12" t="str">
        <f>HYPERLINK("https://www.boe.es/gazeta/dias/1801/03/06/pdfs/GMD-1801-19.pdf#page=11","Abrir facsímil")</f>
        <v>Abrir facsímil</v>
      </c>
      <c r="K4655" s="15" t="s">
        <v>23</v>
      </c>
    </row>
    <row r="4656" spans="1:11" ht="42" customHeight="1">
      <c r="A4656" s="4" t="s">
        <v>10534</v>
      </c>
      <c r="B4656" s="5" t="s">
        <v>10535</v>
      </c>
      <c r="C4656" s="5" t="s">
        <v>32</v>
      </c>
      <c r="D4656" s="5" t="s">
        <v>33</v>
      </c>
      <c r="E4656" s="5" t="s">
        <v>99</v>
      </c>
      <c r="F4656" s="9">
        <v>32</v>
      </c>
      <c r="G4656" s="9">
        <v>414</v>
      </c>
      <c r="H4656" s="5" t="s">
        <v>21</v>
      </c>
      <c r="I4656" s="5" t="s">
        <v>10536</v>
      </c>
      <c r="J4656" s="12" t="str">
        <f>HYPERLINK("https://www.boe.es/gazeta/dias/1801/04/21/pdfs/GMD-1801-32.pdf#page=10","Abrir facsímil")</f>
        <v>Abrir facsímil</v>
      </c>
      <c r="K4656" s="15" t="s">
        <v>23</v>
      </c>
    </row>
    <row r="4657" spans="1:11" ht="42" customHeight="1">
      <c r="A4657" s="4" t="s">
        <v>10537</v>
      </c>
      <c r="B4657" s="5" t="s">
        <v>10538</v>
      </c>
      <c r="C4657" s="5" t="s">
        <v>32</v>
      </c>
      <c r="D4657" s="5" t="s">
        <v>33</v>
      </c>
      <c r="E4657" s="5" t="s">
        <v>44</v>
      </c>
      <c r="F4657" s="9">
        <v>117</v>
      </c>
      <c r="G4657" s="9">
        <v>1281</v>
      </c>
      <c r="H4657" s="5" t="s">
        <v>21</v>
      </c>
      <c r="I4657" s="5" t="s">
        <v>10539</v>
      </c>
      <c r="J4657" s="12" t="str">
        <f>HYPERLINK("https://www.boe.es/gazeta/dias/1801/12/22/pdfs/GMD-1801-117.pdf#page=8","Abrir facsímil")</f>
        <v>Abrir facsímil</v>
      </c>
      <c r="K4657" s="15" t="s">
        <v>23</v>
      </c>
    </row>
    <row r="4658" spans="1:11" ht="42" customHeight="1">
      <c r="A4658" s="4" t="s">
        <v>10540</v>
      </c>
      <c r="B4658" s="5" t="s">
        <v>10541</v>
      </c>
      <c r="C4658" s="5" t="s">
        <v>18</v>
      </c>
      <c r="D4658" s="5" t="s">
        <v>19</v>
      </c>
      <c r="E4658" s="5" t="s">
        <v>1487</v>
      </c>
      <c r="F4658" s="9" t="s">
        <v>1488</v>
      </c>
      <c r="G4658" s="9">
        <v>641</v>
      </c>
      <c r="H4658" s="5" t="s">
        <v>21</v>
      </c>
      <c r="I4658" s="5" t="s">
        <v>10542</v>
      </c>
      <c r="J4658" s="12" t="str">
        <f>HYPERLINK("https://www.boe.es/gazeta/dias/1801/06/17/pdfs/GMD-1801-56E.pdf#page=1","Abrir facsímil")</f>
        <v>Abrir facsímil</v>
      </c>
      <c r="K4658" s="15" t="s">
        <v>23</v>
      </c>
    </row>
    <row r="4659" spans="1:11" ht="42" customHeight="1">
      <c r="A4659" s="4" t="s">
        <v>10543</v>
      </c>
      <c r="B4659" s="5" t="s">
        <v>10544</v>
      </c>
      <c r="C4659" s="5" t="s">
        <v>32</v>
      </c>
      <c r="D4659" s="5" t="s">
        <v>33</v>
      </c>
      <c r="E4659" s="5" t="s">
        <v>90</v>
      </c>
      <c r="F4659" s="9">
        <v>1</v>
      </c>
      <c r="G4659" s="9">
        <v>8</v>
      </c>
      <c r="H4659" s="5" t="s">
        <v>21</v>
      </c>
      <c r="I4659" s="5" t="s">
        <v>10545</v>
      </c>
      <c r="J4659" s="12" t="str">
        <f>HYPERLINK("https://www.boe.es/gazeta/dias/1801/01/02/pdfs/GMD-1801-1.pdf#page=8","Abrir facsímil")</f>
        <v>Abrir facsímil</v>
      </c>
      <c r="K4659" s="15" t="s">
        <v>23</v>
      </c>
    </row>
    <row r="4660" spans="1:11" ht="42" customHeight="1">
      <c r="A4660" s="4" t="s">
        <v>10546</v>
      </c>
      <c r="B4660" s="5" t="s">
        <v>10547</v>
      </c>
      <c r="C4660" s="5" t="s">
        <v>26</v>
      </c>
      <c r="D4660" s="5" t="s">
        <v>27</v>
      </c>
      <c r="E4660" s="5" t="s">
        <v>501</v>
      </c>
      <c r="F4660" s="9">
        <v>115</v>
      </c>
      <c r="G4660" s="9" t="s">
        <v>299</v>
      </c>
      <c r="H4660" s="5" t="s">
        <v>21</v>
      </c>
      <c r="I4660" s="5" t="s">
        <v>10548</v>
      </c>
      <c r="J4660" s="12" t="str">
        <f>HYPERLINK("https://www.boe.es/gazeta/dias/1801/12/15/pdfs/GMD-C-1801-115.pdf#page=5","Abrir facsímil")</f>
        <v>Abrir facsímil</v>
      </c>
      <c r="K4660" s="15" t="s">
        <v>23</v>
      </c>
    </row>
    <row r="4661" spans="1:11" ht="42" customHeight="1">
      <c r="A4661" s="4" t="s">
        <v>10549</v>
      </c>
      <c r="B4661" s="5" t="s">
        <v>10550</v>
      </c>
      <c r="C4661" s="5" t="s">
        <v>32</v>
      </c>
      <c r="D4661" s="5" t="s">
        <v>33</v>
      </c>
      <c r="E4661" s="5" t="s">
        <v>112</v>
      </c>
      <c r="F4661" s="9">
        <v>114</v>
      </c>
      <c r="G4661" s="9">
        <v>1245</v>
      </c>
      <c r="H4661" s="5" t="s">
        <v>21</v>
      </c>
      <c r="I4661" s="5" t="s">
        <v>10551</v>
      </c>
      <c r="J4661" s="12" t="str">
        <f>HYPERLINK("https://www.boe.es/gazeta/dias/1801/12/11/pdfs/GMD-1801-114.pdf#page=7","Abrir facsímil")</f>
        <v>Abrir facsímil</v>
      </c>
      <c r="K4661" s="15" t="s">
        <v>23</v>
      </c>
    </row>
    <row r="4662" spans="1:11" ht="42" customHeight="1">
      <c r="A4662" s="4" t="s">
        <v>10552</v>
      </c>
      <c r="B4662" s="5" t="s">
        <v>10553</v>
      </c>
      <c r="C4662" s="5" t="s">
        <v>75</v>
      </c>
      <c r="D4662" s="5" t="s">
        <v>76</v>
      </c>
      <c r="E4662" s="5" t="s">
        <v>62</v>
      </c>
      <c r="F4662" s="9">
        <v>6</v>
      </c>
      <c r="G4662" s="9">
        <v>71</v>
      </c>
      <c r="H4662" s="5" t="s">
        <v>21</v>
      </c>
      <c r="I4662" s="5" t="s">
        <v>10554</v>
      </c>
      <c r="J4662" s="12" t="str">
        <f>HYPERLINK("https://www.boe.es/gazeta/dias/1801/01/20/pdfs/GMD-1801-6.pdf#page=7","Abrir facsímil")</f>
        <v>Abrir facsímil</v>
      </c>
      <c r="K4662" s="15" t="s">
        <v>23</v>
      </c>
    </row>
    <row r="4663" spans="1:11" ht="42" customHeight="1">
      <c r="A4663" s="4" t="s">
        <v>10552</v>
      </c>
      <c r="B4663" s="5" t="s">
        <v>10553</v>
      </c>
      <c r="C4663" s="5" t="s">
        <v>38</v>
      </c>
      <c r="D4663" s="5" t="s">
        <v>39</v>
      </c>
      <c r="E4663" s="5" t="s">
        <v>62</v>
      </c>
      <c r="F4663" s="9">
        <v>6</v>
      </c>
      <c r="G4663" s="9">
        <v>72</v>
      </c>
      <c r="H4663" s="5" t="s">
        <v>21</v>
      </c>
      <c r="I4663" s="5" t="s">
        <v>10555</v>
      </c>
      <c r="J4663" s="12" t="str">
        <f>HYPERLINK("https://www.boe.es/gazeta/dias/1801/01/20/pdfs/GMD-1801-6.pdf#page=8","Abrir facsímil")</f>
        <v>Abrir facsímil</v>
      </c>
      <c r="K4663" s="15" t="s">
        <v>23</v>
      </c>
    </row>
    <row r="4664" spans="1:11" ht="42" customHeight="1">
      <c r="A4664" s="4" t="s">
        <v>10552</v>
      </c>
      <c r="B4664" s="5" t="s">
        <v>10553</v>
      </c>
      <c r="C4664" s="5" t="s">
        <v>75</v>
      </c>
      <c r="D4664" s="5" t="s">
        <v>76</v>
      </c>
      <c r="E4664" s="5" t="s">
        <v>66</v>
      </c>
      <c r="F4664" s="9">
        <v>52</v>
      </c>
      <c r="G4664" s="9">
        <v>605</v>
      </c>
      <c r="H4664" s="5" t="s">
        <v>21</v>
      </c>
      <c r="I4664" s="5" t="s">
        <v>10556</v>
      </c>
      <c r="J4664" s="12" t="str">
        <f>HYPERLINK("https://www.boe.es/gazeta/dias/1801/06/12/pdfs/GMD-1801-52.pdf#page=4","Abrir facsímil")</f>
        <v>Abrir facsímil</v>
      </c>
      <c r="K4664" s="15" t="s">
        <v>23</v>
      </c>
    </row>
    <row r="4665" spans="1:11" ht="42" customHeight="1">
      <c r="A4665" s="4" t="s">
        <v>10552</v>
      </c>
      <c r="B4665" s="5" t="s">
        <v>10553</v>
      </c>
      <c r="C4665" s="5" t="s">
        <v>75</v>
      </c>
      <c r="D4665" s="5" t="s">
        <v>76</v>
      </c>
      <c r="E4665" s="5" t="s">
        <v>165</v>
      </c>
      <c r="F4665" s="9">
        <v>59</v>
      </c>
      <c r="G4665" s="9">
        <v>674</v>
      </c>
      <c r="H4665" s="5" t="s">
        <v>21</v>
      </c>
      <c r="I4665" s="5" t="s">
        <v>10557</v>
      </c>
      <c r="J4665" s="12" t="str">
        <f>HYPERLINK("https://www.boe.es/gazeta/dias/1801/06/23/pdfs/GMD-1801-59.pdf#page=7","Abrir facsímil")</f>
        <v>Abrir facsímil</v>
      </c>
      <c r="K4665" s="15" t="s">
        <v>23</v>
      </c>
    </row>
    <row r="4666" spans="1:11" ht="42" customHeight="1">
      <c r="A4666" s="4" t="s">
        <v>10558</v>
      </c>
      <c r="B4666" s="5" t="s">
        <v>10559</v>
      </c>
      <c r="C4666" s="5" t="s">
        <v>38</v>
      </c>
      <c r="D4666" s="5" t="s">
        <v>39</v>
      </c>
      <c r="E4666" s="5" t="s">
        <v>328</v>
      </c>
      <c r="F4666" s="9">
        <v>89</v>
      </c>
      <c r="G4666" s="9">
        <v>981</v>
      </c>
      <c r="H4666" s="5" t="s">
        <v>21</v>
      </c>
      <c r="I4666" s="5" t="s">
        <v>10560</v>
      </c>
      <c r="J4666" s="12" t="str">
        <f>HYPERLINK("https://www.boe.es/gazeta/dias/1801/09/15/pdfs/GMD-1801-89.pdf#page=8","Abrir facsímil")</f>
        <v>Abrir facsímil</v>
      </c>
      <c r="K4666" s="15" t="s">
        <v>23</v>
      </c>
    </row>
    <row r="4667" spans="1:11" ht="42" customHeight="1">
      <c r="A4667" s="4" t="s">
        <v>10561</v>
      </c>
      <c r="B4667" s="5" t="s">
        <v>10562</v>
      </c>
      <c r="C4667" s="5" t="s">
        <v>38</v>
      </c>
      <c r="D4667" s="5" t="s">
        <v>39</v>
      </c>
      <c r="E4667" s="5" t="s">
        <v>90</v>
      </c>
      <c r="F4667" s="9">
        <v>1</v>
      </c>
      <c r="G4667" s="9">
        <v>9</v>
      </c>
      <c r="H4667" s="5" t="s">
        <v>21</v>
      </c>
      <c r="I4667" s="5" t="s">
        <v>10563</v>
      </c>
      <c r="J4667" s="12" t="str">
        <f>HYPERLINK("https://www.boe.es/gazeta/dias/1801/01/02/pdfs/GMD-1801-1.pdf#page=9","Abrir facsímil")</f>
        <v>Abrir facsímil</v>
      </c>
      <c r="K4667" s="15" t="s">
        <v>23</v>
      </c>
    </row>
    <row r="4668" spans="1:11" ht="42" customHeight="1">
      <c r="A4668" s="4" t="s">
        <v>10564</v>
      </c>
      <c r="B4668" s="5" t="s">
        <v>10565</v>
      </c>
      <c r="C4668" s="5" t="s">
        <v>18</v>
      </c>
      <c r="D4668" s="5" t="s">
        <v>19</v>
      </c>
      <c r="E4668" s="5" t="s">
        <v>378</v>
      </c>
      <c r="F4668" s="9">
        <v>23</v>
      </c>
      <c r="G4668" s="9">
        <v>308</v>
      </c>
      <c r="H4668" s="5" t="s">
        <v>21</v>
      </c>
      <c r="I4668" s="5" t="s">
        <v>10566</v>
      </c>
      <c r="J4668" s="12" t="str">
        <f>HYPERLINK("https://www.boe.es/gazeta/dias/1801/03/20/pdfs/GMD-1801-23.pdf#page=11","Abrir facsímil")</f>
        <v>Abrir facsímil</v>
      </c>
      <c r="K4668" s="15" t="s">
        <v>23</v>
      </c>
    </row>
    <row r="4669" spans="1:11" ht="42" customHeight="1">
      <c r="A4669" s="4" t="s">
        <v>10567</v>
      </c>
      <c r="B4669" s="5" t="s">
        <v>10567</v>
      </c>
      <c r="C4669" s="5" t="s">
        <v>38</v>
      </c>
      <c r="D4669" s="5" t="s">
        <v>39</v>
      </c>
      <c r="E4669" s="5" t="s">
        <v>352</v>
      </c>
      <c r="F4669" s="9">
        <v>43</v>
      </c>
      <c r="G4669" s="9">
        <v>540</v>
      </c>
      <c r="H4669" s="5" t="s">
        <v>21</v>
      </c>
      <c r="I4669" s="5" t="s">
        <v>10568</v>
      </c>
      <c r="J4669" s="12" t="str">
        <f>HYPERLINK("https://www.boe.es/gazeta/dias/1801/05/26/pdfs/GMD-1801-43.pdf#page=12","Abrir facsímil")</f>
        <v>Abrir facsímil</v>
      </c>
      <c r="K4669" s="15" t="s">
        <v>23</v>
      </c>
    </row>
    <row r="4670" spans="1:11" ht="42" customHeight="1">
      <c r="A4670" s="4" t="s">
        <v>10569</v>
      </c>
      <c r="B4670" s="5" t="s">
        <v>10570</v>
      </c>
      <c r="C4670" s="5" t="s">
        <v>32</v>
      </c>
      <c r="D4670" s="5" t="s">
        <v>33</v>
      </c>
      <c r="E4670" s="5" t="s">
        <v>781</v>
      </c>
      <c r="F4670" s="9">
        <v>14</v>
      </c>
      <c r="G4670" s="9">
        <v>174</v>
      </c>
      <c r="H4670" s="5" t="s">
        <v>21</v>
      </c>
      <c r="I4670" s="5" t="s">
        <v>10571</v>
      </c>
      <c r="J4670" s="12" t="str">
        <f>HYPERLINK("https://www.boe.es/gazeta/dias/1801/02/17/pdfs/GMD-1801-14.pdf#page=9","Abrir facsímil")</f>
        <v>Abrir facsímil</v>
      </c>
      <c r="K4670" s="15" t="s">
        <v>23</v>
      </c>
    </row>
    <row r="4671" spans="1:11" ht="42" customHeight="1">
      <c r="A4671" s="4" t="s">
        <v>10572</v>
      </c>
      <c r="B4671" s="5" t="s">
        <v>10573</v>
      </c>
      <c r="C4671" s="5" t="s">
        <v>26</v>
      </c>
      <c r="D4671" s="5" t="s">
        <v>27</v>
      </c>
      <c r="E4671" s="5" t="s">
        <v>501</v>
      </c>
      <c r="F4671" s="9">
        <v>115</v>
      </c>
      <c r="G4671" s="9" t="s">
        <v>502</v>
      </c>
      <c r="H4671" s="5" t="s">
        <v>21</v>
      </c>
      <c r="I4671" s="5" t="s">
        <v>10574</v>
      </c>
      <c r="J4671" s="12" t="str">
        <f>HYPERLINK("https://www.boe.es/gazeta/dias/1801/12/15/pdfs/GMD-C-1801-115.pdf#page=8","Abrir facsímil")</f>
        <v>Abrir facsímil</v>
      </c>
      <c r="K4671" s="15" t="s">
        <v>23</v>
      </c>
    </row>
    <row r="4672" spans="1:11" ht="42" customHeight="1">
      <c r="A4672" s="4" t="s">
        <v>10575</v>
      </c>
      <c r="B4672" s="5" t="s">
        <v>10576</v>
      </c>
      <c r="C4672" s="5" t="s">
        <v>26</v>
      </c>
      <c r="D4672" s="5" t="s">
        <v>27</v>
      </c>
      <c r="E4672" s="5" t="s">
        <v>131</v>
      </c>
      <c r="F4672" s="9">
        <v>22</v>
      </c>
      <c r="G4672" s="9">
        <v>294</v>
      </c>
      <c r="H4672" s="5" t="s">
        <v>21</v>
      </c>
      <c r="I4672" s="5" t="s">
        <v>10577</v>
      </c>
      <c r="J4672" s="12" t="str">
        <f>HYPERLINK("https://www.boe.es/gazeta/dias/1801/03/17/pdfs/GMD-1801-22.pdf#page=11","Abrir facsímil")</f>
        <v>Abrir facsímil</v>
      </c>
      <c r="K4672" s="15" t="s">
        <v>23</v>
      </c>
    </row>
    <row r="4673" spans="1:11" ht="42" customHeight="1">
      <c r="A4673" s="4" t="s">
        <v>10578</v>
      </c>
      <c r="B4673" s="5" t="s">
        <v>10579</v>
      </c>
      <c r="C4673" s="5" t="s">
        <v>75</v>
      </c>
      <c r="D4673" s="5" t="s">
        <v>76</v>
      </c>
      <c r="E4673" s="5" t="s">
        <v>94</v>
      </c>
      <c r="F4673" s="9">
        <v>19</v>
      </c>
      <c r="G4673" s="9">
        <v>236</v>
      </c>
      <c r="H4673" s="5" t="s">
        <v>21</v>
      </c>
      <c r="I4673" s="5" t="s">
        <v>10580</v>
      </c>
      <c r="J4673" s="12" t="str">
        <f>HYPERLINK("https://www.boe.es/gazeta/dias/1801/03/06/pdfs/GMD-1801-19.pdf#page=1","Abrir facsímil")</f>
        <v>Abrir facsímil</v>
      </c>
      <c r="K4673" s="15" t="s">
        <v>23</v>
      </c>
    </row>
    <row r="4674" spans="1:11" ht="42" customHeight="1">
      <c r="A4674" s="4" t="s">
        <v>10581</v>
      </c>
      <c r="B4674" s="5" t="s">
        <v>10582</v>
      </c>
      <c r="C4674" s="5" t="s">
        <v>32</v>
      </c>
      <c r="D4674" s="5" t="s">
        <v>33</v>
      </c>
      <c r="E4674" s="5" t="s">
        <v>453</v>
      </c>
      <c r="F4674" s="9">
        <v>100</v>
      </c>
      <c r="G4674" s="9">
        <v>1101</v>
      </c>
      <c r="H4674" s="5" t="s">
        <v>21</v>
      </c>
      <c r="I4674" s="5" t="s">
        <v>10583</v>
      </c>
      <c r="J4674" s="12" t="str">
        <f>HYPERLINK("https://www.boe.es/gazeta/dias/1801/10/23/pdfs/GMD-1801-100.pdf#page=10","Abrir facsímil")</f>
        <v>Abrir facsímil</v>
      </c>
      <c r="K4674" s="15" t="s">
        <v>23</v>
      </c>
    </row>
    <row r="4675" spans="1:11" ht="42" customHeight="1">
      <c r="A4675" s="4" t="s">
        <v>10584</v>
      </c>
      <c r="B4675" s="5" t="s">
        <v>10585</v>
      </c>
      <c r="C4675" s="5" t="s">
        <v>32</v>
      </c>
      <c r="D4675" s="5" t="s">
        <v>33</v>
      </c>
      <c r="E4675" s="5" t="s">
        <v>77</v>
      </c>
      <c r="F4675" s="9">
        <v>93</v>
      </c>
      <c r="G4675" s="9">
        <v>1016</v>
      </c>
      <c r="H4675" s="5" t="s">
        <v>21</v>
      </c>
      <c r="I4675" s="5" t="s">
        <v>10586</v>
      </c>
      <c r="J4675" s="12" t="str">
        <f>HYPERLINK("https://www.boe.es/gazeta/dias/1801/09/29/pdfs/GMD-1801-93.pdf#page=3","Abrir facsímil")</f>
        <v>Abrir facsímil</v>
      </c>
      <c r="K4675" s="15" t="s">
        <v>23</v>
      </c>
    </row>
    <row r="4676" spans="1:11" ht="42" customHeight="1">
      <c r="A4676" s="4" t="s">
        <v>10587</v>
      </c>
      <c r="B4676" s="5" t="s">
        <v>10588</v>
      </c>
      <c r="C4676" s="5" t="s">
        <v>32</v>
      </c>
      <c r="D4676" s="5" t="s">
        <v>33</v>
      </c>
      <c r="E4676" s="5" t="s">
        <v>712</v>
      </c>
      <c r="F4676" s="9">
        <v>105</v>
      </c>
      <c r="G4676" s="9">
        <v>1155</v>
      </c>
      <c r="H4676" s="5" t="s">
        <v>21</v>
      </c>
      <c r="I4676" s="5" t="s">
        <v>10589</v>
      </c>
      <c r="J4676" s="12" t="str">
        <f>HYPERLINK("https://www.boe.es/gazeta/dias/1801/11/10/pdfs/GMD-1801-105.pdf#page=8","Abrir facsímil")</f>
        <v>Abrir facsímil</v>
      </c>
      <c r="K4676" s="15" t="s">
        <v>23</v>
      </c>
    </row>
    <row r="4677" spans="1:11" ht="42" customHeight="1">
      <c r="A4677" s="4" t="s">
        <v>10590</v>
      </c>
      <c r="B4677" s="5" t="s">
        <v>10591</v>
      </c>
      <c r="C4677" s="5" t="s">
        <v>38</v>
      </c>
      <c r="D4677" s="5" t="s">
        <v>39</v>
      </c>
      <c r="E4677" s="5" t="s">
        <v>615</v>
      </c>
      <c r="F4677" s="9">
        <v>72</v>
      </c>
      <c r="G4677" s="9">
        <v>803</v>
      </c>
      <c r="H4677" s="5" t="s">
        <v>21</v>
      </c>
      <c r="I4677" s="5" t="s">
        <v>10592</v>
      </c>
      <c r="J4677" s="12" t="str">
        <f>HYPERLINK("https://www.boe.es/gazeta/dias/1801/07/24/pdfs/GMD-1801-72.pdf#page=8","Abrir facsímil")</f>
        <v>Abrir facsímil</v>
      </c>
      <c r="K4677" s="15" t="s">
        <v>23</v>
      </c>
    </row>
    <row r="4678" spans="1:11" ht="42" customHeight="1">
      <c r="A4678" s="4" t="s">
        <v>10593</v>
      </c>
      <c r="B4678" s="5" t="s">
        <v>10593</v>
      </c>
      <c r="C4678" s="5" t="s">
        <v>32</v>
      </c>
      <c r="D4678" s="5" t="s">
        <v>33</v>
      </c>
      <c r="E4678" s="5" t="s">
        <v>764</v>
      </c>
      <c r="F4678" s="9">
        <v>80</v>
      </c>
      <c r="G4678" s="9">
        <v>899</v>
      </c>
      <c r="H4678" s="5" t="s">
        <v>21</v>
      </c>
      <c r="I4678" s="5" t="s">
        <v>10594</v>
      </c>
      <c r="J4678" s="12" t="str">
        <f>HYPERLINK("https://www.boe.es/gazeta/dias/1801/08/21/pdfs/GMD-1801-80.pdf#page=8","Abrir facsímil")</f>
        <v>Abrir facsímil</v>
      </c>
      <c r="K4678" s="15" t="s">
        <v>23</v>
      </c>
    </row>
    <row r="4679" spans="1:11" ht="42" customHeight="1">
      <c r="A4679" s="4" t="s">
        <v>10595</v>
      </c>
      <c r="B4679" s="5" t="s">
        <v>10596</v>
      </c>
      <c r="C4679" s="5" t="s">
        <v>80</v>
      </c>
      <c r="D4679" s="5" t="s">
        <v>81</v>
      </c>
      <c r="E4679" s="5" t="s">
        <v>82</v>
      </c>
      <c r="F4679" s="9">
        <v>75</v>
      </c>
      <c r="G4679" s="9" t="s">
        <v>305</v>
      </c>
      <c r="H4679" s="5" t="s">
        <v>21</v>
      </c>
      <c r="I4679" s="5" t="s">
        <v>10597</v>
      </c>
      <c r="J4679" s="12" t="str">
        <f>HYPERLINK("https://www.boe.es/gazeta/dias/1801/08/04/pdfs/GMD-C-1801-75.pdf#page=4","Abrir facsímil")</f>
        <v>Abrir facsímil</v>
      </c>
      <c r="K4679" s="15" t="s">
        <v>23</v>
      </c>
    </row>
    <row r="4680" spans="1:11" ht="42" customHeight="1">
      <c r="A4680" s="4" t="s">
        <v>10598</v>
      </c>
      <c r="B4680" s="5" t="s">
        <v>10599</v>
      </c>
      <c r="C4680" s="5" t="s">
        <v>32</v>
      </c>
      <c r="D4680" s="5" t="s">
        <v>33</v>
      </c>
      <c r="E4680" s="5" t="s">
        <v>153</v>
      </c>
      <c r="F4680" s="9">
        <v>48</v>
      </c>
      <c r="G4680" s="9">
        <v>585</v>
      </c>
      <c r="H4680" s="5" t="s">
        <v>21</v>
      </c>
      <c r="I4680" s="5" t="s">
        <v>10600</v>
      </c>
      <c r="J4680" s="12" t="str">
        <f>HYPERLINK("https://www.boe.es/gazeta/dias/1801/06/05/pdfs/GMD-1801-48.pdf#page=7","Abrir facsímil")</f>
        <v>Abrir facsímil</v>
      </c>
      <c r="K4680" s="15" t="s">
        <v>23</v>
      </c>
    </row>
    <row r="4681" spans="1:11" ht="42" customHeight="1">
      <c r="A4681" s="4" t="s">
        <v>10601</v>
      </c>
      <c r="B4681" s="5" t="s">
        <v>10602</v>
      </c>
      <c r="C4681" s="5" t="s">
        <v>32</v>
      </c>
      <c r="D4681" s="5" t="s">
        <v>33</v>
      </c>
      <c r="E4681" s="5" t="s">
        <v>62</v>
      </c>
      <c r="F4681" s="9">
        <v>6</v>
      </c>
      <c r="G4681" s="9">
        <v>73</v>
      </c>
      <c r="H4681" s="5" t="s">
        <v>21</v>
      </c>
      <c r="I4681" s="5" t="s">
        <v>10603</v>
      </c>
      <c r="J4681" s="12" t="str">
        <f>HYPERLINK("https://www.boe.es/gazeta/dias/1801/01/20/pdfs/GMD-1801-6.pdf#page=9","Abrir facsímil")</f>
        <v>Abrir facsímil</v>
      </c>
      <c r="K4681" s="15" t="s">
        <v>23</v>
      </c>
    </row>
    <row r="4682" spans="1:11" ht="42" customHeight="1">
      <c r="A4682" s="4" t="s">
        <v>10604</v>
      </c>
      <c r="B4682" s="5" t="s">
        <v>10605</v>
      </c>
      <c r="C4682" s="5" t="s">
        <v>38</v>
      </c>
      <c r="D4682" s="5" t="s">
        <v>39</v>
      </c>
      <c r="E4682" s="5" t="s">
        <v>186</v>
      </c>
      <c r="F4682" s="9">
        <v>21</v>
      </c>
      <c r="G4682" s="9">
        <v>279</v>
      </c>
      <c r="H4682" s="5" t="s">
        <v>21</v>
      </c>
      <c r="I4682" s="5" t="s">
        <v>10606</v>
      </c>
      <c r="J4682" s="12" t="str">
        <f>HYPERLINK("https://www.boe.es/gazeta/dias/1801/03/13/pdfs/GMD-1801-21.pdf#page=8","Abrir facsímil")</f>
        <v>Abrir facsímil</v>
      </c>
      <c r="K4682" s="15" t="s">
        <v>23</v>
      </c>
    </row>
    <row r="4683" spans="1:11" ht="42" customHeight="1">
      <c r="A4683" s="4" t="s">
        <v>10607</v>
      </c>
      <c r="B4683" s="5" t="s">
        <v>10608</v>
      </c>
      <c r="C4683" s="5" t="s">
        <v>75</v>
      </c>
      <c r="D4683" s="5" t="s">
        <v>76</v>
      </c>
      <c r="E4683" s="5" t="s">
        <v>124</v>
      </c>
      <c r="F4683" s="9">
        <v>12</v>
      </c>
      <c r="G4683" s="9">
        <v>145</v>
      </c>
      <c r="H4683" s="5" t="s">
        <v>21</v>
      </c>
      <c r="I4683" s="5" t="s">
        <v>10609</v>
      </c>
      <c r="J4683" s="12" t="str">
        <f>HYPERLINK("https://www.boe.es/gazeta/dias/1801/02/10/pdfs/GMD-1801-12.pdf#page=6","Abrir facsímil")</f>
        <v>Abrir facsímil</v>
      </c>
      <c r="K4683" s="15" t="s">
        <v>23</v>
      </c>
    </row>
    <row r="4684" spans="1:11" ht="42" customHeight="1">
      <c r="A4684" s="4" t="s">
        <v>10607</v>
      </c>
      <c r="B4684" s="5" t="s">
        <v>10608</v>
      </c>
      <c r="C4684" s="5" t="s">
        <v>38</v>
      </c>
      <c r="D4684" s="5" t="s">
        <v>39</v>
      </c>
      <c r="E4684" s="5" t="s">
        <v>2185</v>
      </c>
      <c r="F4684" s="9">
        <v>84</v>
      </c>
      <c r="G4684" s="9">
        <v>941</v>
      </c>
      <c r="H4684" s="5" t="s">
        <v>21</v>
      </c>
      <c r="I4684" s="5" t="s">
        <v>10610</v>
      </c>
      <c r="J4684" s="12" t="str">
        <f>HYPERLINK("https://www.boe.es/gazeta/dias/1801/09/04/pdfs/GMD-1801-84.pdf#page=4","Abrir facsímil")</f>
        <v>Abrir facsímil</v>
      </c>
      <c r="K4684" s="15" t="s">
        <v>23</v>
      </c>
    </row>
    <row r="4685" spans="1:11" ht="42" customHeight="1">
      <c r="A4685" s="4" t="s">
        <v>10607</v>
      </c>
      <c r="B4685" s="5" t="s">
        <v>10608</v>
      </c>
      <c r="C4685" s="5" t="s">
        <v>26</v>
      </c>
      <c r="D4685" s="5" t="s">
        <v>27</v>
      </c>
      <c r="E4685" s="5" t="s">
        <v>1939</v>
      </c>
      <c r="F4685" s="9">
        <v>107</v>
      </c>
      <c r="G4685" s="9">
        <v>1177</v>
      </c>
      <c r="H4685" s="5" t="s">
        <v>21</v>
      </c>
      <c r="I4685" s="5" t="s">
        <v>10611</v>
      </c>
      <c r="J4685" s="12" t="str">
        <f>HYPERLINK("https://www.boe.es/gazeta/dias/1801/11/17/pdfs/GMD-1801-107.pdf#page=6","Abrir facsímil")</f>
        <v>Abrir facsímil</v>
      </c>
      <c r="K4685" s="15" t="s">
        <v>23</v>
      </c>
    </row>
    <row r="4686" spans="1:11" ht="42" customHeight="1">
      <c r="A4686" s="4" t="s">
        <v>10612</v>
      </c>
      <c r="B4686" s="5" t="s">
        <v>10613</v>
      </c>
      <c r="C4686" s="5" t="s">
        <v>75</v>
      </c>
      <c r="D4686" s="5" t="s">
        <v>76</v>
      </c>
      <c r="E4686" s="5" t="s">
        <v>640</v>
      </c>
      <c r="F4686" s="9">
        <v>81</v>
      </c>
      <c r="G4686" s="9">
        <v>908</v>
      </c>
      <c r="H4686" s="5" t="s">
        <v>21</v>
      </c>
      <c r="I4686" s="5" t="s">
        <v>10614</v>
      </c>
      <c r="J4686" s="12" t="str">
        <f>HYPERLINK("https://www.boe.es/gazeta/dias/1801/08/25/pdfs/GMD-1801-81.pdf#page=5","Abrir facsímil")</f>
        <v>Abrir facsímil</v>
      </c>
      <c r="K4686" s="15" t="s">
        <v>23</v>
      </c>
    </row>
    <row r="4687" spans="1:11" ht="42" customHeight="1">
      <c r="A4687" s="4" t="s">
        <v>10615</v>
      </c>
      <c r="B4687" s="5" t="s">
        <v>10616</v>
      </c>
      <c r="C4687" s="5" t="s">
        <v>18</v>
      </c>
      <c r="D4687" s="5" t="s">
        <v>19</v>
      </c>
      <c r="E4687" s="5" t="s">
        <v>735</v>
      </c>
      <c r="F4687" s="9">
        <v>97</v>
      </c>
      <c r="G4687" s="9">
        <v>1063</v>
      </c>
      <c r="H4687" s="5" t="s">
        <v>21</v>
      </c>
      <c r="I4687" s="5" t="s">
        <v>10617</v>
      </c>
      <c r="J4687" s="12" t="str">
        <f>HYPERLINK("https://www.boe.es/gazeta/dias/1801/10/13/pdfs/GMD-1801-97.pdf#page=7","Abrir facsímil")</f>
        <v>Abrir facsímil</v>
      </c>
      <c r="K4687" s="15" t="s">
        <v>23</v>
      </c>
    </row>
    <row r="4688" spans="1:11" ht="42" customHeight="1">
      <c r="A4688" s="4" t="s">
        <v>10618</v>
      </c>
      <c r="B4688" s="5" t="s">
        <v>10619</v>
      </c>
      <c r="C4688" s="5" t="s">
        <v>18</v>
      </c>
      <c r="D4688" s="5" t="s">
        <v>19</v>
      </c>
      <c r="E4688" s="5" t="s">
        <v>313</v>
      </c>
      <c r="F4688" s="9">
        <v>39</v>
      </c>
      <c r="G4688" s="9">
        <v>504</v>
      </c>
      <c r="H4688" s="5" t="s">
        <v>21</v>
      </c>
      <c r="I4688" s="5" t="s">
        <v>10620</v>
      </c>
      <c r="J4688" s="12" t="str">
        <f>HYPERLINK("https://www.boe.es/gazeta/dias/1801/05/15/pdfs/GMD-1801-39.pdf#page=8","Abrir facsímil")</f>
        <v>Abrir facsímil</v>
      </c>
      <c r="K4688" s="15" t="s">
        <v>23</v>
      </c>
    </row>
    <row r="4689" spans="1:11" ht="42" customHeight="1">
      <c r="A4689" s="4" t="s">
        <v>10621</v>
      </c>
      <c r="B4689" s="5" t="s">
        <v>10622</v>
      </c>
      <c r="C4689" s="5" t="s">
        <v>26</v>
      </c>
      <c r="D4689" s="5" t="s">
        <v>27</v>
      </c>
      <c r="E4689" s="5" t="s">
        <v>1436</v>
      </c>
      <c r="F4689" s="9">
        <v>95</v>
      </c>
      <c r="G4689" s="9">
        <v>1041</v>
      </c>
      <c r="H4689" s="5" t="s">
        <v>21</v>
      </c>
      <c r="I4689" s="5" t="s">
        <v>10623</v>
      </c>
      <c r="J4689" s="12" t="str">
        <f>HYPERLINK("https://www.boe.es/gazeta/dias/1801/10/06/pdfs/GMD-1801-95.pdf#page=5","Abrir facsímil")</f>
        <v>Abrir facsímil</v>
      </c>
      <c r="K4689" s="15" t="s">
        <v>23</v>
      </c>
    </row>
    <row r="4690" spans="1:11" ht="42" customHeight="1">
      <c r="A4690" s="4" t="s">
        <v>10621</v>
      </c>
      <c r="B4690" s="5" t="s">
        <v>10622</v>
      </c>
      <c r="C4690" s="5" t="s">
        <v>32</v>
      </c>
      <c r="D4690" s="5" t="s">
        <v>33</v>
      </c>
      <c r="E4690" s="5" t="s">
        <v>735</v>
      </c>
      <c r="F4690" s="9">
        <v>97</v>
      </c>
      <c r="G4690" s="9">
        <v>1063</v>
      </c>
      <c r="H4690" s="5" t="s">
        <v>21</v>
      </c>
      <c r="I4690" s="5" t="s">
        <v>10624</v>
      </c>
      <c r="J4690" s="12" t="str">
        <f>HYPERLINK("https://www.boe.es/gazeta/dias/1801/10/13/pdfs/GMD-1801-97.pdf#page=7","Abrir facsímil")</f>
        <v>Abrir facsímil</v>
      </c>
      <c r="K4690" s="15" t="s">
        <v>23</v>
      </c>
    </row>
    <row r="4691" spans="1:11" ht="42" customHeight="1">
      <c r="A4691" s="4" t="s">
        <v>10625</v>
      </c>
      <c r="B4691" s="5" t="s">
        <v>10626</v>
      </c>
      <c r="C4691" s="5" t="s">
        <v>26</v>
      </c>
      <c r="D4691" s="5" t="s">
        <v>27</v>
      </c>
      <c r="E4691" s="5" t="s">
        <v>82</v>
      </c>
      <c r="F4691" s="9">
        <v>75</v>
      </c>
      <c r="G4691" s="9">
        <v>833</v>
      </c>
      <c r="H4691" s="5" t="s">
        <v>21</v>
      </c>
      <c r="I4691" s="5" t="s">
        <v>10627</v>
      </c>
      <c r="J4691" s="12" t="str">
        <f>HYPERLINK("https://www.boe.es/gazeta/dias/1801/08/04/pdfs/GMD-1801-75.pdf#page=2","Abrir facsímil")</f>
        <v>Abrir facsímil</v>
      </c>
      <c r="K4691" s="15" t="s">
        <v>23</v>
      </c>
    </row>
    <row r="4692" spans="1:11" ht="42" customHeight="1">
      <c r="A4692" s="4" t="s">
        <v>10628</v>
      </c>
      <c r="B4692" s="5" t="s">
        <v>10628</v>
      </c>
      <c r="C4692" s="5" t="s">
        <v>32</v>
      </c>
      <c r="D4692" s="5" t="s">
        <v>33</v>
      </c>
      <c r="E4692" s="5" t="s">
        <v>219</v>
      </c>
      <c r="F4692" s="9">
        <v>26</v>
      </c>
      <c r="G4692" s="9">
        <v>346</v>
      </c>
      <c r="H4692" s="5" t="s">
        <v>21</v>
      </c>
      <c r="I4692" s="5" t="s">
        <v>10629</v>
      </c>
      <c r="J4692" s="12" t="str">
        <f>HYPERLINK("https://www.boe.es/gazeta/dias/1801/03/31/pdfs/GMD-1801-26.pdf#page=10","Abrir facsímil")</f>
        <v>Abrir facsímil</v>
      </c>
      <c r="K4692" s="15" t="s">
        <v>23</v>
      </c>
    </row>
    <row r="4693" spans="1:11" ht="42" customHeight="1">
      <c r="A4693" s="4" t="s">
        <v>10630</v>
      </c>
      <c r="B4693" s="5" t="s">
        <v>10630</v>
      </c>
      <c r="C4693" s="5" t="s">
        <v>32</v>
      </c>
      <c r="D4693" s="5" t="s">
        <v>33</v>
      </c>
      <c r="E4693" s="5" t="s">
        <v>328</v>
      </c>
      <c r="F4693" s="9">
        <v>89</v>
      </c>
      <c r="G4693" s="9">
        <v>980</v>
      </c>
      <c r="H4693" s="5" t="s">
        <v>21</v>
      </c>
      <c r="I4693" s="5" t="s">
        <v>10631</v>
      </c>
      <c r="J4693" s="12" t="str">
        <f>HYPERLINK("https://www.boe.es/gazeta/dias/1801/09/15/pdfs/GMD-1801-89.pdf#page=7","Abrir facsímil")</f>
        <v>Abrir facsímil</v>
      </c>
      <c r="K4693" s="15" t="s">
        <v>23</v>
      </c>
    </row>
    <row r="4694" spans="1:11" ht="42" customHeight="1">
      <c r="A4694" s="4" t="s">
        <v>10632</v>
      </c>
      <c r="B4694" s="5" t="s">
        <v>10632</v>
      </c>
      <c r="C4694" s="5" t="s">
        <v>32</v>
      </c>
      <c r="D4694" s="5" t="s">
        <v>33</v>
      </c>
      <c r="E4694" s="5" t="s">
        <v>186</v>
      </c>
      <c r="F4694" s="9">
        <v>21</v>
      </c>
      <c r="G4694" s="9">
        <v>279</v>
      </c>
      <c r="H4694" s="5" t="s">
        <v>21</v>
      </c>
      <c r="I4694" s="5" t="s">
        <v>10633</v>
      </c>
      <c r="J4694" s="12" t="str">
        <f>HYPERLINK("https://www.boe.es/gazeta/dias/1801/03/13/pdfs/GMD-1801-21.pdf#page=8","Abrir facsímil")</f>
        <v>Abrir facsímil</v>
      </c>
      <c r="K4694" s="15" t="s">
        <v>23</v>
      </c>
    </row>
    <row r="4695" spans="1:11" ht="42" customHeight="1">
      <c r="A4695" s="4" t="s">
        <v>10634</v>
      </c>
      <c r="B4695" s="5" t="s">
        <v>10634</v>
      </c>
      <c r="C4695" s="5" t="s">
        <v>32</v>
      </c>
      <c r="D4695" s="5" t="s">
        <v>33</v>
      </c>
      <c r="E4695" s="5" t="s">
        <v>781</v>
      </c>
      <c r="F4695" s="9">
        <v>14</v>
      </c>
      <c r="G4695" s="9">
        <v>173</v>
      </c>
      <c r="H4695" s="5" t="s">
        <v>21</v>
      </c>
      <c r="I4695" s="5" t="s">
        <v>10635</v>
      </c>
      <c r="J4695" s="12" t="str">
        <f>HYPERLINK("https://www.boe.es/gazeta/dias/1801/02/17/pdfs/GMD-1801-14.pdf#page=8","Abrir facsímil")</f>
        <v>Abrir facsímil</v>
      </c>
      <c r="K4695" s="15" t="s">
        <v>23</v>
      </c>
    </row>
    <row r="4696" spans="1:11" ht="42" customHeight="1">
      <c r="A4696" s="4" t="s">
        <v>10636</v>
      </c>
      <c r="B4696" s="5" t="s">
        <v>10636</v>
      </c>
      <c r="C4696" s="5" t="s">
        <v>32</v>
      </c>
      <c r="D4696" s="5" t="s">
        <v>33</v>
      </c>
      <c r="E4696" s="5" t="s">
        <v>179</v>
      </c>
      <c r="F4696" s="9">
        <v>11</v>
      </c>
      <c r="G4696" s="9">
        <v>137</v>
      </c>
      <c r="H4696" s="5" t="s">
        <v>21</v>
      </c>
      <c r="I4696" s="5" t="s">
        <v>10637</v>
      </c>
      <c r="J4696" s="12" t="str">
        <f>HYPERLINK("https://www.boe.es/gazeta/dias/1801/02/06/pdfs/GMD-1801-11.pdf#page=10","Abrir facsímil")</f>
        <v>Abrir facsímil</v>
      </c>
      <c r="K4696" s="15" t="s">
        <v>23</v>
      </c>
    </row>
    <row r="4697" spans="1:11" ht="42" customHeight="1">
      <c r="A4697" s="4" t="s">
        <v>10638</v>
      </c>
      <c r="B4697" s="5" t="s">
        <v>10638</v>
      </c>
      <c r="C4697" s="5" t="s">
        <v>69</v>
      </c>
      <c r="D4697" s="5" t="s">
        <v>19</v>
      </c>
      <c r="E4697" s="5" t="s">
        <v>62</v>
      </c>
      <c r="F4697" s="9">
        <v>6</v>
      </c>
      <c r="G4697" s="9">
        <v>72</v>
      </c>
      <c r="H4697" s="5" t="s">
        <v>21</v>
      </c>
      <c r="I4697" s="5" t="s">
        <v>10639</v>
      </c>
      <c r="J4697" s="12" t="str">
        <f>HYPERLINK("https://www.boe.es/gazeta/dias/1801/01/20/pdfs/GMD-1801-6.pdf#page=8","Abrir facsímil")</f>
        <v>Abrir facsímil</v>
      </c>
      <c r="K4697" s="15" t="s">
        <v>23</v>
      </c>
    </row>
    <row r="4698" spans="1:11" ht="42" customHeight="1">
      <c r="A4698" s="4" t="s">
        <v>10640</v>
      </c>
      <c r="B4698" s="5" t="s">
        <v>10641</v>
      </c>
      <c r="C4698" s="5" t="s">
        <v>32</v>
      </c>
      <c r="D4698" s="5" t="s">
        <v>33</v>
      </c>
      <c r="E4698" s="5" t="s">
        <v>20</v>
      </c>
      <c r="F4698" s="9">
        <v>37</v>
      </c>
      <c r="G4698" s="9">
        <v>474</v>
      </c>
      <c r="H4698" s="5" t="s">
        <v>21</v>
      </c>
      <c r="I4698" s="5" t="s">
        <v>10642</v>
      </c>
      <c r="J4698" s="12" t="str">
        <f>HYPERLINK("https://www.boe.es/gazeta/dias/1801/05/08/pdfs/GMD-1801-37.pdf#page=2","Abrir facsímil")</f>
        <v>Abrir facsímil</v>
      </c>
      <c r="K4698" s="15" t="s">
        <v>23</v>
      </c>
    </row>
    <row r="4699" spans="1:11" ht="42" customHeight="1">
      <c r="A4699" s="4" t="s">
        <v>10643</v>
      </c>
      <c r="B4699" s="5" t="s">
        <v>10643</v>
      </c>
      <c r="C4699" s="5" t="s">
        <v>32</v>
      </c>
      <c r="D4699" s="5" t="s">
        <v>33</v>
      </c>
      <c r="E4699" s="5" t="s">
        <v>262</v>
      </c>
      <c r="F4699" s="9">
        <v>109</v>
      </c>
      <c r="G4699" s="9">
        <v>1203</v>
      </c>
      <c r="H4699" s="5" t="s">
        <v>21</v>
      </c>
      <c r="I4699" s="5" t="s">
        <v>10644</v>
      </c>
      <c r="J4699" s="12" t="str">
        <f>HYPERLINK("https://www.boe.es/gazeta/dias/1801/11/24/pdfs/GMD-1801-109.pdf#page=8","Abrir facsímil")</f>
        <v>Abrir facsímil</v>
      </c>
      <c r="K4699" s="15" t="s">
        <v>23</v>
      </c>
    </row>
    <row r="4700" spans="1:11" ht="42" customHeight="1">
      <c r="A4700" s="4" t="s">
        <v>10645</v>
      </c>
      <c r="B4700" s="5" t="s">
        <v>10645</v>
      </c>
      <c r="C4700" s="5" t="s">
        <v>75</v>
      </c>
      <c r="D4700" s="5" t="s">
        <v>76</v>
      </c>
      <c r="E4700" s="5" t="s">
        <v>186</v>
      </c>
      <c r="F4700" s="9">
        <v>21</v>
      </c>
      <c r="G4700" s="9">
        <v>276</v>
      </c>
      <c r="H4700" s="5" t="s">
        <v>21</v>
      </c>
      <c r="I4700" s="5" t="s">
        <v>10646</v>
      </c>
      <c r="J4700" s="12" t="str">
        <f>HYPERLINK("https://www.boe.es/gazeta/dias/1801/03/13/pdfs/GMD-1801-21.pdf#page=5","Abrir facsímil")</f>
        <v>Abrir facsímil</v>
      </c>
      <c r="K4700" s="15" t="s">
        <v>23</v>
      </c>
    </row>
    <row r="4701" spans="1:11" ht="42" customHeight="1">
      <c r="A4701" s="4" t="s">
        <v>10647</v>
      </c>
      <c r="B4701" s="5" t="s">
        <v>10648</v>
      </c>
      <c r="C4701" s="5" t="s">
        <v>26</v>
      </c>
      <c r="D4701" s="5" t="s">
        <v>27</v>
      </c>
      <c r="E4701" s="5" t="s">
        <v>764</v>
      </c>
      <c r="F4701" s="9">
        <v>80</v>
      </c>
      <c r="G4701" s="9">
        <v>899</v>
      </c>
      <c r="H4701" s="5" t="s">
        <v>21</v>
      </c>
      <c r="I4701" s="5" t="s">
        <v>10649</v>
      </c>
      <c r="J4701" s="12" t="str">
        <f>HYPERLINK("https://www.boe.es/gazeta/dias/1801/08/21/pdfs/GMD-1801-80.pdf#page=8","Abrir facsímil")</f>
        <v>Abrir facsímil</v>
      </c>
      <c r="K4701" s="15" t="s">
        <v>23</v>
      </c>
    </row>
    <row r="4702" spans="1:11" ht="42" customHeight="1">
      <c r="A4702" s="4" t="s">
        <v>10647</v>
      </c>
      <c r="B4702" s="5" t="s">
        <v>10648</v>
      </c>
      <c r="C4702" s="5" t="s">
        <v>26</v>
      </c>
      <c r="D4702" s="5" t="s">
        <v>27</v>
      </c>
      <c r="E4702" s="5" t="s">
        <v>309</v>
      </c>
      <c r="F4702" s="9">
        <v>118</v>
      </c>
      <c r="G4702" s="9">
        <v>1293</v>
      </c>
      <c r="H4702" s="5" t="s">
        <v>21</v>
      </c>
      <c r="I4702" s="5" t="s">
        <v>10650</v>
      </c>
      <c r="J4702" s="12" t="str">
        <f>HYPERLINK("https://www.boe.es/gazeta/dias/1801/12/25/pdfs/GMD-1801-118.pdf#page=8","Abrir facsímil")</f>
        <v>Abrir facsímil</v>
      </c>
      <c r="K4702" s="15" t="s">
        <v>23</v>
      </c>
    </row>
    <row r="4703" spans="1:11" ht="42" customHeight="1">
      <c r="A4703" s="4" t="s">
        <v>10651</v>
      </c>
      <c r="B4703" s="5" t="s">
        <v>10651</v>
      </c>
      <c r="C4703" s="5" t="s">
        <v>32</v>
      </c>
      <c r="D4703" s="5" t="s">
        <v>33</v>
      </c>
      <c r="E4703" s="5" t="s">
        <v>165</v>
      </c>
      <c r="F4703" s="9">
        <v>59</v>
      </c>
      <c r="G4703" s="9">
        <v>676</v>
      </c>
      <c r="H4703" s="5" t="s">
        <v>21</v>
      </c>
      <c r="I4703" s="5" t="s">
        <v>10652</v>
      </c>
      <c r="J4703" s="12" t="str">
        <f>HYPERLINK("https://www.boe.es/gazeta/dias/1801/06/23/pdfs/GMD-1801-59.pdf#page=9","Abrir facsímil")</f>
        <v>Abrir facsímil</v>
      </c>
      <c r="K4703" s="15" t="s">
        <v>23</v>
      </c>
    </row>
    <row r="4704" spans="1:11" ht="42" customHeight="1">
      <c r="A4704" s="4" t="s">
        <v>10653</v>
      </c>
      <c r="B4704" s="5" t="s">
        <v>10654</v>
      </c>
      <c r="C4704" s="5" t="s">
        <v>69</v>
      </c>
      <c r="D4704" s="5" t="s">
        <v>19</v>
      </c>
      <c r="E4704" s="5" t="s">
        <v>94</v>
      </c>
      <c r="F4704" s="9">
        <v>19</v>
      </c>
      <c r="G4704" s="9">
        <v>247</v>
      </c>
      <c r="H4704" s="5" t="s">
        <v>21</v>
      </c>
      <c r="I4704" s="5" t="s">
        <v>10655</v>
      </c>
      <c r="J4704" s="12" t="str">
        <f>HYPERLINK("https://www.boe.es/gazeta/dias/1801/03/06/pdfs/GMD-1801-19.pdf#page=12","Abrir facsímil")</f>
        <v>Abrir facsímil</v>
      </c>
      <c r="K4704" s="15" t="s">
        <v>23</v>
      </c>
    </row>
    <row r="4705" spans="1:11" ht="42" customHeight="1">
      <c r="A4705" s="4" t="s">
        <v>10656</v>
      </c>
      <c r="B4705" s="5" t="s">
        <v>10656</v>
      </c>
      <c r="C4705" s="5" t="s">
        <v>38</v>
      </c>
      <c r="D4705" s="5" t="s">
        <v>39</v>
      </c>
      <c r="E4705" s="5" t="s">
        <v>155</v>
      </c>
      <c r="F4705" s="9">
        <v>50</v>
      </c>
      <c r="G4705" s="9">
        <v>597</v>
      </c>
      <c r="H4705" s="5" t="s">
        <v>21</v>
      </c>
      <c r="I4705" s="5" t="s">
        <v>10657</v>
      </c>
      <c r="J4705" s="12" t="str">
        <f>HYPERLINK("https://www.boe.es/gazeta/dias/1801/06/09/pdfs/GMD-1801-50.pdf#page=9","Abrir facsímil")</f>
        <v>Abrir facsímil</v>
      </c>
      <c r="K4705" s="15" t="s">
        <v>23</v>
      </c>
    </row>
    <row r="4706" spans="1:11" ht="42" customHeight="1">
      <c r="A4706" s="4" t="s">
        <v>10658</v>
      </c>
      <c r="B4706" s="5" t="s">
        <v>10659</v>
      </c>
      <c r="C4706" s="5" t="s">
        <v>75</v>
      </c>
      <c r="D4706" s="5" t="s">
        <v>76</v>
      </c>
      <c r="E4706" s="5" t="s">
        <v>120</v>
      </c>
      <c r="F4706" s="9">
        <v>7</v>
      </c>
      <c r="G4706" s="9">
        <v>83</v>
      </c>
      <c r="H4706" s="5" t="s">
        <v>21</v>
      </c>
      <c r="I4706" s="5" t="s">
        <v>10660</v>
      </c>
      <c r="J4706" s="12" t="str">
        <f>HYPERLINK("https://www.boe.es/gazeta/dias/1801/01/23/pdfs/GMD-1801-7.pdf#page=7","Abrir facsímil")</f>
        <v>Abrir facsímil</v>
      </c>
      <c r="K4706" s="15" t="s">
        <v>23</v>
      </c>
    </row>
    <row r="4707" spans="1:11" ht="42" customHeight="1">
      <c r="A4707" s="4" t="s">
        <v>10661</v>
      </c>
      <c r="B4707" s="5" t="s">
        <v>10661</v>
      </c>
      <c r="C4707" s="5" t="s">
        <v>32</v>
      </c>
      <c r="D4707" s="5" t="s">
        <v>33</v>
      </c>
      <c r="E4707" s="5" t="s">
        <v>20</v>
      </c>
      <c r="F4707" s="9">
        <v>37</v>
      </c>
      <c r="G4707" s="9">
        <v>479</v>
      </c>
      <c r="H4707" s="5" t="s">
        <v>21</v>
      </c>
      <c r="I4707" s="5" t="s">
        <v>10662</v>
      </c>
      <c r="J4707" s="12" t="str">
        <f>HYPERLINK("https://www.boe.es/gazeta/dias/1801/05/08/pdfs/GMD-1801-37.pdf#page=7","Abrir facsímil")</f>
        <v>Abrir facsímil</v>
      </c>
      <c r="K4707" s="15" t="s">
        <v>23</v>
      </c>
    </row>
    <row r="4708" spans="1:11" ht="42" customHeight="1">
      <c r="A4708" s="4" t="s">
        <v>10663</v>
      </c>
      <c r="B4708" s="5" t="s">
        <v>10663</v>
      </c>
      <c r="C4708" s="5" t="s">
        <v>26</v>
      </c>
      <c r="D4708" s="5" t="s">
        <v>27</v>
      </c>
      <c r="E4708" s="5" t="s">
        <v>50</v>
      </c>
      <c r="F4708" s="9">
        <v>29</v>
      </c>
      <c r="G4708" s="9">
        <v>384</v>
      </c>
      <c r="H4708" s="5" t="s">
        <v>21</v>
      </c>
      <c r="I4708" s="5" t="s">
        <v>10664</v>
      </c>
      <c r="J4708" s="12" t="str">
        <f>HYPERLINK("https://www.boe.es/gazeta/dias/1801/04/10/pdfs/GMD-1801-29.pdf#page=12","Abrir facsímil")</f>
        <v>Abrir facsímil</v>
      </c>
      <c r="K4708" s="15" t="s">
        <v>23</v>
      </c>
    </row>
    <row r="4709" spans="1:11" ht="42" customHeight="1">
      <c r="A4709" s="4" t="s">
        <v>10665</v>
      </c>
      <c r="B4709" s="5" t="s">
        <v>10666</v>
      </c>
      <c r="C4709" s="5" t="s">
        <v>80</v>
      </c>
      <c r="D4709" s="5" t="s">
        <v>81</v>
      </c>
      <c r="E4709" s="5" t="s">
        <v>289</v>
      </c>
      <c r="F4709" s="9">
        <v>40</v>
      </c>
      <c r="G4709" s="9" t="s">
        <v>517</v>
      </c>
      <c r="H4709" s="5" t="s">
        <v>21</v>
      </c>
      <c r="I4709" s="5" t="s">
        <v>10667</v>
      </c>
      <c r="J4709" s="12" t="str">
        <f>HYPERLINK("https://www.boe.es/gazeta/dias/1801/05/19/pdfs/GMD-C-1801-40.pdf#page=7","Abrir facsímil")</f>
        <v>Abrir facsímil</v>
      </c>
      <c r="K4709" s="15" t="s">
        <v>23</v>
      </c>
    </row>
    <row r="4710" spans="1:11" ht="42" customHeight="1">
      <c r="A4710" s="4" t="s">
        <v>10668</v>
      </c>
      <c r="B4710" s="5" t="s">
        <v>10669</v>
      </c>
      <c r="C4710" s="5" t="s">
        <v>75</v>
      </c>
      <c r="D4710" s="5" t="s">
        <v>76</v>
      </c>
      <c r="E4710" s="5" t="s">
        <v>1015</v>
      </c>
      <c r="F4710" s="9">
        <v>15</v>
      </c>
      <c r="G4710" s="9">
        <v>187</v>
      </c>
      <c r="H4710" s="5" t="s">
        <v>21</v>
      </c>
      <c r="I4710" s="5" t="s">
        <v>10670</v>
      </c>
      <c r="J4710" s="12" t="str">
        <f>HYPERLINK("https://www.boe.es/gazeta/dias/1801/02/20/pdfs/GMD-1801-15.pdf#page=6","Abrir facsímil")</f>
        <v>Abrir facsímil</v>
      </c>
      <c r="K4710" s="15" t="s">
        <v>23</v>
      </c>
    </row>
    <row r="4711" spans="1:11" ht="42" customHeight="1">
      <c r="A4711" s="4" t="s">
        <v>10671</v>
      </c>
      <c r="B4711" s="5" t="s">
        <v>10672</v>
      </c>
      <c r="C4711" s="5" t="s">
        <v>38</v>
      </c>
      <c r="D4711" s="5" t="s">
        <v>39</v>
      </c>
      <c r="E4711" s="5" t="s">
        <v>126</v>
      </c>
      <c r="F4711" s="9">
        <v>13</v>
      </c>
      <c r="G4711" s="9">
        <v>159</v>
      </c>
      <c r="H4711" s="5" t="s">
        <v>21</v>
      </c>
      <c r="I4711" s="5" t="s">
        <v>10673</v>
      </c>
      <c r="J4711" s="12" t="str">
        <f>HYPERLINK("https://www.boe.es/gazeta/dias/1801/02/13/pdfs/GMD-1801-13.pdf#page=6","Abrir facsímil")</f>
        <v>Abrir facsímil</v>
      </c>
      <c r="K4711" s="15" t="s">
        <v>23</v>
      </c>
    </row>
    <row r="4712" spans="1:11" ht="42" customHeight="1">
      <c r="A4712" s="4" t="s">
        <v>10674</v>
      </c>
      <c r="B4712" s="5" t="s">
        <v>10675</v>
      </c>
      <c r="C4712" s="5" t="s">
        <v>75</v>
      </c>
      <c r="D4712" s="5" t="s">
        <v>76</v>
      </c>
      <c r="E4712" s="5" t="s">
        <v>124</v>
      </c>
      <c r="F4712" s="9">
        <v>12</v>
      </c>
      <c r="G4712" s="9">
        <v>144</v>
      </c>
      <c r="H4712" s="5" t="s">
        <v>21</v>
      </c>
      <c r="I4712" s="5" t="s">
        <v>10676</v>
      </c>
      <c r="J4712" s="12" t="str">
        <f>HYPERLINK("https://www.boe.es/gazeta/dias/1801/02/10/pdfs/GMD-1801-12.pdf#page=5","Abrir facsímil")</f>
        <v>Abrir facsímil</v>
      </c>
      <c r="K4712" s="15" t="s">
        <v>23</v>
      </c>
    </row>
    <row r="4713" spans="1:11" ht="42" customHeight="1">
      <c r="A4713" s="4" t="s">
        <v>10674</v>
      </c>
      <c r="B4713" s="5" t="s">
        <v>10675</v>
      </c>
      <c r="C4713" s="5" t="s">
        <v>32</v>
      </c>
      <c r="D4713" s="5" t="s">
        <v>33</v>
      </c>
      <c r="E4713" s="5" t="s">
        <v>723</v>
      </c>
      <c r="F4713" s="9">
        <v>113</v>
      </c>
      <c r="G4713" s="9">
        <v>1233</v>
      </c>
      <c r="H4713" s="5" t="s">
        <v>21</v>
      </c>
      <c r="I4713" s="5" t="s">
        <v>10677</v>
      </c>
      <c r="J4713" s="12" t="str">
        <f>HYPERLINK("https://www.boe.es/gazeta/dias/1801/12/08/pdfs/GMD-1801-113.pdf#page=6","Abrir facsímil")</f>
        <v>Abrir facsímil</v>
      </c>
      <c r="K4713" s="15" t="s">
        <v>23</v>
      </c>
    </row>
    <row r="4714" spans="1:11" ht="42" customHeight="1">
      <c r="A4714" s="4" t="s">
        <v>10674</v>
      </c>
      <c r="B4714" s="5" t="s">
        <v>10675</v>
      </c>
      <c r="C4714" s="5" t="s">
        <v>32</v>
      </c>
      <c r="D4714" s="5" t="s">
        <v>33</v>
      </c>
      <c r="E4714" s="5" t="s">
        <v>44</v>
      </c>
      <c r="F4714" s="9">
        <v>117</v>
      </c>
      <c r="G4714" s="9">
        <v>1279</v>
      </c>
      <c r="H4714" s="5" t="s">
        <v>21</v>
      </c>
      <c r="I4714" s="5" t="s">
        <v>10678</v>
      </c>
      <c r="J4714" s="12" t="str">
        <f>HYPERLINK("https://www.boe.es/gazeta/dias/1801/12/22/pdfs/GMD-1801-117.pdf#page=6","Abrir facsímil")</f>
        <v>Abrir facsímil</v>
      </c>
      <c r="K4714" s="15" t="s">
        <v>23</v>
      </c>
    </row>
    <row r="4715" spans="1:11" ht="42" customHeight="1">
      <c r="A4715" s="4" t="s">
        <v>10674</v>
      </c>
      <c r="B4715" s="5" t="s">
        <v>10675</v>
      </c>
      <c r="C4715" s="5" t="s">
        <v>38</v>
      </c>
      <c r="D4715" s="5" t="s">
        <v>39</v>
      </c>
      <c r="E4715" s="5" t="s">
        <v>309</v>
      </c>
      <c r="F4715" s="9">
        <v>118</v>
      </c>
      <c r="G4715" s="9">
        <v>1289</v>
      </c>
      <c r="H4715" s="5" t="s">
        <v>21</v>
      </c>
      <c r="I4715" s="5" t="s">
        <v>10679</v>
      </c>
      <c r="J4715" s="12" t="str">
        <f>HYPERLINK("https://www.boe.es/gazeta/dias/1801/12/25/pdfs/GMD-1801-118.pdf#page=4","Abrir facsímil")</f>
        <v>Abrir facsímil</v>
      </c>
      <c r="K4715" s="15" t="s">
        <v>23</v>
      </c>
    </row>
    <row r="4716" spans="1:11" ht="42" customHeight="1">
      <c r="A4716" s="4" t="s">
        <v>10680</v>
      </c>
      <c r="B4716" s="5" t="s">
        <v>10681</v>
      </c>
      <c r="C4716" s="5" t="s">
        <v>75</v>
      </c>
      <c r="D4716" s="5" t="s">
        <v>76</v>
      </c>
      <c r="E4716" s="5" t="s">
        <v>179</v>
      </c>
      <c r="F4716" s="9">
        <v>11</v>
      </c>
      <c r="G4716" s="9">
        <v>134</v>
      </c>
      <c r="H4716" s="5" t="s">
        <v>21</v>
      </c>
      <c r="I4716" s="5" t="s">
        <v>10682</v>
      </c>
      <c r="J4716" s="12" t="str">
        <f>HYPERLINK("https://www.boe.es/gazeta/dias/1801/02/06/pdfs/GMD-1801-11.pdf#page=7","Abrir facsímil")</f>
        <v>Abrir facsímil</v>
      </c>
      <c r="K4716" s="15" t="s">
        <v>23</v>
      </c>
    </row>
    <row r="4717" spans="1:11" ht="42" customHeight="1">
      <c r="A4717" s="4" t="s">
        <v>10683</v>
      </c>
      <c r="B4717" s="5" t="s">
        <v>10684</v>
      </c>
      <c r="C4717" s="5" t="s">
        <v>75</v>
      </c>
      <c r="D4717" s="5" t="s">
        <v>76</v>
      </c>
      <c r="E4717" s="5" t="s">
        <v>141</v>
      </c>
      <c r="F4717" s="9">
        <v>33</v>
      </c>
      <c r="G4717" s="9">
        <v>419</v>
      </c>
      <c r="H4717" s="5" t="s">
        <v>21</v>
      </c>
      <c r="I4717" s="5" t="s">
        <v>10685</v>
      </c>
      <c r="J4717" s="12" t="str">
        <f>HYPERLINK("https://www.boe.es/gazeta/dias/1801/04/24/pdfs/GMD-1801-33.pdf#page=3","Abrir facsímil")</f>
        <v>Abrir facsímil</v>
      </c>
      <c r="K4717" s="15" t="s">
        <v>23</v>
      </c>
    </row>
    <row r="4718" spans="1:11" ht="42" customHeight="1">
      <c r="A4718" s="4" t="s">
        <v>10683</v>
      </c>
      <c r="B4718" s="5" t="s">
        <v>10684</v>
      </c>
      <c r="C4718" s="5" t="s">
        <v>75</v>
      </c>
      <c r="D4718" s="5" t="s">
        <v>76</v>
      </c>
      <c r="E4718" s="5" t="s">
        <v>735</v>
      </c>
      <c r="F4718" s="9">
        <v>97</v>
      </c>
      <c r="G4718" s="9">
        <v>1058</v>
      </c>
      <c r="H4718" s="5" t="s">
        <v>21</v>
      </c>
      <c r="I4718" s="5" t="s">
        <v>10686</v>
      </c>
      <c r="J4718" s="12" t="str">
        <f>HYPERLINK("https://www.boe.es/gazeta/dias/1801/10/13/pdfs/GMD-1801-97.pdf#page=2","Abrir facsímil")</f>
        <v>Abrir facsímil</v>
      </c>
      <c r="K4718" s="15" t="s">
        <v>23</v>
      </c>
    </row>
    <row r="4719" spans="1:11" ht="42" customHeight="1">
      <c r="A4719" s="4" t="s">
        <v>10687</v>
      </c>
      <c r="B4719" s="5" t="s">
        <v>10688</v>
      </c>
      <c r="C4719" s="5" t="s">
        <v>18</v>
      </c>
      <c r="D4719" s="5" t="s">
        <v>19</v>
      </c>
      <c r="E4719" s="5" t="s">
        <v>90</v>
      </c>
      <c r="F4719" s="9">
        <v>1</v>
      </c>
      <c r="G4719" s="9">
        <v>5</v>
      </c>
      <c r="H4719" s="5" t="s">
        <v>21</v>
      </c>
      <c r="I4719" s="5" t="s">
        <v>10689</v>
      </c>
      <c r="J4719" s="12" t="str">
        <f>HYPERLINK("https://www.boe.es/gazeta/dias/1801/01/02/pdfs/GMD-1801-1.pdf#page=5","Abrir facsímil")</f>
        <v>Abrir facsímil</v>
      </c>
      <c r="K4719" s="15" t="s">
        <v>23</v>
      </c>
    </row>
    <row r="4720" spans="1:11" ht="42" customHeight="1">
      <c r="A4720" s="4" t="s">
        <v>10687</v>
      </c>
      <c r="B4720" s="5" t="s">
        <v>10688</v>
      </c>
      <c r="C4720" s="5" t="s">
        <v>18</v>
      </c>
      <c r="D4720" s="5" t="s">
        <v>19</v>
      </c>
      <c r="E4720" s="5" t="s">
        <v>90</v>
      </c>
      <c r="F4720" s="9">
        <v>1</v>
      </c>
      <c r="G4720" s="9">
        <v>7</v>
      </c>
      <c r="H4720" s="5" t="s">
        <v>21</v>
      </c>
      <c r="I4720" s="5" t="s">
        <v>10690</v>
      </c>
      <c r="J4720" s="12" t="str">
        <f>HYPERLINK("https://www.boe.es/gazeta/dias/1801/01/02/pdfs/GMD-1801-1.pdf#page=7","Abrir facsímil")</f>
        <v>Abrir facsímil</v>
      </c>
      <c r="K4720" s="15" t="s">
        <v>23</v>
      </c>
    </row>
    <row r="4721" spans="1:11" ht="42" customHeight="1">
      <c r="A4721" s="4" t="s">
        <v>10687</v>
      </c>
      <c r="B4721" s="5" t="s">
        <v>10688</v>
      </c>
      <c r="C4721" s="5" t="s">
        <v>75</v>
      </c>
      <c r="D4721" s="5" t="s">
        <v>76</v>
      </c>
      <c r="E4721" s="5" t="s">
        <v>321</v>
      </c>
      <c r="F4721" s="9">
        <v>3</v>
      </c>
      <c r="G4721" s="9">
        <v>29</v>
      </c>
      <c r="H4721" s="5" t="s">
        <v>21</v>
      </c>
      <c r="I4721" s="5" t="s">
        <v>10691</v>
      </c>
      <c r="J4721" s="12" t="str">
        <f>HYPERLINK("https://www.boe.es/gazeta/dias/1801/01/09/pdfs/GMD-1801-3.pdf#page=5","Abrir facsímil")</f>
        <v>Abrir facsímil</v>
      </c>
      <c r="K4721" s="15" t="s">
        <v>23</v>
      </c>
    </row>
    <row r="4722" spans="1:11" ht="42" customHeight="1">
      <c r="A4722" s="4" t="s">
        <v>10687</v>
      </c>
      <c r="B4722" s="5" t="s">
        <v>10688</v>
      </c>
      <c r="C4722" s="5" t="s">
        <v>75</v>
      </c>
      <c r="D4722" s="5" t="s">
        <v>76</v>
      </c>
      <c r="E4722" s="5" t="s">
        <v>465</v>
      </c>
      <c r="F4722" s="9">
        <v>4</v>
      </c>
      <c r="G4722" s="9">
        <v>44</v>
      </c>
      <c r="H4722" s="5" t="s">
        <v>21</v>
      </c>
      <c r="I4722" s="5" t="s">
        <v>10692</v>
      </c>
      <c r="J4722" s="12" t="str">
        <f>HYPERLINK("https://www.boe.es/gazeta/dias/1801/01/13/pdfs/GMD-1801-4.pdf#page=8","Abrir facsímil")</f>
        <v>Abrir facsímil</v>
      </c>
      <c r="K4722" s="15" t="s">
        <v>23</v>
      </c>
    </row>
    <row r="4723" spans="1:11" ht="42" customHeight="1">
      <c r="A4723" s="4" t="s">
        <v>10687</v>
      </c>
      <c r="B4723" s="5" t="s">
        <v>10688</v>
      </c>
      <c r="C4723" s="5" t="s">
        <v>75</v>
      </c>
      <c r="D4723" s="5" t="s">
        <v>76</v>
      </c>
      <c r="E4723" s="5" t="s">
        <v>462</v>
      </c>
      <c r="F4723" s="9">
        <v>5</v>
      </c>
      <c r="G4723" s="9">
        <v>54</v>
      </c>
      <c r="H4723" s="5" t="s">
        <v>21</v>
      </c>
      <c r="I4723" s="5" t="s">
        <v>10693</v>
      </c>
      <c r="J4723" s="12" t="str">
        <f>HYPERLINK("https://www.boe.es/gazeta/dias/1801/01/16/pdfs/GMD-1801-5.pdf#page=6","Abrir facsímil")</f>
        <v>Abrir facsímil</v>
      </c>
      <c r="K4723" s="15" t="s">
        <v>23</v>
      </c>
    </row>
    <row r="4724" spans="1:11" ht="42" customHeight="1">
      <c r="A4724" s="4" t="s">
        <v>10687</v>
      </c>
      <c r="B4724" s="5" t="s">
        <v>10688</v>
      </c>
      <c r="C4724" s="5" t="s">
        <v>18</v>
      </c>
      <c r="D4724" s="5" t="s">
        <v>19</v>
      </c>
      <c r="E4724" s="5" t="s">
        <v>120</v>
      </c>
      <c r="F4724" s="9">
        <v>7</v>
      </c>
      <c r="G4724" s="9">
        <v>79</v>
      </c>
      <c r="H4724" s="5" t="s">
        <v>21</v>
      </c>
      <c r="I4724" s="5" t="s">
        <v>10694</v>
      </c>
      <c r="J4724" s="12" t="str">
        <f>HYPERLINK("https://www.boe.es/gazeta/dias/1801/01/23/pdfs/GMD-1801-7.pdf#page=3","Abrir facsímil")</f>
        <v>Abrir facsímil</v>
      </c>
      <c r="K4724" s="15" t="s">
        <v>23</v>
      </c>
    </row>
    <row r="4725" spans="1:11" ht="42" customHeight="1">
      <c r="A4725" s="4" t="s">
        <v>10687</v>
      </c>
      <c r="B4725" s="5" t="s">
        <v>10688</v>
      </c>
      <c r="C4725" s="5" t="s">
        <v>75</v>
      </c>
      <c r="D4725" s="5" t="s">
        <v>76</v>
      </c>
      <c r="E4725" s="5" t="s">
        <v>120</v>
      </c>
      <c r="F4725" s="9">
        <v>7</v>
      </c>
      <c r="G4725" s="9">
        <v>81</v>
      </c>
      <c r="H4725" s="5" t="s">
        <v>21</v>
      </c>
      <c r="I4725" s="5" t="s">
        <v>10695</v>
      </c>
      <c r="J4725" s="12" t="str">
        <f>HYPERLINK("https://www.boe.es/gazeta/dias/1801/01/23/pdfs/GMD-1801-7.pdf#page=5","Abrir facsímil")</f>
        <v>Abrir facsímil</v>
      </c>
      <c r="K4725" s="15" t="s">
        <v>23</v>
      </c>
    </row>
    <row r="4726" spans="1:11" ht="42" customHeight="1">
      <c r="A4726" s="4" t="s">
        <v>10696</v>
      </c>
      <c r="B4726" s="5" t="s">
        <v>10697</v>
      </c>
      <c r="C4726" s="5" t="s">
        <v>75</v>
      </c>
      <c r="D4726" s="5" t="s">
        <v>76</v>
      </c>
      <c r="E4726" s="5" t="s">
        <v>122</v>
      </c>
      <c r="F4726" s="9">
        <v>8</v>
      </c>
      <c r="G4726" s="9">
        <v>92</v>
      </c>
      <c r="H4726" s="5" t="s">
        <v>21</v>
      </c>
      <c r="I4726" s="5" t="s">
        <v>10698</v>
      </c>
      <c r="J4726" s="12" t="str">
        <f>HYPERLINK("https://www.boe.es/gazeta/dias/1801/01/27/pdfs/GMD-1801-8.pdf#page=4","Abrir facsímil")</f>
        <v>Abrir facsímil</v>
      </c>
      <c r="K4726" s="15" t="s">
        <v>23</v>
      </c>
    </row>
    <row r="4727" spans="1:11" ht="42" customHeight="1">
      <c r="A4727" s="4" t="s">
        <v>10699</v>
      </c>
      <c r="B4727" s="5" t="s">
        <v>10700</v>
      </c>
      <c r="C4727" s="5" t="s">
        <v>32</v>
      </c>
      <c r="D4727" s="5" t="s">
        <v>33</v>
      </c>
      <c r="E4727" s="5" t="s">
        <v>155</v>
      </c>
      <c r="F4727" s="9">
        <v>50</v>
      </c>
      <c r="G4727" s="9">
        <v>598</v>
      </c>
      <c r="H4727" s="5" t="s">
        <v>21</v>
      </c>
      <c r="I4727" s="5" t="s">
        <v>10701</v>
      </c>
      <c r="J4727" s="12" t="str">
        <f>HYPERLINK("https://www.boe.es/gazeta/dias/1801/06/09/pdfs/GMD-1801-50.pdf#page=10","Abrir facsímil")</f>
        <v>Abrir facsímil</v>
      </c>
      <c r="K4727" s="15" t="s">
        <v>23</v>
      </c>
    </row>
    <row r="4728" spans="1:11" ht="42" customHeight="1">
      <c r="A4728" s="4" t="s">
        <v>10702</v>
      </c>
      <c r="B4728" s="5" t="s">
        <v>10703</v>
      </c>
      <c r="C4728" s="5" t="s">
        <v>32</v>
      </c>
      <c r="D4728" s="5" t="s">
        <v>33</v>
      </c>
      <c r="E4728" s="5" t="s">
        <v>338</v>
      </c>
      <c r="F4728" s="9">
        <v>83</v>
      </c>
      <c r="G4728" s="9">
        <v>937</v>
      </c>
      <c r="H4728" s="5" t="s">
        <v>21</v>
      </c>
      <c r="I4728" s="5" t="s">
        <v>10704</v>
      </c>
      <c r="J4728" s="12" t="str">
        <f>HYPERLINK("https://www.boe.es/gazeta/dias/1801/09/01/pdfs/GMD-1801-83.pdf#page=12","Abrir facsímil")</f>
        <v>Abrir facsímil</v>
      </c>
      <c r="K4728" s="15" t="s">
        <v>23</v>
      </c>
    </row>
    <row r="4729" spans="1:11" ht="42" customHeight="1">
      <c r="A4729" s="4" t="s">
        <v>10705</v>
      </c>
      <c r="B4729" s="5" t="s">
        <v>10705</v>
      </c>
      <c r="C4729" s="5" t="s">
        <v>32</v>
      </c>
      <c r="D4729" s="5" t="s">
        <v>33</v>
      </c>
      <c r="E4729" s="5" t="s">
        <v>735</v>
      </c>
      <c r="F4729" s="9">
        <v>97</v>
      </c>
      <c r="G4729" s="9">
        <v>1063</v>
      </c>
      <c r="H4729" s="5" t="s">
        <v>21</v>
      </c>
      <c r="I4729" s="5" t="s">
        <v>10706</v>
      </c>
      <c r="J4729" s="12" t="str">
        <f>HYPERLINK("https://www.boe.es/gazeta/dias/1801/10/13/pdfs/GMD-1801-97.pdf#page=7","Abrir facsímil")</f>
        <v>Abrir facsímil</v>
      </c>
      <c r="K4729" s="15" t="s">
        <v>23</v>
      </c>
    </row>
    <row r="4730" spans="1:11" ht="42" customHeight="1">
      <c r="A4730" s="4" t="s">
        <v>10707</v>
      </c>
      <c r="B4730" s="5" t="s">
        <v>10708</v>
      </c>
      <c r="C4730" s="5" t="s">
        <v>75</v>
      </c>
      <c r="D4730" s="5" t="s">
        <v>76</v>
      </c>
      <c r="E4730" s="5" t="s">
        <v>462</v>
      </c>
      <c r="F4730" s="9">
        <v>5</v>
      </c>
      <c r="G4730" s="9">
        <v>54</v>
      </c>
      <c r="H4730" s="5" t="s">
        <v>21</v>
      </c>
      <c r="I4730" s="5" t="s">
        <v>10709</v>
      </c>
      <c r="J4730" s="12" t="str">
        <f>HYPERLINK("https://www.boe.es/gazeta/dias/1801/01/16/pdfs/GMD-1801-5.pdf#page=6","Abrir facsímil")</f>
        <v>Abrir facsímil</v>
      </c>
      <c r="K4730" s="15" t="s">
        <v>23</v>
      </c>
    </row>
    <row r="4731" spans="1:11" ht="42" customHeight="1">
      <c r="A4731" s="4" t="s">
        <v>10710</v>
      </c>
      <c r="B4731" s="5" t="s">
        <v>10711</v>
      </c>
      <c r="C4731" s="5" t="s">
        <v>18</v>
      </c>
      <c r="D4731" s="5" t="s">
        <v>19</v>
      </c>
      <c r="E4731" s="5" t="s">
        <v>55</v>
      </c>
      <c r="F4731" s="9">
        <v>104</v>
      </c>
      <c r="G4731" s="9">
        <v>1144</v>
      </c>
      <c r="H4731" s="5" t="s">
        <v>21</v>
      </c>
      <c r="I4731" s="5" t="s">
        <v>10712</v>
      </c>
      <c r="J4731" s="12" t="str">
        <f>HYPERLINK("https://www.boe.es/gazeta/dias/1801/11/06/pdfs/GMD-1801-104.pdf#page=5","Abrir facsímil")</f>
        <v>Abrir facsímil</v>
      </c>
      <c r="K4731" s="15" t="s">
        <v>23</v>
      </c>
    </row>
    <row r="4732" spans="1:11" ht="42" customHeight="1">
      <c r="A4732" s="4" t="s">
        <v>10713</v>
      </c>
      <c r="B4732" s="5" t="s">
        <v>10714</v>
      </c>
      <c r="C4732" s="5" t="s">
        <v>32</v>
      </c>
      <c r="D4732" s="5" t="s">
        <v>33</v>
      </c>
      <c r="E4732" s="5" t="s">
        <v>186</v>
      </c>
      <c r="F4732" s="9">
        <v>21</v>
      </c>
      <c r="G4732" s="9">
        <v>280</v>
      </c>
      <c r="H4732" s="5" t="s">
        <v>21</v>
      </c>
      <c r="I4732" s="5" t="s">
        <v>10715</v>
      </c>
      <c r="J4732" s="12" t="str">
        <f>HYPERLINK("https://www.boe.es/gazeta/dias/1801/03/13/pdfs/GMD-1801-21.pdf#page=9","Abrir facsímil")</f>
        <v>Abrir facsímil</v>
      </c>
      <c r="K4732" s="15" t="s">
        <v>23</v>
      </c>
    </row>
    <row r="4733" spans="1:11" ht="42" customHeight="1">
      <c r="A4733" s="4" t="s">
        <v>10716</v>
      </c>
      <c r="B4733" s="5" t="s">
        <v>10717</v>
      </c>
      <c r="C4733" s="5" t="s">
        <v>38</v>
      </c>
      <c r="D4733" s="5" t="s">
        <v>39</v>
      </c>
      <c r="E4733" s="5" t="s">
        <v>82</v>
      </c>
      <c r="F4733" s="9">
        <v>75</v>
      </c>
      <c r="G4733" s="9">
        <v>842</v>
      </c>
      <c r="H4733" s="5" t="s">
        <v>21</v>
      </c>
      <c r="I4733" s="5" t="s">
        <v>10718</v>
      </c>
      <c r="J4733" s="12" t="str">
        <f>HYPERLINK("https://www.boe.es/gazeta/dias/1801/08/04/pdfs/GMD-1801-75.pdf#page=11","Abrir facsímil")</f>
        <v>Abrir facsímil</v>
      </c>
      <c r="K4733" s="15" t="s">
        <v>23</v>
      </c>
    </row>
    <row r="4734" spans="1:11" ht="42" customHeight="1">
      <c r="A4734" s="4" t="s">
        <v>10719</v>
      </c>
      <c r="B4734" s="5" t="s">
        <v>10720</v>
      </c>
      <c r="C4734" s="5" t="s">
        <v>32</v>
      </c>
      <c r="D4734" s="5" t="s">
        <v>33</v>
      </c>
      <c r="E4734" s="5" t="s">
        <v>20</v>
      </c>
      <c r="F4734" s="9">
        <v>37</v>
      </c>
      <c r="G4734" s="9">
        <v>480</v>
      </c>
      <c r="H4734" s="5" t="s">
        <v>21</v>
      </c>
      <c r="I4734" s="5" t="s">
        <v>10721</v>
      </c>
      <c r="J4734" s="12" t="str">
        <f>HYPERLINK("https://www.boe.es/gazeta/dias/1801/05/08/pdfs/GMD-1801-37.pdf#page=8","Abrir facsímil")</f>
        <v>Abrir facsímil</v>
      </c>
      <c r="K4734" s="15" t="s">
        <v>23</v>
      </c>
    </row>
    <row r="4735" spans="1:11" ht="42" customHeight="1">
      <c r="A4735" s="4" t="s">
        <v>10722</v>
      </c>
      <c r="B4735" s="5" t="s">
        <v>10723</v>
      </c>
      <c r="C4735" s="5" t="s">
        <v>26</v>
      </c>
      <c r="D4735" s="5" t="s">
        <v>27</v>
      </c>
      <c r="E4735" s="5" t="s">
        <v>120</v>
      </c>
      <c r="F4735" s="9">
        <v>7</v>
      </c>
      <c r="G4735" s="9">
        <v>88</v>
      </c>
      <c r="H4735" s="5" t="s">
        <v>21</v>
      </c>
      <c r="I4735" s="5" t="s">
        <v>10724</v>
      </c>
      <c r="J4735" s="12" t="str">
        <f>HYPERLINK("https://www.boe.es/gazeta/dias/1801/01/23/pdfs/GMD-1801-7.pdf#page=12","Abrir facsímil")</f>
        <v>Abrir facsímil</v>
      </c>
      <c r="K4735" s="15" t="s">
        <v>23</v>
      </c>
    </row>
    <row r="4736" spans="1:11" ht="42" customHeight="1">
      <c r="A4736" s="4" t="s">
        <v>10725</v>
      </c>
      <c r="B4736" s="5" t="s">
        <v>10725</v>
      </c>
      <c r="C4736" s="5" t="s">
        <v>18</v>
      </c>
      <c r="D4736" s="5" t="s">
        <v>19</v>
      </c>
      <c r="E4736" s="5" t="s">
        <v>2237</v>
      </c>
      <c r="F4736" s="9">
        <v>82</v>
      </c>
      <c r="G4736" s="9">
        <v>917</v>
      </c>
      <c r="H4736" s="5" t="s">
        <v>21</v>
      </c>
      <c r="I4736" s="5" t="s">
        <v>10726</v>
      </c>
      <c r="J4736" s="12" t="str">
        <f>HYPERLINK("https://www.boe.es/gazeta/dias/1801/08/28/pdfs/GMD-1801-82.pdf#page=6","Abrir facsímil")</f>
        <v>Abrir facsímil</v>
      </c>
      <c r="K4736" s="15" t="s">
        <v>23</v>
      </c>
    </row>
    <row r="4737" spans="1:11" ht="42" customHeight="1">
      <c r="A4737" s="4" t="s">
        <v>10727</v>
      </c>
      <c r="B4737" s="5" t="s">
        <v>10727</v>
      </c>
      <c r="C4737" s="5" t="s">
        <v>32</v>
      </c>
      <c r="D4737" s="5" t="s">
        <v>33</v>
      </c>
      <c r="E4737" s="5" t="s">
        <v>781</v>
      </c>
      <c r="F4737" s="9">
        <v>14</v>
      </c>
      <c r="G4737" s="9">
        <v>174</v>
      </c>
      <c r="H4737" s="5" t="s">
        <v>21</v>
      </c>
      <c r="I4737" s="5" t="s">
        <v>10728</v>
      </c>
      <c r="J4737" s="12" t="str">
        <f>HYPERLINK("https://www.boe.es/gazeta/dias/1801/02/17/pdfs/GMD-1801-14.pdf#page=9","Abrir facsímil")</f>
        <v>Abrir facsímil</v>
      </c>
      <c r="K4737" s="15" t="s">
        <v>23</v>
      </c>
    </row>
    <row r="4738" spans="1:11" ht="42" customHeight="1">
      <c r="A4738" s="4" t="s">
        <v>10729</v>
      </c>
      <c r="B4738" s="5" t="s">
        <v>10729</v>
      </c>
      <c r="C4738" s="5" t="s">
        <v>38</v>
      </c>
      <c r="D4738" s="5" t="s">
        <v>39</v>
      </c>
      <c r="E4738" s="5" t="s">
        <v>151</v>
      </c>
      <c r="F4738" s="9">
        <v>45</v>
      </c>
      <c r="G4738" s="9">
        <v>561</v>
      </c>
      <c r="H4738" s="5" t="s">
        <v>21</v>
      </c>
      <c r="I4738" s="5" t="s">
        <v>10730</v>
      </c>
      <c r="J4738" s="12" t="str">
        <f>HYPERLINK("https://www.boe.es/gazeta/dias/1801/06/02/pdfs/GMD-1801-45.pdf#page=9","Abrir facsímil")</f>
        <v>Abrir facsímil</v>
      </c>
      <c r="K4738" s="15" t="s">
        <v>23</v>
      </c>
    </row>
    <row r="4739" spans="1:11" ht="42" customHeight="1">
      <c r="A4739" s="4" t="s">
        <v>10731</v>
      </c>
      <c r="B4739" s="5" t="s">
        <v>10731</v>
      </c>
      <c r="C4739" s="5" t="s">
        <v>32</v>
      </c>
      <c r="D4739" s="5" t="s">
        <v>33</v>
      </c>
      <c r="E4739" s="5" t="s">
        <v>99</v>
      </c>
      <c r="F4739" s="9">
        <v>32</v>
      </c>
      <c r="G4739" s="9">
        <v>414</v>
      </c>
      <c r="H4739" s="5" t="s">
        <v>21</v>
      </c>
      <c r="I4739" s="5" t="s">
        <v>10732</v>
      </c>
      <c r="J4739" s="12" t="str">
        <f>HYPERLINK("https://www.boe.es/gazeta/dias/1801/04/21/pdfs/GMD-1801-32.pdf#page=10","Abrir facsímil")</f>
        <v>Abrir facsímil</v>
      </c>
      <c r="K4739" s="15" t="s">
        <v>23</v>
      </c>
    </row>
    <row r="4740" spans="1:11" ht="42" customHeight="1">
      <c r="A4740" s="4" t="s">
        <v>10733</v>
      </c>
      <c r="B4740" s="5" t="s">
        <v>10734</v>
      </c>
      <c r="C4740" s="5" t="s">
        <v>32</v>
      </c>
      <c r="D4740" s="5" t="s">
        <v>33</v>
      </c>
      <c r="E4740" s="5" t="s">
        <v>256</v>
      </c>
      <c r="F4740" s="9">
        <v>78</v>
      </c>
      <c r="G4740" s="9">
        <v>881</v>
      </c>
      <c r="H4740" s="5" t="s">
        <v>21</v>
      </c>
      <c r="I4740" s="5" t="s">
        <v>10735</v>
      </c>
      <c r="J4740" s="12" t="str">
        <f>HYPERLINK("https://www.boe.es/gazeta/dias/1801/08/14/pdfs/GMD-1801-78.pdf#page=10","Abrir facsímil")</f>
        <v>Abrir facsímil</v>
      </c>
      <c r="K4740" s="15" t="s">
        <v>23</v>
      </c>
    </row>
    <row r="4741" spans="1:11" ht="42" customHeight="1">
      <c r="A4741" s="4" t="s">
        <v>10736</v>
      </c>
      <c r="B4741" s="5" t="s">
        <v>10737</v>
      </c>
      <c r="C4741" s="5" t="s">
        <v>32</v>
      </c>
      <c r="D4741" s="5" t="s">
        <v>33</v>
      </c>
      <c r="E4741" s="5" t="s">
        <v>62</v>
      </c>
      <c r="F4741" s="9">
        <v>6</v>
      </c>
      <c r="G4741" s="9">
        <v>73</v>
      </c>
      <c r="H4741" s="5" t="s">
        <v>21</v>
      </c>
      <c r="I4741" s="5" t="s">
        <v>10738</v>
      </c>
      <c r="J4741" s="12" t="str">
        <f>HYPERLINK("https://www.boe.es/gazeta/dias/1801/01/20/pdfs/GMD-1801-6.pdf#page=9","Abrir facsímil")</f>
        <v>Abrir facsímil</v>
      </c>
      <c r="K4741" s="15" t="s">
        <v>23</v>
      </c>
    </row>
    <row r="4742" spans="1:11" ht="42" customHeight="1">
      <c r="A4742" s="4" t="s">
        <v>10739</v>
      </c>
      <c r="B4742" s="5" t="s">
        <v>10740</v>
      </c>
      <c r="C4742" s="5" t="s">
        <v>38</v>
      </c>
      <c r="D4742" s="5" t="s">
        <v>39</v>
      </c>
      <c r="E4742" s="5" t="s">
        <v>221</v>
      </c>
      <c r="F4742" s="9">
        <v>28</v>
      </c>
      <c r="G4742" s="9">
        <v>372</v>
      </c>
      <c r="H4742" s="5" t="s">
        <v>21</v>
      </c>
      <c r="I4742" s="5" t="s">
        <v>10741</v>
      </c>
      <c r="J4742" s="12" t="str">
        <f>HYPERLINK("https://www.boe.es/gazeta/dias/1801/04/07/pdfs/GMD-1801-28.pdf#page=12","Abrir facsímil")</f>
        <v>Abrir facsímil</v>
      </c>
      <c r="K4742" s="15" t="s">
        <v>23</v>
      </c>
    </row>
    <row r="4743" spans="1:11" ht="42" customHeight="1">
      <c r="A4743" s="4" t="s">
        <v>10742</v>
      </c>
      <c r="B4743" s="5" t="s">
        <v>10742</v>
      </c>
      <c r="C4743" s="5" t="s">
        <v>26</v>
      </c>
      <c r="D4743" s="5" t="s">
        <v>27</v>
      </c>
      <c r="E4743" s="5" t="s">
        <v>501</v>
      </c>
      <c r="F4743" s="9">
        <v>115</v>
      </c>
      <c r="G4743" s="9" t="s">
        <v>86</v>
      </c>
      <c r="H4743" s="5" t="s">
        <v>21</v>
      </c>
      <c r="I4743" s="5" t="s">
        <v>10743</v>
      </c>
      <c r="J4743" s="12" t="str">
        <f>HYPERLINK("https://www.boe.es/gazeta/dias/1801/12/15/pdfs/GMD-C-1801-115.pdf#page=3","Abrir facsímil")</f>
        <v>Abrir facsímil</v>
      </c>
      <c r="K4743" s="15" t="s">
        <v>23</v>
      </c>
    </row>
    <row r="4744" spans="1:11" ht="42" customHeight="1">
      <c r="A4744" s="4" t="s">
        <v>10744</v>
      </c>
      <c r="B4744" s="5" t="s">
        <v>10744</v>
      </c>
      <c r="C4744" s="5" t="s">
        <v>32</v>
      </c>
      <c r="D4744" s="5" t="s">
        <v>33</v>
      </c>
      <c r="E4744" s="5" t="s">
        <v>90</v>
      </c>
      <c r="F4744" s="9">
        <v>1</v>
      </c>
      <c r="G4744" s="9">
        <v>9</v>
      </c>
      <c r="H4744" s="5" t="s">
        <v>21</v>
      </c>
      <c r="I4744" s="5" t="s">
        <v>10745</v>
      </c>
      <c r="J4744" s="12" t="str">
        <f>HYPERLINK("https://www.boe.es/gazeta/dias/1801/01/02/pdfs/GMD-1801-1.pdf#page=9","Abrir facsímil")</f>
        <v>Abrir facsímil</v>
      </c>
      <c r="K4744" s="15" t="s">
        <v>23</v>
      </c>
    </row>
    <row r="4745" spans="1:11" ht="42" customHeight="1">
      <c r="A4745" s="4" t="s">
        <v>10746</v>
      </c>
      <c r="B4745" s="5" t="s">
        <v>10746</v>
      </c>
      <c r="C4745" s="5" t="s">
        <v>32</v>
      </c>
      <c r="D4745" s="5" t="s">
        <v>33</v>
      </c>
      <c r="E4745" s="5" t="s">
        <v>186</v>
      </c>
      <c r="F4745" s="9">
        <v>21</v>
      </c>
      <c r="G4745" s="9">
        <v>280</v>
      </c>
      <c r="H4745" s="5" t="s">
        <v>21</v>
      </c>
      <c r="I4745" s="5" t="s">
        <v>10747</v>
      </c>
      <c r="J4745" s="12" t="str">
        <f>HYPERLINK("https://www.boe.es/gazeta/dias/1801/03/13/pdfs/GMD-1801-21.pdf#page=9","Abrir facsímil")</f>
        <v>Abrir facsímil</v>
      </c>
      <c r="K4745" s="15" t="s">
        <v>23</v>
      </c>
    </row>
    <row r="4746" spans="1:11" ht="42" customHeight="1">
      <c r="A4746" s="4" t="s">
        <v>10748</v>
      </c>
      <c r="B4746" s="5" t="s">
        <v>10748</v>
      </c>
      <c r="C4746" s="5" t="s">
        <v>38</v>
      </c>
      <c r="D4746" s="5" t="s">
        <v>39</v>
      </c>
      <c r="E4746" s="5" t="s">
        <v>215</v>
      </c>
      <c r="F4746" s="9">
        <v>71</v>
      </c>
      <c r="G4746" s="9">
        <v>789</v>
      </c>
      <c r="H4746" s="5" t="s">
        <v>21</v>
      </c>
      <c r="I4746" s="5" t="s">
        <v>10749</v>
      </c>
      <c r="J4746" s="12" t="str">
        <f>HYPERLINK("https://www.boe.es/gazeta/dias/1801/07/21/pdfs/GMD-1801-71.pdf#page=10","Abrir facsímil")</f>
        <v>Abrir facsímil</v>
      </c>
      <c r="K4746" s="15" t="s">
        <v>23</v>
      </c>
    </row>
    <row r="4747" spans="1:11" ht="42" customHeight="1">
      <c r="A4747" s="4" t="s">
        <v>10750</v>
      </c>
      <c r="B4747" s="5" t="s">
        <v>10750</v>
      </c>
      <c r="C4747" s="5" t="s">
        <v>32</v>
      </c>
      <c r="D4747" s="5" t="s">
        <v>33</v>
      </c>
      <c r="E4747" s="5" t="s">
        <v>448</v>
      </c>
      <c r="F4747" s="9">
        <v>35</v>
      </c>
      <c r="G4747" s="9">
        <v>454</v>
      </c>
      <c r="H4747" s="5" t="s">
        <v>21</v>
      </c>
      <c r="I4747" s="5" t="s">
        <v>10751</v>
      </c>
      <c r="J4747" s="12" t="str">
        <f>HYPERLINK("https://www.boe.es/gazeta/dias/1801/05/01/pdfs/GMD-1801-35.pdf#page=10","Abrir facsímil")</f>
        <v>Abrir facsímil</v>
      </c>
      <c r="K4747" s="15" t="s">
        <v>23</v>
      </c>
    </row>
    <row r="4748" spans="1:11" ht="42" customHeight="1">
      <c r="A4748" s="4" t="s">
        <v>10752</v>
      </c>
      <c r="B4748" s="5" t="s">
        <v>10752</v>
      </c>
      <c r="C4748" s="5" t="s">
        <v>80</v>
      </c>
      <c r="D4748" s="5" t="s">
        <v>81</v>
      </c>
      <c r="E4748" s="5" t="s">
        <v>82</v>
      </c>
      <c r="F4748" s="9">
        <v>75</v>
      </c>
      <c r="G4748" s="9" t="s">
        <v>299</v>
      </c>
      <c r="H4748" s="5" t="s">
        <v>21</v>
      </c>
      <c r="I4748" s="5" t="s">
        <v>10753</v>
      </c>
      <c r="J4748" s="12" t="str">
        <f>HYPERLINK("https://www.boe.es/gazeta/dias/1801/08/04/pdfs/GMD-C-1801-75.pdf#page=5","Abrir facsímil")</f>
        <v>Abrir facsímil</v>
      </c>
      <c r="K4748" s="15" t="s">
        <v>23</v>
      </c>
    </row>
    <row r="4749" spans="1:11" ht="42" customHeight="1">
      <c r="A4749" s="4" t="s">
        <v>10754</v>
      </c>
      <c r="B4749" s="5" t="s">
        <v>10755</v>
      </c>
      <c r="C4749" s="5" t="s">
        <v>75</v>
      </c>
      <c r="D4749" s="5" t="s">
        <v>76</v>
      </c>
      <c r="E4749" s="5" t="s">
        <v>145</v>
      </c>
      <c r="F4749" s="9">
        <v>36</v>
      </c>
      <c r="G4749" s="9">
        <v>462</v>
      </c>
      <c r="H4749" s="5" t="s">
        <v>21</v>
      </c>
      <c r="I4749" s="5" t="s">
        <v>10756</v>
      </c>
      <c r="J4749" s="12" t="str">
        <f>HYPERLINK("https://www.boe.es/gazeta/dias/1801/05/05/pdfs/GMD-1801-36.pdf#page=6","Abrir facsímil")</f>
        <v>Abrir facsímil</v>
      </c>
      <c r="K4749" s="15" t="s">
        <v>23</v>
      </c>
    </row>
    <row r="4750" spans="1:11" ht="42" customHeight="1">
      <c r="A4750" s="4" t="s">
        <v>10754</v>
      </c>
      <c r="B4750" s="5" t="s">
        <v>10755</v>
      </c>
      <c r="C4750" s="5" t="s">
        <v>32</v>
      </c>
      <c r="D4750" s="5" t="s">
        <v>33</v>
      </c>
      <c r="E4750" s="5" t="s">
        <v>1436</v>
      </c>
      <c r="F4750" s="9">
        <v>95</v>
      </c>
      <c r="G4750" s="9">
        <v>1040</v>
      </c>
      <c r="H4750" s="5" t="s">
        <v>21</v>
      </c>
      <c r="I4750" s="5" t="s">
        <v>10757</v>
      </c>
      <c r="J4750" s="12" t="str">
        <f>HYPERLINK("https://www.boe.es/gazeta/dias/1801/10/06/pdfs/GMD-1801-95.pdf#page=4","Abrir facsímil")</f>
        <v>Abrir facsímil</v>
      </c>
      <c r="K4750" s="15" t="s">
        <v>23</v>
      </c>
    </row>
    <row r="4751" spans="1:11" ht="42" customHeight="1">
      <c r="A4751" s="4" t="s">
        <v>10758</v>
      </c>
      <c r="B4751" s="5" t="s">
        <v>10759</v>
      </c>
      <c r="C4751" s="5" t="s">
        <v>38</v>
      </c>
      <c r="D4751" s="5" t="s">
        <v>39</v>
      </c>
      <c r="E4751" s="5" t="s">
        <v>77</v>
      </c>
      <c r="F4751" s="9">
        <v>93</v>
      </c>
      <c r="G4751" s="9">
        <v>1018</v>
      </c>
      <c r="H4751" s="5" t="s">
        <v>21</v>
      </c>
      <c r="I4751" s="5" t="s">
        <v>10760</v>
      </c>
      <c r="J4751" s="12" t="str">
        <f>HYPERLINK("https://www.boe.es/gazeta/dias/1801/09/29/pdfs/GMD-1801-93.pdf#page=5","Abrir facsímil")</f>
        <v>Abrir facsímil</v>
      </c>
      <c r="K4751" s="15" t="s">
        <v>23</v>
      </c>
    </row>
    <row r="4752" spans="1:11" ht="42" customHeight="1">
      <c r="A4752" s="4" t="s">
        <v>10761</v>
      </c>
      <c r="B4752" s="5" t="s">
        <v>10762</v>
      </c>
      <c r="C4752" s="5" t="s">
        <v>69</v>
      </c>
      <c r="D4752" s="5" t="s">
        <v>19</v>
      </c>
      <c r="E4752" s="5" t="s">
        <v>338</v>
      </c>
      <c r="F4752" s="9">
        <v>83</v>
      </c>
      <c r="G4752" s="9">
        <v>933</v>
      </c>
      <c r="H4752" s="5" t="s">
        <v>21</v>
      </c>
      <c r="I4752" s="5" t="s">
        <v>10763</v>
      </c>
      <c r="J4752" s="12" t="str">
        <f>HYPERLINK("https://www.boe.es/gazeta/dias/1801/09/01/pdfs/GMD-1801-83.pdf#page=8","Abrir facsímil")</f>
        <v>Abrir facsímil</v>
      </c>
      <c r="K4752" s="15" t="s">
        <v>23</v>
      </c>
    </row>
    <row r="4753" spans="1:11" ht="42" customHeight="1">
      <c r="A4753" s="4" t="s">
        <v>10764</v>
      </c>
      <c r="B4753" s="5" t="s">
        <v>10765</v>
      </c>
      <c r="C4753" s="5" t="s">
        <v>75</v>
      </c>
      <c r="D4753" s="5" t="s">
        <v>76</v>
      </c>
      <c r="E4753" s="5" t="s">
        <v>190</v>
      </c>
      <c r="F4753" s="9">
        <v>16</v>
      </c>
      <c r="G4753" s="9">
        <v>198</v>
      </c>
      <c r="H4753" s="5" t="s">
        <v>21</v>
      </c>
      <c r="I4753" s="5" t="s">
        <v>10766</v>
      </c>
      <c r="J4753" s="12" t="str">
        <f>HYPERLINK("https://www.boe.es/gazeta/dias/1801/02/24/pdfs/GMD-1801-16.pdf#page=5","Abrir facsímil")</f>
        <v>Abrir facsímil</v>
      </c>
      <c r="K4753" s="15" t="s">
        <v>23</v>
      </c>
    </row>
    <row r="4754" spans="1:11" ht="42" customHeight="1">
      <c r="A4754" s="4" t="s">
        <v>10767</v>
      </c>
      <c r="B4754" s="5" t="s">
        <v>10768</v>
      </c>
      <c r="C4754" s="5" t="s">
        <v>18</v>
      </c>
      <c r="D4754" s="5" t="s">
        <v>19</v>
      </c>
      <c r="E4754" s="5" t="s">
        <v>120</v>
      </c>
      <c r="F4754" s="9">
        <v>7</v>
      </c>
      <c r="G4754" s="9">
        <v>82</v>
      </c>
      <c r="H4754" s="5" t="s">
        <v>21</v>
      </c>
      <c r="I4754" s="5" t="s">
        <v>10769</v>
      </c>
      <c r="J4754" s="12" t="str">
        <f>HYPERLINK("https://www.boe.es/gazeta/dias/1801/01/23/pdfs/GMD-1801-7.pdf#page=6","Abrir facsímil")</f>
        <v>Abrir facsímil</v>
      </c>
      <c r="K4754" s="15" t="s">
        <v>23</v>
      </c>
    </row>
    <row r="4755" spans="1:11" ht="42" customHeight="1">
      <c r="A4755" s="4" t="s">
        <v>10770</v>
      </c>
      <c r="B4755" s="5" t="s">
        <v>10771</v>
      </c>
      <c r="C4755" s="5" t="s">
        <v>32</v>
      </c>
      <c r="D4755" s="5" t="s">
        <v>33</v>
      </c>
      <c r="E4755" s="5" t="s">
        <v>723</v>
      </c>
      <c r="F4755" s="9">
        <v>113</v>
      </c>
      <c r="G4755" s="9">
        <v>1234</v>
      </c>
      <c r="H4755" s="5" t="s">
        <v>21</v>
      </c>
      <c r="I4755" s="5" t="s">
        <v>10772</v>
      </c>
      <c r="J4755" s="12" t="str">
        <f>HYPERLINK("https://www.boe.es/gazeta/dias/1801/12/08/pdfs/GMD-1801-113.pdf#page=7","Abrir facsímil")</f>
        <v>Abrir facsímil</v>
      </c>
      <c r="K4755" s="15" t="s">
        <v>23</v>
      </c>
    </row>
    <row r="4756" spans="1:11" ht="42" customHeight="1">
      <c r="A4756" s="4" t="s">
        <v>10773</v>
      </c>
      <c r="B4756" s="5" t="s">
        <v>10774</v>
      </c>
      <c r="C4756" s="5" t="s">
        <v>69</v>
      </c>
      <c r="D4756" s="5" t="s">
        <v>19</v>
      </c>
      <c r="E4756" s="5" t="s">
        <v>781</v>
      </c>
      <c r="F4756" s="9">
        <v>14</v>
      </c>
      <c r="G4756" s="9">
        <v>174</v>
      </c>
      <c r="H4756" s="5" t="s">
        <v>21</v>
      </c>
      <c r="I4756" s="5" t="s">
        <v>10775</v>
      </c>
      <c r="J4756" s="12" t="str">
        <f>HYPERLINK("https://www.boe.es/gazeta/dias/1801/02/17/pdfs/GMD-1801-14.pdf#page=9","Abrir facsímil")</f>
        <v>Abrir facsímil</v>
      </c>
      <c r="K4756" s="15" t="s">
        <v>23</v>
      </c>
    </row>
    <row r="4757" spans="1:11" ht="42" customHeight="1">
      <c r="A4757" s="4" t="s">
        <v>10776</v>
      </c>
      <c r="B4757" s="5" t="s">
        <v>10777</v>
      </c>
      <c r="C4757" s="5" t="s">
        <v>18</v>
      </c>
      <c r="D4757" s="5" t="s">
        <v>19</v>
      </c>
      <c r="E4757" s="5" t="s">
        <v>221</v>
      </c>
      <c r="F4757" s="9">
        <v>28</v>
      </c>
      <c r="G4757" s="9">
        <v>365</v>
      </c>
      <c r="H4757" s="5" t="s">
        <v>21</v>
      </c>
      <c r="I4757" s="5" t="s">
        <v>10778</v>
      </c>
      <c r="J4757" s="12" t="str">
        <f>HYPERLINK("https://www.boe.es/gazeta/dias/1801/04/07/pdfs/GMD-1801-28.pdf#page=5","Abrir facsímil")</f>
        <v>Abrir facsímil</v>
      </c>
      <c r="K4757" s="15" t="s">
        <v>23</v>
      </c>
    </row>
    <row r="4758" spans="1:11" ht="42" customHeight="1">
      <c r="A4758" s="4" t="s">
        <v>10779</v>
      </c>
      <c r="B4758" s="5" t="s">
        <v>10780</v>
      </c>
      <c r="C4758" s="5" t="s">
        <v>18</v>
      </c>
      <c r="D4758" s="5" t="s">
        <v>19</v>
      </c>
      <c r="E4758" s="5" t="s">
        <v>223</v>
      </c>
      <c r="F4758" s="9">
        <v>74</v>
      </c>
      <c r="G4758" s="9">
        <v>825</v>
      </c>
      <c r="H4758" s="5" t="s">
        <v>21</v>
      </c>
      <c r="I4758" s="5" t="s">
        <v>10781</v>
      </c>
      <c r="J4758" s="12" t="str">
        <f>HYPERLINK("https://www.boe.es/gazeta/dias/1801/07/31/pdfs/GMD-1801-74.pdf#page=6","Abrir facsímil")</f>
        <v>Abrir facsímil</v>
      </c>
      <c r="K4758" s="15" t="s">
        <v>23</v>
      </c>
    </row>
    <row r="4759" spans="1:11" ht="42" customHeight="1">
      <c r="A4759" s="4" t="s">
        <v>10782</v>
      </c>
      <c r="B4759" s="5" t="s">
        <v>10782</v>
      </c>
      <c r="C4759" s="5" t="s">
        <v>75</v>
      </c>
      <c r="D4759" s="5" t="s">
        <v>76</v>
      </c>
      <c r="E4759" s="5" t="s">
        <v>2237</v>
      </c>
      <c r="F4759" s="9">
        <v>82</v>
      </c>
      <c r="G4759" s="9">
        <v>916</v>
      </c>
      <c r="H4759" s="5" t="s">
        <v>21</v>
      </c>
      <c r="I4759" s="5" t="s">
        <v>10783</v>
      </c>
      <c r="J4759" s="12" t="str">
        <f>HYPERLINK("https://www.boe.es/gazeta/dias/1801/08/28/pdfs/GMD-1801-82.pdf#page=5","Abrir facsímil")</f>
        <v>Abrir facsímil</v>
      </c>
      <c r="K4759" s="15" t="s">
        <v>23</v>
      </c>
    </row>
    <row r="4760" spans="1:11" ht="42" customHeight="1">
      <c r="A4760" s="4" t="s">
        <v>10784</v>
      </c>
      <c r="B4760" s="5" t="s">
        <v>10785</v>
      </c>
      <c r="C4760" s="5" t="s">
        <v>75</v>
      </c>
      <c r="D4760" s="5" t="s">
        <v>76</v>
      </c>
      <c r="E4760" s="5" t="s">
        <v>90</v>
      </c>
      <c r="F4760" s="9">
        <v>1</v>
      </c>
      <c r="G4760" s="9">
        <v>7</v>
      </c>
      <c r="H4760" s="5" t="s">
        <v>21</v>
      </c>
      <c r="I4760" s="5" t="s">
        <v>10786</v>
      </c>
      <c r="J4760" s="12" t="str">
        <f>HYPERLINK("https://www.boe.es/gazeta/dias/1801/01/02/pdfs/GMD-1801-1.pdf#page=7","Abrir facsímil")</f>
        <v>Abrir facsímil</v>
      </c>
      <c r="K4760" s="15" t="s">
        <v>23</v>
      </c>
    </row>
    <row r="4761" spans="1:11" ht="42" customHeight="1">
      <c r="A4761" s="4" t="s">
        <v>10787</v>
      </c>
      <c r="B4761" s="5" t="s">
        <v>10787</v>
      </c>
      <c r="C4761" s="5" t="s">
        <v>26</v>
      </c>
      <c r="D4761" s="5" t="s">
        <v>27</v>
      </c>
      <c r="E4761" s="5" t="s">
        <v>266</v>
      </c>
      <c r="F4761" s="9">
        <v>119</v>
      </c>
      <c r="G4761" s="9">
        <v>1301</v>
      </c>
      <c r="H4761" s="5" t="s">
        <v>21</v>
      </c>
      <c r="I4761" s="5" t="s">
        <v>10788</v>
      </c>
      <c r="J4761" s="12" t="str">
        <f>HYPERLINK("https://www.boe.es/gazeta/dias/1801/12/29/pdfs/GMD-1801-119.pdf#page=5","Abrir facsímil")</f>
        <v>Abrir facsímil</v>
      </c>
      <c r="K4761" s="15" t="s">
        <v>23</v>
      </c>
    </row>
    <row r="4762" spans="1:11" ht="42" customHeight="1">
      <c r="A4762" s="4" t="s">
        <v>10789</v>
      </c>
      <c r="B4762" s="5" t="s">
        <v>10790</v>
      </c>
      <c r="C4762" s="5" t="s">
        <v>80</v>
      </c>
      <c r="D4762" s="5" t="s">
        <v>81</v>
      </c>
      <c r="E4762" s="5" t="s">
        <v>289</v>
      </c>
      <c r="F4762" s="9">
        <v>40</v>
      </c>
      <c r="G4762" s="9" t="s">
        <v>517</v>
      </c>
      <c r="H4762" s="5" t="s">
        <v>21</v>
      </c>
      <c r="I4762" s="5" t="s">
        <v>10791</v>
      </c>
      <c r="J4762" s="12" t="str">
        <f>HYPERLINK("https://www.boe.es/gazeta/dias/1801/05/19/pdfs/GMD-C-1801-40.pdf#page=7","Abrir facsímil")</f>
        <v>Abrir facsímil</v>
      </c>
      <c r="K4762" s="15" t="s">
        <v>23</v>
      </c>
    </row>
    <row r="4763" spans="1:11" ht="42" customHeight="1">
      <c r="A4763" s="4" t="s">
        <v>10792</v>
      </c>
      <c r="B4763" s="5" t="s">
        <v>10793</v>
      </c>
      <c r="C4763" s="5" t="s">
        <v>32</v>
      </c>
      <c r="D4763" s="5" t="s">
        <v>33</v>
      </c>
      <c r="E4763" s="5" t="s">
        <v>62</v>
      </c>
      <c r="F4763" s="9">
        <v>6</v>
      </c>
      <c r="G4763" s="9">
        <v>73</v>
      </c>
      <c r="H4763" s="5" t="s">
        <v>21</v>
      </c>
      <c r="I4763" s="5" t="s">
        <v>10794</v>
      </c>
      <c r="J4763" s="12" t="str">
        <f>HYPERLINK("https://www.boe.es/gazeta/dias/1801/01/20/pdfs/GMD-1801-6.pdf#page=9","Abrir facsímil")</f>
        <v>Abrir facsímil</v>
      </c>
      <c r="K4763" s="15" t="s">
        <v>23</v>
      </c>
    </row>
    <row r="4764" spans="1:11" ht="42" customHeight="1">
      <c r="A4764" s="4" t="s">
        <v>10795</v>
      </c>
      <c r="B4764" s="5" t="s">
        <v>10796</v>
      </c>
      <c r="C4764" s="5" t="s">
        <v>32</v>
      </c>
      <c r="D4764" s="5" t="s">
        <v>33</v>
      </c>
      <c r="E4764" s="5" t="s">
        <v>321</v>
      </c>
      <c r="F4764" s="9">
        <v>3</v>
      </c>
      <c r="G4764" s="9">
        <v>33</v>
      </c>
      <c r="H4764" s="5" t="s">
        <v>21</v>
      </c>
      <c r="I4764" s="5" t="s">
        <v>10797</v>
      </c>
      <c r="J4764" s="12" t="str">
        <f>HYPERLINK("https://www.boe.es/gazeta/dias/1801/01/09/pdfs/GMD-1801-3.pdf#page=9","Abrir facsímil")</f>
        <v>Abrir facsímil</v>
      </c>
      <c r="K4764" s="15" t="s">
        <v>23</v>
      </c>
    </row>
    <row r="4765" spans="1:11" ht="42" customHeight="1">
      <c r="A4765" s="4" t="s">
        <v>10795</v>
      </c>
      <c r="B4765" s="5" t="s">
        <v>10796</v>
      </c>
      <c r="C4765" s="5" t="s">
        <v>32</v>
      </c>
      <c r="D4765" s="5" t="s">
        <v>33</v>
      </c>
      <c r="E4765" s="5" t="s">
        <v>44</v>
      </c>
      <c r="F4765" s="9">
        <v>117</v>
      </c>
      <c r="G4765" s="9">
        <v>1282</v>
      </c>
      <c r="H4765" s="5" t="s">
        <v>21</v>
      </c>
      <c r="I4765" s="5" t="s">
        <v>10798</v>
      </c>
      <c r="J4765" s="12" t="str">
        <f>HYPERLINK("https://www.boe.es/gazeta/dias/1801/12/22/pdfs/GMD-1801-117.pdf#page=9","Abrir facsímil")</f>
        <v>Abrir facsímil</v>
      </c>
      <c r="K4765" s="15" t="s">
        <v>23</v>
      </c>
    </row>
    <row r="4766" spans="1:11" ht="42" customHeight="1">
      <c r="A4766" s="4" t="s">
        <v>10799</v>
      </c>
      <c r="B4766" s="5" t="s">
        <v>10799</v>
      </c>
      <c r="C4766" s="5" t="s">
        <v>32</v>
      </c>
      <c r="D4766" s="5" t="s">
        <v>33</v>
      </c>
      <c r="E4766" s="5" t="s">
        <v>145</v>
      </c>
      <c r="F4766" s="9">
        <v>36</v>
      </c>
      <c r="G4766" s="9">
        <v>468</v>
      </c>
      <c r="H4766" s="5" t="s">
        <v>21</v>
      </c>
      <c r="I4766" s="5" t="s">
        <v>10800</v>
      </c>
      <c r="J4766" s="12" t="str">
        <f>HYPERLINK("https://www.boe.es/gazeta/dias/1801/05/05/pdfs/GMD-1801-36.pdf#page=12","Abrir facsímil")</f>
        <v>Abrir facsímil</v>
      </c>
      <c r="K4766" s="15" t="s">
        <v>23</v>
      </c>
    </row>
    <row r="4767" spans="1:11" ht="42" customHeight="1">
      <c r="A4767" s="4" t="s">
        <v>10801</v>
      </c>
      <c r="B4767" s="5" t="s">
        <v>10802</v>
      </c>
      <c r="C4767" s="5" t="s">
        <v>32</v>
      </c>
      <c r="D4767" s="5" t="s">
        <v>33</v>
      </c>
      <c r="E4767" s="5" t="s">
        <v>256</v>
      </c>
      <c r="F4767" s="9">
        <v>78</v>
      </c>
      <c r="G4767" s="9">
        <v>878</v>
      </c>
      <c r="H4767" s="5" t="s">
        <v>21</v>
      </c>
      <c r="I4767" s="5" t="s">
        <v>10803</v>
      </c>
      <c r="J4767" s="12" t="str">
        <f>HYPERLINK("https://www.boe.es/gazeta/dias/1801/08/14/pdfs/GMD-1801-78.pdf#page=7","Abrir facsímil")</f>
        <v>Abrir facsímil</v>
      </c>
      <c r="K4767" s="15" t="s">
        <v>23</v>
      </c>
    </row>
    <row r="4768" spans="1:11" ht="42" customHeight="1">
      <c r="A4768" s="4" t="s">
        <v>10804</v>
      </c>
      <c r="B4768" s="5" t="s">
        <v>10804</v>
      </c>
      <c r="C4768" s="5" t="s">
        <v>75</v>
      </c>
      <c r="D4768" s="5" t="s">
        <v>76</v>
      </c>
      <c r="E4768" s="5" t="s">
        <v>120</v>
      </c>
      <c r="F4768" s="9">
        <v>7</v>
      </c>
      <c r="G4768" s="9">
        <v>79</v>
      </c>
      <c r="H4768" s="5" t="s">
        <v>21</v>
      </c>
      <c r="I4768" s="5" t="s">
        <v>10805</v>
      </c>
      <c r="J4768" s="12" t="str">
        <f>HYPERLINK("https://www.boe.es/gazeta/dias/1801/01/23/pdfs/GMD-1801-7.pdf#page=3","Abrir facsímil")</f>
        <v>Abrir facsímil</v>
      </c>
      <c r="K4768" s="15" t="s">
        <v>23</v>
      </c>
    </row>
    <row r="4769" spans="1:11" ht="42" customHeight="1">
      <c r="A4769" s="4" t="s">
        <v>10806</v>
      </c>
      <c r="B4769" s="5" t="s">
        <v>10807</v>
      </c>
      <c r="C4769" s="5" t="s">
        <v>18</v>
      </c>
      <c r="D4769" s="5" t="s">
        <v>19</v>
      </c>
      <c r="E4769" s="5" t="s">
        <v>702</v>
      </c>
      <c r="F4769" s="9">
        <v>69</v>
      </c>
      <c r="G4769" s="9">
        <v>764</v>
      </c>
      <c r="H4769" s="5" t="s">
        <v>21</v>
      </c>
      <c r="I4769" s="5" t="s">
        <v>10808</v>
      </c>
      <c r="J4769" s="12" t="str">
        <f>HYPERLINK("https://www.boe.es/gazeta/dias/1801/07/14/pdfs/GMD-1801-69.pdf#page=9","Abrir facsímil")</f>
        <v>Abrir facsímil</v>
      </c>
      <c r="K4769" s="15" t="s">
        <v>23</v>
      </c>
    </row>
    <row r="4770" spans="1:11" ht="42" customHeight="1">
      <c r="A4770" s="4" t="s">
        <v>10806</v>
      </c>
      <c r="B4770" s="5" t="s">
        <v>10807</v>
      </c>
      <c r="C4770" s="5" t="s">
        <v>75</v>
      </c>
      <c r="D4770" s="5" t="s">
        <v>76</v>
      </c>
      <c r="E4770" s="5" t="s">
        <v>169</v>
      </c>
      <c r="F4770" s="9">
        <v>70</v>
      </c>
      <c r="G4770" s="9">
        <v>776</v>
      </c>
      <c r="H4770" s="5" t="s">
        <v>21</v>
      </c>
      <c r="I4770" s="5" t="s">
        <v>10809</v>
      </c>
      <c r="J4770" s="12" t="str">
        <f>HYPERLINK("https://www.boe.es/gazeta/dias/1801/07/17/pdfs/GMD-1801-70.pdf#page=9","Abrir facsímil")</f>
        <v>Abrir facsímil</v>
      </c>
      <c r="K4770" s="15" t="s">
        <v>23</v>
      </c>
    </row>
    <row r="4771" spans="1:11" ht="42" customHeight="1">
      <c r="A4771" s="4" t="s">
        <v>10806</v>
      </c>
      <c r="B4771" s="5" t="s">
        <v>10807</v>
      </c>
      <c r="C4771" s="5" t="s">
        <v>18</v>
      </c>
      <c r="D4771" s="5" t="s">
        <v>19</v>
      </c>
      <c r="E4771" s="5" t="s">
        <v>215</v>
      </c>
      <c r="F4771" s="9">
        <v>71</v>
      </c>
      <c r="G4771" s="9">
        <v>788</v>
      </c>
      <c r="H4771" s="5" t="s">
        <v>21</v>
      </c>
      <c r="I4771" s="5" t="s">
        <v>10810</v>
      </c>
      <c r="J4771" s="12" t="str">
        <f>HYPERLINK("https://www.boe.es/gazeta/dias/1801/07/21/pdfs/GMD-1801-71.pdf#page=9","Abrir facsímil")</f>
        <v>Abrir facsímil</v>
      </c>
      <c r="K4771" s="15" t="s">
        <v>23</v>
      </c>
    </row>
    <row r="4772" spans="1:11" ht="42" customHeight="1">
      <c r="A4772" s="4" t="s">
        <v>10806</v>
      </c>
      <c r="B4772" s="5" t="s">
        <v>10807</v>
      </c>
      <c r="C4772" s="5" t="s">
        <v>18</v>
      </c>
      <c r="D4772" s="5" t="s">
        <v>19</v>
      </c>
      <c r="E4772" s="5" t="s">
        <v>751</v>
      </c>
      <c r="F4772" s="9">
        <v>106</v>
      </c>
      <c r="G4772" s="9">
        <v>1169</v>
      </c>
      <c r="H4772" s="5" t="s">
        <v>21</v>
      </c>
      <c r="I4772" s="5" t="s">
        <v>10811</v>
      </c>
      <c r="J4772" s="12" t="str">
        <f>HYPERLINK("https://www.boe.es/gazeta/dias/1801/11/13/pdfs/GMD-C-1801-106.pdf#page=2","Abrir facsímil")</f>
        <v>Abrir facsímil</v>
      </c>
      <c r="K4772" s="15" t="s">
        <v>23</v>
      </c>
    </row>
    <row r="4773" spans="1:11" ht="42" customHeight="1">
      <c r="A4773" s="4" t="s">
        <v>10806</v>
      </c>
      <c r="B4773" s="5" t="s">
        <v>10807</v>
      </c>
      <c r="C4773" s="5" t="s">
        <v>18</v>
      </c>
      <c r="D4773" s="5" t="s">
        <v>19</v>
      </c>
      <c r="E4773" s="5" t="s">
        <v>1939</v>
      </c>
      <c r="F4773" s="9">
        <v>107</v>
      </c>
      <c r="G4773" s="9">
        <v>1180</v>
      </c>
      <c r="H4773" s="5" t="s">
        <v>21</v>
      </c>
      <c r="I4773" s="5" t="s">
        <v>10812</v>
      </c>
      <c r="J4773" s="12" t="str">
        <f>HYPERLINK("https://www.boe.es/gazeta/dias/1801/11/17/pdfs/GMD-1801-107.pdf#page=9","Abrir facsímil")</f>
        <v>Abrir facsímil</v>
      </c>
      <c r="K4773" s="15" t="s">
        <v>23</v>
      </c>
    </row>
    <row r="4774" spans="1:11" ht="42" customHeight="1">
      <c r="A4774" s="4" t="s">
        <v>10806</v>
      </c>
      <c r="B4774" s="5" t="s">
        <v>10807</v>
      </c>
      <c r="C4774" s="5" t="s">
        <v>18</v>
      </c>
      <c r="D4774" s="5" t="s">
        <v>19</v>
      </c>
      <c r="E4774" s="5" t="s">
        <v>1058</v>
      </c>
      <c r="F4774" s="9">
        <v>108</v>
      </c>
      <c r="G4774" s="9">
        <v>1193</v>
      </c>
      <c r="H4774" s="5" t="s">
        <v>21</v>
      </c>
      <c r="I4774" s="5" t="s">
        <v>10813</v>
      </c>
      <c r="J4774" s="12" t="str">
        <f>HYPERLINK("https://www.boe.es/gazeta/dias/1801/11/20/pdfs/GMD-1801-108.pdf#page=10","Abrir facsímil")</f>
        <v>Abrir facsímil</v>
      </c>
      <c r="K4774" s="15" t="s">
        <v>23</v>
      </c>
    </row>
    <row r="4775" spans="1:11" ht="42" customHeight="1">
      <c r="A4775" s="4" t="s">
        <v>10814</v>
      </c>
      <c r="B4775" s="5" t="s">
        <v>10815</v>
      </c>
      <c r="C4775" s="5" t="s">
        <v>18</v>
      </c>
      <c r="D4775" s="5" t="s">
        <v>19</v>
      </c>
      <c r="E4775" s="5" t="s">
        <v>264</v>
      </c>
      <c r="F4775" s="9">
        <v>111</v>
      </c>
      <c r="G4775" s="9">
        <v>1215</v>
      </c>
      <c r="H4775" s="5" t="s">
        <v>21</v>
      </c>
      <c r="I4775" s="5" t="s">
        <v>10816</v>
      </c>
      <c r="J4775" s="12" t="str">
        <f>HYPERLINK("https://www.boe.es/gazeta/dias/1801/12/01/pdfs/GMD-1801-111.pdf#page=4","Abrir facsímil")</f>
        <v>Abrir facsímil</v>
      </c>
      <c r="K4775" s="15" t="s">
        <v>23</v>
      </c>
    </row>
    <row r="4776" spans="1:11" ht="42" customHeight="1">
      <c r="A4776" s="4" t="s">
        <v>10817</v>
      </c>
      <c r="B4776" s="5" t="s">
        <v>10818</v>
      </c>
      <c r="C4776" s="5" t="s">
        <v>32</v>
      </c>
      <c r="D4776" s="5" t="s">
        <v>33</v>
      </c>
      <c r="E4776" s="5" t="s">
        <v>275</v>
      </c>
      <c r="F4776" s="9">
        <v>9</v>
      </c>
      <c r="G4776" s="9">
        <v>112</v>
      </c>
      <c r="H4776" s="5" t="s">
        <v>21</v>
      </c>
      <c r="I4776" s="5" t="s">
        <v>10819</v>
      </c>
      <c r="J4776" s="12" t="str">
        <f>HYPERLINK("https://www.boe.es/gazeta/dias/1801/01/30/pdfs/GMD-1801-9.pdf#page=9","Abrir facsímil")</f>
        <v>Abrir facsímil</v>
      </c>
      <c r="K4776" s="15" t="s">
        <v>23</v>
      </c>
    </row>
    <row r="4777" spans="1:11" ht="42" customHeight="1">
      <c r="A4777" s="4" t="s">
        <v>10820</v>
      </c>
      <c r="B4777" s="5" t="s">
        <v>10821</v>
      </c>
      <c r="C4777" s="5" t="s">
        <v>38</v>
      </c>
      <c r="D4777" s="5" t="s">
        <v>39</v>
      </c>
      <c r="E4777" s="5" t="s">
        <v>781</v>
      </c>
      <c r="F4777" s="9">
        <v>14</v>
      </c>
      <c r="G4777" s="9">
        <v>173</v>
      </c>
      <c r="H4777" s="5" t="s">
        <v>21</v>
      </c>
      <c r="I4777" s="5" t="s">
        <v>10822</v>
      </c>
      <c r="J4777" s="12" t="str">
        <f>HYPERLINK("https://www.boe.es/gazeta/dias/1801/02/17/pdfs/GMD-1801-14.pdf#page=8","Abrir facsímil")</f>
        <v>Abrir facsímil</v>
      </c>
      <c r="K4777" s="15" t="s">
        <v>23</v>
      </c>
    </row>
    <row r="4778" spans="1:11" ht="42" customHeight="1">
      <c r="A4778" s="4" t="s">
        <v>10823</v>
      </c>
      <c r="B4778" s="5" t="s">
        <v>10824</v>
      </c>
      <c r="C4778" s="5" t="s">
        <v>18</v>
      </c>
      <c r="D4778" s="5" t="s">
        <v>19</v>
      </c>
      <c r="E4778" s="5" t="s">
        <v>186</v>
      </c>
      <c r="F4778" s="9">
        <v>21</v>
      </c>
      <c r="G4778" s="9">
        <v>280</v>
      </c>
      <c r="H4778" s="5" t="s">
        <v>21</v>
      </c>
      <c r="I4778" s="5" t="s">
        <v>10825</v>
      </c>
      <c r="J4778" s="12" t="str">
        <f>HYPERLINK("https://www.boe.es/gazeta/dias/1801/03/13/pdfs/GMD-1801-21.pdf#page=9","Abrir facsímil")</f>
        <v>Abrir facsímil</v>
      </c>
      <c r="K4778" s="15" t="s">
        <v>23</v>
      </c>
    </row>
    <row r="4779" spans="1:11" ht="42" customHeight="1">
      <c r="A4779" s="4" t="s">
        <v>10826</v>
      </c>
      <c r="B4779" s="5" t="s">
        <v>10827</v>
      </c>
      <c r="C4779" s="5" t="s">
        <v>32</v>
      </c>
      <c r="D4779" s="5" t="s">
        <v>33</v>
      </c>
      <c r="E4779" s="5" t="s">
        <v>48</v>
      </c>
      <c r="F4779" s="9">
        <v>20</v>
      </c>
      <c r="G4779" s="9">
        <v>265</v>
      </c>
      <c r="H4779" s="5" t="s">
        <v>21</v>
      </c>
      <c r="I4779" s="5" t="s">
        <v>10828</v>
      </c>
      <c r="J4779" s="12" t="str">
        <f>HYPERLINK("https://www.boe.es/gazeta/dias/1801/03/10/pdfs/GMD-1801-20.pdf#page=10","Abrir facsímil")</f>
        <v>Abrir facsímil</v>
      </c>
      <c r="K4779" s="15" t="s">
        <v>23</v>
      </c>
    </row>
    <row r="4780" spans="1:11" ht="42" customHeight="1">
      <c r="A4780" s="4" t="s">
        <v>10829</v>
      </c>
      <c r="B4780" s="5" t="s">
        <v>10830</v>
      </c>
      <c r="C4780" s="5" t="s">
        <v>32</v>
      </c>
      <c r="D4780" s="5" t="s">
        <v>33</v>
      </c>
      <c r="E4780" s="5" t="s">
        <v>131</v>
      </c>
      <c r="F4780" s="9">
        <v>22</v>
      </c>
      <c r="G4780" s="9">
        <v>290</v>
      </c>
      <c r="H4780" s="5" t="s">
        <v>21</v>
      </c>
      <c r="I4780" s="5" t="s">
        <v>10831</v>
      </c>
      <c r="J4780" s="12" t="str">
        <f>HYPERLINK("https://www.boe.es/gazeta/dias/1801/03/17/pdfs/GMD-1801-22.pdf#page=7","Abrir facsímil")</f>
        <v>Abrir facsímil</v>
      </c>
      <c r="K4780" s="15" t="s">
        <v>23</v>
      </c>
    </row>
    <row r="4781" spans="1:11" ht="42" customHeight="1">
      <c r="A4781" s="4" t="s">
        <v>10832</v>
      </c>
      <c r="B4781" s="5" t="s">
        <v>10833</v>
      </c>
      <c r="C4781" s="5" t="s">
        <v>38</v>
      </c>
      <c r="D4781" s="5" t="s">
        <v>39</v>
      </c>
      <c r="E4781" s="5" t="s">
        <v>82</v>
      </c>
      <c r="F4781" s="9">
        <v>75</v>
      </c>
      <c r="G4781" s="9">
        <v>840</v>
      </c>
      <c r="H4781" s="5" t="s">
        <v>21</v>
      </c>
      <c r="I4781" s="5" t="s">
        <v>10834</v>
      </c>
      <c r="J4781" s="12" t="str">
        <f>HYPERLINK("https://www.boe.es/gazeta/dias/1801/08/04/pdfs/GMD-1801-75.pdf#page=9","Abrir facsímil")</f>
        <v>Abrir facsímil</v>
      </c>
      <c r="K4781" s="15" t="s">
        <v>23</v>
      </c>
    </row>
    <row r="4782" spans="1:11" ht="42" customHeight="1">
      <c r="A4782" s="4" t="s">
        <v>10832</v>
      </c>
      <c r="B4782" s="5" t="s">
        <v>10833</v>
      </c>
      <c r="C4782" s="5" t="s">
        <v>38</v>
      </c>
      <c r="D4782" s="5" t="s">
        <v>39</v>
      </c>
      <c r="E4782" s="5" t="s">
        <v>201</v>
      </c>
      <c r="F4782" s="9">
        <v>79</v>
      </c>
      <c r="G4782" s="9">
        <v>888</v>
      </c>
      <c r="H4782" s="5" t="s">
        <v>21</v>
      </c>
      <c r="I4782" s="5" t="s">
        <v>10835</v>
      </c>
      <c r="J4782" s="12" t="str">
        <f>HYPERLINK("https://www.boe.es/gazeta/dias/1801/08/18/pdfs/GMD-1801-79.pdf#page=5","Abrir facsímil")</f>
        <v>Abrir facsímil</v>
      </c>
      <c r="K4782" s="15" t="s">
        <v>23</v>
      </c>
    </row>
    <row r="4783" spans="1:11" ht="42" customHeight="1">
      <c r="A4783" s="4" t="s">
        <v>10832</v>
      </c>
      <c r="B4783" s="5" t="s">
        <v>10833</v>
      </c>
      <c r="C4783" s="5" t="s">
        <v>32</v>
      </c>
      <c r="D4783" s="5" t="s">
        <v>33</v>
      </c>
      <c r="E4783" s="5" t="s">
        <v>2185</v>
      </c>
      <c r="F4783" s="9">
        <v>84</v>
      </c>
      <c r="G4783" s="9">
        <v>942</v>
      </c>
      <c r="H4783" s="5" t="s">
        <v>21</v>
      </c>
      <c r="I4783" s="5" t="s">
        <v>10836</v>
      </c>
      <c r="J4783" s="12" t="str">
        <f>HYPERLINK("https://www.boe.es/gazeta/dias/1801/09/04/pdfs/GMD-1801-84.pdf#page=5","Abrir facsímil")</f>
        <v>Abrir facsímil</v>
      </c>
      <c r="K4783" s="15" t="s">
        <v>23</v>
      </c>
    </row>
    <row r="4784" spans="1:11" ht="42" customHeight="1">
      <c r="A4784" s="4" t="s">
        <v>10837</v>
      </c>
      <c r="B4784" s="5" t="s">
        <v>10838</v>
      </c>
      <c r="C4784" s="5" t="s">
        <v>38</v>
      </c>
      <c r="D4784" s="5" t="s">
        <v>39</v>
      </c>
      <c r="E4784" s="5" t="s">
        <v>169</v>
      </c>
      <c r="F4784" s="9">
        <v>70</v>
      </c>
      <c r="G4784" s="9">
        <v>778</v>
      </c>
      <c r="H4784" s="5" t="s">
        <v>21</v>
      </c>
      <c r="I4784" s="5" t="s">
        <v>10839</v>
      </c>
      <c r="J4784" s="12" t="str">
        <f>HYPERLINK("https://www.boe.es/gazeta/dias/1801/07/17/pdfs/GMD-1801-70.pdf#page=11","Abrir facsímil")</f>
        <v>Abrir facsímil</v>
      </c>
      <c r="K4784" s="15" t="s">
        <v>23</v>
      </c>
    </row>
    <row r="4785" spans="1:11" ht="42" customHeight="1">
      <c r="A4785" s="4" t="s">
        <v>10840</v>
      </c>
      <c r="B4785" s="5" t="s">
        <v>10841</v>
      </c>
      <c r="C4785" s="5" t="s">
        <v>32</v>
      </c>
      <c r="D4785" s="5" t="s">
        <v>33</v>
      </c>
      <c r="E4785" s="5" t="s">
        <v>321</v>
      </c>
      <c r="F4785" s="9">
        <v>3</v>
      </c>
      <c r="G4785" s="9">
        <v>33</v>
      </c>
      <c r="H4785" s="5" t="s">
        <v>21</v>
      </c>
      <c r="I4785" s="5" t="s">
        <v>10842</v>
      </c>
      <c r="J4785" s="12" t="str">
        <f>HYPERLINK("https://www.boe.es/gazeta/dias/1801/01/09/pdfs/GMD-1801-3.pdf#page=9","Abrir facsímil")</f>
        <v>Abrir facsímil</v>
      </c>
      <c r="K4785" s="15" t="s">
        <v>23</v>
      </c>
    </row>
    <row r="4786" spans="1:11" ht="42" customHeight="1">
      <c r="A4786" s="4" t="s">
        <v>10843</v>
      </c>
      <c r="B4786" s="5" t="s">
        <v>10844</v>
      </c>
      <c r="C4786" s="5" t="s">
        <v>32</v>
      </c>
      <c r="D4786" s="5" t="s">
        <v>33</v>
      </c>
      <c r="E4786" s="5" t="s">
        <v>194</v>
      </c>
      <c r="F4786" s="9">
        <v>92</v>
      </c>
      <c r="G4786" s="9">
        <v>1011</v>
      </c>
      <c r="H4786" s="5" t="s">
        <v>21</v>
      </c>
      <c r="I4786" s="5" t="s">
        <v>10845</v>
      </c>
      <c r="J4786" s="12" t="str">
        <f>HYPERLINK("https://www.boe.es/gazeta/dias/1801/09/25/pdfs/GMD-1801-92.pdf#page=6","Abrir facsímil")</f>
        <v>Abrir facsímil</v>
      </c>
      <c r="K4786" s="15" t="s">
        <v>23</v>
      </c>
    </row>
    <row r="4787" spans="1:11" ht="42" customHeight="1">
      <c r="A4787" s="4" t="s">
        <v>10846</v>
      </c>
      <c r="B4787" s="5" t="s">
        <v>10846</v>
      </c>
      <c r="C4787" s="5" t="s">
        <v>32</v>
      </c>
      <c r="D4787" s="5" t="s">
        <v>33</v>
      </c>
      <c r="E4787" s="5" t="s">
        <v>66</v>
      </c>
      <c r="F4787" s="9">
        <v>52</v>
      </c>
      <c r="G4787" s="9">
        <v>607</v>
      </c>
      <c r="H4787" s="5" t="s">
        <v>21</v>
      </c>
      <c r="I4787" s="5" t="s">
        <v>10847</v>
      </c>
      <c r="J4787" s="12" t="str">
        <f>HYPERLINK("https://www.boe.es/gazeta/dias/1801/06/12/pdfs/GMD-1801-52.pdf#page=6","Abrir facsímil")</f>
        <v>Abrir facsímil</v>
      </c>
      <c r="K4787" s="15" t="s">
        <v>23</v>
      </c>
    </row>
    <row r="4788" spans="1:11" ht="42" customHeight="1">
      <c r="A4788" s="4" t="s">
        <v>10848</v>
      </c>
      <c r="B4788" s="5" t="s">
        <v>10848</v>
      </c>
      <c r="C4788" s="5" t="s">
        <v>38</v>
      </c>
      <c r="D4788" s="5" t="s">
        <v>39</v>
      </c>
      <c r="E4788" s="5" t="s">
        <v>309</v>
      </c>
      <c r="F4788" s="9">
        <v>118</v>
      </c>
      <c r="G4788" s="9">
        <v>1289</v>
      </c>
      <c r="H4788" s="5" t="s">
        <v>21</v>
      </c>
      <c r="I4788" s="5" t="s">
        <v>10849</v>
      </c>
      <c r="J4788" s="12" t="str">
        <f>HYPERLINK("https://www.boe.es/gazeta/dias/1801/12/25/pdfs/GMD-1801-118.pdf#page=4","Abrir facsímil")</f>
        <v>Abrir facsímil</v>
      </c>
      <c r="K4788" s="15" t="s">
        <v>23</v>
      </c>
    </row>
    <row r="4789" spans="1:11" ht="42" customHeight="1">
      <c r="A4789" s="4" t="s">
        <v>10850</v>
      </c>
      <c r="B4789" s="5" t="s">
        <v>10850</v>
      </c>
      <c r="C4789" s="5" t="s">
        <v>32</v>
      </c>
      <c r="D4789" s="5" t="s">
        <v>33</v>
      </c>
      <c r="E4789" s="5" t="s">
        <v>161</v>
      </c>
      <c r="F4789" s="9">
        <v>58</v>
      </c>
      <c r="G4789" s="9">
        <v>657</v>
      </c>
      <c r="H4789" s="5" t="s">
        <v>21</v>
      </c>
      <c r="I4789" s="5" t="s">
        <v>10851</v>
      </c>
      <c r="J4789" s="12" t="str">
        <f>HYPERLINK("https://www.boe.es/gazeta/dias/1801/06/19/pdfs/GMD-1801-58.pdf#page=2","Abrir facsímil")</f>
        <v>Abrir facsímil</v>
      </c>
      <c r="K4789" s="15" t="s">
        <v>23</v>
      </c>
    </row>
    <row r="4790" spans="1:11" ht="42" customHeight="1">
      <c r="A4790" s="4" t="s">
        <v>10852</v>
      </c>
      <c r="B4790" s="5" t="s">
        <v>10853</v>
      </c>
      <c r="C4790" s="5" t="s">
        <v>80</v>
      </c>
      <c r="D4790" s="5" t="s">
        <v>81</v>
      </c>
      <c r="E4790" s="5" t="s">
        <v>289</v>
      </c>
      <c r="F4790" s="9">
        <v>40</v>
      </c>
      <c r="G4790" s="9" t="s">
        <v>668</v>
      </c>
      <c r="H4790" s="5" t="s">
        <v>21</v>
      </c>
      <c r="I4790" s="5" t="s">
        <v>10854</v>
      </c>
      <c r="J4790" s="12" t="str">
        <f>HYPERLINK("https://www.boe.es/gazeta/dias/1801/05/19/pdfs/GMD-C-1801-40.pdf#page=1","Abrir facsímil")</f>
        <v>Abrir facsímil</v>
      </c>
      <c r="K4790" s="15" t="s">
        <v>23</v>
      </c>
    </row>
    <row r="4791" spans="1:11" ht="42" customHeight="1">
      <c r="A4791" s="4" t="s">
        <v>10855</v>
      </c>
      <c r="B4791" s="5" t="s">
        <v>10856</v>
      </c>
      <c r="C4791" s="5" t="s">
        <v>69</v>
      </c>
      <c r="D4791" s="5" t="s">
        <v>19</v>
      </c>
      <c r="E4791" s="5" t="s">
        <v>262</v>
      </c>
      <c r="F4791" s="9">
        <v>109</v>
      </c>
      <c r="G4791" s="9">
        <v>1204</v>
      </c>
      <c r="H4791" s="5" t="s">
        <v>21</v>
      </c>
      <c r="I4791" s="5" t="s">
        <v>10857</v>
      </c>
      <c r="J4791" s="12" t="str">
        <f>HYPERLINK("https://www.boe.es/gazeta/dias/1801/11/24/pdfs/GMD-1801-109.pdf#page=9","Abrir facsímil")</f>
        <v>Abrir facsímil</v>
      </c>
      <c r="K4791" s="15" t="s">
        <v>23</v>
      </c>
    </row>
    <row r="4792" spans="1:11" ht="42" customHeight="1">
      <c r="A4792" s="4" t="s">
        <v>10858</v>
      </c>
      <c r="B4792" s="5" t="s">
        <v>10859</v>
      </c>
      <c r="C4792" s="5" t="s">
        <v>75</v>
      </c>
      <c r="D4792" s="5" t="s">
        <v>76</v>
      </c>
      <c r="E4792" s="5" t="s">
        <v>924</v>
      </c>
      <c r="F4792" s="9">
        <v>90</v>
      </c>
      <c r="G4792" s="9">
        <v>987</v>
      </c>
      <c r="H4792" s="5" t="s">
        <v>21</v>
      </c>
      <c r="I4792" s="5" t="s">
        <v>10860</v>
      </c>
      <c r="J4792" s="12" t="str">
        <f>HYPERLINK("https://www.boe.es/gazeta/dias/1801/09/18/pdfs/GMD-1801-90.pdf#page=2","Abrir facsímil")</f>
        <v>Abrir facsímil</v>
      </c>
      <c r="K4792" s="15" t="s">
        <v>23</v>
      </c>
    </row>
    <row r="4793" spans="1:11" ht="42" customHeight="1">
      <c r="A4793" s="4" t="s">
        <v>10861</v>
      </c>
      <c r="B4793" s="5" t="s">
        <v>10861</v>
      </c>
      <c r="C4793" s="5" t="s">
        <v>18</v>
      </c>
      <c r="D4793" s="5" t="s">
        <v>19</v>
      </c>
      <c r="E4793" s="5" t="s">
        <v>221</v>
      </c>
      <c r="F4793" s="9">
        <v>28</v>
      </c>
      <c r="G4793" s="9">
        <v>363</v>
      </c>
      <c r="H4793" s="5" t="s">
        <v>21</v>
      </c>
      <c r="I4793" s="5" t="s">
        <v>10862</v>
      </c>
      <c r="J4793" s="12" t="str">
        <f>HYPERLINK("https://www.boe.es/gazeta/dias/1801/04/07/pdfs/GMD-1801-28.pdf#page=3","Abrir facsímil")</f>
        <v>Abrir facsímil</v>
      </c>
      <c r="K4793" s="15" t="s">
        <v>23</v>
      </c>
    </row>
    <row r="4794" spans="1:11" ht="42" customHeight="1">
      <c r="A4794" s="4" t="s">
        <v>10863</v>
      </c>
      <c r="B4794" s="5" t="s">
        <v>10864</v>
      </c>
      <c r="C4794" s="5" t="s">
        <v>18</v>
      </c>
      <c r="D4794" s="5" t="s">
        <v>19</v>
      </c>
      <c r="E4794" s="5" t="s">
        <v>462</v>
      </c>
      <c r="F4794" s="9">
        <v>5</v>
      </c>
      <c r="G4794" s="9">
        <v>58</v>
      </c>
      <c r="H4794" s="5" t="s">
        <v>21</v>
      </c>
      <c r="I4794" s="5" t="s">
        <v>10865</v>
      </c>
      <c r="J4794" s="12" t="str">
        <f>HYPERLINK("https://www.boe.es/gazeta/dias/1801/01/16/pdfs/GMD-1801-5.pdf#page=10","Abrir facsímil")</f>
        <v>Abrir facsímil</v>
      </c>
      <c r="K4794" s="15" t="s">
        <v>23</v>
      </c>
    </row>
    <row r="4795" spans="1:11" ht="42" customHeight="1">
      <c r="A4795" s="4" t="s">
        <v>10866</v>
      </c>
      <c r="B4795" s="5" t="s">
        <v>10867</v>
      </c>
      <c r="C4795" s="5" t="s">
        <v>69</v>
      </c>
      <c r="D4795" s="5" t="s">
        <v>19</v>
      </c>
      <c r="E4795" s="5" t="s">
        <v>262</v>
      </c>
      <c r="F4795" s="9">
        <v>109</v>
      </c>
      <c r="G4795" s="9">
        <v>1205</v>
      </c>
      <c r="H4795" s="5" t="s">
        <v>21</v>
      </c>
      <c r="I4795" s="5" t="s">
        <v>10868</v>
      </c>
      <c r="J4795" s="12" t="str">
        <f>HYPERLINK("https://www.boe.es/gazeta/dias/1801/11/24/pdfs/GMD-1801-109.pdf#page=10","Abrir facsímil")</f>
        <v>Abrir facsímil</v>
      </c>
      <c r="K4795" s="15" t="s">
        <v>23</v>
      </c>
    </row>
    <row r="4796" spans="1:11" ht="42" customHeight="1">
      <c r="A4796" s="4" t="s">
        <v>10869</v>
      </c>
      <c r="B4796" s="5" t="s">
        <v>10870</v>
      </c>
      <c r="C4796" s="5" t="s">
        <v>32</v>
      </c>
      <c r="D4796" s="5" t="s">
        <v>33</v>
      </c>
      <c r="E4796" s="5" t="s">
        <v>321</v>
      </c>
      <c r="F4796" s="9">
        <v>3</v>
      </c>
      <c r="G4796" s="9">
        <v>33</v>
      </c>
      <c r="H4796" s="5" t="s">
        <v>21</v>
      </c>
      <c r="I4796" s="5" t="s">
        <v>10871</v>
      </c>
      <c r="J4796" s="12" t="str">
        <f>HYPERLINK("https://www.boe.es/gazeta/dias/1801/01/09/pdfs/GMD-1801-3.pdf#page=9","Abrir facsímil")</f>
        <v>Abrir facsímil</v>
      </c>
      <c r="K4796" s="15" t="s">
        <v>23</v>
      </c>
    </row>
    <row r="4797" spans="1:11" ht="42" customHeight="1">
      <c r="A4797" s="4" t="s">
        <v>10872</v>
      </c>
      <c r="B4797" s="5" t="s">
        <v>10873</v>
      </c>
      <c r="C4797" s="5" t="s">
        <v>32</v>
      </c>
      <c r="D4797" s="5" t="s">
        <v>33</v>
      </c>
      <c r="E4797" s="5" t="s">
        <v>505</v>
      </c>
      <c r="F4797" s="9">
        <v>94</v>
      </c>
      <c r="G4797" s="9">
        <v>1033</v>
      </c>
      <c r="H4797" s="5" t="s">
        <v>21</v>
      </c>
      <c r="I4797" s="5" t="s">
        <v>10874</v>
      </c>
      <c r="J4797" s="12" t="str">
        <f>HYPERLINK("https://www.boe.es/gazeta/dias/1801/10/02/pdfs/GMD-1801-94.pdf#page=9","Abrir facsímil")</f>
        <v>Abrir facsímil</v>
      </c>
      <c r="K4797" s="15" t="s">
        <v>23</v>
      </c>
    </row>
    <row r="4798" spans="1:11" ht="42" customHeight="1">
      <c r="A4798" s="4" t="s">
        <v>10875</v>
      </c>
      <c r="B4798" s="5" t="s">
        <v>10876</v>
      </c>
      <c r="C4798" s="5" t="s">
        <v>32</v>
      </c>
      <c r="D4798" s="5" t="s">
        <v>33</v>
      </c>
      <c r="E4798" s="5" t="s">
        <v>44</v>
      </c>
      <c r="F4798" s="9">
        <v>117</v>
      </c>
      <c r="G4798" s="9">
        <v>1282</v>
      </c>
      <c r="H4798" s="5" t="s">
        <v>21</v>
      </c>
      <c r="I4798" s="5" t="s">
        <v>10877</v>
      </c>
      <c r="J4798" s="12" t="str">
        <f>HYPERLINK("https://www.boe.es/gazeta/dias/1801/12/22/pdfs/GMD-1801-117.pdf#page=9","Abrir facsímil")</f>
        <v>Abrir facsímil</v>
      </c>
      <c r="K4798" s="15" t="s">
        <v>23</v>
      </c>
    </row>
    <row r="4799" spans="1:11" ht="42" customHeight="1">
      <c r="A4799" s="4" t="s">
        <v>10878</v>
      </c>
      <c r="B4799" s="5" t="s">
        <v>10879</v>
      </c>
      <c r="C4799" s="5" t="s">
        <v>32</v>
      </c>
      <c r="D4799" s="5" t="s">
        <v>33</v>
      </c>
      <c r="E4799" s="5" t="s">
        <v>321</v>
      </c>
      <c r="F4799" s="9">
        <v>3</v>
      </c>
      <c r="G4799" s="9">
        <v>33</v>
      </c>
      <c r="H4799" s="5" t="s">
        <v>21</v>
      </c>
      <c r="I4799" s="5" t="s">
        <v>10880</v>
      </c>
      <c r="J4799" s="12" t="str">
        <f>HYPERLINK("https://www.boe.es/gazeta/dias/1801/01/09/pdfs/GMD-1801-3.pdf#page=9","Abrir facsímil")</f>
        <v>Abrir facsímil</v>
      </c>
      <c r="K4799" s="15" t="s">
        <v>23</v>
      </c>
    </row>
    <row r="4800" spans="1:11" ht="42" customHeight="1">
      <c r="A4800" s="4" t="s">
        <v>10881</v>
      </c>
      <c r="B4800" s="5" t="s">
        <v>10882</v>
      </c>
      <c r="C4800" s="5" t="s">
        <v>38</v>
      </c>
      <c r="D4800" s="5" t="s">
        <v>39</v>
      </c>
      <c r="E4800" s="5" t="s">
        <v>44</v>
      </c>
      <c r="F4800" s="9">
        <v>117</v>
      </c>
      <c r="G4800" s="9">
        <v>1284</v>
      </c>
      <c r="H4800" s="5" t="s">
        <v>21</v>
      </c>
      <c r="I4800" s="5" t="s">
        <v>10883</v>
      </c>
      <c r="J4800" s="12" t="str">
        <f>HYPERLINK("https://www.boe.es/gazeta/dias/1801/12/22/pdfs/GMD-1801-117.pdf#page=11","Abrir facsímil")</f>
        <v>Abrir facsímil</v>
      </c>
      <c r="K4800" s="15" t="s">
        <v>23</v>
      </c>
    </row>
    <row r="4801" spans="1:11" ht="42" customHeight="1">
      <c r="A4801" s="4" t="s">
        <v>10884</v>
      </c>
      <c r="B4801" s="5" t="s">
        <v>10885</v>
      </c>
      <c r="C4801" s="5" t="s">
        <v>80</v>
      </c>
      <c r="D4801" s="5" t="s">
        <v>81</v>
      </c>
      <c r="E4801" s="5" t="s">
        <v>289</v>
      </c>
      <c r="F4801" s="9">
        <v>40</v>
      </c>
      <c r="G4801" s="9" t="s">
        <v>86</v>
      </c>
      <c r="H4801" s="5" t="s">
        <v>21</v>
      </c>
      <c r="I4801" s="5" t="s">
        <v>10886</v>
      </c>
      <c r="J4801" s="12" t="str">
        <f>HYPERLINK("https://www.boe.es/gazeta/dias/1801/05/19/pdfs/GMD-C-1801-40.pdf#page=3","Abrir facsímil")</f>
        <v>Abrir facsímil</v>
      </c>
      <c r="K4801" s="15" t="s">
        <v>23</v>
      </c>
    </row>
    <row r="4802" spans="1:11" ht="42" customHeight="1">
      <c r="A4802" s="4" t="s">
        <v>10887</v>
      </c>
      <c r="B4802" s="5" t="s">
        <v>10888</v>
      </c>
      <c r="C4802" s="5" t="s">
        <v>38</v>
      </c>
      <c r="D4802" s="5" t="s">
        <v>39</v>
      </c>
      <c r="E4802" s="5" t="s">
        <v>275</v>
      </c>
      <c r="F4802" s="9">
        <v>9</v>
      </c>
      <c r="G4802" s="9">
        <v>113</v>
      </c>
      <c r="H4802" s="5" t="s">
        <v>21</v>
      </c>
      <c r="I4802" s="5" t="s">
        <v>10889</v>
      </c>
      <c r="J4802" s="12" t="str">
        <f>HYPERLINK("https://www.boe.es/gazeta/dias/1801/01/30/pdfs/GMD-1801-9.pdf#page=10","Abrir facsímil")</f>
        <v>Abrir facsímil</v>
      </c>
      <c r="K4802" s="15" t="s">
        <v>23</v>
      </c>
    </row>
    <row r="4803" spans="1:11" ht="42" customHeight="1">
      <c r="A4803" s="4" t="s">
        <v>10890</v>
      </c>
      <c r="B4803" s="5" t="s">
        <v>10890</v>
      </c>
      <c r="C4803" s="5" t="s">
        <v>32</v>
      </c>
      <c r="D4803" s="5" t="s">
        <v>33</v>
      </c>
      <c r="E4803" s="5" t="s">
        <v>328</v>
      </c>
      <c r="F4803" s="9">
        <v>89</v>
      </c>
      <c r="G4803" s="9">
        <v>983</v>
      </c>
      <c r="H4803" s="5" t="s">
        <v>21</v>
      </c>
      <c r="I4803" s="5" t="s">
        <v>10891</v>
      </c>
      <c r="J4803" s="12" t="str">
        <f>HYPERLINK("https://www.boe.es/gazeta/dias/1801/09/15/pdfs/GMD-1801-89.pdf#page=10","Abrir facsímil")</f>
        <v>Abrir facsímil</v>
      </c>
      <c r="K4803" s="15" t="s">
        <v>23</v>
      </c>
    </row>
    <row r="4804" spans="1:11" ht="42" customHeight="1">
      <c r="A4804" s="4" t="s">
        <v>10892</v>
      </c>
      <c r="B4804" s="5" t="s">
        <v>10893</v>
      </c>
      <c r="C4804" s="5" t="s">
        <v>69</v>
      </c>
      <c r="D4804" s="5" t="s">
        <v>19</v>
      </c>
      <c r="E4804" s="5" t="s">
        <v>158</v>
      </c>
      <c r="F4804" s="9">
        <v>55</v>
      </c>
      <c r="G4804" s="9">
        <v>631</v>
      </c>
      <c r="H4804" s="5" t="s">
        <v>21</v>
      </c>
      <c r="I4804" s="5" t="s">
        <v>10894</v>
      </c>
      <c r="J4804" s="12" t="str">
        <f>HYPERLINK("https://www.boe.es/gazeta/dias/1801/06/16/pdfs/GMD-1801-55.pdf#page=7","Abrir facsímil")</f>
        <v>Abrir facsímil</v>
      </c>
      <c r="K4804" s="15" t="s">
        <v>23</v>
      </c>
    </row>
    <row r="4805" spans="1:11" ht="42" customHeight="1">
      <c r="A4805" s="4" t="s">
        <v>10895</v>
      </c>
      <c r="B4805" s="5" t="s">
        <v>10896</v>
      </c>
      <c r="C4805" s="5" t="s">
        <v>26</v>
      </c>
      <c r="D4805" s="5" t="s">
        <v>27</v>
      </c>
      <c r="E4805" s="5" t="s">
        <v>50</v>
      </c>
      <c r="F4805" s="9">
        <v>29</v>
      </c>
      <c r="G4805" s="9">
        <v>384</v>
      </c>
      <c r="H4805" s="5" t="s">
        <v>21</v>
      </c>
      <c r="I4805" s="5" t="s">
        <v>10897</v>
      </c>
      <c r="J4805" s="12" t="str">
        <f>HYPERLINK("https://www.boe.es/gazeta/dias/1801/04/10/pdfs/GMD-1801-29.pdf#page=12","Abrir facsímil")</f>
        <v>Abrir facsímil</v>
      </c>
      <c r="K4805" s="15" t="s">
        <v>23</v>
      </c>
    </row>
    <row r="4806" spans="1:11" ht="42" customHeight="1">
      <c r="A4806" s="4" t="s">
        <v>10898</v>
      </c>
      <c r="B4806" s="5" t="s">
        <v>10899</v>
      </c>
      <c r="C4806" s="5" t="s">
        <v>26</v>
      </c>
      <c r="D4806" s="5" t="s">
        <v>27</v>
      </c>
      <c r="E4806" s="5" t="s">
        <v>888</v>
      </c>
      <c r="F4806" s="9">
        <v>103</v>
      </c>
      <c r="G4806" s="9">
        <v>1139</v>
      </c>
      <c r="H4806" s="5" t="s">
        <v>21</v>
      </c>
      <c r="I4806" s="5" t="s">
        <v>10900</v>
      </c>
      <c r="J4806" s="12" t="str">
        <f>HYPERLINK("https://www.boe.es/gazeta/dias/1801/11/03/pdfs/GMD-1801-103.pdf#page=12","Abrir facsímil")</f>
        <v>Abrir facsímil</v>
      </c>
      <c r="K4806" s="15" t="s">
        <v>23</v>
      </c>
    </row>
    <row r="4807" spans="1:11" ht="42" customHeight="1">
      <c r="A4807" s="4" t="s">
        <v>10901</v>
      </c>
      <c r="B4807" s="5" t="s">
        <v>10902</v>
      </c>
      <c r="C4807" s="5" t="s">
        <v>32</v>
      </c>
      <c r="D4807" s="5" t="s">
        <v>33</v>
      </c>
      <c r="E4807" s="5" t="s">
        <v>201</v>
      </c>
      <c r="F4807" s="9">
        <v>79</v>
      </c>
      <c r="G4807" s="9">
        <v>889</v>
      </c>
      <c r="H4807" s="5" t="s">
        <v>21</v>
      </c>
      <c r="I4807" s="5" t="s">
        <v>10903</v>
      </c>
      <c r="J4807" s="12" t="str">
        <f>HYPERLINK("https://www.boe.es/gazeta/dias/1801/08/18/pdfs/GMD-1801-79.pdf#page=6","Abrir facsímil")</f>
        <v>Abrir facsímil</v>
      </c>
      <c r="K4807" s="15" t="s">
        <v>23</v>
      </c>
    </row>
    <row r="4808" spans="1:11" ht="42" customHeight="1">
      <c r="A4808" s="4" t="s">
        <v>10904</v>
      </c>
      <c r="B4808" s="5" t="s">
        <v>10905</v>
      </c>
      <c r="C4808" s="5" t="s">
        <v>38</v>
      </c>
      <c r="D4808" s="5" t="s">
        <v>39</v>
      </c>
      <c r="E4808" s="5" t="s">
        <v>131</v>
      </c>
      <c r="F4808" s="9">
        <v>22</v>
      </c>
      <c r="G4808" s="9">
        <v>290</v>
      </c>
      <c r="H4808" s="5" t="s">
        <v>21</v>
      </c>
      <c r="I4808" s="5" t="s">
        <v>10906</v>
      </c>
      <c r="J4808" s="12" t="str">
        <f>HYPERLINK("https://www.boe.es/gazeta/dias/1801/03/17/pdfs/GMD-1801-22.pdf#page=7","Abrir facsímil")</f>
        <v>Abrir facsímil</v>
      </c>
      <c r="K4808" s="15" t="s">
        <v>23</v>
      </c>
    </row>
    <row r="4809" spans="1:11" ht="42" customHeight="1">
      <c r="A4809" s="4" t="s">
        <v>10907</v>
      </c>
      <c r="B4809" s="5" t="s">
        <v>10908</v>
      </c>
      <c r="C4809" s="5" t="s">
        <v>32</v>
      </c>
      <c r="D4809" s="5" t="s">
        <v>33</v>
      </c>
      <c r="E4809" s="5" t="s">
        <v>352</v>
      </c>
      <c r="F4809" s="9">
        <v>43</v>
      </c>
      <c r="G4809" s="9">
        <v>538</v>
      </c>
      <c r="H4809" s="5" t="s">
        <v>21</v>
      </c>
      <c r="I4809" s="5" t="s">
        <v>10909</v>
      </c>
      <c r="J4809" s="12" t="str">
        <f>HYPERLINK("https://www.boe.es/gazeta/dias/1801/05/26/pdfs/GMD-1801-43.pdf#page=10","Abrir facsímil")</f>
        <v>Abrir facsímil</v>
      </c>
      <c r="K4809" s="15" t="s">
        <v>23</v>
      </c>
    </row>
    <row r="4810" spans="1:11" ht="42" customHeight="1">
      <c r="A4810" s="4" t="s">
        <v>10910</v>
      </c>
      <c r="B4810" s="5" t="s">
        <v>10911</v>
      </c>
      <c r="C4810" s="5" t="s">
        <v>38</v>
      </c>
      <c r="D4810" s="5" t="s">
        <v>39</v>
      </c>
      <c r="E4810" s="5" t="s">
        <v>44</v>
      </c>
      <c r="F4810" s="9">
        <v>117</v>
      </c>
      <c r="G4810" s="9">
        <v>1280</v>
      </c>
      <c r="H4810" s="5" t="s">
        <v>21</v>
      </c>
      <c r="I4810" s="5" t="s">
        <v>10912</v>
      </c>
      <c r="J4810" s="12" t="str">
        <f>HYPERLINK("https://www.boe.es/gazeta/dias/1801/12/22/pdfs/GMD-1801-117.pdf#page=7","Abrir facsímil")</f>
        <v>Abrir facsímil</v>
      </c>
      <c r="K4810" s="15" t="s">
        <v>23</v>
      </c>
    </row>
    <row r="4811" spans="1:11" ht="42" customHeight="1">
      <c r="A4811" s="4" t="s">
        <v>10913</v>
      </c>
      <c r="B4811" s="5" t="s">
        <v>10914</v>
      </c>
      <c r="C4811" s="5" t="s">
        <v>38</v>
      </c>
      <c r="D4811" s="5" t="s">
        <v>39</v>
      </c>
      <c r="E4811" s="5" t="s">
        <v>82</v>
      </c>
      <c r="F4811" s="9">
        <v>75</v>
      </c>
      <c r="G4811" s="9">
        <v>841</v>
      </c>
      <c r="H4811" s="5" t="s">
        <v>21</v>
      </c>
      <c r="I4811" s="5" t="s">
        <v>10915</v>
      </c>
      <c r="J4811" s="12" t="str">
        <f>HYPERLINK("https://www.boe.es/gazeta/dias/1801/08/04/pdfs/GMD-1801-75.pdf#page=10","Abrir facsímil")</f>
        <v>Abrir facsímil</v>
      </c>
      <c r="K4811" s="15" t="s">
        <v>23</v>
      </c>
    </row>
    <row r="4812" spans="1:11" ht="42" customHeight="1">
      <c r="A4812" s="4" t="s">
        <v>10916</v>
      </c>
      <c r="B4812" s="5" t="s">
        <v>10917</v>
      </c>
      <c r="C4812" s="5" t="s">
        <v>32</v>
      </c>
      <c r="D4812" s="5" t="s">
        <v>33</v>
      </c>
      <c r="E4812" s="5" t="s">
        <v>781</v>
      </c>
      <c r="F4812" s="9">
        <v>14</v>
      </c>
      <c r="G4812" s="9">
        <v>174</v>
      </c>
      <c r="H4812" s="5" t="s">
        <v>21</v>
      </c>
      <c r="I4812" s="5" t="s">
        <v>10918</v>
      </c>
      <c r="J4812" s="12" t="str">
        <f>HYPERLINK("https://www.boe.es/gazeta/dias/1801/02/17/pdfs/GMD-1801-14.pdf#page=9","Abrir facsímil")</f>
        <v>Abrir facsímil</v>
      </c>
      <c r="K4812" s="15" t="s">
        <v>23</v>
      </c>
    </row>
    <row r="4813" spans="1:11" ht="42" customHeight="1">
      <c r="A4813" s="4" t="s">
        <v>10919</v>
      </c>
      <c r="B4813" s="5" t="s">
        <v>10919</v>
      </c>
      <c r="C4813" s="5" t="s">
        <v>32</v>
      </c>
      <c r="D4813" s="5" t="s">
        <v>33</v>
      </c>
      <c r="E4813" s="5" t="s">
        <v>640</v>
      </c>
      <c r="F4813" s="9">
        <v>81</v>
      </c>
      <c r="G4813" s="9">
        <v>911</v>
      </c>
      <c r="H4813" s="5" t="s">
        <v>21</v>
      </c>
      <c r="I4813" s="5" t="s">
        <v>10920</v>
      </c>
      <c r="J4813" s="12" t="str">
        <f>HYPERLINK("https://www.boe.es/gazeta/dias/1801/08/25/pdfs/GMD-1801-81.pdf#page=8","Abrir facsímil")</f>
        <v>Abrir facsímil</v>
      </c>
      <c r="K4813" s="15" t="s">
        <v>23</v>
      </c>
    </row>
    <row r="4814" spans="1:11" ht="42" customHeight="1">
      <c r="A4814" s="4" t="s">
        <v>10921</v>
      </c>
      <c r="B4814" s="5" t="s">
        <v>10922</v>
      </c>
      <c r="C4814" s="5" t="s">
        <v>26</v>
      </c>
      <c r="D4814" s="5" t="s">
        <v>27</v>
      </c>
      <c r="E4814" s="5" t="s">
        <v>94</v>
      </c>
      <c r="F4814" s="9">
        <v>19</v>
      </c>
      <c r="G4814" s="9">
        <v>255</v>
      </c>
      <c r="H4814" s="5" t="s">
        <v>21</v>
      </c>
      <c r="I4814" s="5" t="s">
        <v>10923</v>
      </c>
      <c r="J4814" s="12" t="str">
        <f>HYPERLINK("https://www.boe.es/gazeta/dias/1801/03/06/pdfs/GMD-C-1801-19.pdf#page=8","Abrir facsímil")</f>
        <v>Abrir facsímil</v>
      </c>
      <c r="K4814" s="15" t="s">
        <v>23</v>
      </c>
    </row>
    <row r="4815" spans="1:11" ht="42" customHeight="1">
      <c r="A4815" s="4" t="s">
        <v>10924</v>
      </c>
      <c r="B4815" s="5" t="s">
        <v>10925</v>
      </c>
      <c r="C4815" s="5" t="s">
        <v>26</v>
      </c>
      <c r="D4815" s="5" t="s">
        <v>27</v>
      </c>
      <c r="E4815" s="5" t="s">
        <v>702</v>
      </c>
      <c r="F4815" s="9">
        <v>69</v>
      </c>
      <c r="G4815" s="9">
        <v>767</v>
      </c>
      <c r="H4815" s="5" t="s">
        <v>21</v>
      </c>
      <c r="I4815" s="5" t="s">
        <v>10926</v>
      </c>
      <c r="J4815" s="12" t="str">
        <f>HYPERLINK("https://www.boe.es/gazeta/dias/1801/07/14/pdfs/GMD-1801-69.pdf#page=12","Abrir facsímil")</f>
        <v>Abrir facsímil</v>
      </c>
      <c r="K4815" s="15" t="s">
        <v>23</v>
      </c>
    </row>
    <row r="4816" spans="1:11" ht="42" customHeight="1">
      <c r="A4816" s="4" t="s">
        <v>10927</v>
      </c>
      <c r="B4816" s="5" t="s">
        <v>10928</v>
      </c>
      <c r="C4816" s="5" t="s">
        <v>32</v>
      </c>
      <c r="D4816" s="5" t="s">
        <v>33</v>
      </c>
      <c r="E4816" s="5" t="s">
        <v>151</v>
      </c>
      <c r="F4816" s="9">
        <v>45</v>
      </c>
      <c r="G4816" s="9">
        <v>563</v>
      </c>
      <c r="H4816" s="5" t="s">
        <v>21</v>
      </c>
      <c r="I4816" s="5" t="s">
        <v>10929</v>
      </c>
      <c r="J4816" s="12" t="str">
        <f>HYPERLINK("https://www.boe.es/gazeta/dias/1801/06/02/pdfs/GMD-1801-45.pdf#page=11","Abrir facsímil")</f>
        <v>Abrir facsímil</v>
      </c>
      <c r="K4816" s="15" t="s">
        <v>23</v>
      </c>
    </row>
    <row r="4817" spans="1:11" ht="42" customHeight="1">
      <c r="A4817" s="4" t="s">
        <v>10927</v>
      </c>
      <c r="B4817" s="5" t="s">
        <v>10928</v>
      </c>
      <c r="C4817" s="5" t="s">
        <v>32</v>
      </c>
      <c r="D4817" s="5" t="s">
        <v>33</v>
      </c>
      <c r="E4817" s="5" t="s">
        <v>251</v>
      </c>
      <c r="F4817" s="9">
        <v>66</v>
      </c>
      <c r="G4817" s="9">
        <v>743</v>
      </c>
      <c r="H4817" s="5" t="s">
        <v>21</v>
      </c>
      <c r="I4817" s="5" t="s">
        <v>10930</v>
      </c>
      <c r="J4817" s="12" t="str">
        <f>HYPERLINK("https://www.boe.es/gazeta/dias/1801/07/10/pdfs/GMD-1801-66.pdf#page=8","Abrir facsímil")</f>
        <v>Abrir facsímil</v>
      </c>
      <c r="K4817" s="15" t="s">
        <v>23</v>
      </c>
    </row>
    <row r="4818" spans="1:11" ht="42" customHeight="1">
      <c r="A4818" s="4" t="s">
        <v>10931</v>
      </c>
      <c r="B4818" s="5" t="s">
        <v>10932</v>
      </c>
      <c r="C4818" s="5" t="s">
        <v>75</v>
      </c>
      <c r="D4818" s="5" t="s">
        <v>76</v>
      </c>
      <c r="E4818" s="5" t="s">
        <v>120</v>
      </c>
      <c r="F4818" s="9">
        <v>7</v>
      </c>
      <c r="G4818" s="9">
        <v>82</v>
      </c>
      <c r="H4818" s="5" t="s">
        <v>21</v>
      </c>
      <c r="I4818" s="5" t="s">
        <v>10933</v>
      </c>
      <c r="J4818" s="12" t="str">
        <f>HYPERLINK("https://www.boe.es/gazeta/dias/1801/01/23/pdfs/GMD-1801-7.pdf#page=6","Abrir facsímil")</f>
        <v>Abrir facsímil</v>
      </c>
      <c r="K4818" s="15" t="s">
        <v>23</v>
      </c>
    </row>
    <row r="4819" spans="1:11" ht="42" customHeight="1">
      <c r="A4819" s="4" t="s">
        <v>10934</v>
      </c>
      <c r="B4819" s="5" t="s">
        <v>10935</v>
      </c>
      <c r="C4819" s="5" t="s">
        <v>38</v>
      </c>
      <c r="D4819" s="5" t="s">
        <v>39</v>
      </c>
      <c r="E4819" s="5" t="s">
        <v>919</v>
      </c>
      <c r="F4819" s="9">
        <v>91</v>
      </c>
      <c r="G4819" s="9">
        <v>1004</v>
      </c>
      <c r="H4819" s="5" t="s">
        <v>21</v>
      </c>
      <c r="I4819" s="5" t="s">
        <v>10936</v>
      </c>
      <c r="J4819" s="12" t="str">
        <f>HYPERLINK("https://www.boe.es/gazeta/dias/1801/09/22/pdfs/GMD-1801-91.pdf#page=7","Abrir facsímil")</f>
        <v>Abrir facsímil</v>
      </c>
      <c r="K4819" s="15" t="s">
        <v>23</v>
      </c>
    </row>
    <row r="4820" spans="1:11" ht="42" customHeight="1">
      <c r="A4820" s="4" t="s">
        <v>10937</v>
      </c>
      <c r="B4820" s="5" t="s">
        <v>10938</v>
      </c>
      <c r="C4820" s="5" t="s">
        <v>32</v>
      </c>
      <c r="D4820" s="5" t="s">
        <v>33</v>
      </c>
      <c r="E4820" s="5" t="s">
        <v>453</v>
      </c>
      <c r="F4820" s="9">
        <v>100</v>
      </c>
      <c r="G4820" s="9">
        <v>1101</v>
      </c>
      <c r="H4820" s="5" t="s">
        <v>21</v>
      </c>
      <c r="I4820" s="5" t="s">
        <v>10939</v>
      </c>
      <c r="J4820" s="12" t="str">
        <f>HYPERLINK("https://www.boe.es/gazeta/dias/1801/10/23/pdfs/GMD-1801-100.pdf#page=10","Abrir facsímil")</f>
        <v>Abrir facsímil</v>
      </c>
      <c r="K4820" s="15" t="s">
        <v>23</v>
      </c>
    </row>
    <row r="4821" spans="1:11" ht="42" customHeight="1">
      <c r="A4821" s="4" t="s">
        <v>10940</v>
      </c>
      <c r="B4821" s="5" t="s">
        <v>10941</v>
      </c>
      <c r="C4821" s="5" t="s">
        <v>69</v>
      </c>
      <c r="D4821" s="5" t="s">
        <v>19</v>
      </c>
      <c r="E4821" s="5" t="s">
        <v>151</v>
      </c>
      <c r="F4821" s="9">
        <v>45</v>
      </c>
      <c r="G4821" s="9">
        <v>560</v>
      </c>
      <c r="H4821" s="5" t="s">
        <v>21</v>
      </c>
      <c r="I4821" s="5" t="s">
        <v>10942</v>
      </c>
      <c r="J4821" s="12" t="str">
        <f>HYPERLINK("https://www.boe.es/gazeta/dias/1801/06/02/pdfs/GMD-1801-45.pdf#page=8","Abrir facsímil")</f>
        <v>Abrir facsímil</v>
      </c>
      <c r="K4821" s="15" t="s">
        <v>23</v>
      </c>
    </row>
    <row r="4822" spans="1:11" ht="42" customHeight="1">
      <c r="A4822" s="4" t="s">
        <v>10943</v>
      </c>
      <c r="B4822" s="5" t="s">
        <v>10944</v>
      </c>
      <c r="C4822" s="5" t="s">
        <v>18</v>
      </c>
      <c r="D4822" s="5" t="s">
        <v>19</v>
      </c>
      <c r="E4822" s="5" t="s">
        <v>702</v>
      </c>
      <c r="F4822" s="9">
        <v>69</v>
      </c>
      <c r="G4822" s="9">
        <v>765</v>
      </c>
      <c r="H4822" s="5" t="s">
        <v>21</v>
      </c>
      <c r="I4822" s="5" t="s">
        <v>10945</v>
      </c>
      <c r="J4822" s="12" t="str">
        <f>HYPERLINK("https://www.boe.es/gazeta/dias/1801/07/14/pdfs/GMD-1801-69.pdf#page=10","Abrir facsímil")</f>
        <v>Abrir facsímil</v>
      </c>
      <c r="K4822" s="15" t="s">
        <v>23</v>
      </c>
    </row>
    <row r="4823" spans="1:11" ht="42" customHeight="1">
      <c r="A4823" s="4" t="s">
        <v>10946</v>
      </c>
      <c r="B4823" s="5" t="s">
        <v>10947</v>
      </c>
      <c r="C4823" s="5" t="s">
        <v>69</v>
      </c>
      <c r="D4823" s="5" t="s">
        <v>19</v>
      </c>
      <c r="E4823" s="5" t="s">
        <v>179</v>
      </c>
      <c r="F4823" s="9">
        <v>11</v>
      </c>
      <c r="G4823" s="9">
        <v>138</v>
      </c>
      <c r="H4823" s="5" t="s">
        <v>21</v>
      </c>
      <c r="I4823" s="5" t="s">
        <v>10948</v>
      </c>
      <c r="J4823" s="12" t="str">
        <f>HYPERLINK("https://www.boe.es/gazeta/dias/1801/02/06/pdfs/GMD-1801-11.pdf#page=11","Abrir facsímil")</f>
        <v>Abrir facsímil</v>
      </c>
      <c r="K4823" s="15" t="s">
        <v>23</v>
      </c>
    </row>
    <row r="4824" spans="1:11" ht="42" customHeight="1">
      <c r="A4824" s="4" t="s">
        <v>10949</v>
      </c>
      <c r="B4824" s="5" t="s">
        <v>10950</v>
      </c>
      <c r="C4824" s="5" t="s">
        <v>26</v>
      </c>
      <c r="D4824" s="5" t="s">
        <v>27</v>
      </c>
      <c r="E4824" s="5" t="s">
        <v>501</v>
      </c>
      <c r="F4824" s="9">
        <v>115</v>
      </c>
      <c r="G4824" s="9" t="s">
        <v>305</v>
      </c>
      <c r="H4824" s="5" t="s">
        <v>21</v>
      </c>
      <c r="I4824" s="5" t="s">
        <v>10951</v>
      </c>
      <c r="J4824" s="12" t="str">
        <f>HYPERLINK("https://www.boe.es/gazeta/dias/1801/12/15/pdfs/GMD-C-1801-115.pdf#page=4","Abrir facsímil")</f>
        <v>Abrir facsímil</v>
      </c>
      <c r="K4824" s="15" t="s">
        <v>23</v>
      </c>
    </row>
    <row r="4825" spans="1:11" ht="42" customHeight="1">
      <c r="A4825" s="4" t="s">
        <v>10952</v>
      </c>
      <c r="B4825" s="5" t="s">
        <v>10953</v>
      </c>
      <c r="C4825" s="5" t="s">
        <v>38</v>
      </c>
      <c r="D4825" s="5" t="s">
        <v>39</v>
      </c>
      <c r="E4825" s="5" t="s">
        <v>223</v>
      </c>
      <c r="F4825" s="9">
        <v>74</v>
      </c>
      <c r="G4825" s="9">
        <v>830</v>
      </c>
      <c r="H4825" s="5" t="s">
        <v>21</v>
      </c>
      <c r="I4825" s="5" t="s">
        <v>10954</v>
      </c>
      <c r="J4825" s="12" t="str">
        <f>HYPERLINK("https://www.boe.es/gazeta/dias/1801/07/31/pdfs/GMD-1801-74.pdf#page=11","Abrir facsímil")</f>
        <v>Abrir facsímil</v>
      </c>
      <c r="K4825" s="15" t="s">
        <v>23</v>
      </c>
    </row>
    <row r="4826" spans="1:11" ht="42" customHeight="1">
      <c r="A4826" s="4" t="s">
        <v>10955</v>
      </c>
      <c r="B4826" s="5" t="s">
        <v>10956</v>
      </c>
      <c r="C4826" s="5" t="s">
        <v>32</v>
      </c>
      <c r="D4826" s="5" t="s">
        <v>33</v>
      </c>
      <c r="E4826" s="5" t="s">
        <v>888</v>
      </c>
      <c r="F4826" s="9">
        <v>103</v>
      </c>
      <c r="G4826" s="9">
        <v>1136</v>
      </c>
      <c r="H4826" s="5" t="s">
        <v>21</v>
      </c>
      <c r="I4826" s="5" t="s">
        <v>10957</v>
      </c>
      <c r="J4826" s="12" t="str">
        <f>HYPERLINK("https://www.boe.es/gazeta/dias/1801/11/03/pdfs/GMD-1801-103.pdf#page=9","Abrir facsímil")</f>
        <v>Abrir facsímil</v>
      </c>
      <c r="K4826" s="15" t="s">
        <v>23</v>
      </c>
    </row>
    <row r="4827" spans="1:11" ht="42" customHeight="1">
      <c r="A4827" s="4" t="s">
        <v>10958</v>
      </c>
      <c r="B4827" s="5" t="s">
        <v>10959</v>
      </c>
      <c r="C4827" s="5" t="s">
        <v>32</v>
      </c>
      <c r="D4827" s="5" t="s">
        <v>33</v>
      </c>
      <c r="E4827" s="5" t="s">
        <v>378</v>
      </c>
      <c r="F4827" s="9">
        <v>23</v>
      </c>
      <c r="G4827" s="9">
        <v>306</v>
      </c>
      <c r="H4827" s="5" t="s">
        <v>21</v>
      </c>
      <c r="I4827" s="5" t="s">
        <v>10960</v>
      </c>
      <c r="J4827" s="12" t="str">
        <f>HYPERLINK("https://www.boe.es/gazeta/dias/1801/03/20/pdfs/GMD-1801-23.pdf#page=9","Abrir facsímil")</f>
        <v>Abrir facsímil</v>
      </c>
      <c r="K4827" s="15" t="s">
        <v>23</v>
      </c>
    </row>
    <row r="4828" spans="1:11" ht="42" customHeight="1">
      <c r="A4828" s="4" t="s">
        <v>10961</v>
      </c>
      <c r="B4828" s="5" t="s">
        <v>10962</v>
      </c>
      <c r="C4828" s="5" t="s">
        <v>32</v>
      </c>
      <c r="D4828" s="5" t="s">
        <v>33</v>
      </c>
      <c r="E4828" s="5" t="s">
        <v>194</v>
      </c>
      <c r="F4828" s="9">
        <v>92</v>
      </c>
      <c r="G4828" s="9">
        <v>1011</v>
      </c>
      <c r="H4828" s="5" t="s">
        <v>21</v>
      </c>
      <c r="I4828" s="5" t="s">
        <v>10963</v>
      </c>
      <c r="J4828" s="12" t="str">
        <f>HYPERLINK("https://www.boe.es/gazeta/dias/1801/09/25/pdfs/GMD-1801-92.pdf#page=6","Abrir facsímil")</f>
        <v>Abrir facsímil</v>
      </c>
      <c r="K4828" s="15" t="s">
        <v>23</v>
      </c>
    </row>
    <row r="4829" spans="1:11" ht="42" customHeight="1">
      <c r="A4829" s="4" t="s">
        <v>10964</v>
      </c>
      <c r="B4829" s="5" t="s">
        <v>10965</v>
      </c>
      <c r="C4829" s="5" t="s">
        <v>32</v>
      </c>
      <c r="D4829" s="5" t="s">
        <v>33</v>
      </c>
      <c r="E4829" s="5" t="s">
        <v>256</v>
      </c>
      <c r="F4829" s="9">
        <v>78</v>
      </c>
      <c r="G4829" s="9">
        <v>881</v>
      </c>
      <c r="H4829" s="5" t="s">
        <v>21</v>
      </c>
      <c r="I4829" s="5" t="s">
        <v>10966</v>
      </c>
      <c r="J4829" s="12" t="str">
        <f>HYPERLINK("https://www.boe.es/gazeta/dias/1801/08/14/pdfs/GMD-1801-78.pdf#page=10","Abrir facsímil")</f>
        <v>Abrir facsímil</v>
      </c>
      <c r="K4829" s="15" t="s">
        <v>23</v>
      </c>
    </row>
    <row r="4830" spans="1:11" ht="42" customHeight="1">
      <c r="A4830" s="4" t="s">
        <v>10967</v>
      </c>
      <c r="B4830" s="5" t="s">
        <v>10968</v>
      </c>
      <c r="C4830" s="5" t="s">
        <v>26</v>
      </c>
      <c r="D4830" s="5" t="s">
        <v>27</v>
      </c>
      <c r="E4830" s="5" t="s">
        <v>615</v>
      </c>
      <c r="F4830" s="9">
        <v>72</v>
      </c>
      <c r="G4830" s="9">
        <v>806</v>
      </c>
      <c r="H4830" s="5" t="s">
        <v>21</v>
      </c>
      <c r="I4830" s="5" t="s">
        <v>10969</v>
      </c>
      <c r="J4830" s="12" t="str">
        <f>HYPERLINK("https://www.boe.es/gazeta/dias/1801/07/24/pdfs/GMD-1801-72.pdf#page=11","Abrir facsímil")</f>
        <v>Abrir facsímil</v>
      </c>
      <c r="K4830" s="15" t="s">
        <v>23</v>
      </c>
    </row>
    <row r="4831" spans="1:11" ht="42" customHeight="1">
      <c r="A4831" s="4" t="s">
        <v>10970</v>
      </c>
      <c r="B4831" s="5" t="s">
        <v>10971</v>
      </c>
      <c r="C4831" s="5" t="s">
        <v>32</v>
      </c>
      <c r="D4831" s="5" t="s">
        <v>33</v>
      </c>
      <c r="E4831" s="5" t="s">
        <v>94</v>
      </c>
      <c r="F4831" s="9">
        <v>19</v>
      </c>
      <c r="G4831" s="9">
        <v>252</v>
      </c>
      <c r="H4831" s="5" t="s">
        <v>21</v>
      </c>
      <c r="I4831" s="5" t="s">
        <v>10972</v>
      </c>
      <c r="J4831" s="12" t="str">
        <f>HYPERLINK("https://www.boe.es/gazeta/dias/1801/03/06/pdfs/GMD-C-1801-19.pdf#page=5","Abrir facsímil")</f>
        <v>Abrir facsímil</v>
      </c>
      <c r="K4831" s="15" t="s">
        <v>23</v>
      </c>
    </row>
    <row r="4832" spans="1:11" ht="42" customHeight="1">
      <c r="A4832" s="4" t="s">
        <v>10970</v>
      </c>
      <c r="B4832" s="5" t="s">
        <v>10971</v>
      </c>
      <c r="C4832" s="5" t="s">
        <v>26</v>
      </c>
      <c r="D4832" s="5" t="s">
        <v>27</v>
      </c>
      <c r="E4832" s="5" t="s">
        <v>48</v>
      </c>
      <c r="F4832" s="9">
        <v>20</v>
      </c>
      <c r="G4832" s="9">
        <v>267</v>
      </c>
      <c r="H4832" s="5" t="s">
        <v>21</v>
      </c>
      <c r="I4832" s="5" t="s">
        <v>10973</v>
      </c>
      <c r="J4832" s="12" t="str">
        <f>HYPERLINK("https://www.boe.es/gazeta/dias/1801/03/10/pdfs/GMD-1801-20.pdf#page=12","Abrir facsímil")</f>
        <v>Abrir facsímil</v>
      </c>
      <c r="K4832" s="15" t="s">
        <v>23</v>
      </c>
    </row>
    <row r="4833" spans="1:11" ht="42" customHeight="1">
      <c r="A4833" s="4" t="s">
        <v>10970</v>
      </c>
      <c r="B4833" s="5" t="s">
        <v>10971</v>
      </c>
      <c r="C4833" s="5" t="s">
        <v>32</v>
      </c>
      <c r="D4833" s="5" t="s">
        <v>33</v>
      </c>
      <c r="E4833" s="5" t="s">
        <v>99</v>
      </c>
      <c r="F4833" s="9">
        <v>32</v>
      </c>
      <c r="G4833" s="9">
        <v>415</v>
      </c>
      <c r="H4833" s="5" t="s">
        <v>21</v>
      </c>
      <c r="I4833" s="5" t="s">
        <v>10974</v>
      </c>
      <c r="J4833" s="12" t="str">
        <f>HYPERLINK("https://www.boe.es/gazeta/dias/1801/04/21/pdfs/GMD-1801-32.pdf#page=11","Abrir facsímil")</f>
        <v>Abrir facsímil</v>
      </c>
      <c r="K4833" s="15" t="s">
        <v>23</v>
      </c>
    </row>
    <row r="4834" spans="1:11" ht="42" customHeight="1">
      <c r="A4834" s="4" t="s">
        <v>10970</v>
      </c>
      <c r="B4834" s="5" t="s">
        <v>10971</v>
      </c>
      <c r="C4834" s="5" t="s">
        <v>32</v>
      </c>
      <c r="D4834" s="5" t="s">
        <v>33</v>
      </c>
      <c r="E4834" s="5" t="s">
        <v>141</v>
      </c>
      <c r="F4834" s="9">
        <v>33</v>
      </c>
      <c r="G4834" s="9">
        <v>427</v>
      </c>
      <c r="H4834" s="5" t="s">
        <v>21</v>
      </c>
      <c r="I4834" s="5" t="s">
        <v>10975</v>
      </c>
      <c r="J4834" s="12" t="str">
        <f>HYPERLINK("https://www.boe.es/gazeta/dias/1801/04/24/pdfs/GMD-1801-33.pdf#page=11","Abrir facsímil")</f>
        <v>Abrir facsímil</v>
      </c>
      <c r="K4834" s="15" t="s">
        <v>23</v>
      </c>
    </row>
    <row r="4835" spans="1:11" ht="42" customHeight="1">
      <c r="A4835" s="4" t="s">
        <v>10970</v>
      </c>
      <c r="B4835" s="5" t="s">
        <v>10971</v>
      </c>
      <c r="C4835" s="5" t="s">
        <v>32</v>
      </c>
      <c r="D4835" s="5" t="s">
        <v>33</v>
      </c>
      <c r="E4835" s="5" t="s">
        <v>161</v>
      </c>
      <c r="F4835" s="9">
        <v>58</v>
      </c>
      <c r="G4835" s="9">
        <v>665</v>
      </c>
      <c r="H4835" s="5" t="s">
        <v>21</v>
      </c>
      <c r="I4835" s="5" t="s">
        <v>10976</v>
      </c>
      <c r="J4835" s="12" t="str">
        <f>HYPERLINK("https://www.boe.es/gazeta/dias/1801/06/19/pdfs/GMD-1801-58.pdf#page=10","Abrir facsímil")</f>
        <v>Abrir facsímil</v>
      </c>
      <c r="K4835" s="15" t="s">
        <v>23</v>
      </c>
    </row>
    <row r="4836" spans="1:11" ht="42" customHeight="1">
      <c r="A4836" s="4" t="s">
        <v>10970</v>
      </c>
      <c r="B4836" s="5" t="s">
        <v>10971</v>
      </c>
      <c r="C4836" s="5" t="s">
        <v>32</v>
      </c>
      <c r="D4836" s="5" t="s">
        <v>33</v>
      </c>
      <c r="E4836" s="5" t="s">
        <v>165</v>
      </c>
      <c r="F4836" s="9">
        <v>59</v>
      </c>
      <c r="G4836" s="9">
        <v>677</v>
      </c>
      <c r="H4836" s="5" t="s">
        <v>21</v>
      </c>
      <c r="I4836" s="5" t="s">
        <v>10977</v>
      </c>
      <c r="J4836" s="12" t="str">
        <f>HYPERLINK("https://www.boe.es/gazeta/dias/1801/06/23/pdfs/GMD-1801-59.pdf#page=10","Abrir facsímil")</f>
        <v>Abrir facsímil</v>
      </c>
      <c r="K4836" s="15" t="s">
        <v>23</v>
      </c>
    </row>
    <row r="4837" spans="1:11" ht="42" customHeight="1">
      <c r="A4837" s="4" t="s">
        <v>10970</v>
      </c>
      <c r="B4837" s="5" t="s">
        <v>10971</v>
      </c>
      <c r="C4837" s="5" t="s">
        <v>32</v>
      </c>
      <c r="D4837" s="5" t="s">
        <v>33</v>
      </c>
      <c r="E4837" s="5" t="s">
        <v>108</v>
      </c>
      <c r="F4837" s="9">
        <v>61</v>
      </c>
      <c r="G4837" s="9">
        <v>698</v>
      </c>
      <c r="H4837" s="5" t="s">
        <v>21</v>
      </c>
      <c r="I4837" s="5" t="s">
        <v>10978</v>
      </c>
      <c r="J4837" s="12" t="str">
        <f>HYPERLINK("https://www.boe.es/gazeta/dias/1801/06/30/pdfs/GMD-1801-61.pdf#page=7","Abrir facsímil")</f>
        <v>Abrir facsímil</v>
      </c>
      <c r="K4837" s="15" t="s">
        <v>23</v>
      </c>
    </row>
    <row r="4838" spans="1:11" ht="42" customHeight="1">
      <c r="A4838" s="4" t="s">
        <v>10970</v>
      </c>
      <c r="B4838" s="5" t="s">
        <v>10971</v>
      </c>
      <c r="C4838" s="5" t="s">
        <v>18</v>
      </c>
      <c r="D4838" s="5" t="s">
        <v>19</v>
      </c>
      <c r="E4838" s="5" t="s">
        <v>215</v>
      </c>
      <c r="F4838" s="9">
        <v>71</v>
      </c>
      <c r="G4838" s="9">
        <v>790</v>
      </c>
      <c r="H4838" s="5" t="s">
        <v>21</v>
      </c>
      <c r="I4838" s="5" t="s">
        <v>10979</v>
      </c>
      <c r="J4838" s="12" t="str">
        <f>HYPERLINK("https://www.boe.es/gazeta/dias/1801/07/21/pdfs/GMD-1801-71.pdf#page=11","Abrir facsímil")</f>
        <v>Abrir facsímil</v>
      </c>
      <c r="K4838" s="15" t="s">
        <v>23</v>
      </c>
    </row>
    <row r="4839" spans="1:11" ht="42" customHeight="1">
      <c r="A4839" s="4" t="s">
        <v>10970</v>
      </c>
      <c r="B4839" s="5" t="s">
        <v>10971</v>
      </c>
      <c r="C4839" s="5" t="s">
        <v>18</v>
      </c>
      <c r="D4839" s="5" t="s">
        <v>19</v>
      </c>
      <c r="E4839" s="5" t="s">
        <v>201</v>
      </c>
      <c r="F4839" s="9">
        <v>79</v>
      </c>
      <c r="G4839" s="9">
        <v>890</v>
      </c>
      <c r="H4839" s="5" t="s">
        <v>21</v>
      </c>
      <c r="I4839" s="5" t="s">
        <v>10980</v>
      </c>
      <c r="J4839" s="12" t="str">
        <f>HYPERLINK("https://www.boe.es/gazeta/dias/1801/08/18/pdfs/GMD-1801-79.pdf#page=7","Abrir facsímil")</f>
        <v>Abrir facsímil</v>
      </c>
      <c r="K4839" s="15" t="s">
        <v>23</v>
      </c>
    </row>
    <row r="4840" spans="1:11" ht="42" customHeight="1">
      <c r="A4840" s="4" t="s">
        <v>10970</v>
      </c>
      <c r="B4840" s="5" t="s">
        <v>10971</v>
      </c>
      <c r="C4840" s="5" t="s">
        <v>32</v>
      </c>
      <c r="D4840" s="5" t="s">
        <v>33</v>
      </c>
      <c r="E4840" s="5" t="s">
        <v>919</v>
      </c>
      <c r="F4840" s="9">
        <v>91</v>
      </c>
      <c r="G4840" s="9">
        <v>1005</v>
      </c>
      <c r="H4840" s="5" t="s">
        <v>21</v>
      </c>
      <c r="I4840" s="5" t="s">
        <v>10981</v>
      </c>
      <c r="J4840" s="12" t="str">
        <f>HYPERLINK("https://www.boe.es/gazeta/dias/1801/09/22/pdfs/GMD-1801-91.pdf#page=8","Abrir facsímil")</f>
        <v>Abrir facsímil</v>
      </c>
      <c r="K4840" s="15" t="s">
        <v>23</v>
      </c>
    </row>
    <row r="4841" spans="1:11" ht="42" customHeight="1">
      <c r="A4841" s="4" t="s">
        <v>10970</v>
      </c>
      <c r="B4841" s="5" t="s">
        <v>10971</v>
      </c>
      <c r="C4841" s="5" t="s">
        <v>18</v>
      </c>
      <c r="D4841" s="5" t="s">
        <v>19</v>
      </c>
      <c r="E4841" s="5" t="s">
        <v>735</v>
      </c>
      <c r="F4841" s="9">
        <v>97</v>
      </c>
      <c r="G4841" s="9">
        <v>1066</v>
      </c>
      <c r="H4841" s="5" t="s">
        <v>21</v>
      </c>
      <c r="I4841" s="5" t="s">
        <v>10982</v>
      </c>
      <c r="J4841" s="12" t="str">
        <f>HYPERLINK("https://www.boe.es/gazeta/dias/1801/10/13/pdfs/GMD-1801-97.pdf#page=10","Abrir facsímil")</f>
        <v>Abrir facsímil</v>
      </c>
      <c r="K4841" s="15" t="s">
        <v>23</v>
      </c>
    </row>
    <row r="4842" spans="1:11" ht="42" customHeight="1">
      <c r="A4842" s="4" t="s">
        <v>10970</v>
      </c>
      <c r="B4842" s="5" t="s">
        <v>10971</v>
      </c>
      <c r="C4842" s="5" t="s">
        <v>18</v>
      </c>
      <c r="D4842" s="5" t="s">
        <v>19</v>
      </c>
      <c r="E4842" s="5" t="s">
        <v>55</v>
      </c>
      <c r="F4842" s="9">
        <v>104</v>
      </c>
      <c r="G4842" s="9">
        <v>1146</v>
      </c>
      <c r="H4842" s="5" t="s">
        <v>21</v>
      </c>
      <c r="I4842" s="5" t="s">
        <v>10983</v>
      </c>
      <c r="J4842" s="12" t="str">
        <f>HYPERLINK("https://www.boe.es/gazeta/dias/1801/11/06/pdfs/GMD-1801-104.pdf#page=7","Abrir facsímil")</f>
        <v>Abrir facsímil</v>
      </c>
      <c r="K4842" s="15" t="s">
        <v>23</v>
      </c>
    </row>
    <row r="4843" spans="1:11" ht="42" customHeight="1">
      <c r="A4843" s="4" t="s">
        <v>10984</v>
      </c>
      <c r="B4843" s="5" t="s">
        <v>10985</v>
      </c>
      <c r="C4843" s="5" t="s">
        <v>32</v>
      </c>
      <c r="D4843" s="5" t="s">
        <v>33</v>
      </c>
      <c r="E4843" s="5" t="s">
        <v>182</v>
      </c>
      <c r="F4843" s="9">
        <v>18</v>
      </c>
      <c r="G4843" s="9">
        <v>232</v>
      </c>
      <c r="H4843" s="5" t="s">
        <v>21</v>
      </c>
      <c r="I4843" s="5" t="s">
        <v>10986</v>
      </c>
      <c r="J4843" s="12" t="str">
        <f>HYPERLINK("https://www.boe.es/gazeta/dias/1801/03/03/pdfs/GMD-C-1801-18.pdf#page=1","Abrir facsímil")</f>
        <v>Abrir facsímil</v>
      </c>
      <c r="K4843" s="15" t="s">
        <v>23</v>
      </c>
    </row>
    <row r="4844" spans="1:11" ht="42" customHeight="1">
      <c r="A4844" s="4" t="s">
        <v>10987</v>
      </c>
      <c r="B4844" s="5" t="s">
        <v>10988</v>
      </c>
      <c r="C4844" s="5" t="s">
        <v>18</v>
      </c>
      <c r="D4844" s="5" t="s">
        <v>19</v>
      </c>
      <c r="E4844" s="5" t="s">
        <v>151</v>
      </c>
      <c r="F4844" s="9">
        <v>45</v>
      </c>
      <c r="G4844" s="9">
        <v>563</v>
      </c>
      <c r="H4844" s="5" t="s">
        <v>21</v>
      </c>
      <c r="I4844" s="5" t="s">
        <v>10989</v>
      </c>
      <c r="J4844" s="12" t="str">
        <f>HYPERLINK("https://www.boe.es/gazeta/dias/1801/06/02/pdfs/GMD-1801-45.pdf#page=11","Abrir facsímil")</f>
        <v>Abrir facsímil</v>
      </c>
      <c r="K4844" s="15" t="s">
        <v>23</v>
      </c>
    </row>
    <row r="4845" spans="1:11" ht="42" customHeight="1">
      <c r="A4845" s="4" t="s">
        <v>10990</v>
      </c>
      <c r="B4845" s="5" t="s">
        <v>10991</v>
      </c>
      <c r="C4845" s="5" t="s">
        <v>69</v>
      </c>
      <c r="D4845" s="5" t="s">
        <v>19</v>
      </c>
      <c r="E4845" s="5" t="s">
        <v>145</v>
      </c>
      <c r="F4845" s="9">
        <v>36</v>
      </c>
      <c r="G4845" s="9">
        <v>467</v>
      </c>
      <c r="H4845" s="5" t="s">
        <v>21</v>
      </c>
      <c r="I4845" s="5" t="s">
        <v>10992</v>
      </c>
      <c r="J4845" s="12" t="str">
        <f>HYPERLINK("https://www.boe.es/gazeta/dias/1801/05/05/pdfs/GMD-1801-36.pdf#page=11","Abrir facsímil")</f>
        <v>Abrir facsímil</v>
      </c>
      <c r="K4845" s="15" t="s">
        <v>23</v>
      </c>
    </row>
    <row r="4846" spans="1:11" ht="42" customHeight="1">
      <c r="A4846" s="4" t="s">
        <v>10993</v>
      </c>
      <c r="B4846" s="5" t="s">
        <v>10994</v>
      </c>
      <c r="C4846" s="5" t="s">
        <v>69</v>
      </c>
      <c r="D4846" s="5" t="s">
        <v>19</v>
      </c>
      <c r="E4846" s="5" t="s">
        <v>94</v>
      </c>
      <c r="F4846" s="9">
        <v>19</v>
      </c>
      <c r="G4846" s="9">
        <v>244</v>
      </c>
      <c r="H4846" s="5" t="s">
        <v>21</v>
      </c>
      <c r="I4846" s="5" t="s">
        <v>10995</v>
      </c>
      <c r="J4846" s="12" t="str">
        <f>HYPERLINK("https://www.boe.es/gazeta/dias/1801/03/06/pdfs/GMD-1801-19.pdf#page=9","Abrir facsímil")</f>
        <v>Abrir facsímil</v>
      </c>
      <c r="K4846" s="15" t="s">
        <v>23</v>
      </c>
    </row>
    <row r="4847" spans="1:11" ht="42" customHeight="1">
      <c r="A4847" s="4" t="s">
        <v>10996</v>
      </c>
      <c r="B4847" s="5" t="s">
        <v>10997</v>
      </c>
      <c r="C4847" s="5" t="s">
        <v>38</v>
      </c>
      <c r="D4847" s="5" t="s">
        <v>39</v>
      </c>
      <c r="E4847" s="5" t="s">
        <v>112</v>
      </c>
      <c r="F4847" s="9">
        <v>114</v>
      </c>
      <c r="G4847" s="9">
        <v>1246</v>
      </c>
      <c r="H4847" s="5" t="s">
        <v>21</v>
      </c>
      <c r="I4847" s="5" t="s">
        <v>10998</v>
      </c>
      <c r="J4847" s="12" t="str">
        <f>HYPERLINK("https://www.boe.es/gazeta/dias/1801/12/11/pdfs/GMD-1801-114.pdf#page=8","Abrir facsímil")</f>
        <v>Abrir facsímil</v>
      </c>
      <c r="K4847" s="15" t="s">
        <v>23</v>
      </c>
    </row>
    <row r="4848" spans="1:11" ht="42" customHeight="1">
      <c r="A4848" s="4" t="s">
        <v>10999</v>
      </c>
      <c r="B4848" s="5" t="s">
        <v>11000</v>
      </c>
      <c r="C4848" s="5" t="s">
        <v>32</v>
      </c>
      <c r="D4848" s="5" t="s">
        <v>33</v>
      </c>
      <c r="E4848" s="5" t="s">
        <v>161</v>
      </c>
      <c r="F4848" s="9">
        <v>58</v>
      </c>
      <c r="G4848" s="9">
        <v>664</v>
      </c>
      <c r="H4848" s="5" t="s">
        <v>21</v>
      </c>
      <c r="I4848" s="5" t="s">
        <v>11001</v>
      </c>
      <c r="J4848" s="12" t="str">
        <f>HYPERLINK("https://www.boe.es/gazeta/dias/1801/06/19/pdfs/GMD-1801-58.pdf#page=9","Abrir facsímil")</f>
        <v>Abrir facsímil</v>
      </c>
      <c r="K4848" s="15" t="s">
        <v>23</v>
      </c>
    </row>
    <row r="4849" spans="1:11" ht="42" customHeight="1">
      <c r="A4849" s="4" t="s">
        <v>11002</v>
      </c>
      <c r="B4849" s="5" t="s">
        <v>11003</v>
      </c>
      <c r="C4849" s="5" t="s">
        <v>32</v>
      </c>
      <c r="D4849" s="5" t="s">
        <v>33</v>
      </c>
      <c r="E4849" s="5" t="s">
        <v>105</v>
      </c>
      <c r="F4849" s="9">
        <v>44</v>
      </c>
      <c r="G4849" s="9">
        <v>548</v>
      </c>
      <c r="H4849" s="5" t="s">
        <v>21</v>
      </c>
      <c r="I4849" s="5" t="s">
        <v>11004</v>
      </c>
      <c r="J4849" s="12" t="str">
        <f>HYPERLINK("https://www.boe.es/gazeta/dias/1801/05/29/pdfs/GMD-1801-44.pdf#page=8","Abrir facsímil")</f>
        <v>Abrir facsímil</v>
      </c>
      <c r="K4849" s="15" t="s">
        <v>23</v>
      </c>
    </row>
    <row r="4850" spans="1:11" ht="42" customHeight="1">
      <c r="A4850" s="4" t="s">
        <v>11005</v>
      </c>
      <c r="B4850" s="5" t="s">
        <v>11006</v>
      </c>
      <c r="C4850" s="5" t="s">
        <v>32</v>
      </c>
      <c r="D4850" s="5" t="s">
        <v>33</v>
      </c>
      <c r="E4850" s="5" t="s">
        <v>712</v>
      </c>
      <c r="F4850" s="9">
        <v>105</v>
      </c>
      <c r="G4850" s="9">
        <v>1155</v>
      </c>
      <c r="H4850" s="5" t="s">
        <v>21</v>
      </c>
      <c r="I4850" s="5" t="s">
        <v>11007</v>
      </c>
      <c r="J4850" s="12" t="str">
        <f>HYPERLINK("https://www.boe.es/gazeta/dias/1801/11/10/pdfs/GMD-1801-105.pdf#page=8","Abrir facsímil")</f>
        <v>Abrir facsímil</v>
      </c>
      <c r="K4850" s="15" t="s">
        <v>23</v>
      </c>
    </row>
    <row r="4851" spans="1:11" ht="42" customHeight="1">
      <c r="A4851" s="4" t="s">
        <v>11008</v>
      </c>
      <c r="B4851" s="5" t="s">
        <v>11009</v>
      </c>
      <c r="C4851" s="5" t="s">
        <v>32</v>
      </c>
      <c r="D4851" s="5" t="s">
        <v>33</v>
      </c>
      <c r="E4851" s="5" t="s">
        <v>256</v>
      </c>
      <c r="F4851" s="9">
        <v>78</v>
      </c>
      <c r="G4851" s="9">
        <v>882</v>
      </c>
      <c r="H4851" s="5" t="s">
        <v>21</v>
      </c>
      <c r="I4851" s="5" t="s">
        <v>11010</v>
      </c>
      <c r="J4851" s="12" t="str">
        <f>HYPERLINK("https://www.boe.es/gazeta/dias/1801/08/14/pdfs/GMD-1801-78.pdf#page=11","Abrir facsímil")</f>
        <v>Abrir facsímil</v>
      </c>
      <c r="K4851" s="15" t="s">
        <v>23</v>
      </c>
    </row>
    <row r="4852" spans="1:11" ht="42" customHeight="1">
      <c r="A4852" s="4" t="s">
        <v>11011</v>
      </c>
      <c r="B4852" s="5" t="s">
        <v>11012</v>
      </c>
      <c r="C4852" s="5" t="s">
        <v>18</v>
      </c>
      <c r="D4852" s="5" t="s">
        <v>19</v>
      </c>
      <c r="E4852" s="5" t="s">
        <v>1436</v>
      </c>
      <c r="F4852" s="9">
        <v>95</v>
      </c>
      <c r="G4852" s="9">
        <v>1043</v>
      </c>
      <c r="H4852" s="5" t="s">
        <v>21</v>
      </c>
      <c r="I4852" s="5" t="s">
        <v>11013</v>
      </c>
      <c r="J4852" s="12" t="str">
        <f>HYPERLINK("https://www.boe.es/gazeta/dias/1801/10/06/pdfs/GMD-1801-95.pdf#page=7","Abrir facsímil")</f>
        <v>Abrir facsímil</v>
      </c>
      <c r="K4852" s="15" t="s">
        <v>23</v>
      </c>
    </row>
    <row r="4853" spans="1:11" ht="42" customHeight="1">
      <c r="A4853" s="4" t="s">
        <v>11014</v>
      </c>
      <c r="B4853" s="5" t="s">
        <v>11015</v>
      </c>
      <c r="C4853" s="5" t="s">
        <v>26</v>
      </c>
      <c r="D4853" s="5" t="s">
        <v>27</v>
      </c>
      <c r="E4853" s="5" t="s">
        <v>186</v>
      </c>
      <c r="F4853" s="9">
        <v>21</v>
      </c>
      <c r="G4853" s="9">
        <v>283</v>
      </c>
      <c r="H4853" s="5" t="s">
        <v>21</v>
      </c>
      <c r="I4853" s="5" t="s">
        <v>11016</v>
      </c>
      <c r="J4853" s="12" t="str">
        <f>HYPERLINK("https://www.boe.es/gazeta/dias/1801/03/13/pdfs/GMD-1801-21.pdf#page=12","Abrir facsímil")</f>
        <v>Abrir facsímil</v>
      </c>
      <c r="K4853" s="15" t="s">
        <v>23</v>
      </c>
    </row>
    <row r="4854" spans="1:11" ht="42" customHeight="1">
      <c r="A4854" s="4" t="s">
        <v>11017</v>
      </c>
      <c r="B4854" s="5" t="s">
        <v>11018</v>
      </c>
      <c r="C4854" s="5" t="s">
        <v>32</v>
      </c>
      <c r="D4854" s="5" t="s">
        <v>33</v>
      </c>
      <c r="E4854" s="5" t="s">
        <v>292</v>
      </c>
      <c r="F4854" s="9">
        <v>25</v>
      </c>
      <c r="G4854" s="9">
        <v>331</v>
      </c>
      <c r="H4854" s="5" t="s">
        <v>21</v>
      </c>
      <c r="I4854" s="5" t="s">
        <v>11019</v>
      </c>
      <c r="J4854" s="12" t="str">
        <f>HYPERLINK("https://www.boe.es/gazeta/dias/1801/03/27/pdfs/GMD-1801-25.pdf#page=10","Abrir facsímil")</f>
        <v>Abrir facsímil</v>
      </c>
      <c r="K4854" s="15" t="s">
        <v>23</v>
      </c>
    </row>
    <row r="4855" spans="1:11" ht="42" customHeight="1">
      <c r="A4855" s="4" t="s">
        <v>11020</v>
      </c>
      <c r="B4855" s="5" t="s">
        <v>11021</v>
      </c>
      <c r="C4855" s="5" t="s">
        <v>38</v>
      </c>
      <c r="D4855" s="5" t="s">
        <v>39</v>
      </c>
      <c r="E4855" s="5" t="s">
        <v>186</v>
      </c>
      <c r="F4855" s="9">
        <v>21</v>
      </c>
      <c r="G4855" s="9">
        <v>279</v>
      </c>
      <c r="H4855" s="5" t="s">
        <v>21</v>
      </c>
      <c r="I4855" s="5" t="s">
        <v>11022</v>
      </c>
      <c r="J4855" s="12" t="str">
        <f>HYPERLINK("https://www.boe.es/gazeta/dias/1801/03/13/pdfs/GMD-1801-21.pdf#page=8","Abrir facsímil")</f>
        <v>Abrir facsímil</v>
      </c>
      <c r="K4855" s="15" t="s">
        <v>23</v>
      </c>
    </row>
    <row r="4856" spans="1:11" ht="42" customHeight="1">
      <c r="A4856" s="4" t="s">
        <v>11023</v>
      </c>
      <c r="B4856" s="5" t="s">
        <v>11024</v>
      </c>
      <c r="C4856" s="5" t="s">
        <v>32</v>
      </c>
      <c r="D4856" s="5" t="s">
        <v>33</v>
      </c>
      <c r="E4856" s="5" t="s">
        <v>465</v>
      </c>
      <c r="F4856" s="9">
        <v>4</v>
      </c>
      <c r="G4856" s="9">
        <v>46</v>
      </c>
      <c r="H4856" s="5" t="s">
        <v>21</v>
      </c>
      <c r="I4856" s="5" t="s">
        <v>11025</v>
      </c>
      <c r="J4856" s="12" t="str">
        <f>HYPERLINK("https://www.boe.es/gazeta/dias/1801/01/13/pdfs/GMD-1801-4.pdf#page=10","Abrir facsímil")</f>
        <v>Abrir facsímil</v>
      </c>
      <c r="K4856" s="15" t="s">
        <v>23</v>
      </c>
    </row>
    <row r="4857" spans="1:11" ht="42" customHeight="1">
      <c r="A4857" s="4" t="s">
        <v>11026</v>
      </c>
      <c r="B4857" s="5" t="s">
        <v>11027</v>
      </c>
      <c r="C4857" s="5" t="s">
        <v>75</v>
      </c>
      <c r="D4857" s="5" t="s">
        <v>76</v>
      </c>
      <c r="E4857" s="5" t="s">
        <v>275</v>
      </c>
      <c r="F4857" s="9">
        <v>9</v>
      </c>
      <c r="G4857" s="9">
        <v>112</v>
      </c>
      <c r="H4857" s="5" t="s">
        <v>21</v>
      </c>
      <c r="I4857" s="5" t="s">
        <v>11028</v>
      </c>
      <c r="J4857" s="12" t="str">
        <f>HYPERLINK("https://www.boe.es/gazeta/dias/1801/01/30/pdfs/GMD-1801-9.pdf#page=9","Abrir facsímil")</f>
        <v>Abrir facsímil</v>
      </c>
      <c r="K4857" s="15" t="s">
        <v>23</v>
      </c>
    </row>
    <row r="4858" spans="1:11" ht="42" customHeight="1">
      <c r="A4858" s="4" t="s">
        <v>11029</v>
      </c>
      <c r="B4858" s="5" t="s">
        <v>11030</v>
      </c>
      <c r="C4858" s="5" t="s">
        <v>26</v>
      </c>
      <c r="D4858" s="5" t="s">
        <v>27</v>
      </c>
      <c r="E4858" s="5" t="s">
        <v>186</v>
      </c>
      <c r="F4858" s="9">
        <v>21</v>
      </c>
      <c r="G4858" s="9">
        <v>282</v>
      </c>
      <c r="H4858" s="5" t="s">
        <v>21</v>
      </c>
      <c r="I4858" s="5" t="s">
        <v>11031</v>
      </c>
      <c r="J4858" s="12" t="str">
        <f>HYPERLINK("https://www.boe.es/gazeta/dias/1801/03/13/pdfs/GMD-1801-21.pdf#page=11","Abrir facsímil")</f>
        <v>Abrir facsímil</v>
      </c>
      <c r="K4858" s="15" t="s">
        <v>23</v>
      </c>
    </row>
    <row r="4859" spans="1:11" ht="42" customHeight="1">
      <c r="A4859" s="4" t="s">
        <v>11032</v>
      </c>
      <c r="B4859" s="5" t="s">
        <v>11033</v>
      </c>
      <c r="C4859" s="5" t="s">
        <v>69</v>
      </c>
      <c r="D4859" s="5" t="s">
        <v>19</v>
      </c>
      <c r="E4859" s="5" t="s">
        <v>105</v>
      </c>
      <c r="F4859" s="9">
        <v>44</v>
      </c>
      <c r="G4859" s="9">
        <v>548</v>
      </c>
      <c r="H4859" s="5" t="s">
        <v>21</v>
      </c>
      <c r="I4859" s="5" t="s">
        <v>11034</v>
      </c>
      <c r="J4859" s="12" t="str">
        <f>HYPERLINK("https://www.boe.es/gazeta/dias/1801/05/29/pdfs/GMD-1801-44.pdf#page=8","Abrir facsímil")</f>
        <v>Abrir facsímil</v>
      </c>
      <c r="K4859" s="15" t="s">
        <v>23</v>
      </c>
    </row>
    <row r="4860" spans="1:11" ht="42" customHeight="1">
      <c r="A4860" s="4" t="s">
        <v>11035</v>
      </c>
      <c r="B4860" s="5" t="s">
        <v>11036</v>
      </c>
      <c r="C4860" s="5" t="s">
        <v>32</v>
      </c>
      <c r="D4860" s="5" t="s">
        <v>33</v>
      </c>
      <c r="E4860" s="5" t="s">
        <v>723</v>
      </c>
      <c r="F4860" s="9">
        <v>113</v>
      </c>
      <c r="G4860" s="9">
        <v>1234</v>
      </c>
      <c r="H4860" s="5" t="s">
        <v>21</v>
      </c>
      <c r="I4860" s="5" t="s">
        <v>11037</v>
      </c>
      <c r="J4860" s="12" t="str">
        <f>HYPERLINK("https://www.boe.es/gazeta/dias/1801/12/08/pdfs/GMD-1801-113.pdf#page=7","Abrir facsímil")</f>
        <v>Abrir facsímil</v>
      </c>
      <c r="K4860" s="15" t="s">
        <v>23</v>
      </c>
    </row>
    <row r="4861" spans="1:11" ht="42" customHeight="1">
      <c r="A4861" s="4" t="s">
        <v>11038</v>
      </c>
      <c r="B4861" s="5" t="s">
        <v>11039</v>
      </c>
      <c r="C4861" s="5" t="s">
        <v>38</v>
      </c>
      <c r="D4861" s="5" t="s">
        <v>39</v>
      </c>
      <c r="E4861" s="5" t="s">
        <v>211</v>
      </c>
      <c r="F4861" s="9">
        <v>87</v>
      </c>
      <c r="G4861" s="9">
        <v>966</v>
      </c>
      <c r="H4861" s="5" t="s">
        <v>21</v>
      </c>
      <c r="I4861" s="5" t="s">
        <v>11040</v>
      </c>
      <c r="J4861" s="12" t="str">
        <f>HYPERLINK("https://www.boe.es/gazeta/dias/1801/09/11/pdfs/GMD-1801-87.pdf#page=9","Abrir facsímil")</f>
        <v>Abrir facsímil</v>
      </c>
      <c r="K4861" s="15" t="s">
        <v>23</v>
      </c>
    </row>
    <row r="4862" spans="1:11" ht="42" customHeight="1">
      <c r="A4862" s="4" t="s">
        <v>11041</v>
      </c>
      <c r="B4862" s="5" t="s">
        <v>11042</v>
      </c>
      <c r="C4862" s="5" t="s">
        <v>32</v>
      </c>
      <c r="D4862" s="5" t="s">
        <v>33</v>
      </c>
      <c r="E4862" s="5" t="s">
        <v>615</v>
      </c>
      <c r="F4862" s="9">
        <v>72</v>
      </c>
      <c r="G4862" s="9">
        <v>804</v>
      </c>
      <c r="H4862" s="5" t="s">
        <v>21</v>
      </c>
      <c r="I4862" s="5" t="s">
        <v>11043</v>
      </c>
      <c r="J4862" s="12" t="str">
        <f>HYPERLINK("https://www.boe.es/gazeta/dias/1801/07/24/pdfs/GMD-1801-72.pdf#page=9","Abrir facsímil")</f>
        <v>Abrir facsímil</v>
      </c>
      <c r="K4862" s="15" t="s">
        <v>23</v>
      </c>
    </row>
    <row r="4863" spans="1:11" ht="42" customHeight="1">
      <c r="A4863" s="4" t="s">
        <v>11044</v>
      </c>
      <c r="B4863" s="5" t="s">
        <v>11045</v>
      </c>
      <c r="C4863" s="5" t="s">
        <v>75</v>
      </c>
      <c r="D4863" s="5" t="s">
        <v>76</v>
      </c>
      <c r="E4863" s="5" t="s">
        <v>94</v>
      </c>
      <c r="F4863" s="9">
        <v>19</v>
      </c>
      <c r="G4863" s="9">
        <v>246</v>
      </c>
      <c r="H4863" s="5" t="s">
        <v>21</v>
      </c>
      <c r="I4863" s="5" t="s">
        <v>11046</v>
      </c>
      <c r="J4863" s="12" t="str">
        <f>HYPERLINK("https://www.boe.es/gazeta/dias/1801/03/06/pdfs/GMD-1801-19.pdf#page=11","Abrir facsímil")</f>
        <v>Abrir facsímil</v>
      </c>
      <c r="K4863" s="15" t="s">
        <v>23</v>
      </c>
    </row>
    <row r="4864" spans="1:11" ht="42" customHeight="1">
      <c r="A4864" s="4" t="s">
        <v>11044</v>
      </c>
      <c r="B4864" s="5" t="s">
        <v>11045</v>
      </c>
      <c r="C4864" s="5" t="s">
        <v>18</v>
      </c>
      <c r="D4864" s="5" t="s">
        <v>19</v>
      </c>
      <c r="E4864" s="5" t="s">
        <v>48</v>
      </c>
      <c r="F4864" s="9">
        <v>20</v>
      </c>
      <c r="G4864" s="9">
        <v>269</v>
      </c>
      <c r="H4864" s="5" t="s">
        <v>21</v>
      </c>
      <c r="I4864" s="5" t="s">
        <v>11047</v>
      </c>
      <c r="J4864" s="12" t="str">
        <f>HYPERLINK("https://www.boe.es/gazeta/dias/1801/03/10/pdfs/GMD-1801-20.pdf#page=14","Abrir facsímil")</f>
        <v>Abrir facsímil</v>
      </c>
      <c r="K4864" s="15" t="s">
        <v>23</v>
      </c>
    </row>
    <row r="4865" spans="1:11" ht="42" customHeight="1">
      <c r="A4865" s="4" t="s">
        <v>11044</v>
      </c>
      <c r="B4865" s="5" t="s">
        <v>11045</v>
      </c>
      <c r="C4865" s="5" t="s">
        <v>80</v>
      </c>
      <c r="D4865" s="5" t="s">
        <v>81</v>
      </c>
      <c r="E4865" s="5" t="s">
        <v>289</v>
      </c>
      <c r="F4865" s="9">
        <v>40</v>
      </c>
      <c r="G4865" s="9" t="s">
        <v>517</v>
      </c>
      <c r="H4865" s="5" t="s">
        <v>21</v>
      </c>
      <c r="I4865" s="5" t="s">
        <v>11048</v>
      </c>
      <c r="J4865" s="12" t="str">
        <f>HYPERLINK("https://www.boe.es/gazeta/dias/1801/05/19/pdfs/GMD-C-1801-40.pdf#page=7","Abrir facsímil")</f>
        <v>Abrir facsímil</v>
      </c>
      <c r="K4865" s="15" t="s">
        <v>23</v>
      </c>
    </row>
    <row r="4866" spans="1:11" ht="42" customHeight="1">
      <c r="A4866" s="4" t="s">
        <v>11044</v>
      </c>
      <c r="B4866" s="5" t="s">
        <v>11045</v>
      </c>
      <c r="C4866" s="5" t="s">
        <v>32</v>
      </c>
      <c r="D4866" s="5" t="s">
        <v>33</v>
      </c>
      <c r="E4866" s="5" t="s">
        <v>171</v>
      </c>
      <c r="F4866" s="9">
        <v>76</v>
      </c>
      <c r="G4866" s="9">
        <v>852</v>
      </c>
      <c r="H4866" s="5" t="s">
        <v>21</v>
      </c>
      <c r="I4866" s="5" t="s">
        <v>11049</v>
      </c>
      <c r="J4866" s="12" t="str">
        <f>HYPERLINK("https://www.boe.es/gazeta/dias/1801/08/07/pdfs/GMD-1801-76.pdf#page=9","Abrir facsímil")</f>
        <v>Abrir facsímil</v>
      </c>
      <c r="K4866" s="15" t="s">
        <v>23</v>
      </c>
    </row>
    <row r="4867" spans="1:11" ht="42" customHeight="1">
      <c r="A4867" s="4" t="s">
        <v>11050</v>
      </c>
      <c r="B4867" s="5" t="s">
        <v>11051</v>
      </c>
      <c r="C4867" s="5" t="s">
        <v>80</v>
      </c>
      <c r="D4867" s="5" t="s">
        <v>81</v>
      </c>
      <c r="E4867" s="5" t="s">
        <v>289</v>
      </c>
      <c r="F4867" s="9">
        <v>40</v>
      </c>
      <c r="G4867" s="9" t="s">
        <v>299</v>
      </c>
      <c r="H4867" s="5" t="s">
        <v>21</v>
      </c>
      <c r="I4867" s="5" t="s">
        <v>11052</v>
      </c>
      <c r="J4867" s="12" t="str">
        <f>HYPERLINK("https://www.boe.es/gazeta/dias/1801/05/19/pdfs/GMD-C-1801-40.pdf#page=5","Abrir facsímil")</f>
        <v>Abrir facsímil</v>
      </c>
      <c r="K4867" s="15" t="s">
        <v>23</v>
      </c>
    </row>
    <row r="4868" spans="1:11" ht="42" customHeight="1">
      <c r="A4868" s="4" t="s">
        <v>11053</v>
      </c>
      <c r="B4868" s="5" t="s">
        <v>11054</v>
      </c>
      <c r="C4868" s="5" t="s">
        <v>80</v>
      </c>
      <c r="D4868" s="5" t="s">
        <v>81</v>
      </c>
      <c r="E4868" s="5" t="s">
        <v>289</v>
      </c>
      <c r="F4868" s="9">
        <v>40</v>
      </c>
      <c r="G4868" s="9" t="s">
        <v>86</v>
      </c>
      <c r="H4868" s="5" t="s">
        <v>21</v>
      </c>
      <c r="I4868" s="5" t="s">
        <v>11055</v>
      </c>
      <c r="J4868" s="12" t="str">
        <f>HYPERLINK("https://www.boe.es/gazeta/dias/1801/05/19/pdfs/GMD-C-1801-40.pdf#page=3","Abrir facsímil")</f>
        <v>Abrir facsímil</v>
      </c>
      <c r="K4868" s="15" t="s">
        <v>23</v>
      </c>
    </row>
    <row r="4869" spans="1:11" ht="42" customHeight="1">
      <c r="A4869" s="4" t="s">
        <v>11056</v>
      </c>
      <c r="B4869" s="5" t="s">
        <v>11057</v>
      </c>
      <c r="C4869" s="5" t="s">
        <v>32</v>
      </c>
      <c r="D4869" s="5" t="s">
        <v>33</v>
      </c>
      <c r="E4869" s="5" t="s">
        <v>179</v>
      </c>
      <c r="F4869" s="9">
        <v>11</v>
      </c>
      <c r="G4869" s="9">
        <v>138</v>
      </c>
      <c r="H4869" s="5" t="s">
        <v>21</v>
      </c>
      <c r="I4869" s="5" t="s">
        <v>11058</v>
      </c>
      <c r="J4869" s="12" t="str">
        <f>HYPERLINK("https://www.boe.es/gazeta/dias/1801/02/06/pdfs/GMD-1801-11.pdf#page=11","Abrir facsímil")</f>
        <v>Abrir facsímil</v>
      </c>
      <c r="K4869" s="15" t="s">
        <v>23</v>
      </c>
    </row>
    <row r="4870" spans="1:11" ht="42" customHeight="1">
      <c r="A4870" s="4" t="s">
        <v>11059</v>
      </c>
      <c r="B4870" s="5" t="s">
        <v>11060</v>
      </c>
      <c r="C4870" s="5" t="s">
        <v>32</v>
      </c>
      <c r="D4870" s="5" t="s">
        <v>33</v>
      </c>
      <c r="E4870" s="5" t="s">
        <v>186</v>
      </c>
      <c r="F4870" s="9">
        <v>21</v>
      </c>
      <c r="G4870" s="9">
        <v>279</v>
      </c>
      <c r="H4870" s="5" t="s">
        <v>21</v>
      </c>
      <c r="I4870" s="5" t="s">
        <v>11061</v>
      </c>
      <c r="J4870" s="12" t="str">
        <f>HYPERLINK("https://www.boe.es/gazeta/dias/1801/03/13/pdfs/GMD-1801-21.pdf#page=8","Abrir facsímil")</f>
        <v>Abrir facsímil</v>
      </c>
      <c r="K4870" s="15" t="s">
        <v>23</v>
      </c>
    </row>
    <row r="4871" spans="1:11" ht="42" customHeight="1">
      <c r="A4871" s="4" t="s">
        <v>11062</v>
      </c>
      <c r="B4871" s="5" t="s">
        <v>11063</v>
      </c>
      <c r="C4871" s="5" t="s">
        <v>32</v>
      </c>
      <c r="D4871" s="5" t="s">
        <v>33</v>
      </c>
      <c r="E4871" s="5" t="s">
        <v>219</v>
      </c>
      <c r="F4871" s="9">
        <v>26</v>
      </c>
      <c r="G4871" s="9">
        <v>346</v>
      </c>
      <c r="H4871" s="5" t="s">
        <v>21</v>
      </c>
      <c r="I4871" s="5" t="s">
        <v>11064</v>
      </c>
      <c r="J4871" s="12" t="str">
        <f>HYPERLINK("https://www.boe.es/gazeta/dias/1801/03/31/pdfs/GMD-1801-26.pdf#page=10","Abrir facsímil")</f>
        <v>Abrir facsímil</v>
      </c>
      <c r="K4871" s="15" t="s">
        <v>23</v>
      </c>
    </row>
    <row r="4872" spans="1:11" ht="42" customHeight="1">
      <c r="A4872" s="4" t="s">
        <v>11062</v>
      </c>
      <c r="B4872" s="5" t="s">
        <v>11063</v>
      </c>
      <c r="C4872" s="5" t="s">
        <v>32</v>
      </c>
      <c r="D4872" s="5" t="s">
        <v>33</v>
      </c>
      <c r="E4872" s="5" t="s">
        <v>615</v>
      </c>
      <c r="F4872" s="9">
        <v>72</v>
      </c>
      <c r="G4872" s="9">
        <v>804</v>
      </c>
      <c r="H4872" s="5" t="s">
        <v>21</v>
      </c>
      <c r="I4872" s="5" t="s">
        <v>11065</v>
      </c>
      <c r="J4872" s="12" t="str">
        <f>HYPERLINK("https://www.boe.es/gazeta/dias/1801/07/24/pdfs/GMD-1801-72.pdf#page=9","Abrir facsímil")</f>
        <v>Abrir facsímil</v>
      </c>
      <c r="K4872" s="15" t="s">
        <v>23</v>
      </c>
    </row>
    <row r="4873" spans="1:11" ht="42" customHeight="1">
      <c r="A4873" s="4" t="s">
        <v>11062</v>
      </c>
      <c r="B4873" s="5" t="s">
        <v>11063</v>
      </c>
      <c r="C4873" s="5" t="s">
        <v>32</v>
      </c>
      <c r="D4873" s="5" t="s">
        <v>33</v>
      </c>
      <c r="E4873" s="5" t="s">
        <v>723</v>
      </c>
      <c r="F4873" s="9">
        <v>113</v>
      </c>
      <c r="G4873" s="9">
        <v>1234</v>
      </c>
      <c r="H4873" s="5" t="s">
        <v>21</v>
      </c>
      <c r="I4873" s="5" t="s">
        <v>11066</v>
      </c>
      <c r="J4873" s="12" t="str">
        <f>HYPERLINK("https://www.boe.es/gazeta/dias/1801/12/08/pdfs/GMD-1801-113.pdf#page=7","Abrir facsímil")</f>
        <v>Abrir facsímil</v>
      </c>
      <c r="K4873" s="15" t="s">
        <v>23</v>
      </c>
    </row>
    <row r="4874" spans="1:11" ht="42" customHeight="1">
      <c r="A4874" s="4" t="s">
        <v>11067</v>
      </c>
      <c r="B4874" s="5" t="s">
        <v>11068</v>
      </c>
      <c r="C4874" s="5" t="s">
        <v>80</v>
      </c>
      <c r="D4874" s="5" t="s">
        <v>81</v>
      </c>
      <c r="E4874" s="5" t="s">
        <v>289</v>
      </c>
      <c r="F4874" s="9">
        <v>40</v>
      </c>
      <c r="G4874" s="9" t="s">
        <v>996</v>
      </c>
      <c r="H4874" s="5" t="s">
        <v>21</v>
      </c>
      <c r="I4874" s="5" t="s">
        <v>11069</v>
      </c>
      <c r="J4874" s="12" t="str">
        <f>HYPERLINK("https://www.boe.es/gazeta/dias/1801/05/19/pdfs/GMD-C-1801-40.pdf#page=6","Abrir facsímil")</f>
        <v>Abrir facsímil</v>
      </c>
      <c r="K4874" s="15" t="s">
        <v>23</v>
      </c>
    </row>
    <row r="4875" spans="1:11" ht="42" customHeight="1">
      <c r="A4875" s="4" t="s">
        <v>11067</v>
      </c>
      <c r="B4875" s="5" t="s">
        <v>11068</v>
      </c>
      <c r="C4875" s="5" t="s">
        <v>32</v>
      </c>
      <c r="D4875" s="5" t="s">
        <v>33</v>
      </c>
      <c r="E4875" s="5" t="s">
        <v>105</v>
      </c>
      <c r="F4875" s="9">
        <v>44</v>
      </c>
      <c r="G4875" s="9">
        <v>549</v>
      </c>
      <c r="H4875" s="5" t="s">
        <v>21</v>
      </c>
      <c r="I4875" s="5" t="s">
        <v>11070</v>
      </c>
      <c r="J4875" s="12" t="str">
        <f>HYPERLINK("https://www.boe.es/gazeta/dias/1801/05/29/pdfs/GMD-1801-44.pdf#page=9","Abrir facsímil")</f>
        <v>Abrir facsímil</v>
      </c>
      <c r="K4875" s="15" t="s">
        <v>23</v>
      </c>
    </row>
    <row r="4876" spans="1:11" ht="42" customHeight="1">
      <c r="A4876" s="4" t="s">
        <v>11071</v>
      </c>
      <c r="B4876" s="5" t="s">
        <v>11072</v>
      </c>
      <c r="C4876" s="5" t="s">
        <v>32</v>
      </c>
      <c r="D4876" s="5" t="s">
        <v>33</v>
      </c>
      <c r="E4876" s="5" t="s">
        <v>155</v>
      </c>
      <c r="F4876" s="9">
        <v>50</v>
      </c>
      <c r="G4876" s="9">
        <v>597</v>
      </c>
      <c r="H4876" s="5" t="s">
        <v>21</v>
      </c>
      <c r="I4876" s="5" t="s">
        <v>11073</v>
      </c>
      <c r="J4876" s="12" t="str">
        <f>HYPERLINK("https://www.boe.es/gazeta/dias/1801/06/09/pdfs/GMD-1801-50.pdf#page=9","Abrir facsímil")</f>
        <v>Abrir facsímil</v>
      </c>
      <c r="K4876" s="15" t="s">
        <v>23</v>
      </c>
    </row>
    <row r="4877" spans="1:11" ht="42" customHeight="1">
      <c r="A4877" s="4" t="s">
        <v>11074</v>
      </c>
      <c r="B4877" s="5" t="s">
        <v>11075</v>
      </c>
      <c r="C4877" s="5" t="s">
        <v>32</v>
      </c>
      <c r="D4877" s="5" t="s">
        <v>33</v>
      </c>
      <c r="E4877" s="5" t="s">
        <v>781</v>
      </c>
      <c r="F4877" s="9">
        <v>14</v>
      </c>
      <c r="G4877" s="9">
        <v>174</v>
      </c>
      <c r="H4877" s="5" t="s">
        <v>21</v>
      </c>
      <c r="I4877" s="5" t="s">
        <v>11076</v>
      </c>
      <c r="J4877" s="12" t="str">
        <f>HYPERLINK("https://www.boe.es/gazeta/dias/1801/02/17/pdfs/GMD-1801-14.pdf#page=9","Abrir facsímil")</f>
        <v>Abrir facsímil</v>
      </c>
      <c r="K4877" s="15" t="s">
        <v>23</v>
      </c>
    </row>
    <row r="4878" spans="1:11" ht="42" customHeight="1">
      <c r="A4878" s="4" t="s">
        <v>11077</v>
      </c>
      <c r="B4878" s="5" t="s">
        <v>11078</v>
      </c>
      <c r="C4878" s="5" t="s">
        <v>69</v>
      </c>
      <c r="D4878" s="5" t="s">
        <v>19</v>
      </c>
      <c r="E4878" s="5" t="s">
        <v>62</v>
      </c>
      <c r="F4878" s="9">
        <v>6</v>
      </c>
      <c r="G4878" s="9">
        <v>72</v>
      </c>
      <c r="H4878" s="5" t="s">
        <v>21</v>
      </c>
      <c r="I4878" s="5" t="s">
        <v>11079</v>
      </c>
      <c r="J4878" s="12" t="str">
        <f>HYPERLINK("https://www.boe.es/gazeta/dias/1801/01/20/pdfs/GMD-1801-6.pdf#page=8","Abrir facsímil")</f>
        <v>Abrir facsímil</v>
      </c>
      <c r="K4878" s="15" t="s">
        <v>23</v>
      </c>
    </row>
    <row r="4879" spans="1:11" ht="42" customHeight="1">
      <c r="A4879" s="4" t="s">
        <v>11077</v>
      </c>
      <c r="B4879" s="5" t="s">
        <v>11078</v>
      </c>
      <c r="C4879" s="5" t="s">
        <v>80</v>
      </c>
      <c r="D4879" s="5" t="s">
        <v>81</v>
      </c>
      <c r="E4879" s="5" t="s">
        <v>289</v>
      </c>
      <c r="F4879" s="9">
        <v>40</v>
      </c>
      <c r="G4879" s="9" t="s">
        <v>502</v>
      </c>
      <c r="H4879" s="5" t="s">
        <v>21</v>
      </c>
      <c r="I4879" s="5" t="s">
        <v>11080</v>
      </c>
      <c r="J4879" s="12" t="str">
        <f>HYPERLINK("https://www.boe.es/gazeta/dias/1801/05/19/pdfs/GMD-C-1801-40.pdf#page=8","Abrir facsímil")</f>
        <v>Abrir facsímil</v>
      </c>
      <c r="K4879" s="15" t="s">
        <v>23</v>
      </c>
    </row>
    <row r="4880" spans="1:11" ht="42" customHeight="1">
      <c r="A4880" s="4" t="s">
        <v>11077</v>
      </c>
      <c r="B4880" s="5" t="s">
        <v>11078</v>
      </c>
      <c r="C4880" s="5" t="s">
        <v>75</v>
      </c>
      <c r="D4880" s="5" t="s">
        <v>76</v>
      </c>
      <c r="E4880" s="5" t="s">
        <v>101</v>
      </c>
      <c r="F4880" s="9">
        <v>41</v>
      </c>
      <c r="G4880" s="9">
        <v>522</v>
      </c>
      <c r="H4880" s="5" t="s">
        <v>21</v>
      </c>
      <c r="I4880" s="5" t="s">
        <v>11081</v>
      </c>
      <c r="J4880" s="12" t="str">
        <f>HYPERLINK("https://www.boe.es/gazeta/dias/1801/05/22/pdfs/GMD-1801-41.pdf#page=6","Abrir facsímil")</f>
        <v>Abrir facsímil</v>
      </c>
      <c r="K4880" s="15" t="s">
        <v>23</v>
      </c>
    </row>
    <row r="4881" spans="1:11" ht="42" customHeight="1">
      <c r="A4881" s="4" t="s">
        <v>11077</v>
      </c>
      <c r="B4881" s="5" t="s">
        <v>11078</v>
      </c>
      <c r="C4881" s="5" t="s">
        <v>26</v>
      </c>
      <c r="D4881" s="5" t="s">
        <v>27</v>
      </c>
      <c r="E4881" s="5" t="s">
        <v>155</v>
      </c>
      <c r="F4881" s="9">
        <v>50</v>
      </c>
      <c r="G4881" s="9">
        <v>600</v>
      </c>
      <c r="H4881" s="5" t="s">
        <v>21</v>
      </c>
      <c r="I4881" s="5" t="s">
        <v>11082</v>
      </c>
      <c r="J4881" s="12" t="str">
        <f>HYPERLINK("https://www.boe.es/gazeta/dias/1801/06/09/pdfs/GMD-1801-50.pdf#page=12","Abrir facsímil")</f>
        <v>Abrir facsímil</v>
      </c>
      <c r="K4881" s="15" t="s">
        <v>23</v>
      </c>
    </row>
    <row r="4882" spans="1:11" ht="42" customHeight="1">
      <c r="A4882" s="4" t="s">
        <v>11077</v>
      </c>
      <c r="B4882" s="5" t="s">
        <v>11078</v>
      </c>
      <c r="C4882" s="5" t="s">
        <v>26</v>
      </c>
      <c r="D4882" s="5" t="s">
        <v>27</v>
      </c>
      <c r="E4882" s="5" t="s">
        <v>158</v>
      </c>
      <c r="F4882" s="9">
        <v>55</v>
      </c>
      <c r="G4882" s="9">
        <v>632</v>
      </c>
      <c r="H4882" s="5" t="s">
        <v>21</v>
      </c>
      <c r="I4882" s="5" t="s">
        <v>11083</v>
      </c>
      <c r="J4882" s="12" t="str">
        <f>HYPERLINK("https://www.boe.es/gazeta/dias/1801/06/16/pdfs/GMD-1801-55.pdf#page=8","Abrir facsímil")</f>
        <v>Abrir facsímil</v>
      </c>
      <c r="K4882" s="15" t="s">
        <v>23</v>
      </c>
    </row>
    <row r="4883" spans="1:11" ht="42" customHeight="1">
      <c r="A4883" s="4" t="s">
        <v>11077</v>
      </c>
      <c r="B4883" s="5" t="s">
        <v>11078</v>
      </c>
      <c r="C4883" s="5" t="s">
        <v>26</v>
      </c>
      <c r="D4883" s="5" t="s">
        <v>27</v>
      </c>
      <c r="E4883" s="5" t="s">
        <v>108</v>
      </c>
      <c r="F4883" s="9">
        <v>61</v>
      </c>
      <c r="G4883" s="9">
        <v>699</v>
      </c>
      <c r="H4883" s="5" t="s">
        <v>21</v>
      </c>
      <c r="I4883" s="5" t="s">
        <v>11084</v>
      </c>
      <c r="J4883" s="12" t="str">
        <f>HYPERLINK("https://www.boe.es/gazeta/dias/1801/06/30/pdfs/GMD-1801-61.pdf#page=8","Abrir facsímil")</f>
        <v>Abrir facsímil</v>
      </c>
      <c r="K4883" s="15" t="s">
        <v>23</v>
      </c>
    </row>
    <row r="4884" spans="1:11" ht="42" customHeight="1">
      <c r="A4884" s="4" t="s">
        <v>11077</v>
      </c>
      <c r="B4884" s="5" t="s">
        <v>11078</v>
      </c>
      <c r="C4884" s="5" t="s">
        <v>26</v>
      </c>
      <c r="D4884" s="5" t="s">
        <v>27</v>
      </c>
      <c r="E4884" s="5" t="s">
        <v>764</v>
      </c>
      <c r="F4884" s="9">
        <v>80</v>
      </c>
      <c r="G4884" s="9">
        <v>899</v>
      </c>
      <c r="H4884" s="5" t="s">
        <v>21</v>
      </c>
      <c r="I4884" s="5" t="s">
        <v>11085</v>
      </c>
      <c r="J4884" s="12" t="str">
        <f>HYPERLINK("https://www.boe.es/gazeta/dias/1801/08/21/pdfs/GMD-1801-80.pdf#page=8","Abrir facsímil")</f>
        <v>Abrir facsímil</v>
      </c>
      <c r="K4884" s="15" t="s">
        <v>23</v>
      </c>
    </row>
    <row r="4885" spans="1:11" ht="42" customHeight="1">
      <c r="A4885" s="4" t="s">
        <v>11086</v>
      </c>
      <c r="B4885" s="5" t="s">
        <v>11087</v>
      </c>
      <c r="C4885" s="5" t="s">
        <v>26</v>
      </c>
      <c r="D4885" s="5" t="s">
        <v>27</v>
      </c>
      <c r="E4885" s="5" t="s">
        <v>135</v>
      </c>
      <c r="F4885" s="9">
        <v>24</v>
      </c>
      <c r="G4885" s="9">
        <v>320</v>
      </c>
      <c r="H4885" s="5" t="s">
        <v>21</v>
      </c>
      <c r="I4885" s="5" t="s">
        <v>11088</v>
      </c>
      <c r="J4885" s="12" t="str">
        <f>HYPERLINK("https://www.boe.es/gazeta/dias/1801/03/24/pdfs/GMD-1801-24.pdf#page=11","Abrir facsímil")</f>
        <v>Abrir facsímil</v>
      </c>
      <c r="K4885" s="15" t="s">
        <v>23</v>
      </c>
    </row>
    <row r="4886" spans="1:11" ht="42" customHeight="1">
      <c r="A4886" s="4" t="s">
        <v>11086</v>
      </c>
      <c r="B4886" s="5" t="s">
        <v>11087</v>
      </c>
      <c r="C4886" s="5" t="s">
        <v>32</v>
      </c>
      <c r="D4886" s="5" t="s">
        <v>33</v>
      </c>
      <c r="E4886" s="5" t="s">
        <v>2339</v>
      </c>
      <c r="F4886" s="9" t="s">
        <v>2340</v>
      </c>
      <c r="G4886" s="9">
        <v>617</v>
      </c>
      <c r="H4886" s="5" t="s">
        <v>21</v>
      </c>
      <c r="I4886" s="5" t="s">
        <v>11089</v>
      </c>
      <c r="J4886" s="12" t="str">
        <f>HYPERLINK("https://www.boe.es/gazeta/dias/1801/06/15/pdfs/GMD-1801-54E.pdf#page=1","Abrir facsímil")</f>
        <v>Abrir facsímil</v>
      </c>
      <c r="K4886" s="15" t="s">
        <v>23</v>
      </c>
    </row>
    <row r="4887" spans="1:11" ht="42" customHeight="1">
      <c r="A4887" s="4" t="s">
        <v>11086</v>
      </c>
      <c r="B4887" s="5" t="s">
        <v>11087</v>
      </c>
      <c r="C4887" s="5" t="s">
        <v>26</v>
      </c>
      <c r="D4887" s="5" t="s">
        <v>27</v>
      </c>
      <c r="E4887" s="5" t="s">
        <v>262</v>
      </c>
      <c r="F4887" s="9">
        <v>109</v>
      </c>
      <c r="G4887" s="9">
        <v>1206</v>
      </c>
      <c r="H4887" s="5" t="s">
        <v>21</v>
      </c>
      <c r="I4887" s="5" t="s">
        <v>11090</v>
      </c>
      <c r="J4887" s="12" t="str">
        <f>HYPERLINK("https://www.boe.es/gazeta/dias/1801/11/24/pdfs/GMD-1801-109.pdf#page=11","Abrir facsímil")</f>
        <v>Abrir facsímil</v>
      </c>
      <c r="K4887" s="15" t="s">
        <v>23</v>
      </c>
    </row>
    <row r="4888" spans="1:11" ht="42" customHeight="1">
      <c r="A4888" s="4" t="s">
        <v>11091</v>
      </c>
      <c r="B4888" s="5" t="s">
        <v>11092</v>
      </c>
      <c r="C4888" s="5" t="s">
        <v>515</v>
      </c>
      <c r="D4888" s="5" t="s">
        <v>516</v>
      </c>
      <c r="E4888" s="5" t="s">
        <v>501</v>
      </c>
      <c r="F4888" s="9">
        <v>115</v>
      </c>
      <c r="G4888" s="9" t="s">
        <v>83</v>
      </c>
      <c r="H4888" s="5" t="s">
        <v>21</v>
      </c>
      <c r="I4888" s="5" t="s">
        <v>11093</v>
      </c>
      <c r="J4888" s="12" t="str">
        <f>HYPERLINK("https://www.boe.es/gazeta/dias/1801/12/15/pdfs/GMD-C-1801-115.pdf#page=2","Abrir facsímil")</f>
        <v>Abrir facsímil</v>
      </c>
      <c r="K4888" s="15" t="s">
        <v>23</v>
      </c>
    </row>
    <row r="4889" spans="1:11" ht="42" customHeight="1">
      <c r="A4889" s="4" t="s">
        <v>11094</v>
      </c>
      <c r="B4889" s="5" t="s">
        <v>11095</v>
      </c>
      <c r="C4889" s="5" t="s">
        <v>32</v>
      </c>
      <c r="D4889" s="5" t="s">
        <v>33</v>
      </c>
      <c r="E4889" s="5" t="s">
        <v>1058</v>
      </c>
      <c r="F4889" s="9">
        <v>108</v>
      </c>
      <c r="G4889" s="9">
        <v>1186</v>
      </c>
      <c r="H4889" s="5" t="s">
        <v>21</v>
      </c>
      <c r="I4889" s="5" t="s">
        <v>11096</v>
      </c>
      <c r="J4889" s="12" t="str">
        <f>HYPERLINK("https://www.boe.es/gazeta/dias/1801/11/20/pdfs/GMD-1801-108.pdf#page=3","Abrir facsímil")</f>
        <v>Abrir facsímil</v>
      </c>
      <c r="K4889" s="15" t="s">
        <v>23</v>
      </c>
    </row>
    <row r="4890" spans="1:11" ht="42" customHeight="1">
      <c r="A4890" s="4" t="s">
        <v>11097</v>
      </c>
      <c r="B4890" s="5" t="s">
        <v>11098</v>
      </c>
      <c r="C4890" s="5" t="s">
        <v>80</v>
      </c>
      <c r="D4890" s="5" t="s">
        <v>81</v>
      </c>
      <c r="E4890" s="5" t="s">
        <v>289</v>
      </c>
      <c r="F4890" s="9">
        <v>40</v>
      </c>
      <c r="G4890" s="9" t="s">
        <v>83</v>
      </c>
      <c r="H4890" s="5" t="s">
        <v>21</v>
      </c>
      <c r="I4890" s="5" t="s">
        <v>11099</v>
      </c>
      <c r="J4890" s="12" t="str">
        <f>HYPERLINK("https://www.boe.es/gazeta/dias/1801/05/19/pdfs/GMD-C-1801-40.pdf#page=2","Abrir facsímil")</f>
        <v>Abrir facsímil</v>
      </c>
      <c r="K4890" s="15" t="s">
        <v>23</v>
      </c>
    </row>
    <row r="4891" spans="1:11" ht="42" customHeight="1">
      <c r="A4891" s="4" t="s">
        <v>11100</v>
      </c>
      <c r="B4891" s="5" t="s">
        <v>11100</v>
      </c>
      <c r="C4891" s="5" t="s">
        <v>26</v>
      </c>
      <c r="D4891" s="5" t="s">
        <v>27</v>
      </c>
      <c r="E4891" s="5" t="s">
        <v>151</v>
      </c>
      <c r="F4891" s="9">
        <v>45</v>
      </c>
      <c r="G4891" s="9">
        <v>564</v>
      </c>
      <c r="H4891" s="5" t="s">
        <v>21</v>
      </c>
      <c r="I4891" s="5" t="s">
        <v>11101</v>
      </c>
      <c r="J4891" s="12" t="str">
        <f>HYPERLINK("https://www.boe.es/gazeta/dias/1801/06/02/pdfs/GMD-1801-45.pdf#page=12","Abrir facsímil")</f>
        <v>Abrir facsímil</v>
      </c>
      <c r="K4891" s="15" t="s">
        <v>23</v>
      </c>
    </row>
    <row r="4892" spans="1:11" ht="42" customHeight="1">
      <c r="A4892" s="4" t="s">
        <v>11102</v>
      </c>
      <c r="B4892" s="5" t="s">
        <v>11102</v>
      </c>
      <c r="C4892" s="5" t="s">
        <v>80</v>
      </c>
      <c r="D4892" s="5" t="s">
        <v>81</v>
      </c>
      <c r="E4892" s="5" t="s">
        <v>82</v>
      </c>
      <c r="F4892" s="9">
        <v>75</v>
      </c>
      <c r="G4892" s="9" t="s">
        <v>299</v>
      </c>
      <c r="H4892" s="5" t="s">
        <v>21</v>
      </c>
      <c r="I4892" s="5" t="s">
        <v>11103</v>
      </c>
      <c r="J4892" s="12" t="str">
        <f>HYPERLINK("https://www.boe.es/gazeta/dias/1801/08/04/pdfs/GMD-C-1801-75.pdf#page=5","Abrir facsímil")</f>
        <v>Abrir facsímil</v>
      </c>
      <c r="K4892" s="15" t="s">
        <v>23</v>
      </c>
    </row>
    <row r="4893" spans="1:11" ht="42" customHeight="1">
      <c r="A4893" s="4" t="s">
        <v>11104</v>
      </c>
      <c r="B4893" s="5" t="s">
        <v>11105</v>
      </c>
      <c r="C4893" s="5" t="s">
        <v>32</v>
      </c>
      <c r="D4893" s="5" t="s">
        <v>33</v>
      </c>
      <c r="E4893" s="5" t="s">
        <v>90</v>
      </c>
      <c r="F4893" s="9">
        <v>1</v>
      </c>
      <c r="G4893" s="9">
        <v>9</v>
      </c>
      <c r="H4893" s="5" t="s">
        <v>21</v>
      </c>
      <c r="I4893" s="5" t="s">
        <v>11106</v>
      </c>
      <c r="J4893" s="12" t="str">
        <f>HYPERLINK("https://www.boe.es/gazeta/dias/1801/01/02/pdfs/GMD-1801-1.pdf#page=9","Abrir facsímil")</f>
        <v>Abrir facsímil</v>
      </c>
      <c r="K4893" s="15" t="s">
        <v>23</v>
      </c>
    </row>
    <row r="4894" spans="1:11" ht="42" customHeight="1">
      <c r="A4894" s="4" t="s">
        <v>11107</v>
      </c>
      <c r="B4894" s="5" t="s">
        <v>11108</v>
      </c>
      <c r="C4894" s="5" t="s">
        <v>32</v>
      </c>
      <c r="D4894" s="5" t="s">
        <v>33</v>
      </c>
      <c r="E4894" s="5" t="s">
        <v>169</v>
      </c>
      <c r="F4894" s="9">
        <v>70</v>
      </c>
      <c r="G4894" s="9">
        <v>775</v>
      </c>
      <c r="H4894" s="5" t="s">
        <v>21</v>
      </c>
      <c r="I4894" s="5" t="s">
        <v>11109</v>
      </c>
      <c r="J4894" s="12" t="str">
        <f>HYPERLINK("https://www.boe.es/gazeta/dias/1801/07/17/pdfs/GMD-1801-70.pdf#page=8","Abrir facsímil")</f>
        <v>Abrir facsímil</v>
      </c>
      <c r="K4894" s="15" t="s">
        <v>23</v>
      </c>
    </row>
    <row r="4895" spans="1:11" ht="42" customHeight="1">
      <c r="A4895" s="4" t="s">
        <v>11110</v>
      </c>
      <c r="B4895" s="5" t="s">
        <v>11111</v>
      </c>
      <c r="C4895" s="5" t="s">
        <v>38</v>
      </c>
      <c r="D4895" s="5" t="s">
        <v>39</v>
      </c>
      <c r="E4895" s="5" t="s">
        <v>131</v>
      </c>
      <c r="F4895" s="9">
        <v>22</v>
      </c>
      <c r="G4895" s="9">
        <v>286</v>
      </c>
      <c r="H4895" s="5" t="s">
        <v>21</v>
      </c>
      <c r="I4895" s="5" t="s">
        <v>11112</v>
      </c>
      <c r="J4895" s="12" t="str">
        <f>HYPERLINK("https://www.boe.es/gazeta/dias/1801/03/17/pdfs/GMD-1801-22.pdf#page=3","Abrir facsímil")</f>
        <v>Abrir facsímil</v>
      </c>
      <c r="K4895" s="15" t="s">
        <v>23</v>
      </c>
    </row>
    <row r="4896" spans="1:11" ht="42" customHeight="1">
      <c r="A4896" s="4" t="s">
        <v>11110</v>
      </c>
      <c r="B4896" s="5" t="s">
        <v>11111</v>
      </c>
      <c r="C4896" s="5" t="s">
        <v>38</v>
      </c>
      <c r="D4896" s="5" t="s">
        <v>39</v>
      </c>
      <c r="E4896" s="5" t="s">
        <v>378</v>
      </c>
      <c r="F4896" s="9">
        <v>23</v>
      </c>
      <c r="G4896" s="9">
        <v>301</v>
      </c>
      <c r="H4896" s="5" t="s">
        <v>21</v>
      </c>
      <c r="I4896" s="5" t="s">
        <v>11113</v>
      </c>
      <c r="J4896" s="12" t="str">
        <f>HYPERLINK("https://www.boe.es/gazeta/dias/1801/03/20/pdfs/GMD-1801-23.pdf#page=4","Abrir facsímil")</f>
        <v>Abrir facsímil</v>
      </c>
      <c r="K4896" s="15" t="s">
        <v>23</v>
      </c>
    </row>
    <row r="4897" spans="1:11" ht="42" customHeight="1">
      <c r="A4897" s="4" t="s">
        <v>11114</v>
      </c>
      <c r="B4897" s="5" t="s">
        <v>11115</v>
      </c>
      <c r="C4897" s="5" t="s">
        <v>32</v>
      </c>
      <c r="D4897" s="5" t="s">
        <v>33</v>
      </c>
      <c r="E4897" s="5" t="s">
        <v>275</v>
      </c>
      <c r="F4897" s="9">
        <v>9</v>
      </c>
      <c r="G4897" s="9">
        <v>112</v>
      </c>
      <c r="H4897" s="5" t="s">
        <v>21</v>
      </c>
      <c r="I4897" s="5" t="s">
        <v>11116</v>
      </c>
      <c r="J4897" s="12" t="str">
        <f>HYPERLINK("https://www.boe.es/gazeta/dias/1801/01/30/pdfs/GMD-1801-9.pdf#page=9","Abrir facsímil")</f>
        <v>Abrir facsímil</v>
      </c>
      <c r="K4897" s="15" t="s">
        <v>23</v>
      </c>
    </row>
    <row r="4898" spans="1:11" ht="42" customHeight="1">
      <c r="A4898" s="4" t="s">
        <v>11117</v>
      </c>
      <c r="B4898" s="5" t="s">
        <v>11118</v>
      </c>
      <c r="C4898" s="5" t="s">
        <v>32</v>
      </c>
      <c r="D4898" s="5" t="s">
        <v>33</v>
      </c>
      <c r="E4898" s="5" t="s">
        <v>321</v>
      </c>
      <c r="F4898" s="9">
        <v>3</v>
      </c>
      <c r="G4898" s="9">
        <v>33</v>
      </c>
      <c r="H4898" s="5" t="s">
        <v>21</v>
      </c>
      <c r="I4898" s="5" t="s">
        <v>11119</v>
      </c>
      <c r="J4898" s="12" t="str">
        <f>HYPERLINK("https://www.boe.es/gazeta/dias/1801/01/09/pdfs/GMD-1801-3.pdf#page=9","Abrir facsímil")</f>
        <v>Abrir facsímil</v>
      </c>
      <c r="K4898" s="15" t="s">
        <v>23</v>
      </c>
    </row>
    <row r="4899" spans="1:11" ht="42" customHeight="1">
      <c r="A4899" s="4" t="s">
        <v>11120</v>
      </c>
      <c r="B4899" s="5" t="s">
        <v>11120</v>
      </c>
      <c r="C4899" s="5" t="s">
        <v>75</v>
      </c>
      <c r="D4899" s="5" t="s">
        <v>76</v>
      </c>
      <c r="E4899" s="5" t="s">
        <v>292</v>
      </c>
      <c r="F4899" s="9">
        <v>25</v>
      </c>
      <c r="G4899" s="9">
        <v>324</v>
      </c>
      <c r="H4899" s="5" t="s">
        <v>21</v>
      </c>
      <c r="I4899" s="5" t="s">
        <v>11121</v>
      </c>
      <c r="J4899" s="12" t="str">
        <f>HYPERLINK("https://www.boe.es/gazeta/dias/1801/03/27/pdfs/GMD-1801-25.pdf#page=3","Abrir facsímil")</f>
        <v>Abrir facsímil</v>
      </c>
      <c r="K4899" s="15" t="s">
        <v>23</v>
      </c>
    </row>
    <row r="4900" spans="1:11" ht="42" customHeight="1">
      <c r="A4900" s="4" t="s">
        <v>11122</v>
      </c>
      <c r="B4900" s="5" t="s">
        <v>11123</v>
      </c>
      <c r="C4900" s="5" t="s">
        <v>38</v>
      </c>
      <c r="D4900" s="5" t="s">
        <v>39</v>
      </c>
      <c r="E4900" s="5" t="s">
        <v>131</v>
      </c>
      <c r="F4900" s="9">
        <v>22</v>
      </c>
      <c r="G4900" s="9">
        <v>289</v>
      </c>
      <c r="H4900" s="5" t="s">
        <v>21</v>
      </c>
      <c r="I4900" s="5" t="s">
        <v>11124</v>
      </c>
      <c r="J4900" s="12" t="str">
        <f>HYPERLINK("https://www.boe.es/gazeta/dias/1801/03/17/pdfs/GMD-1801-22.pdf#page=6","Abrir facsímil")</f>
        <v>Abrir facsímil</v>
      </c>
      <c r="K4900" s="15" t="s">
        <v>23</v>
      </c>
    </row>
    <row r="4901" spans="1:11" ht="42" customHeight="1">
      <c r="A4901" s="4" t="s">
        <v>11125</v>
      </c>
      <c r="B4901" s="5" t="s">
        <v>11126</v>
      </c>
      <c r="C4901" s="5" t="s">
        <v>69</v>
      </c>
      <c r="D4901" s="5" t="s">
        <v>19</v>
      </c>
      <c r="E4901" s="5" t="s">
        <v>352</v>
      </c>
      <c r="F4901" s="9">
        <v>43</v>
      </c>
      <c r="G4901" s="9">
        <v>538</v>
      </c>
      <c r="H4901" s="5" t="s">
        <v>21</v>
      </c>
      <c r="I4901" s="5" t="s">
        <v>11127</v>
      </c>
      <c r="J4901" s="12" t="str">
        <f>HYPERLINK("https://www.boe.es/gazeta/dias/1801/05/26/pdfs/GMD-1801-43.pdf#page=10","Abrir facsímil")</f>
        <v>Abrir facsímil</v>
      </c>
      <c r="K4901" s="15" t="s">
        <v>23</v>
      </c>
    </row>
    <row r="4902" spans="1:11" ht="42" customHeight="1">
      <c r="A4902" s="4" t="s">
        <v>11128</v>
      </c>
      <c r="B4902" s="5" t="s">
        <v>11129</v>
      </c>
      <c r="C4902" s="5" t="s">
        <v>32</v>
      </c>
      <c r="D4902" s="5" t="s">
        <v>33</v>
      </c>
      <c r="E4902" s="5" t="s">
        <v>77</v>
      </c>
      <c r="F4902" s="9">
        <v>93</v>
      </c>
      <c r="G4902" s="9">
        <v>1020</v>
      </c>
      <c r="H4902" s="5" t="s">
        <v>21</v>
      </c>
      <c r="I4902" s="5" t="s">
        <v>11130</v>
      </c>
      <c r="J4902" s="12" t="str">
        <f>HYPERLINK("https://www.boe.es/gazeta/dias/1801/09/29/pdfs/GMD-1801-93.pdf#page=7","Abrir facsímil")</f>
        <v>Abrir facsímil</v>
      </c>
      <c r="K4902" s="15" t="s">
        <v>23</v>
      </c>
    </row>
    <row r="4903" spans="1:11" ht="42" customHeight="1">
      <c r="A4903" s="4" t="s">
        <v>11131</v>
      </c>
      <c r="B4903" s="5" t="s">
        <v>11132</v>
      </c>
      <c r="C4903" s="5" t="s">
        <v>69</v>
      </c>
      <c r="D4903" s="5" t="s">
        <v>19</v>
      </c>
      <c r="E4903" s="5" t="s">
        <v>105</v>
      </c>
      <c r="F4903" s="9">
        <v>44</v>
      </c>
      <c r="G4903" s="9">
        <v>549</v>
      </c>
      <c r="H4903" s="5" t="s">
        <v>21</v>
      </c>
      <c r="I4903" s="5" t="s">
        <v>11133</v>
      </c>
      <c r="J4903" s="12" t="str">
        <f>HYPERLINK("https://www.boe.es/gazeta/dias/1801/05/29/pdfs/GMD-1801-44.pdf#page=9","Abrir facsímil")</f>
        <v>Abrir facsímil</v>
      </c>
      <c r="K4903" s="15" t="s">
        <v>23</v>
      </c>
    </row>
    <row r="4904" spans="1:11" ht="42" customHeight="1">
      <c r="A4904" s="4" t="s">
        <v>11134</v>
      </c>
      <c r="B4904" s="5" t="s">
        <v>11135</v>
      </c>
      <c r="C4904" s="5" t="s">
        <v>26</v>
      </c>
      <c r="D4904" s="5" t="s">
        <v>27</v>
      </c>
      <c r="E4904" s="5" t="s">
        <v>2430</v>
      </c>
      <c r="F4904" s="9">
        <v>27</v>
      </c>
      <c r="G4904" s="9">
        <v>356</v>
      </c>
      <c r="H4904" s="5" t="s">
        <v>21</v>
      </c>
      <c r="I4904" s="5" t="s">
        <v>11136</v>
      </c>
      <c r="J4904" s="12" t="str">
        <f>HYPERLINK("https://www.boe.es/gazeta/dias/1801/04/03/pdfs/GMD-1801-27.pdf#page=8","Abrir facsímil")</f>
        <v>Abrir facsímil</v>
      </c>
      <c r="K4904" s="15" t="s">
        <v>23</v>
      </c>
    </row>
    <row r="4905" spans="1:11" ht="42" customHeight="1">
      <c r="A4905" s="4" t="s">
        <v>11134</v>
      </c>
      <c r="B4905" s="5" t="s">
        <v>11135</v>
      </c>
      <c r="C4905" s="5" t="s">
        <v>38</v>
      </c>
      <c r="D4905" s="5" t="s">
        <v>39</v>
      </c>
      <c r="E4905" s="5" t="s">
        <v>211</v>
      </c>
      <c r="F4905" s="9">
        <v>87</v>
      </c>
      <c r="G4905" s="9">
        <v>966</v>
      </c>
      <c r="H4905" s="5" t="s">
        <v>21</v>
      </c>
      <c r="I4905" s="5" t="s">
        <v>11137</v>
      </c>
      <c r="J4905" s="12" t="str">
        <f>HYPERLINK("https://www.boe.es/gazeta/dias/1801/09/11/pdfs/GMD-1801-87.pdf#page=9","Abrir facsímil")</f>
        <v>Abrir facsímil</v>
      </c>
      <c r="K4905" s="15" t="s">
        <v>23</v>
      </c>
    </row>
    <row r="4906" spans="1:11" ht="42" customHeight="1">
      <c r="A4906" s="4" t="s">
        <v>11134</v>
      </c>
      <c r="B4906" s="5" t="s">
        <v>11135</v>
      </c>
      <c r="C4906" s="5" t="s">
        <v>38</v>
      </c>
      <c r="D4906" s="5" t="s">
        <v>39</v>
      </c>
      <c r="E4906" s="5" t="s">
        <v>349</v>
      </c>
      <c r="F4906" s="9">
        <v>112</v>
      </c>
      <c r="G4906" s="9">
        <v>1226</v>
      </c>
      <c r="H4906" s="5" t="s">
        <v>21</v>
      </c>
      <c r="I4906" s="5" t="s">
        <v>11138</v>
      </c>
      <c r="J4906" s="12" t="str">
        <f>HYPERLINK("https://www.boe.es/gazeta/dias/1801/12/04/pdfs/GMD-1801-112.pdf#page=7","Abrir facsímil")</f>
        <v>Abrir facsímil</v>
      </c>
      <c r="K4906" s="15" t="s">
        <v>23</v>
      </c>
    </row>
    <row r="4907" spans="1:11" ht="42" customHeight="1">
      <c r="A4907" s="4" t="s">
        <v>11134</v>
      </c>
      <c r="B4907" s="5" t="s">
        <v>11135</v>
      </c>
      <c r="C4907" s="5" t="s">
        <v>32</v>
      </c>
      <c r="D4907" s="5" t="s">
        <v>33</v>
      </c>
      <c r="E4907" s="5" t="s">
        <v>112</v>
      </c>
      <c r="F4907" s="9">
        <v>114</v>
      </c>
      <c r="G4907" s="9">
        <v>1246</v>
      </c>
      <c r="H4907" s="5" t="s">
        <v>21</v>
      </c>
      <c r="I4907" s="5" t="s">
        <v>11139</v>
      </c>
      <c r="J4907" s="12" t="str">
        <f>HYPERLINK("https://www.boe.es/gazeta/dias/1801/12/11/pdfs/GMD-1801-114.pdf#page=8","Abrir facsímil")</f>
        <v>Abrir facsímil</v>
      </c>
      <c r="K4907" s="15" t="s">
        <v>23</v>
      </c>
    </row>
    <row r="4908" spans="1:11" ht="42" customHeight="1">
      <c r="A4908" s="4" t="s">
        <v>11140</v>
      </c>
      <c r="B4908" s="5" t="s">
        <v>11141</v>
      </c>
      <c r="C4908" s="5" t="s">
        <v>32</v>
      </c>
      <c r="D4908" s="5" t="s">
        <v>33</v>
      </c>
      <c r="E4908" s="5" t="s">
        <v>44</v>
      </c>
      <c r="F4908" s="9">
        <v>117</v>
      </c>
      <c r="G4908" s="9">
        <v>1280</v>
      </c>
      <c r="H4908" s="5" t="s">
        <v>21</v>
      </c>
      <c r="I4908" s="5" t="s">
        <v>11142</v>
      </c>
      <c r="J4908" s="12" t="str">
        <f>HYPERLINK("https://www.boe.es/gazeta/dias/1801/12/22/pdfs/GMD-1801-117.pdf#page=7","Abrir facsímil")</f>
        <v>Abrir facsímil</v>
      </c>
      <c r="K4908" s="15" t="s">
        <v>23</v>
      </c>
    </row>
    <row r="4909" spans="1:11" ht="42" customHeight="1">
      <c r="A4909" s="4" t="s">
        <v>11143</v>
      </c>
      <c r="B4909" s="5" t="s">
        <v>11144</v>
      </c>
      <c r="C4909" s="5" t="s">
        <v>80</v>
      </c>
      <c r="D4909" s="5" t="s">
        <v>81</v>
      </c>
      <c r="E4909" s="5" t="s">
        <v>289</v>
      </c>
      <c r="F4909" s="9">
        <v>40</v>
      </c>
      <c r="G4909" s="9" t="s">
        <v>86</v>
      </c>
      <c r="H4909" s="5" t="s">
        <v>21</v>
      </c>
      <c r="I4909" s="5" t="s">
        <v>11145</v>
      </c>
      <c r="J4909" s="12" t="str">
        <f>HYPERLINK("https://www.boe.es/gazeta/dias/1801/05/19/pdfs/GMD-C-1801-40.pdf#page=3","Abrir facsímil")</f>
        <v>Abrir facsímil</v>
      </c>
      <c r="K4909" s="15" t="s">
        <v>23</v>
      </c>
    </row>
    <row r="4910" spans="1:11" ht="42" customHeight="1">
      <c r="A4910" s="4" t="s">
        <v>11143</v>
      </c>
      <c r="B4910" s="5" t="s">
        <v>11144</v>
      </c>
      <c r="C4910" s="5" t="s">
        <v>32</v>
      </c>
      <c r="D4910" s="5" t="s">
        <v>33</v>
      </c>
      <c r="E4910" s="5" t="s">
        <v>615</v>
      </c>
      <c r="F4910" s="9">
        <v>72</v>
      </c>
      <c r="G4910" s="9">
        <v>803</v>
      </c>
      <c r="H4910" s="5" t="s">
        <v>21</v>
      </c>
      <c r="I4910" s="5" t="s">
        <v>11146</v>
      </c>
      <c r="J4910" s="12" t="str">
        <f>HYPERLINK("https://www.boe.es/gazeta/dias/1801/07/24/pdfs/GMD-1801-72.pdf#page=8","Abrir facsímil")</f>
        <v>Abrir facsímil</v>
      </c>
      <c r="K4910" s="15" t="s">
        <v>23</v>
      </c>
    </row>
    <row r="4911" spans="1:11" ht="42" customHeight="1">
      <c r="A4911" s="4" t="s">
        <v>11147</v>
      </c>
      <c r="B4911" s="5" t="s">
        <v>11148</v>
      </c>
      <c r="C4911" s="5" t="s">
        <v>32</v>
      </c>
      <c r="D4911" s="5" t="s">
        <v>33</v>
      </c>
      <c r="E4911" s="5" t="s">
        <v>62</v>
      </c>
      <c r="F4911" s="9">
        <v>6</v>
      </c>
      <c r="G4911" s="9">
        <v>72</v>
      </c>
      <c r="H4911" s="5" t="s">
        <v>21</v>
      </c>
      <c r="I4911" s="5" t="s">
        <v>11149</v>
      </c>
      <c r="J4911" s="12" t="str">
        <f>HYPERLINK("https://www.boe.es/gazeta/dias/1801/01/20/pdfs/GMD-1801-6.pdf#page=8","Abrir facsímil")</f>
        <v>Abrir facsímil</v>
      </c>
      <c r="K4911" s="15" t="s">
        <v>23</v>
      </c>
    </row>
    <row r="4912" spans="1:11" ht="42" customHeight="1">
      <c r="A4912" s="4" t="s">
        <v>11150</v>
      </c>
      <c r="B4912" s="5" t="s">
        <v>11150</v>
      </c>
      <c r="C4912" s="5" t="s">
        <v>26</v>
      </c>
      <c r="D4912" s="5" t="s">
        <v>27</v>
      </c>
      <c r="E4912" s="5" t="s">
        <v>313</v>
      </c>
      <c r="F4912" s="9">
        <v>39</v>
      </c>
      <c r="G4912" s="9">
        <v>508</v>
      </c>
      <c r="H4912" s="5" t="s">
        <v>21</v>
      </c>
      <c r="I4912" s="5" t="s">
        <v>11151</v>
      </c>
      <c r="J4912" s="12" t="str">
        <f>HYPERLINK("https://www.boe.es/gazeta/dias/1801/05/15/pdfs/GMD-1801-39.pdf#page=12","Abrir facsímil")</f>
        <v>Abrir facsímil</v>
      </c>
      <c r="K4912" s="15" t="s">
        <v>23</v>
      </c>
    </row>
    <row r="4913" spans="1:11" ht="42" customHeight="1">
      <c r="A4913" s="4" t="s">
        <v>11152</v>
      </c>
      <c r="B4913" s="5" t="s">
        <v>11152</v>
      </c>
      <c r="C4913" s="5" t="s">
        <v>80</v>
      </c>
      <c r="D4913" s="5" t="s">
        <v>81</v>
      </c>
      <c r="E4913" s="5" t="s">
        <v>289</v>
      </c>
      <c r="F4913" s="9">
        <v>40</v>
      </c>
      <c r="G4913" s="9" t="s">
        <v>996</v>
      </c>
      <c r="H4913" s="5" t="s">
        <v>21</v>
      </c>
      <c r="I4913" s="5" t="s">
        <v>11153</v>
      </c>
      <c r="J4913" s="12" t="str">
        <f>HYPERLINK("https://www.boe.es/gazeta/dias/1801/05/19/pdfs/GMD-C-1801-40.pdf#page=6","Abrir facsímil")</f>
        <v>Abrir facsímil</v>
      </c>
      <c r="K4913" s="15" t="s">
        <v>23</v>
      </c>
    </row>
    <row r="4914" spans="1:11" ht="42" customHeight="1">
      <c r="A4914" s="4" t="s">
        <v>11154</v>
      </c>
      <c r="B4914" s="5" t="s">
        <v>11154</v>
      </c>
      <c r="C4914" s="5" t="s">
        <v>18</v>
      </c>
      <c r="D4914" s="5" t="s">
        <v>19</v>
      </c>
      <c r="E4914" s="5" t="s">
        <v>190</v>
      </c>
      <c r="F4914" s="9">
        <v>16</v>
      </c>
      <c r="G4914" s="9">
        <v>203</v>
      </c>
      <c r="H4914" s="5" t="s">
        <v>21</v>
      </c>
      <c r="I4914" s="5" t="s">
        <v>11155</v>
      </c>
      <c r="J4914" s="12" t="str">
        <f>HYPERLINK("https://www.boe.es/gazeta/dias/1801/02/24/pdfs/GMD-1801-16.pdf#page=10","Abrir facsímil")</f>
        <v>Abrir facsímil</v>
      </c>
      <c r="K4914" s="15" t="s">
        <v>23</v>
      </c>
    </row>
    <row r="4915" spans="1:11" ht="42" customHeight="1">
      <c r="A4915" s="4" t="s">
        <v>11156</v>
      </c>
      <c r="B4915" s="5" t="s">
        <v>11156</v>
      </c>
      <c r="C4915" s="5" t="s">
        <v>32</v>
      </c>
      <c r="D4915" s="5" t="s">
        <v>33</v>
      </c>
      <c r="E4915" s="5" t="s">
        <v>120</v>
      </c>
      <c r="F4915" s="9">
        <v>7</v>
      </c>
      <c r="G4915" s="9">
        <v>84</v>
      </c>
      <c r="H4915" s="5" t="s">
        <v>21</v>
      </c>
      <c r="I4915" s="5" t="s">
        <v>11157</v>
      </c>
      <c r="J4915" s="12" t="str">
        <f>HYPERLINK("https://www.boe.es/gazeta/dias/1801/01/23/pdfs/GMD-1801-7.pdf#page=8","Abrir facsímil")</f>
        <v>Abrir facsímil</v>
      </c>
      <c r="K4915" s="15" t="s">
        <v>23</v>
      </c>
    </row>
    <row r="4916" spans="1:11" ht="42" customHeight="1">
      <c r="A4916" s="4" t="s">
        <v>11158</v>
      </c>
      <c r="B4916" s="5" t="s">
        <v>11158</v>
      </c>
      <c r="C4916" s="5" t="s">
        <v>38</v>
      </c>
      <c r="D4916" s="5" t="s">
        <v>39</v>
      </c>
      <c r="E4916" s="5" t="s">
        <v>90</v>
      </c>
      <c r="F4916" s="9">
        <v>1</v>
      </c>
      <c r="G4916" s="9">
        <v>9</v>
      </c>
      <c r="H4916" s="5" t="s">
        <v>21</v>
      </c>
      <c r="I4916" s="5" t="s">
        <v>11159</v>
      </c>
      <c r="J4916" s="12" t="str">
        <f>HYPERLINK("https://www.boe.es/gazeta/dias/1801/01/02/pdfs/GMD-1801-1.pdf#page=9","Abrir facsímil")</f>
        <v>Abrir facsímil</v>
      </c>
      <c r="K4916" s="15" t="s">
        <v>23</v>
      </c>
    </row>
    <row r="4917" spans="1:11" ht="42" customHeight="1">
      <c r="A4917" s="4" t="s">
        <v>11160</v>
      </c>
      <c r="B4917" s="5" t="s">
        <v>11160</v>
      </c>
      <c r="C4917" s="5" t="s">
        <v>80</v>
      </c>
      <c r="D4917" s="5" t="s">
        <v>81</v>
      </c>
      <c r="E4917" s="5" t="s">
        <v>289</v>
      </c>
      <c r="F4917" s="9">
        <v>40</v>
      </c>
      <c r="G4917" s="9" t="s">
        <v>86</v>
      </c>
      <c r="H4917" s="5" t="s">
        <v>21</v>
      </c>
      <c r="I4917" s="5" t="s">
        <v>11161</v>
      </c>
      <c r="J4917" s="12" t="str">
        <f>HYPERLINK("https://www.boe.es/gazeta/dias/1801/05/19/pdfs/GMD-C-1801-40.pdf#page=3","Abrir facsímil")</f>
        <v>Abrir facsímil</v>
      </c>
      <c r="K4917" s="15" t="s">
        <v>23</v>
      </c>
    </row>
    <row r="4918" spans="1:11" ht="42" customHeight="1">
      <c r="A4918" s="4" t="s">
        <v>11162</v>
      </c>
      <c r="B4918" s="5" t="s">
        <v>11162</v>
      </c>
      <c r="C4918" s="5" t="s">
        <v>75</v>
      </c>
      <c r="D4918" s="5" t="s">
        <v>76</v>
      </c>
      <c r="E4918" s="5" t="s">
        <v>124</v>
      </c>
      <c r="F4918" s="9">
        <v>12</v>
      </c>
      <c r="G4918" s="9">
        <v>147</v>
      </c>
      <c r="H4918" s="5" t="s">
        <v>21</v>
      </c>
      <c r="I4918" s="5" t="s">
        <v>11163</v>
      </c>
      <c r="J4918" s="12" t="str">
        <f>HYPERLINK("https://www.boe.es/gazeta/dias/1801/02/10/pdfs/GMD-1801-12.pdf#page=8","Abrir facsímil")</f>
        <v>Abrir facsímil</v>
      </c>
      <c r="K4918" s="15" t="s">
        <v>23</v>
      </c>
    </row>
    <row r="4919" spans="1:11" ht="42" customHeight="1">
      <c r="A4919" s="4" t="s">
        <v>11164</v>
      </c>
      <c r="B4919" s="5" t="s">
        <v>11164</v>
      </c>
      <c r="C4919" s="5" t="s">
        <v>26</v>
      </c>
      <c r="D4919" s="5" t="s">
        <v>27</v>
      </c>
      <c r="E4919" s="5" t="s">
        <v>465</v>
      </c>
      <c r="F4919" s="9">
        <v>4</v>
      </c>
      <c r="G4919" s="9">
        <v>47</v>
      </c>
      <c r="H4919" s="5" t="s">
        <v>21</v>
      </c>
      <c r="I4919" s="5" t="s">
        <v>11165</v>
      </c>
      <c r="J4919" s="12" t="str">
        <f>HYPERLINK("https://www.boe.es/gazeta/dias/1801/01/13/pdfs/GMD-1801-4.pdf#page=11","Abrir facsímil")</f>
        <v>Abrir facsímil</v>
      </c>
      <c r="K4919" s="15" t="s">
        <v>23</v>
      </c>
    </row>
    <row r="4920" spans="1:11" ht="42" customHeight="1">
      <c r="A4920" s="4" t="s">
        <v>11166</v>
      </c>
      <c r="B4920" s="5" t="s">
        <v>11167</v>
      </c>
      <c r="C4920" s="5" t="s">
        <v>75</v>
      </c>
      <c r="D4920" s="5" t="s">
        <v>76</v>
      </c>
      <c r="E4920" s="5" t="s">
        <v>352</v>
      </c>
      <c r="F4920" s="9">
        <v>43</v>
      </c>
      <c r="G4920" s="9">
        <v>530</v>
      </c>
      <c r="H4920" s="5" t="s">
        <v>21</v>
      </c>
      <c r="I4920" s="5" t="s">
        <v>11168</v>
      </c>
      <c r="J4920" s="12" t="str">
        <f>HYPERLINK("https://www.boe.es/gazeta/dias/1801/05/26/pdfs/GMD-1801-43.pdf#page=2","Abrir facsímil")</f>
        <v>Abrir facsímil</v>
      </c>
      <c r="K4920" s="15" t="s">
        <v>23</v>
      </c>
    </row>
    <row r="4921" spans="1:11" ht="42" customHeight="1">
      <c r="A4921" s="4" t="s">
        <v>11169</v>
      </c>
      <c r="B4921" s="5" t="s">
        <v>11170</v>
      </c>
      <c r="C4921" s="5" t="s">
        <v>32</v>
      </c>
      <c r="D4921" s="5" t="s">
        <v>33</v>
      </c>
      <c r="E4921" s="5" t="s">
        <v>1939</v>
      </c>
      <c r="F4921" s="9">
        <v>107</v>
      </c>
      <c r="G4921" s="9">
        <v>1172</v>
      </c>
      <c r="H4921" s="5" t="s">
        <v>21</v>
      </c>
      <c r="I4921" s="5" t="s">
        <v>11171</v>
      </c>
      <c r="J4921" s="12" t="str">
        <f>HYPERLINK("https://www.boe.es/gazeta/dias/1801/11/17/pdfs/GMD-1801-107.pdf#page=1","Abrir facsímil")</f>
        <v>Abrir facsímil</v>
      </c>
      <c r="K4921" s="15" t="s">
        <v>23</v>
      </c>
    </row>
    <row r="4922" spans="1:11" ht="42" customHeight="1">
      <c r="A4922" s="4" t="s">
        <v>11172</v>
      </c>
      <c r="B4922" s="5" t="s">
        <v>11172</v>
      </c>
      <c r="C4922" s="5" t="s">
        <v>69</v>
      </c>
      <c r="D4922" s="5" t="s">
        <v>19</v>
      </c>
      <c r="E4922" s="5" t="s">
        <v>888</v>
      </c>
      <c r="F4922" s="9">
        <v>103</v>
      </c>
      <c r="G4922" s="9">
        <v>1137</v>
      </c>
      <c r="H4922" s="5" t="s">
        <v>21</v>
      </c>
      <c r="I4922" s="5" t="s">
        <v>11173</v>
      </c>
      <c r="J4922" s="12" t="str">
        <f>HYPERLINK("https://www.boe.es/gazeta/dias/1801/11/03/pdfs/GMD-1801-103.pdf#page=10","Abrir facsímil")</f>
        <v>Abrir facsímil</v>
      </c>
      <c r="K4922" s="15" t="s">
        <v>23</v>
      </c>
    </row>
    <row r="4923" spans="1:11" ht="42" customHeight="1">
      <c r="A4923" s="4" t="s">
        <v>11174</v>
      </c>
      <c r="B4923" s="5" t="s">
        <v>11174</v>
      </c>
      <c r="C4923" s="5" t="s">
        <v>38</v>
      </c>
      <c r="D4923" s="5" t="s">
        <v>39</v>
      </c>
      <c r="E4923" s="5" t="s">
        <v>292</v>
      </c>
      <c r="F4923" s="9">
        <v>25</v>
      </c>
      <c r="G4923" s="9">
        <v>332</v>
      </c>
      <c r="H4923" s="5" t="s">
        <v>21</v>
      </c>
      <c r="I4923" s="5" t="s">
        <v>11175</v>
      </c>
      <c r="J4923" s="12" t="str">
        <f>HYPERLINK("https://www.boe.es/gazeta/dias/1801/03/27/pdfs/GMD-1801-25.pdf#page=11","Abrir facsímil")</f>
        <v>Abrir facsímil</v>
      </c>
      <c r="K4923" s="15" t="s">
        <v>23</v>
      </c>
    </row>
    <row r="4924" spans="1:11" ht="42" customHeight="1">
      <c r="A4924" s="4" t="s">
        <v>11176</v>
      </c>
      <c r="B4924" s="5" t="s">
        <v>11176</v>
      </c>
      <c r="C4924" s="5" t="s">
        <v>80</v>
      </c>
      <c r="D4924" s="5" t="s">
        <v>81</v>
      </c>
      <c r="E4924" s="5" t="s">
        <v>82</v>
      </c>
      <c r="F4924" s="9">
        <v>75</v>
      </c>
      <c r="G4924" s="9" t="s">
        <v>305</v>
      </c>
      <c r="H4924" s="5" t="s">
        <v>21</v>
      </c>
      <c r="I4924" s="5" t="s">
        <v>11177</v>
      </c>
      <c r="J4924" s="12" t="str">
        <f>HYPERLINK("https://www.boe.es/gazeta/dias/1801/08/04/pdfs/GMD-C-1801-75.pdf#page=4","Abrir facsímil")</f>
        <v>Abrir facsímil</v>
      </c>
      <c r="K4924" s="15" t="s">
        <v>23</v>
      </c>
    </row>
    <row r="4925" spans="1:11" ht="42" customHeight="1">
      <c r="A4925" s="4" t="s">
        <v>11178</v>
      </c>
      <c r="B4925" s="5" t="s">
        <v>11178</v>
      </c>
      <c r="C4925" s="5" t="s">
        <v>38</v>
      </c>
      <c r="D4925" s="5" t="s">
        <v>39</v>
      </c>
      <c r="E4925" s="5" t="s">
        <v>480</v>
      </c>
      <c r="F4925" s="9">
        <v>10</v>
      </c>
      <c r="G4925" s="9">
        <v>124</v>
      </c>
      <c r="H4925" s="5" t="s">
        <v>21</v>
      </c>
      <c r="I4925" s="5" t="s">
        <v>11179</v>
      </c>
      <c r="J4925" s="12" t="str">
        <f>HYPERLINK("https://www.boe.es/gazeta/dias/1801/02/03/pdfs/GMD-1801-10.pdf#page=9","Abrir facsímil")</f>
        <v>Abrir facsímil</v>
      </c>
      <c r="K4925" s="15" t="s">
        <v>23</v>
      </c>
    </row>
    <row r="4926" spans="1:11" ht="42" customHeight="1">
      <c r="A4926" s="4" t="s">
        <v>11180</v>
      </c>
      <c r="B4926" s="5" t="s">
        <v>11181</v>
      </c>
      <c r="C4926" s="5" t="s">
        <v>38</v>
      </c>
      <c r="D4926" s="5" t="s">
        <v>39</v>
      </c>
      <c r="E4926" s="5" t="s">
        <v>751</v>
      </c>
      <c r="F4926" s="9">
        <v>106</v>
      </c>
      <c r="G4926" s="9">
        <v>1161</v>
      </c>
      <c r="H4926" s="5" t="s">
        <v>21</v>
      </c>
      <c r="I4926" s="5" t="s">
        <v>11182</v>
      </c>
      <c r="J4926" s="12" t="str">
        <f>HYPERLINK("https://www.boe.es/gazeta/dias/1801/11/13/pdfs/GMD-1801-106.pdf#page=2","Abrir facsímil")</f>
        <v>Abrir facsímil</v>
      </c>
      <c r="K4926" s="15" t="s">
        <v>23</v>
      </c>
    </row>
    <row r="4927" spans="1:11" ht="42" customHeight="1">
      <c r="A4927" s="4" t="s">
        <v>11183</v>
      </c>
      <c r="B4927" s="5" t="s">
        <v>11184</v>
      </c>
      <c r="C4927" s="5" t="s">
        <v>75</v>
      </c>
      <c r="D4927" s="5" t="s">
        <v>76</v>
      </c>
      <c r="E4927" s="5" t="s">
        <v>211</v>
      </c>
      <c r="F4927" s="9">
        <v>87</v>
      </c>
      <c r="G4927" s="9">
        <v>962</v>
      </c>
      <c r="H4927" s="5" t="s">
        <v>21</v>
      </c>
      <c r="I4927" s="5" t="s">
        <v>11185</v>
      </c>
      <c r="J4927" s="12" t="str">
        <f>HYPERLINK("https://www.boe.es/gazeta/dias/1801/09/11/pdfs/GMD-1801-87.pdf#page=5","Abrir facsímil")</f>
        <v>Abrir facsímil</v>
      </c>
      <c r="K4927" s="15" t="s">
        <v>23</v>
      </c>
    </row>
    <row r="4928" spans="1:11" ht="42" customHeight="1">
      <c r="A4928" s="4" t="s">
        <v>11186</v>
      </c>
      <c r="B4928" s="5" t="s">
        <v>11186</v>
      </c>
      <c r="C4928" s="5" t="s">
        <v>75</v>
      </c>
      <c r="D4928" s="5" t="s">
        <v>76</v>
      </c>
      <c r="E4928" s="5" t="s">
        <v>94</v>
      </c>
      <c r="F4928" s="9">
        <v>19</v>
      </c>
      <c r="G4928" s="9">
        <v>237</v>
      </c>
      <c r="H4928" s="5" t="s">
        <v>21</v>
      </c>
      <c r="I4928" s="5" t="s">
        <v>11187</v>
      </c>
      <c r="J4928" s="12" t="str">
        <f>HYPERLINK("https://www.boe.es/gazeta/dias/1801/03/06/pdfs/GMD-1801-19.pdf#page=2","Abrir facsímil")</f>
        <v>Abrir facsímil</v>
      </c>
      <c r="K4928" s="15" t="s">
        <v>23</v>
      </c>
    </row>
    <row r="4929" spans="1:11" ht="42" customHeight="1">
      <c r="A4929" s="4" t="s">
        <v>11188</v>
      </c>
      <c r="B4929" s="5" t="s">
        <v>11188</v>
      </c>
      <c r="C4929" s="5" t="s">
        <v>26</v>
      </c>
      <c r="D4929" s="5" t="s">
        <v>27</v>
      </c>
      <c r="E4929" s="5" t="s">
        <v>20</v>
      </c>
      <c r="F4929" s="9">
        <v>37</v>
      </c>
      <c r="G4929" s="9">
        <v>483</v>
      </c>
      <c r="H4929" s="5" t="s">
        <v>21</v>
      </c>
      <c r="I4929" s="5" t="s">
        <v>11189</v>
      </c>
      <c r="J4929" s="12" t="str">
        <f>HYPERLINK("https://www.boe.es/gazeta/dias/1801/05/08/pdfs/GMD-1801-37.pdf#page=11","Abrir facsímil")</f>
        <v>Abrir facsímil</v>
      </c>
      <c r="K4929" s="15" t="s">
        <v>23</v>
      </c>
    </row>
    <row r="4930" spans="1:11" ht="42" customHeight="1">
      <c r="A4930" s="4" t="s">
        <v>11190</v>
      </c>
      <c r="B4930" s="5" t="s">
        <v>11190</v>
      </c>
      <c r="C4930" s="5" t="s">
        <v>38</v>
      </c>
      <c r="D4930" s="5" t="s">
        <v>39</v>
      </c>
      <c r="E4930" s="5" t="s">
        <v>328</v>
      </c>
      <c r="F4930" s="9">
        <v>89</v>
      </c>
      <c r="G4930" s="9">
        <v>981</v>
      </c>
      <c r="H4930" s="5" t="s">
        <v>21</v>
      </c>
      <c r="I4930" s="5" t="s">
        <v>11191</v>
      </c>
      <c r="J4930" s="12" t="str">
        <f>HYPERLINK("https://www.boe.es/gazeta/dias/1801/09/15/pdfs/GMD-1801-89.pdf#page=8","Abrir facsímil")</f>
        <v>Abrir facsímil</v>
      </c>
      <c r="K4930" s="15" t="s">
        <v>23</v>
      </c>
    </row>
    <row r="4931" spans="1:11" ht="42" customHeight="1">
      <c r="A4931" s="4" t="s">
        <v>11192</v>
      </c>
      <c r="B4931" s="5" t="s">
        <v>11193</v>
      </c>
      <c r="C4931" s="5" t="s">
        <v>32</v>
      </c>
      <c r="D4931" s="5" t="s">
        <v>33</v>
      </c>
      <c r="E4931" s="5" t="s">
        <v>712</v>
      </c>
      <c r="F4931" s="9">
        <v>105</v>
      </c>
      <c r="G4931" s="9">
        <v>1157</v>
      </c>
      <c r="H4931" s="5" t="s">
        <v>21</v>
      </c>
      <c r="I4931" s="5" t="s">
        <v>11194</v>
      </c>
      <c r="J4931" s="12" t="str">
        <f>HYPERLINK("https://www.boe.es/gazeta/dias/1801/11/10/pdfs/GMD-1801-105.pdf#page=10","Abrir facsímil")</f>
        <v>Abrir facsímil</v>
      </c>
      <c r="K4931" s="15" t="s">
        <v>23</v>
      </c>
    </row>
    <row r="4932" spans="1:11" ht="42" customHeight="1">
      <c r="A4932" s="4" t="s">
        <v>11195</v>
      </c>
      <c r="B4932" s="5" t="s">
        <v>11196</v>
      </c>
      <c r="C4932" s="5" t="s">
        <v>32</v>
      </c>
      <c r="D4932" s="5" t="s">
        <v>33</v>
      </c>
      <c r="E4932" s="5" t="s">
        <v>66</v>
      </c>
      <c r="F4932" s="9">
        <v>52</v>
      </c>
      <c r="G4932" s="9">
        <v>607</v>
      </c>
      <c r="H4932" s="5" t="s">
        <v>21</v>
      </c>
      <c r="I4932" s="5" t="s">
        <v>11197</v>
      </c>
      <c r="J4932" s="12" t="str">
        <f>HYPERLINK("https://www.boe.es/gazeta/dias/1801/06/12/pdfs/GMD-1801-52.pdf#page=6","Abrir facsímil")</f>
        <v>Abrir facsímil</v>
      </c>
      <c r="K4932" s="15" t="s">
        <v>23</v>
      </c>
    </row>
    <row r="4933" spans="1:11" ht="42" customHeight="1">
      <c r="A4933" s="4" t="s">
        <v>11198</v>
      </c>
      <c r="B4933" s="5" t="s">
        <v>11199</v>
      </c>
      <c r="C4933" s="5" t="s">
        <v>32</v>
      </c>
      <c r="D4933" s="5" t="s">
        <v>33</v>
      </c>
      <c r="E4933" s="5" t="s">
        <v>221</v>
      </c>
      <c r="F4933" s="9">
        <v>28</v>
      </c>
      <c r="G4933" s="9">
        <v>372</v>
      </c>
      <c r="H4933" s="5" t="s">
        <v>21</v>
      </c>
      <c r="I4933" s="5" t="s">
        <v>11200</v>
      </c>
      <c r="J4933" s="12" t="str">
        <f>HYPERLINK("https://www.boe.es/gazeta/dias/1801/04/07/pdfs/GMD-1801-28.pdf#page=12","Abrir facsímil")</f>
        <v>Abrir facsímil</v>
      </c>
      <c r="K4933" s="15" t="s">
        <v>23</v>
      </c>
    </row>
    <row r="4934" spans="1:11" ht="42" customHeight="1">
      <c r="A4934" s="4" t="s">
        <v>11201</v>
      </c>
      <c r="B4934" s="5" t="s">
        <v>11202</v>
      </c>
      <c r="C4934" s="5" t="s">
        <v>75</v>
      </c>
      <c r="D4934" s="5" t="s">
        <v>76</v>
      </c>
      <c r="E4934" s="5" t="s">
        <v>366</v>
      </c>
      <c r="F4934" s="9">
        <v>86</v>
      </c>
      <c r="G4934" s="9">
        <v>951</v>
      </c>
      <c r="H4934" s="5" t="s">
        <v>21</v>
      </c>
      <c r="I4934" s="5" t="s">
        <v>11203</v>
      </c>
      <c r="J4934" s="12" t="str">
        <f>HYPERLINK("https://www.boe.es/gazeta/dias/1801/09/08/pdfs/GMD-1801-86.pdf#page=2","Abrir facsímil")</f>
        <v>Abrir facsímil</v>
      </c>
      <c r="K4934" s="15" t="s">
        <v>23</v>
      </c>
    </row>
    <row r="4935" spans="1:11" ht="42" customHeight="1">
      <c r="A4935" s="4" t="s">
        <v>11204</v>
      </c>
      <c r="B4935" s="5" t="s">
        <v>11205</v>
      </c>
      <c r="C4935" s="5" t="s">
        <v>75</v>
      </c>
      <c r="D4935" s="5" t="s">
        <v>76</v>
      </c>
      <c r="E4935" s="5" t="s">
        <v>321</v>
      </c>
      <c r="F4935" s="9">
        <v>3</v>
      </c>
      <c r="G4935" s="9">
        <v>28</v>
      </c>
      <c r="H4935" s="5" t="s">
        <v>21</v>
      </c>
      <c r="I4935" s="5" t="s">
        <v>11206</v>
      </c>
      <c r="J4935" s="12" t="str">
        <f>HYPERLINK("https://www.boe.es/gazeta/dias/1801/01/09/pdfs/GMD-1801-3.pdf#page=4","Abrir facsímil")</f>
        <v>Abrir facsímil</v>
      </c>
      <c r="K4935" s="15" t="s">
        <v>23</v>
      </c>
    </row>
    <row r="4936" spans="1:11" ht="42" customHeight="1">
      <c r="A4936" s="4" t="s">
        <v>11204</v>
      </c>
      <c r="B4936" s="5" t="s">
        <v>11205</v>
      </c>
      <c r="C4936" s="5" t="s">
        <v>18</v>
      </c>
      <c r="D4936" s="5" t="s">
        <v>19</v>
      </c>
      <c r="E4936" s="5" t="s">
        <v>120</v>
      </c>
      <c r="F4936" s="9">
        <v>7</v>
      </c>
      <c r="G4936" s="9">
        <v>79</v>
      </c>
      <c r="H4936" s="5" t="s">
        <v>21</v>
      </c>
      <c r="I4936" s="5" t="s">
        <v>11207</v>
      </c>
      <c r="J4936" s="12" t="str">
        <f>HYPERLINK("https://www.boe.es/gazeta/dias/1801/01/23/pdfs/GMD-1801-7.pdf#page=3","Abrir facsímil")</f>
        <v>Abrir facsímil</v>
      </c>
      <c r="K4936" s="15" t="s">
        <v>23</v>
      </c>
    </row>
    <row r="4937" spans="1:11" ht="42" customHeight="1">
      <c r="A4937" s="4" t="s">
        <v>11204</v>
      </c>
      <c r="B4937" s="5" t="s">
        <v>11205</v>
      </c>
      <c r="C4937" s="5" t="s">
        <v>38</v>
      </c>
      <c r="D4937" s="5" t="s">
        <v>39</v>
      </c>
      <c r="E4937" s="5" t="s">
        <v>126</v>
      </c>
      <c r="F4937" s="9">
        <v>13</v>
      </c>
      <c r="G4937" s="9">
        <v>159</v>
      </c>
      <c r="H4937" s="5" t="s">
        <v>21</v>
      </c>
      <c r="I4937" s="5" t="s">
        <v>11208</v>
      </c>
      <c r="J4937" s="12" t="str">
        <f>HYPERLINK("https://www.boe.es/gazeta/dias/1801/02/13/pdfs/GMD-1801-13.pdf#page=6","Abrir facsímil")</f>
        <v>Abrir facsímil</v>
      </c>
      <c r="K4937" s="15" t="s">
        <v>23</v>
      </c>
    </row>
    <row r="4938" spans="1:11" ht="42" customHeight="1">
      <c r="A4938" s="4" t="s">
        <v>11204</v>
      </c>
      <c r="B4938" s="5" t="s">
        <v>11205</v>
      </c>
      <c r="C4938" s="5" t="s">
        <v>38</v>
      </c>
      <c r="D4938" s="5" t="s">
        <v>39</v>
      </c>
      <c r="E4938" s="5" t="s">
        <v>126</v>
      </c>
      <c r="F4938" s="9">
        <v>13</v>
      </c>
      <c r="G4938" s="9">
        <v>160</v>
      </c>
      <c r="H4938" s="5" t="s">
        <v>21</v>
      </c>
      <c r="I4938" s="5" t="s">
        <v>11209</v>
      </c>
      <c r="J4938" s="12" t="str">
        <f>HYPERLINK("https://www.boe.es/gazeta/dias/1801/02/13/pdfs/GMD-1801-13.pdf#page=7","Abrir facsímil")</f>
        <v>Abrir facsímil</v>
      </c>
      <c r="K4938" s="15" t="s">
        <v>23</v>
      </c>
    </row>
    <row r="4939" spans="1:11" ht="42" customHeight="1">
      <c r="A4939" s="4" t="s">
        <v>11204</v>
      </c>
      <c r="B4939" s="5" t="s">
        <v>11205</v>
      </c>
      <c r="C4939" s="5" t="s">
        <v>38</v>
      </c>
      <c r="D4939" s="5" t="s">
        <v>39</v>
      </c>
      <c r="E4939" s="5" t="s">
        <v>378</v>
      </c>
      <c r="F4939" s="9">
        <v>23</v>
      </c>
      <c r="G4939" s="9">
        <v>303</v>
      </c>
      <c r="H4939" s="5" t="s">
        <v>21</v>
      </c>
      <c r="I4939" s="5" t="s">
        <v>11210</v>
      </c>
      <c r="J4939" s="12" t="str">
        <f>HYPERLINK("https://www.boe.es/gazeta/dias/1801/03/20/pdfs/GMD-1801-23.pdf#page=6","Abrir facsímil")</f>
        <v>Abrir facsímil</v>
      </c>
      <c r="K4939" s="15" t="s">
        <v>23</v>
      </c>
    </row>
    <row r="4940" spans="1:11" ht="42" customHeight="1">
      <c r="A4940" s="4" t="s">
        <v>11204</v>
      </c>
      <c r="B4940" s="5" t="s">
        <v>11205</v>
      </c>
      <c r="C4940" s="5" t="s">
        <v>75</v>
      </c>
      <c r="D4940" s="5" t="s">
        <v>76</v>
      </c>
      <c r="E4940" s="5" t="s">
        <v>201</v>
      </c>
      <c r="F4940" s="9">
        <v>79</v>
      </c>
      <c r="G4940" s="9">
        <v>885</v>
      </c>
      <c r="H4940" s="5" t="s">
        <v>21</v>
      </c>
      <c r="I4940" s="5" t="s">
        <v>11211</v>
      </c>
      <c r="J4940" s="12" t="str">
        <f>HYPERLINK("https://www.boe.es/gazeta/dias/1801/08/18/pdfs/GMD-1801-79.pdf#page=2","Abrir facsímil")</f>
        <v>Abrir facsímil</v>
      </c>
      <c r="K4940" s="15" t="s">
        <v>23</v>
      </c>
    </row>
    <row r="4941" spans="1:11" ht="42" customHeight="1">
      <c r="A4941" s="4" t="s">
        <v>11204</v>
      </c>
      <c r="B4941" s="5" t="s">
        <v>11205</v>
      </c>
      <c r="C4941" s="5" t="s">
        <v>75</v>
      </c>
      <c r="D4941" s="5" t="s">
        <v>76</v>
      </c>
      <c r="E4941" s="5" t="s">
        <v>338</v>
      </c>
      <c r="F4941" s="9">
        <v>83</v>
      </c>
      <c r="G4941" s="9">
        <v>926</v>
      </c>
      <c r="H4941" s="5" t="s">
        <v>21</v>
      </c>
      <c r="I4941" s="5" t="s">
        <v>11212</v>
      </c>
      <c r="J4941" s="12" t="str">
        <f>HYPERLINK("https://www.boe.es/gazeta/dias/1801/09/01/pdfs/GMD-1801-83.pdf#page=1","Abrir facsímil")</f>
        <v>Abrir facsímil</v>
      </c>
      <c r="K4941" s="15" t="s">
        <v>23</v>
      </c>
    </row>
    <row r="4942" spans="1:11" ht="42" customHeight="1">
      <c r="A4942" s="4" t="s">
        <v>11204</v>
      </c>
      <c r="B4942" s="5" t="s">
        <v>11205</v>
      </c>
      <c r="C4942" s="5" t="s">
        <v>75</v>
      </c>
      <c r="D4942" s="5" t="s">
        <v>76</v>
      </c>
      <c r="E4942" s="5" t="s">
        <v>328</v>
      </c>
      <c r="F4942" s="9">
        <v>89</v>
      </c>
      <c r="G4942" s="9">
        <v>974</v>
      </c>
      <c r="H4942" s="5" t="s">
        <v>21</v>
      </c>
      <c r="I4942" s="5" t="s">
        <v>11213</v>
      </c>
      <c r="J4942" s="12" t="str">
        <f>HYPERLINK("https://www.boe.es/gazeta/dias/1801/09/15/pdfs/GMD-1801-89.pdf#page=1","Abrir facsímil")</f>
        <v>Abrir facsímil</v>
      </c>
      <c r="K4942" s="15" t="s">
        <v>23</v>
      </c>
    </row>
    <row r="4943" spans="1:11" ht="42" customHeight="1">
      <c r="A4943" s="4" t="s">
        <v>11204</v>
      </c>
      <c r="B4943" s="5" t="s">
        <v>11205</v>
      </c>
      <c r="C4943" s="5" t="s">
        <v>75</v>
      </c>
      <c r="D4943" s="5" t="s">
        <v>76</v>
      </c>
      <c r="E4943" s="5" t="s">
        <v>505</v>
      </c>
      <c r="F4943" s="9">
        <v>94</v>
      </c>
      <c r="G4943" s="9">
        <v>1026</v>
      </c>
      <c r="H4943" s="5" t="s">
        <v>21</v>
      </c>
      <c r="I4943" s="5" t="s">
        <v>11214</v>
      </c>
      <c r="J4943" s="12" t="str">
        <f>HYPERLINK("https://www.boe.es/gazeta/dias/1801/10/02/pdfs/GMD-1801-94.pdf#page=2","Abrir facsímil")</f>
        <v>Abrir facsímil</v>
      </c>
      <c r="K4943" s="15" t="s">
        <v>23</v>
      </c>
    </row>
    <row r="4944" spans="1:11" ht="42" customHeight="1">
      <c r="A4944" s="4" t="s">
        <v>11215</v>
      </c>
      <c r="B4944" s="5" t="s">
        <v>11216</v>
      </c>
      <c r="C4944" s="5" t="s">
        <v>69</v>
      </c>
      <c r="D4944" s="5" t="s">
        <v>19</v>
      </c>
      <c r="E4944" s="5" t="s">
        <v>309</v>
      </c>
      <c r="F4944" s="9">
        <v>118</v>
      </c>
      <c r="G4944" s="9">
        <v>1292</v>
      </c>
      <c r="H4944" s="5" t="s">
        <v>21</v>
      </c>
      <c r="I4944" s="5" t="s">
        <v>11217</v>
      </c>
      <c r="J4944" s="12" t="str">
        <f>HYPERLINK("https://www.boe.es/gazeta/dias/1801/12/25/pdfs/GMD-1801-118.pdf#page=7","Abrir facsímil")</f>
        <v>Abrir facsímil</v>
      </c>
      <c r="K4944" s="15" t="s">
        <v>23</v>
      </c>
    </row>
    <row r="4945" spans="1:11" ht="42" customHeight="1">
      <c r="A4945" s="4" t="s">
        <v>11218</v>
      </c>
      <c r="B4945" s="5" t="s">
        <v>11219</v>
      </c>
      <c r="C4945" s="5" t="s">
        <v>32</v>
      </c>
      <c r="D4945" s="5" t="s">
        <v>33</v>
      </c>
      <c r="E4945" s="5" t="s">
        <v>120</v>
      </c>
      <c r="F4945" s="9">
        <v>7</v>
      </c>
      <c r="G4945" s="9">
        <v>84</v>
      </c>
      <c r="H4945" s="5" t="s">
        <v>21</v>
      </c>
      <c r="I4945" s="5" t="s">
        <v>11220</v>
      </c>
      <c r="J4945" s="12" t="str">
        <f>HYPERLINK("https://www.boe.es/gazeta/dias/1801/01/23/pdfs/GMD-1801-7.pdf#page=8","Abrir facsímil")</f>
        <v>Abrir facsímil</v>
      </c>
      <c r="K4945" s="15" t="s">
        <v>23</v>
      </c>
    </row>
    <row r="4946" spans="1:11" ht="42" customHeight="1">
      <c r="A4946" s="4" t="s">
        <v>11221</v>
      </c>
      <c r="B4946" s="5" t="s">
        <v>11222</v>
      </c>
      <c r="C4946" s="5" t="s">
        <v>75</v>
      </c>
      <c r="D4946" s="5" t="s">
        <v>76</v>
      </c>
      <c r="E4946" s="5" t="s">
        <v>151</v>
      </c>
      <c r="F4946" s="9">
        <v>45</v>
      </c>
      <c r="G4946" s="9">
        <v>557</v>
      </c>
      <c r="H4946" s="5" t="s">
        <v>21</v>
      </c>
      <c r="I4946" s="5" t="s">
        <v>11223</v>
      </c>
      <c r="J4946" s="12" t="str">
        <f>HYPERLINK("https://www.boe.es/gazeta/dias/1801/06/02/pdfs/GMD-1801-45.pdf#page=5","Abrir facsímil")</f>
        <v>Abrir facsímil</v>
      </c>
      <c r="K4946" s="15" t="s">
        <v>23</v>
      </c>
    </row>
    <row r="4947" spans="1:11" ht="42" customHeight="1">
      <c r="A4947" s="4" t="s">
        <v>11224</v>
      </c>
      <c r="B4947" s="5" t="s">
        <v>11225</v>
      </c>
      <c r="C4947" s="5" t="s">
        <v>32</v>
      </c>
      <c r="D4947" s="5" t="s">
        <v>33</v>
      </c>
      <c r="E4947" s="5" t="s">
        <v>453</v>
      </c>
      <c r="F4947" s="9">
        <v>100</v>
      </c>
      <c r="G4947" s="9">
        <v>1099</v>
      </c>
      <c r="H4947" s="5" t="s">
        <v>21</v>
      </c>
      <c r="I4947" s="5" t="s">
        <v>11226</v>
      </c>
      <c r="J4947" s="12" t="str">
        <f>HYPERLINK("https://www.boe.es/gazeta/dias/1801/10/23/pdfs/GMD-1801-100.pdf#page=8","Abrir facsímil")</f>
        <v>Abrir facsímil</v>
      </c>
      <c r="K4947" s="15" t="s">
        <v>23</v>
      </c>
    </row>
    <row r="4948" spans="1:11" ht="42" customHeight="1">
      <c r="A4948" s="4" t="s">
        <v>11227</v>
      </c>
      <c r="B4948" s="5" t="s">
        <v>11227</v>
      </c>
      <c r="C4948" s="5" t="s">
        <v>75</v>
      </c>
      <c r="D4948" s="5" t="s">
        <v>76</v>
      </c>
      <c r="E4948" s="5" t="s">
        <v>615</v>
      </c>
      <c r="F4948" s="9">
        <v>72</v>
      </c>
      <c r="G4948" s="9">
        <v>797</v>
      </c>
      <c r="H4948" s="5" t="s">
        <v>21</v>
      </c>
      <c r="I4948" s="5" t="s">
        <v>11228</v>
      </c>
      <c r="J4948" s="12" t="str">
        <f>HYPERLINK("https://www.boe.es/gazeta/dias/1801/07/24/pdfs/GMD-1801-72.pdf#page=2","Abrir facsímil")</f>
        <v>Abrir facsímil</v>
      </c>
      <c r="K4948" s="15" t="s">
        <v>23</v>
      </c>
    </row>
    <row r="4949" spans="1:11" ht="42" customHeight="1">
      <c r="A4949" s="4" t="s">
        <v>11229</v>
      </c>
      <c r="B4949" s="5" t="s">
        <v>11230</v>
      </c>
      <c r="C4949" s="5" t="s">
        <v>32</v>
      </c>
      <c r="D4949" s="5" t="s">
        <v>33</v>
      </c>
      <c r="E4949" s="5" t="s">
        <v>48</v>
      </c>
      <c r="F4949" s="9">
        <v>20</v>
      </c>
      <c r="G4949" s="9">
        <v>264</v>
      </c>
      <c r="H4949" s="5" t="s">
        <v>21</v>
      </c>
      <c r="I4949" s="5" t="s">
        <v>11231</v>
      </c>
      <c r="J4949" s="12" t="str">
        <f>HYPERLINK("https://www.boe.es/gazeta/dias/1801/03/10/pdfs/GMD-1801-20.pdf#page=9","Abrir facsímil")</f>
        <v>Abrir facsímil</v>
      </c>
      <c r="K4949" s="15" t="s">
        <v>23</v>
      </c>
    </row>
    <row r="4950" spans="1:11" ht="42" customHeight="1">
      <c r="A4950" s="4" t="s">
        <v>11232</v>
      </c>
      <c r="B4950" s="5" t="s">
        <v>11232</v>
      </c>
      <c r="C4950" s="5" t="s">
        <v>26</v>
      </c>
      <c r="D4950" s="5" t="s">
        <v>27</v>
      </c>
      <c r="E4950" s="5" t="s">
        <v>1085</v>
      </c>
      <c r="F4950" s="9">
        <v>99</v>
      </c>
      <c r="G4950" s="9">
        <v>1090</v>
      </c>
      <c r="H4950" s="5" t="s">
        <v>21</v>
      </c>
      <c r="I4950" s="5" t="s">
        <v>11233</v>
      </c>
      <c r="J4950" s="12" t="str">
        <f>HYPERLINK("https://www.boe.es/gazeta/dias/1801/10/20/pdfs/GMD-1801-99.pdf#page=7","Abrir facsímil")</f>
        <v>Abrir facsímil</v>
      </c>
      <c r="K4950" s="15" t="s">
        <v>23</v>
      </c>
    </row>
    <row r="4951" spans="1:11" ht="42" customHeight="1">
      <c r="A4951" s="4" t="s">
        <v>11234</v>
      </c>
      <c r="B4951" s="5" t="s">
        <v>11235</v>
      </c>
      <c r="C4951" s="5" t="s">
        <v>32</v>
      </c>
      <c r="D4951" s="5" t="s">
        <v>33</v>
      </c>
      <c r="E4951" s="5" t="s">
        <v>66</v>
      </c>
      <c r="F4951" s="9">
        <v>52</v>
      </c>
      <c r="G4951" s="9">
        <v>607</v>
      </c>
      <c r="H4951" s="5" t="s">
        <v>21</v>
      </c>
      <c r="I4951" s="5" t="s">
        <v>11236</v>
      </c>
      <c r="J4951" s="12" t="str">
        <f>HYPERLINK("https://www.boe.es/gazeta/dias/1801/06/12/pdfs/GMD-1801-52.pdf#page=6","Abrir facsímil")</f>
        <v>Abrir facsímil</v>
      </c>
      <c r="K4951" s="15" t="s">
        <v>23</v>
      </c>
    </row>
    <row r="4952" spans="1:11" ht="42" customHeight="1">
      <c r="A4952" s="4" t="s">
        <v>11237</v>
      </c>
      <c r="B4952" s="5" t="s">
        <v>11237</v>
      </c>
      <c r="C4952" s="5" t="s">
        <v>32</v>
      </c>
      <c r="D4952" s="5" t="s">
        <v>33</v>
      </c>
      <c r="E4952" s="5" t="s">
        <v>20</v>
      </c>
      <c r="F4952" s="9">
        <v>37</v>
      </c>
      <c r="G4952" s="9">
        <v>479</v>
      </c>
      <c r="H4952" s="5" t="s">
        <v>21</v>
      </c>
      <c r="I4952" s="5" t="s">
        <v>11238</v>
      </c>
      <c r="J4952" s="12" t="str">
        <f>HYPERLINK("https://www.boe.es/gazeta/dias/1801/05/08/pdfs/GMD-1801-37.pdf#page=7","Abrir facsímil")</f>
        <v>Abrir facsímil</v>
      </c>
      <c r="K4952" s="15" t="s">
        <v>23</v>
      </c>
    </row>
    <row r="4953" spans="1:11" ht="42" customHeight="1">
      <c r="A4953" s="4" t="s">
        <v>11239</v>
      </c>
      <c r="B4953" s="5" t="s">
        <v>11240</v>
      </c>
      <c r="C4953" s="5" t="s">
        <v>69</v>
      </c>
      <c r="D4953" s="5" t="s">
        <v>19</v>
      </c>
      <c r="E4953" s="5" t="s">
        <v>352</v>
      </c>
      <c r="F4953" s="9">
        <v>43</v>
      </c>
      <c r="G4953" s="9">
        <v>538</v>
      </c>
      <c r="H4953" s="5" t="s">
        <v>21</v>
      </c>
      <c r="I4953" s="5" t="s">
        <v>11241</v>
      </c>
      <c r="J4953" s="12" t="str">
        <f>HYPERLINK("https://www.boe.es/gazeta/dias/1801/05/26/pdfs/GMD-1801-43.pdf#page=10","Abrir facsímil")</f>
        <v>Abrir facsímil</v>
      </c>
      <c r="K4953" s="15" t="s">
        <v>23</v>
      </c>
    </row>
    <row r="4954" spans="1:11" ht="42" customHeight="1">
      <c r="A4954" s="4" t="s">
        <v>11242</v>
      </c>
      <c r="B4954" s="5" t="s">
        <v>11243</v>
      </c>
      <c r="C4954" s="5" t="s">
        <v>32</v>
      </c>
      <c r="D4954" s="5" t="s">
        <v>33</v>
      </c>
      <c r="E4954" s="5" t="s">
        <v>764</v>
      </c>
      <c r="F4954" s="9">
        <v>80</v>
      </c>
      <c r="G4954" s="9">
        <v>898</v>
      </c>
      <c r="H4954" s="5" t="s">
        <v>21</v>
      </c>
      <c r="I4954" s="5" t="s">
        <v>11244</v>
      </c>
      <c r="J4954" s="12" t="str">
        <f>HYPERLINK("https://www.boe.es/gazeta/dias/1801/08/21/pdfs/GMD-1801-80.pdf#page=7","Abrir facsímil")</f>
        <v>Abrir facsímil</v>
      </c>
      <c r="K4954" s="15" t="s">
        <v>23</v>
      </c>
    </row>
    <row r="4955" spans="1:11" ht="42" customHeight="1">
      <c r="A4955" s="4" t="s">
        <v>11245</v>
      </c>
      <c r="B4955" s="5" t="s">
        <v>11246</v>
      </c>
      <c r="C4955" s="5" t="s">
        <v>69</v>
      </c>
      <c r="D4955" s="5" t="s">
        <v>19</v>
      </c>
      <c r="E4955" s="5" t="s">
        <v>275</v>
      </c>
      <c r="F4955" s="9">
        <v>9</v>
      </c>
      <c r="G4955" s="9">
        <v>112</v>
      </c>
      <c r="H4955" s="5" t="s">
        <v>21</v>
      </c>
      <c r="I4955" s="5" t="s">
        <v>11247</v>
      </c>
      <c r="J4955" s="12" t="str">
        <f>HYPERLINK("https://www.boe.es/gazeta/dias/1801/01/30/pdfs/GMD-1801-9.pdf#page=9","Abrir facsímil")</f>
        <v>Abrir facsímil</v>
      </c>
      <c r="K4955" s="15" t="s">
        <v>23</v>
      </c>
    </row>
    <row r="4956" spans="1:11" ht="42" customHeight="1">
      <c r="A4956" s="4" t="s">
        <v>11248</v>
      </c>
      <c r="B4956" s="5" t="s">
        <v>11249</v>
      </c>
      <c r="C4956" s="5" t="s">
        <v>69</v>
      </c>
      <c r="D4956" s="5" t="s">
        <v>19</v>
      </c>
      <c r="E4956" s="5" t="s">
        <v>131</v>
      </c>
      <c r="F4956" s="9">
        <v>22</v>
      </c>
      <c r="G4956" s="9">
        <v>288</v>
      </c>
      <c r="H4956" s="5" t="s">
        <v>21</v>
      </c>
      <c r="I4956" s="5" t="s">
        <v>11250</v>
      </c>
      <c r="J4956" s="12" t="str">
        <f>HYPERLINK("https://www.boe.es/gazeta/dias/1801/03/17/pdfs/GMD-1801-22.pdf#page=5","Abrir facsímil")</f>
        <v>Abrir facsímil</v>
      </c>
      <c r="K4956" s="15" t="s">
        <v>23</v>
      </c>
    </row>
    <row r="4957" spans="1:11" ht="42" customHeight="1">
      <c r="A4957" s="4" t="s">
        <v>11251</v>
      </c>
      <c r="B4957" s="5" t="s">
        <v>11252</v>
      </c>
      <c r="C4957" s="5" t="s">
        <v>80</v>
      </c>
      <c r="D4957" s="5" t="s">
        <v>81</v>
      </c>
      <c r="E4957" s="5" t="s">
        <v>289</v>
      </c>
      <c r="F4957" s="9">
        <v>40</v>
      </c>
      <c r="G4957" s="9" t="s">
        <v>299</v>
      </c>
      <c r="H4957" s="5" t="s">
        <v>21</v>
      </c>
      <c r="I4957" s="5" t="s">
        <v>11253</v>
      </c>
      <c r="J4957" s="12" t="str">
        <f>HYPERLINK("https://www.boe.es/gazeta/dias/1801/05/19/pdfs/GMD-C-1801-40.pdf#page=5","Abrir facsímil")</f>
        <v>Abrir facsímil</v>
      </c>
      <c r="K4957" s="15" t="s">
        <v>23</v>
      </c>
    </row>
    <row r="4958" spans="1:11" ht="42" customHeight="1">
      <c r="A4958" s="4" t="s">
        <v>11254</v>
      </c>
      <c r="B4958" s="5" t="s">
        <v>11255</v>
      </c>
      <c r="C4958" s="5" t="s">
        <v>32</v>
      </c>
      <c r="D4958" s="5" t="s">
        <v>33</v>
      </c>
      <c r="E4958" s="5" t="s">
        <v>135</v>
      </c>
      <c r="F4958" s="9">
        <v>24</v>
      </c>
      <c r="G4958" s="9">
        <v>318</v>
      </c>
      <c r="H4958" s="5" t="s">
        <v>21</v>
      </c>
      <c r="I4958" s="5" t="s">
        <v>11256</v>
      </c>
      <c r="J4958" s="12" t="str">
        <f>HYPERLINK("https://www.boe.es/gazeta/dias/1801/03/24/pdfs/GMD-1801-24.pdf#page=9","Abrir facsímil")</f>
        <v>Abrir facsímil</v>
      </c>
      <c r="K4958" s="15" t="s">
        <v>23</v>
      </c>
    </row>
    <row r="4959" spans="1:11" ht="42" customHeight="1">
      <c r="A4959" s="4" t="s">
        <v>11257</v>
      </c>
      <c r="B4959" s="5" t="s">
        <v>11257</v>
      </c>
      <c r="C4959" s="5" t="s">
        <v>18</v>
      </c>
      <c r="D4959" s="5" t="s">
        <v>19</v>
      </c>
      <c r="E4959" s="5" t="s">
        <v>465</v>
      </c>
      <c r="F4959" s="9">
        <v>4</v>
      </c>
      <c r="G4959" s="9">
        <v>47</v>
      </c>
      <c r="H4959" s="5" t="s">
        <v>21</v>
      </c>
      <c r="I4959" s="5" t="s">
        <v>11258</v>
      </c>
      <c r="J4959" s="12" t="str">
        <f>HYPERLINK("https://www.boe.es/gazeta/dias/1801/01/13/pdfs/GMD-1801-4.pdf#page=11","Abrir facsímil")</f>
        <v>Abrir facsímil</v>
      </c>
      <c r="K4959" s="15" t="s">
        <v>23</v>
      </c>
    </row>
    <row r="4960" spans="1:11" ht="42" customHeight="1">
      <c r="A4960" s="4" t="s">
        <v>11259</v>
      </c>
      <c r="B4960" s="5" t="s">
        <v>11259</v>
      </c>
      <c r="C4960" s="5" t="s">
        <v>38</v>
      </c>
      <c r="D4960" s="5" t="s">
        <v>39</v>
      </c>
      <c r="E4960" s="5" t="s">
        <v>465</v>
      </c>
      <c r="F4960" s="9">
        <v>4</v>
      </c>
      <c r="G4960" s="9">
        <v>47</v>
      </c>
      <c r="H4960" s="5" t="s">
        <v>21</v>
      </c>
      <c r="I4960" s="5" t="s">
        <v>11260</v>
      </c>
      <c r="J4960" s="12" t="str">
        <f>HYPERLINK("https://www.boe.es/gazeta/dias/1801/01/13/pdfs/GMD-1801-4.pdf#page=11","Abrir facsímil")</f>
        <v>Abrir facsímil</v>
      </c>
      <c r="K4960" s="15" t="s">
        <v>23</v>
      </c>
    </row>
    <row r="4961" spans="1:11" ht="42" customHeight="1">
      <c r="A4961" s="4" t="s">
        <v>11261</v>
      </c>
      <c r="B4961" s="5" t="s">
        <v>11261</v>
      </c>
      <c r="C4961" s="5" t="s">
        <v>38</v>
      </c>
      <c r="D4961" s="5" t="s">
        <v>39</v>
      </c>
      <c r="E4961" s="5" t="s">
        <v>465</v>
      </c>
      <c r="F4961" s="9">
        <v>4</v>
      </c>
      <c r="G4961" s="9">
        <v>47</v>
      </c>
      <c r="H4961" s="5" t="s">
        <v>21</v>
      </c>
      <c r="I4961" s="5" t="s">
        <v>11262</v>
      </c>
      <c r="J4961" s="12" t="str">
        <f>HYPERLINK("https://www.boe.es/gazeta/dias/1801/01/13/pdfs/GMD-1801-4.pdf#page=11","Abrir facsímil")</f>
        <v>Abrir facsímil</v>
      </c>
      <c r="K4961" s="15" t="s">
        <v>23</v>
      </c>
    </row>
    <row r="4962" spans="1:11" ht="42" customHeight="1">
      <c r="A4962" s="4" t="s">
        <v>11263</v>
      </c>
      <c r="B4962" s="5" t="s">
        <v>11263</v>
      </c>
      <c r="C4962" s="5" t="s">
        <v>75</v>
      </c>
      <c r="D4962" s="5" t="s">
        <v>76</v>
      </c>
      <c r="E4962" s="5" t="s">
        <v>448</v>
      </c>
      <c r="F4962" s="9">
        <v>35</v>
      </c>
      <c r="G4962" s="9">
        <v>449</v>
      </c>
      <c r="H4962" s="5" t="s">
        <v>21</v>
      </c>
      <c r="I4962" s="5" t="s">
        <v>11264</v>
      </c>
      <c r="J4962" s="12" t="str">
        <f>HYPERLINK("https://www.boe.es/gazeta/dias/1801/05/01/pdfs/GMD-1801-35.pdf#page=5","Abrir facsímil")</f>
        <v>Abrir facsímil</v>
      </c>
      <c r="K4962" s="15" t="s">
        <v>23</v>
      </c>
    </row>
    <row r="4963" spans="1:11" ht="42" customHeight="1">
      <c r="A4963" s="4" t="s">
        <v>11265</v>
      </c>
      <c r="B4963" s="5" t="s">
        <v>11265</v>
      </c>
      <c r="C4963" s="5" t="s">
        <v>18</v>
      </c>
      <c r="D4963" s="5" t="s">
        <v>19</v>
      </c>
      <c r="E4963" s="5" t="s">
        <v>101</v>
      </c>
      <c r="F4963" s="9">
        <v>41</v>
      </c>
      <c r="G4963" s="9">
        <v>524</v>
      </c>
      <c r="H4963" s="5" t="s">
        <v>21</v>
      </c>
      <c r="I4963" s="5" t="s">
        <v>11266</v>
      </c>
      <c r="J4963" s="12" t="str">
        <f>HYPERLINK("https://www.boe.es/gazeta/dias/1801/05/22/pdfs/GMD-1801-41.pdf#page=8","Abrir facsímil")</f>
        <v>Abrir facsímil</v>
      </c>
      <c r="K4963" s="15" t="s">
        <v>23</v>
      </c>
    </row>
    <row r="4964" spans="1:11" ht="42" customHeight="1">
      <c r="A4964" s="4" t="s">
        <v>11267</v>
      </c>
      <c r="B4964" s="5" t="s">
        <v>11267</v>
      </c>
      <c r="C4964" s="5" t="s">
        <v>18</v>
      </c>
      <c r="D4964" s="5" t="s">
        <v>19</v>
      </c>
      <c r="E4964" s="5" t="s">
        <v>90</v>
      </c>
      <c r="F4964" s="9">
        <v>1</v>
      </c>
      <c r="G4964" s="9">
        <v>12</v>
      </c>
      <c r="H4964" s="5" t="s">
        <v>21</v>
      </c>
      <c r="I4964" s="5" t="s">
        <v>11268</v>
      </c>
      <c r="J4964" s="12" t="str">
        <f>HYPERLINK("https://www.boe.es/gazeta/dias/1801/01/02/pdfs/GMD-1801-1.pdf#page=12","Abrir facsímil")</f>
        <v>Abrir facsímil</v>
      </c>
      <c r="K4964" s="15" t="s">
        <v>23</v>
      </c>
    </row>
    <row r="4965" spans="1:11" ht="42" customHeight="1">
      <c r="A4965" s="4" t="s">
        <v>11269</v>
      </c>
      <c r="B4965" s="5" t="s">
        <v>11269</v>
      </c>
      <c r="C4965" s="5" t="s">
        <v>38</v>
      </c>
      <c r="D4965" s="5" t="s">
        <v>39</v>
      </c>
      <c r="E4965" s="5" t="s">
        <v>417</v>
      </c>
      <c r="F4965" s="9">
        <v>64</v>
      </c>
      <c r="G4965" s="9">
        <v>721</v>
      </c>
      <c r="H4965" s="5" t="s">
        <v>21</v>
      </c>
      <c r="I4965" s="5" t="s">
        <v>11270</v>
      </c>
      <c r="J4965" s="12" t="str">
        <f>HYPERLINK("https://www.boe.es/gazeta/dias/1801/07/07/pdfs/GMD-1801-64.pdf#page=2","Abrir facsímil")</f>
        <v>Abrir facsímil</v>
      </c>
      <c r="K4965" s="15" t="s">
        <v>23</v>
      </c>
    </row>
    <row r="4966" spans="1:11" ht="42" customHeight="1">
      <c r="A4966" s="4" t="s">
        <v>11271</v>
      </c>
      <c r="B4966" s="5" t="s">
        <v>11272</v>
      </c>
      <c r="C4966" s="5" t="s">
        <v>80</v>
      </c>
      <c r="D4966" s="5" t="s">
        <v>81</v>
      </c>
      <c r="E4966" s="5" t="s">
        <v>82</v>
      </c>
      <c r="F4966" s="9">
        <v>75</v>
      </c>
      <c r="G4966" s="9" t="s">
        <v>299</v>
      </c>
      <c r="H4966" s="5" t="s">
        <v>21</v>
      </c>
      <c r="I4966" s="5" t="s">
        <v>11273</v>
      </c>
      <c r="J4966" s="12" t="str">
        <f>HYPERLINK("https://www.boe.es/gazeta/dias/1801/08/04/pdfs/GMD-C-1801-75.pdf#page=5","Abrir facsímil")</f>
        <v>Abrir facsímil</v>
      </c>
      <c r="K4966" s="15" t="s">
        <v>23</v>
      </c>
    </row>
    <row r="4967" spans="1:11" ht="42" customHeight="1">
      <c r="A4967" s="4" t="s">
        <v>11274</v>
      </c>
      <c r="B4967" s="5" t="s">
        <v>11275</v>
      </c>
      <c r="C4967" s="5" t="s">
        <v>75</v>
      </c>
      <c r="D4967" s="5" t="s">
        <v>76</v>
      </c>
      <c r="E4967" s="5" t="s">
        <v>313</v>
      </c>
      <c r="F4967" s="9">
        <v>39</v>
      </c>
      <c r="G4967" s="9">
        <v>501</v>
      </c>
      <c r="H4967" s="5" t="s">
        <v>21</v>
      </c>
      <c r="I4967" s="5" t="s">
        <v>11276</v>
      </c>
      <c r="J4967" s="12" t="str">
        <f>HYPERLINK("https://www.boe.es/gazeta/dias/1801/05/15/pdfs/GMD-1801-39.pdf#page=5","Abrir facsímil")</f>
        <v>Abrir facsímil</v>
      </c>
      <c r="K4967" s="15" t="s">
        <v>23</v>
      </c>
    </row>
    <row r="4968" spans="1:11" ht="42" customHeight="1">
      <c r="A4968" s="4" t="s">
        <v>11277</v>
      </c>
      <c r="B4968" s="5" t="s">
        <v>11277</v>
      </c>
      <c r="C4968" s="5" t="s">
        <v>75</v>
      </c>
      <c r="D4968" s="5" t="s">
        <v>76</v>
      </c>
      <c r="E4968" s="5" t="s">
        <v>924</v>
      </c>
      <c r="F4968" s="9">
        <v>90</v>
      </c>
      <c r="G4968" s="9">
        <v>990</v>
      </c>
      <c r="H4968" s="5" t="s">
        <v>21</v>
      </c>
      <c r="I4968" s="5" t="s">
        <v>11278</v>
      </c>
      <c r="J4968" s="12" t="str">
        <f>HYPERLINK("https://www.boe.es/gazeta/dias/1801/09/18/pdfs/GMD-1801-90.pdf#page=5","Abrir facsímil")</f>
        <v>Abrir facsímil</v>
      </c>
      <c r="K4968" s="15" t="s">
        <v>23</v>
      </c>
    </row>
    <row r="4969" spans="1:11" ht="42" customHeight="1">
      <c r="A4969" s="4" t="s">
        <v>11279</v>
      </c>
      <c r="B4969" s="5" t="s">
        <v>11280</v>
      </c>
      <c r="C4969" s="5" t="s">
        <v>38</v>
      </c>
      <c r="D4969" s="5" t="s">
        <v>39</v>
      </c>
      <c r="E4969" s="5" t="s">
        <v>165</v>
      </c>
      <c r="F4969" s="9">
        <v>59</v>
      </c>
      <c r="G4969" s="9">
        <v>678</v>
      </c>
      <c r="H4969" s="5" t="s">
        <v>21</v>
      </c>
      <c r="I4969" s="5" t="s">
        <v>11281</v>
      </c>
      <c r="J4969" s="12" t="str">
        <f>HYPERLINK("https://www.boe.es/gazeta/dias/1801/06/23/pdfs/GMD-1801-59.pdf#page=11","Abrir facsímil")</f>
        <v>Abrir facsímil</v>
      </c>
      <c r="K4969" s="15" t="s">
        <v>23</v>
      </c>
    </row>
    <row r="4970" spans="1:11" ht="42" customHeight="1">
      <c r="A4970" s="4" t="s">
        <v>11282</v>
      </c>
      <c r="B4970" s="5" t="s">
        <v>11283</v>
      </c>
      <c r="C4970" s="5" t="s">
        <v>69</v>
      </c>
      <c r="D4970" s="5" t="s">
        <v>19</v>
      </c>
      <c r="E4970" s="5" t="s">
        <v>131</v>
      </c>
      <c r="F4970" s="9">
        <v>22</v>
      </c>
      <c r="G4970" s="9">
        <v>288</v>
      </c>
      <c r="H4970" s="5" t="s">
        <v>21</v>
      </c>
      <c r="I4970" s="5" t="s">
        <v>11284</v>
      </c>
      <c r="J4970" s="12" t="str">
        <f>HYPERLINK("https://www.boe.es/gazeta/dias/1801/03/17/pdfs/GMD-1801-22.pdf#page=5","Abrir facsímil")</f>
        <v>Abrir facsímil</v>
      </c>
      <c r="K4970" s="15" t="s">
        <v>23</v>
      </c>
    </row>
    <row r="4971" spans="1:11" ht="42" customHeight="1">
      <c r="A4971" s="4" t="s">
        <v>11285</v>
      </c>
      <c r="B4971" s="5" t="s">
        <v>11286</v>
      </c>
      <c r="C4971" s="5" t="s">
        <v>32</v>
      </c>
      <c r="D4971" s="5" t="s">
        <v>33</v>
      </c>
      <c r="E4971" s="5" t="s">
        <v>128</v>
      </c>
      <c r="F4971" s="9">
        <v>17</v>
      </c>
      <c r="G4971" s="9">
        <v>217</v>
      </c>
      <c r="H4971" s="5" t="s">
        <v>21</v>
      </c>
      <c r="I4971" s="5" t="s">
        <v>11287</v>
      </c>
      <c r="J4971" s="12" t="str">
        <f>HYPERLINK("https://www.boe.es/gazeta/dias/1801/02/27/pdfs/GMD-1801-17.pdf#page=12","Abrir facsímil")</f>
        <v>Abrir facsímil</v>
      </c>
      <c r="K4971" s="15" t="s">
        <v>23</v>
      </c>
    </row>
    <row r="4972" spans="1:11" ht="42" customHeight="1">
      <c r="A4972" s="4" t="s">
        <v>11288</v>
      </c>
      <c r="B4972" s="5" t="s">
        <v>11289</v>
      </c>
      <c r="C4972" s="5" t="s">
        <v>32</v>
      </c>
      <c r="D4972" s="5" t="s">
        <v>33</v>
      </c>
      <c r="E4972" s="5" t="s">
        <v>924</v>
      </c>
      <c r="F4972" s="9">
        <v>90</v>
      </c>
      <c r="G4972" s="9">
        <v>992</v>
      </c>
      <c r="H4972" s="5" t="s">
        <v>21</v>
      </c>
      <c r="I4972" s="5" t="s">
        <v>11290</v>
      </c>
      <c r="J4972" s="12" t="str">
        <f>HYPERLINK("https://www.boe.es/gazeta/dias/1801/09/18/pdfs/GMD-1801-90.pdf#page=7","Abrir facsímil")</f>
        <v>Abrir facsímil</v>
      </c>
      <c r="K4972" s="15" t="s">
        <v>23</v>
      </c>
    </row>
    <row r="4973" spans="1:11" ht="42" customHeight="1">
      <c r="A4973" s="4" t="s">
        <v>11291</v>
      </c>
      <c r="B4973" s="5" t="s">
        <v>11292</v>
      </c>
      <c r="C4973" s="5" t="s">
        <v>32</v>
      </c>
      <c r="D4973" s="5" t="s">
        <v>33</v>
      </c>
      <c r="E4973" s="5" t="s">
        <v>66</v>
      </c>
      <c r="F4973" s="9">
        <v>52</v>
      </c>
      <c r="G4973" s="9">
        <v>608</v>
      </c>
      <c r="H4973" s="5" t="s">
        <v>21</v>
      </c>
      <c r="I4973" s="5" t="s">
        <v>11293</v>
      </c>
      <c r="J4973" s="12" t="str">
        <f>HYPERLINK("https://www.boe.es/gazeta/dias/1801/06/12/pdfs/GMD-1801-52.pdf#page=7","Abrir facsímil")</f>
        <v>Abrir facsímil</v>
      </c>
      <c r="K4973" s="15" t="s">
        <v>23</v>
      </c>
    </row>
    <row r="4974" spans="1:11" ht="42" customHeight="1">
      <c r="A4974" s="4" t="s">
        <v>11294</v>
      </c>
      <c r="B4974" s="5" t="s">
        <v>11295</v>
      </c>
      <c r="C4974" s="5" t="s">
        <v>32</v>
      </c>
      <c r="D4974" s="5" t="s">
        <v>33</v>
      </c>
      <c r="E4974" s="5" t="s">
        <v>131</v>
      </c>
      <c r="F4974" s="9">
        <v>22</v>
      </c>
      <c r="G4974" s="9">
        <v>289</v>
      </c>
      <c r="H4974" s="5" t="s">
        <v>21</v>
      </c>
      <c r="I4974" s="5" t="s">
        <v>11296</v>
      </c>
      <c r="J4974" s="12" t="str">
        <f>HYPERLINK("https://www.boe.es/gazeta/dias/1801/03/17/pdfs/GMD-1801-22.pdf#page=6","Abrir facsímil")</f>
        <v>Abrir facsímil</v>
      </c>
      <c r="K4974" s="15" t="s">
        <v>23</v>
      </c>
    </row>
    <row r="4975" spans="1:11" ht="42" customHeight="1">
      <c r="A4975" s="4" t="s">
        <v>11297</v>
      </c>
      <c r="B4975" s="5" t="s">
        <v>11298</v>
      </c>
      <c r="C4975" s="5" t="s">
        <v>32</v>
      </c>
      <c r="D4975" s="5" t="s">
        <v>33</v>
      </c>
      <c r="E4975" s="5" t="s">
        <v>137</v>
      </c>
      <c r="F4975" s="9">
        <v>30</v>
      </c>
      <c r="G4975" s="9">
        <v>386</v>
      </c>
      <c r="H4975" s="5" t="s">
        <v>21</v>
      </c>
      <c r="I4975" s="5" t="s">
        <v>11299</v>
      </c>
      <c r="J4975" s="12" t="str">
        <f>HYPERLINK("https://www.boe.es/gazeta/dias/1801/04/14/pdfs/GMD-1801-30.pdf#page=2","Abrir facsímil")</f>
        <v>Abrir facsímil</v>
      </c>
      <c r="K4975" s="15" t="s">
        <v>23</v>
      </c>
    </row>
    <row r="4976" spans="1:11" ht="42" customHeight="1">
      <c r="A4976" s="4" t="s">
        <v>11300</v>
      </c>
      <c r="B4976" s="5" t="s">
        <v>11301</v>
      </c>
      <c r="C4976" s="5" t="s">
        <v>32</v>
      </c>
      <c r="D4976" s="5" t="s">
        <v>33</v>
      </c>
      <c r="E4976" s="5" t="s">
        <v>465</v>
      </c>
      <c r="F4976" s="9">
        <v>4</v>
      </c>
      <c r="G4976" s="9">
        <v>46</v>
      </c>
      <c r="H4976" s="5" t="s">
        <v>21</v>
      </c>
      <c r="I4976" s="5" t="s">
        <v>11302</v>
      </c>
      <c r="J4976" s="12" t="str">
        <f>HYPERLINK("https://www.boe.es/gazeta/dias/1801/01/13/pdfs/GMD-1801-4.pdf#page=10","Abrir facsímil")</f>
        <v>Abrir facsímil</v>
      </c>
      <c r="K4976" s="15" t="s">
        <v>23</v>
      </c>
    </row>
    <row r="4977" spans="1:11" ht="42" customHeight="1">
      <c r="A4977" s="4" t="s">
        <v>11303</v>
      </c>
      <c r="B4977" s="5" t="s">
        <v>11304</v>
      </c>
      <c r="C4977" s="5" t="s">
        <v>32</v>
      </c>
      <c r="D4977" s="5" t="s">
        <v>33</v>
      </c>
      <c r="E4977" s="5" t="s">
        <v>99</v>
      </c>
      <c r="F4977" s="9">
        <v>32</v>
      </c>
      <c r="G4977" s="9">
        <v>414</v>
      </c>
      <c r="H4977" s="5" t="s">
        <v>21</v>
      </c>
      <c r="I4977" s="5" t="s">
        <v>11305</v>
      </c>
      <c r="J4977" s="12" t="str">
        <f>HYPERLINK("https://www.boe.es/gazeta/dias/1801/04/21/pdfs/GMD-1801-32.pdf#page=10","Abrir facsímil")</f>
        <v>Abrir facsímil</v>
      </c>
      <c r="K4977" s="15" t="s">
        <v>23</v>
      </c>
    </row>
    <row r="4978" spans="1:11" ht="42" customHeight="1">
      <c r="A4978" s="4" t="s">
        <v>11306</v>
      </c>
      <c r="B4978" s="5" t="s">
        <v>11306</v>
      </c>
      <c r="C4978" s="5" t="s">
        <v>32</v>
      </c>
      <c r="D4978" s="5" t="s">
        <v>33</v>
      </c>
      <c r="E4978" s="5" t="s">
        <v>2185</v>
      </c>
      <c r="F4978" s="9">
        <v>84</v>
      </c>
      <c r="G4978" s="9">
        <v>943</v>
      </c>
      <c r="H4978" s="5" t="s">
        <v>21</v>
      </c>
      <c r="I4978" s="5" t="s">
        <v>11307</v>
      </c>
      <c r="J4978" s="12" t="str">
        <f>HYPERLINK("https://www.boe.es/gazeta/dias/1801/09/04/pdfs/GMD-1801-84.pdf#page=6","Abrir facsímil")</f>
        <v>Abrir facsímil</v>
      </c>
      <c r="K4978" s="15" t="s">
        <v>23</v>
      </c>
    </row>
    <row r="4979" spans="1:11" ht="42" customHeight="1">
      <c r="A4979" s="4" t="s">
        <v>11308</v>
      </c>
      <c r="B4979" s="5" t="s">
        <v>11308</v>
      </c>
      <c r="C4979" s="5" t="s">
        <v>32</v>
      </c>
      <c r="D4979" s="5" t="s">
        <v>33</v>
      </c>
      <c r="E4979" s="5" t="s">
        <v>328</v>
      </c>
      <c r="F4979" s="9">
        <v>89</v>
      </c>
      <c r="G4979" s="9">
        <v>983</v>
      </c>
      <c r="H4979" s="5" t="s">
        <v>21</v>
      </c>
      <c r="I4979" s="5" t="s">
        <v>11309</v>
      </c>
      <c r="J4979" s="12" t="str">
        <f>HYPERLINK("https://www.boe.es/gazeta/dias/1801/09/15/pdfs/GMD-1801-89.pdf#page=10","Abrir facsímil")</f>
        <v>Abrir facsímil</v>
      </c>
      <c r="K4979" s="15" t="s">
        <v>23</v>
      </c>
    </row>
    <row r="4980" spans="1:11" ht="42" customHeight="1">
      <c r="A4980" s="4" t="s">
        <v>11310</v>
      </c>
      <c r="B4980" s="5" t="s">
        <v>11311</v>
      </c>
      <c r="C4980" s="5" t="s">
        <v>26</v>
      </c>
      <c r="D4980" s="5" t="s">
        <v>27</v>
      </c>
      <c r="E4980" s="5" t="s">
        <v>137</v>
      </c>
      <c r="F4980" s="9">
        <v>30</v>
      </c>
      <c r="G4980" s="9">
        <v>396</v>
      </c>
      <c r="H4980" s="5" t="s">
        <v>21</v>
      </c>
      <c r="I4980" s="5" t="s">
        <v>11312</v>
      </c>
      <c r="J4980" s="12" t="str">
        <f>HYPERLINK("https://www.boe.es/gazeta/dias/1801/04/14/pdfs/GMD-1801-30.pdf#page=12","Abrir facsímil")</f>
        <v>Abrir facsímil</v>
      </c>
      <c r="K4980" s="15" t="s">
        <v>23</v>
      </c>
    </row>
    <row r="4981" spans="1:11" ht="42" customHeight="1">
      <c r="A4981" s="4" t="s">
        <v>11313</v>
      </c>
      <c r="B4981" s="5" t="s">
        <v>11314</v>
      </c>
      <c r="C4981" s="5" t="s">
        <v>80</v>
      </c>
      <c r="D4981" s="5" t="s">
        <v>81</v>
      </c>
      <c r="E4981" s="5" t="s">
        <v>289</v>
      </c>
      <c r="F4981" s="9">
        <v>40</v>
      </c>
      <c r="G4981" s="9" t="s">
        <v>83</v>
      </c>
      <c r="H4981" s="5" t="s">
        <v>21</v>
      </c>
      <c r="I4981" s="5" t="s">
        <v>11315</v>
      </c>
      <c r="J4981" s="12" t="str">
        <f>HYPERLINK("https://www.boe.es/gazeta/dias/1801/05/19/pdfs/GMD-C-1801-40.pdf#page=2","Abrir facsímil")</f>
        <v>Abrir facsímil</v>
      </c>
      <c r="K4981" s="15" t="s">
        <v>23</v>
      </c>
    </row>
    <row r="4982" spans="1:11" ht="42" customHeight="1">
      <c r="A4982" s="4" t="s">
        <v>11316</v>
      </c>
      <c r="B4982" s="5" t="s">
        <v>11317</v>
      </c>
      <c r="C4982" s="5" t="s">
        <v>32</v>
      </c>
      <c r="D4982" s="5" t="s">
        <v>33</v>
      </c>
      <c r="E4982" s="5" t="s">
        <v>289</v>
      </c>
      <c r="F4982" s="9">
        <v>40</v>
      </c>
      <c r="G4982" s="9">
        <v>515</v>
      </c>
      <c r="H4982" s="5" t="s">
        <v>21</v>
      </c>
      <c r="I4982" s="5" t="s">
        <v>11318</v>
      </c>
      <c r="J4982" s="12" t="str">
        <f>HYPERLINK("https://www.boe.es/gazeta/dias/1801/05/19/pdfs/GMD-1801-40.pdf#page=7","Abrir facsímil")</f>
        <v>Abrir facsímil</v>
      </c>
      <c r="K4982" s="15" t="s">
        <v>23</v>
      </c>
    </row>
    <row r="4983" spans="1:11" ht="42" customHeight="1">
      <c r="A4983" s="4" t="s">
        <v>11319</v>
      </c>
      <c r="B4983" s="5" t="s">
        <v>11320</v>
      </c>
      <c r="C4983" s="5" t="s">
        <v>32</v>
      </c>
      <c r="D4983" s="5" t="s">
        <v>33</v>
      </c>
      <c r="E4983" s="5" t="s">
        <v>211</v>
      </c>
      <c r="F4983" s="9">
        <v>87</v>
      </c>
      <c r="G4983" s="9">
        <v>967</v>
      </c>
      <c r="H4983" s="5" t="s">
        <v>21</v>
      </c>
      <c r="I4983" s="5" t="s">
        <v>11321</v>
      </c>
      <c r="J4983" s="12" t="str">
        <f>HYPERLINK("https://www.boe.es/gazeta/dias/1801/09/11/pdfs/GMD-1801-87.pdf#page=10","Abrir facsímil")</f>
        <v>Abrir facsímil</v>
      </c>
      <c r="K4983" s="15" t="s">
        <v>23</v>
      </c>
    </row>
    <row r="4984" spans="1:11" ht="42" customHeight="1">
      <c r="A4984" s="4" t="s">
        <v>11322</v>
      </c>
      <c r="B4984" s="5" t="s">
        <v>11322</v>
      </c>
      <c r="C4984" s="5" t="s">
        <v>38</v>
      </c>
      <c r="D4984" s="5" t="s">
        <v>39</v>
      </c>
      <c r="E4984" s="5" t="s">
        <v>1058</v>
      </c>
      <c r="F4984" s="9">
        <v>108</v>
      </c>
      <c r="G4984" s="9">
        <v>1187</v>
      </c>
      <c r="H4984" s="5" t="s">
        <v>21</v>
      </c>
      <c r="I4984" s="5" t="s">
        <v>11323</v>
      </c>
      <c r="J4984" s="12" t="str">
        <f>HYPERLINK("https://www.boe.es/gazeta/dias/1801/11/20/pdfs/GMD-1801-108.pdf#page=4","Abrir facsímil")</f>
        <v>Abrir facsímil</v>
      </c>
      <c r="K4984" s="15" t="s">
        <v>23</v>
      </c>
    </row>
    <row r="4985" spans="1:11" ht="42" customHeight="1">
      <c r="A4985" s="4" t="s">
        <v>11324</v>
      </c>
      <c r="B4985" s="5" t="s">
        <v>11325</v>
      </c>
      <c r="C4985" s="5" t="s">
        <v>38</v>
      </c>
      <c r="D4985" s="5" t="s">
        <v>39</v>
      </c>
      <c r="E4985" s="5" t="s">
        <v>151</v>
      </c>
      <c r="F4985" s="9">
        <v>45</v>
      </c>
      <c r="G4985" s="9">
        <v>563</v>
      </c>
      <c r="H4985" s="5" t="s">
        <v>21</v>
      </c>
      <c r="I4985" s="5" t="s">
        <v>11326</v>
      </c>
      <c r="J4985" s="12" t="str">
        <f>HYPERLINK("https://www.boe.es/gazeta/dias/1801/06/02/pdfs/GMD-1801-45.pdf#page=11","Abrir facsímil")</f>
        <v>Abrir facsímil</v>
      </c>
      <c r="K4985" s="15" t="s">
        <v>23</v>
      </c>
    </row>
    <row r="4986" spans="1:11" ht="42" customHeight="1">
      <c r="A4986" s="4" t="s">
        <v>11327</v>
      </c>
      <c r="B4986" s="5" t="s">
        <v>11327</v>
      </c>
      <c r="C4986" s="5" t="s">
        <v>69</v>
      </c>
      <c r="D4986" s="5" t="s">
        <v>19</v>
      </c>
      <c r="E4986" s="5" t="s">
        <v>275</v>
      </c>
      <c r="F4986" s="9">
        <v>9</v>
      </c>
      <c r="G4986" s="9">
        <v>111</v>
      </c>
      <c r="H4986" s="5" t="s">
        <v>21</v>
      </c>
      <c r="I4986" s="5" t="s">
        <v>11328</v>
      </c>
      <c r="J4986" s="12" t="str">
        <f>HYPERLINK("https://www.boe.es/gazeta/dias/1801/01/30/pdfs/GMD-1801-9.pdf#page=8","Abrir facsímil")</f>
        <v>Abrir facsímil</v>
      </c>
      <c r="K4986" s="15" t="s">
        <v>23</v>
      </c>
    </row>
    <row r="4987" spans="1:11" ht="42" customHeight="1">
      <c r="A4987" s="4" t="s">
        <v>11329</v>
      </c>
      <c r="B4987" s="5" t="s">
        <v>11330</v>
      </c>
      <c r="C4987" s="5" t="s">
        <v>32</v>
      </c>
      <c r="D4987" s="5" t="s">
        <v>33</v>
      </c>
      <c r="E4987" s="5" t="s">
        <v>201</v>
      </c>
      <c r="F4987" s="9">
        <v>79</v>
      </c>
      <c r="G4987" s="9">
        <v>889</v>
      </c>
      <c r="H4987" s="5" t="s">
        <v>21</v>
      </c>
      <c r="I4987" s="5" t="s">
        <v>11331</v>
      </c>
      <c r="J4987" s="12" t="str">
        <f>HYPERLINK("https://www.boe.es/gazeta/dias/1801/08/18/pdfs/GMD-1801-79.pdf#page=6","Abrir facsímil")</f>
        <v>Abrir facsímil</v>
      </c>
      <c r="K4987" s="15" t="s">
        <v>23</v>
      </c>
    </row>
    <row r="4988" spans="1:11" ht="42" customHeight="1">
      <c r="A4988" s="4" t="s">
        <v>11332</v>
      </c>
      <c r="B4988" s="5" t="s">
        <v>11333</v>
      </c>
      <c r="C4988" s="5" t="s">
        <v>38</v>
      </c>
      <c r="D4988" s="5" t="s">
        <v>39</v>
      </c>
      <c r="E4988" s="5" t="s">
        <v>126</v>
      </c>
      <c r="F4988" s="9">
        <v>13</v>
      </c>
      <c r="G4988" s="9">
        <v>165</v>
      </c>
      <c r="H4988" s="5" t="s">
        <v>21</v>
      </c>
      <c r="I4988" s="5" t="s">
        <v>11334</v>
      </c>
      <c r="J4988" s="12" t="str">
        <f>HYPERLINK("https://www.boe.es/gazeta/dias/1801/02/13/pdfs/GMD-1801-13.pdf#page=12","Abrir facsímil")</f>
        <v>Abrir facsímil</v>
      </c>
      <c r="K4988" s="15" t="s">
        <v>23</v>
      </c>
    </row>
    <row r="4989" spans="1:11" ht="42" customHeight="1">
      <c r="A4989" s="4" t="s">
        <v>11335</v>
      </c>
      <c r="B4989" s="5" t="s">
        <v>11336</v>
      </c>
      <c r="C4989" s="5" t="s">
        <v>32</v>
      </c>
      <c r="D4989" s="5" t="s">
        <v>33</v>
      </c>
      <c r="E4989" s="5" t="s">
        <v>171</v>
      </c>
      <c r="F4989" s="9">
        <v>76</v>
      </c>
      <c r="G4989" s="9">
        <v>853</v>
      </c>
      <c r="H4989" s="5" t="s">
        <v>21</v>
      </c>
      <c r="I4989" s="5" t="s">
        <v>11337</v>
      </c>
      <c r="J4989" s="12" t="str">
        <f>HYPERLINK("https://www.boe.es/gazeta/dias/1801/08/07/pdfs/GMD-1801-76.pdf#page=10","Abrir facsímil")</f>
        <v>Abrir facsímil</v>
      </c>
      <c r="K4989" s="15" t="s">
        <v>23</v>
      </c>
    </row>
    <row r="4990" spans="1:11" ht="42" customHeight="1">
      <c r="A4990" s="4" t="s">
        <v>11338</v>
      </c>
      <c r="B4990" s="5" t="s">
        <v>11339</v>
      </c>
      <c r="C4990" s="5" t="s">
        <v>32</v>
      </c>
      <c r="D4990" s="5" t="s">
        <v>33</v>
      </c>
      <c r="E4990" s="5" t="s">
        <v>186</v>
      </c>
      <c r="F4990" s="9">
        <v>21</v>
      </c>
      <c r="G4990" s="9">
        <v>279</v>
      </c>
      <c r="H4990" s="5" t="s">
        <v>21</v>
      </c>
      <c r="I4990" s="5" t="s">
        <v>11340</v>
      </c>
      <c r="J4990" s="12" t="str">
        <f>HYPERLINK("https://www.boe.es/gazeta/dias/1801/03/13/pdfs/GMD-1801-21.pdf#page=8","Abrir facsímil")</f>
        <v>Abrir facsímil</v>
      </c>
      <c r="K4990" s="15" t="s">
        <v>23</v>
      </c>
    </row>
    <row r="4991" spans="1:11" ht="42" customHeight="1">
      <c r="A4991" s="4" t="s">
        <v>11341</v>
      </c>
      <c r="B4991" s="5" t="s">
        <v>11341</v>
      </c>
      <c r="C4991" s="5" t="s">
        <v>69</v>
      </c>
      <c r="D4991" s="5" t="s">
        <v>19</v>
      </c>
      <c r="E4991" s="5" t="s">
        <v>328</v>
      </c>
      <c r="F4991" s="9">
        <v>89</v>
      </c>
      <c r="G4991" s="9">
        <v>984</v>
      </c>
      <c r="H4991" s="5" t="s">
        <v>21</v>
      </c>
      <c r="I4991" s="5" t="s">
        <v>11342</v>
      </c>
      <c r="J4991" s="12" t="str">
        <f>HYPERLINK("https://www.boe.es/gazeta/dias/1801/09/15/pdfs/GMD-1801-89.pdf#page=11","Abrir facsímil")</f>
        <v>Abrir facsímil</v>
      </c>
      <c r="K4991" s="15" t="s">
        <v>23</v>
      </c>
    </row>
    <row r="4992" spans="1:11" ht="42" customHeight="1">
      <c r="A4992" s="4" t="s">
        <v>11343</v>
      </c>
      <c r="B4992" s="5" t="s">
        <v>11343</v>
      </c>
      <c r="C4992" s="5" t="s">
        <v>18</v>
      </c>
      <c r="D4992" s="5" t="s">
        <v>19</v>
      </c>
      <c r="E4992" s="5" t="s">
        <v>2430</v>
      </c>
      <c r="F4992" s="9">
        <v>27</v>
      </c>
      <c r="G4992" s="9">
        <v>356</v>
      </c>
      <c r="H4992" s="5" t="s">
        <v>21</v>
      </c>
      <c r="I4992" s="5" t="s">
        <v>11344</v>
      </c>
      <c r="J4992" s="12" t="str">
        <f>HYPERLINK("https://www.boe.es/gazeta/dias/1801/04/03/pdfs/GMD-1801-27.pdf#page=8","Abrir facsímil")</f>
        <v>Abrir facsímil</v>
      </c>
      <c r="K4992" s="15" t="s">
        <v>23</v>
      </c>
    </row>
    <row r="4993" spans="1:11" ht="42" customHeight="1">
      <c r="A4993" s="4" t="s">
        <v>11345</v>
      </c>
      <c r="B4993" s="5" t="s">
        <v>11345</v>
      </c>
      <c r="C4993" s="5" t="s">
        <v>38</v>
      </c>
      <c r="D4993" s="5" t="s">
        <v>39</v>
      </c>
      <c r="E4993" s="5" t="s">
        <v>480</v>
      </c>
      <c r="F4993" s="9">
        <v>10</v>
      </c>
      <c r="G4993" s="9">
        <v>125</v>
      </c>
      <c r="H4993" s="5" t="s">
        <v>21</v>
      </c>
      <c r="I4993" s="5" t="s">
        <v>11346</v>
      </c>
      <c r="J4993" s="12" t="str">
        <f>HYPERLINK("https://www.boe.es/gazeta/dias/1801/02/03/pdfs/GMD-1801-10.pdf#page=10","Abrir facsímil")</f>
        <v>Abrir facsímil</v>
      </c>
      <c r="K4993" s="15" t="s">
        <v>23</v>
      </c>
    </row>
    <row r="4994" spans="1:11" ht="42" customHeight="1">
      <c r="A4994" s="4" t="s">
        <v>11347</v>
      </c>
      <c r="B4994" s="5" t="s">
        <v>11347</v>
      </c>
      <c r="C4994" s="5" t="s">
        <v>69</v>
      </c>
      <c r="D4994" s="5" t="s">
        <v>19</v>
      </c>
      <c r="E4994" s="5" t="s">
        <v>359</v>
      </c>
      <c r="F4994" s="9">
        <v>101</v>
      </c>
      <c r="G4994" s="9">
        <v>1113</v>
      </c>
      <c r="H4994" s="5" t="s">
        <v>21</v>
      </c>
      <c r="I4994" s="5" t="s">
        <v>11348</v>
      </c>
      <c r="J4994" s="12" t="str">
        <f>HYPERLINK("https://www.boe.es/gazeta/dias/1801/10/27/pdfs/GMD-1801-101.pdf#page=6","Abrir facsímil")</f>
        <v>Abrir facsímil</v>
      </c>
      <c r="K4994" s="15" t="s">
        <v>23</v>
      </c>
    </row>
    <row r="4995" spans="1:11" ht="42" customHeight="1">
      <c r="A4995" s="4" t="s">
        <v>11349</v>
      </c>
      <c r="B4995" s="5" t="s">
        <v>11349</v>
      </c>
      <c r="C4995" s="5" t="s">
        <v>38</v>
      </c>
      <c r="D4995" s="5" t="s">
        <v>39</v>
      </c>
      <c r="E4995" s="5" t="s">
        <v>124</v>
      </c>
      <c r="F4995" s="9">
        <v>12</v>
      </c>
      <c r="G4995" s="9">
        <v>148</v>
      </c>
      <c r="H4995" s="5" t="s">
        <v>21</v>
      </c>
      <c r="I4995" s="5" t="s">
        <v>11350</v>
      </c>
      <c r="J4995" s="12" t="str">
        <f>HYPERLINK("https://www.boe.es/gazeta/dias/1801/02/10/pdfs/GMD-1801-12.pdf#page=9","Abrir facsímil")</f>
        <v>Abrir facsímil</v>
      </c>
      <c r="K4995" s="15" t="s">
        <v>23</v>
      </c>
    </row>
    <row r="4996" spans="1:11" ht="42" customHeight="1">
      <c r="A4996" s="4" t="s">
        <v>11351</v>
      </c>
      <c r="B4996" s="5" t="s">
        <v>11351</v>
      </c>
      <c r="C4996" s="5" t="s">
        <v>69</v>
      </c>
      <c r="D4996" s="5" t="s">
        <v>19</v>
      </c>
      <c r="E4996" s="5" t="s">
        <v>328</v>
      </c>
      <c r="F4996" s="9">
        <v>89</v>
      </c>
      <c r="G4996" s="9">
        <v>984</v>
      </c>
      <c r="H4996" s="5" t="s">
        <v>21</v>
      </c>
      <c r="I4996" s="5" t="s">
        <v>11352</v>
      </c>
      <c r="J4996" s="12" t="str">
        <f>HYPERLINK("https://www.boe.es/gazeta/dias/1801/09/15/pdfs/GMD-1801-89.pdf#page=11","Abrir facsímil")</f>
        <v>Abrir facsímil</v>
      </c>
      <c r="K4996" s="15" t="s">
        <v>23</v>
      </c>
    </row>
    <row r="4997" spans="1:11" ht="42" customHeight="1">
      <c r="A4997" s="4" t="s">
        <v>11353</v>
      </c>
      <c r="B4997" s="5" t="s">
        <v>11353</v>
      </c>
      <c r="C4997" s="5" t="s">
        <v>38</v>
      </c>
      <c r="D4997" s="5" t="s">
        <v>39</v>
      </c>
      <c r="E4997" s="5" t="s">
        <v>480</v>
      </c>
      <c r="F4997" s="9">
        <v>10</v>
      </c>
      <c r="G4997" s="9">
        <v>124</v>
      </c>
      <c r="H4997" s="5" t="s">
        <v>21</v>
      </c>
      <c r="I4997" s="5" t="s">
        <v>11354</v>
      </c>
      <c r="J4997" s="12" t="str">
        <f>HYPERLINK("https://www.boe.es/gazeta/dias/1801/02/03/pdfs/GMD-1801-10.pdf#page=9","Abrir facsímil")</f>
        <v>Abrir facsímil</v>
      </c>
      <c r="K4997" s="15" t="s">
        <v>23</v>
      </c>
    </row>
    <row r="4998" spans="1:11" ht="42" customHeight="1">
      <c r="A4998" s="4" t="s">
        <v>11355</v>
      </c>
      <c r="B4998" s="5" t="s">
        <v>11355</v>
      </c>
      <c r="C4998" s="5" t="s">
        <v>26</v>
      </c>
      <c r="D4998" s="5" t="s">
        <v>27</v>
      </c>
      <c r="E4998" s="5" t="s">
        <v>143</v>
      </c>
      <c r="F4998" s="9">
        <v>34</v>
      </c>
      <c r="G4998" s="9">
        <v>440</v>
      </c>
      <c r="H4998" s="5" t="s">
        <v>21</v>
      </c>
      <c r="I4998" s="5" t="s">
        <v>11356</v>
      </c>
      <c r="J4998" s="12" t="str">
        <f>HYPERLINK("https://www.boe.es/gazeta/dias/1801/04/28/pdfs/GMD-1801-34.pdf#page=12","Abrir facsímil")</f>
        <v>Abrir facsímil</v>
      </c>
      <c r="K4998" s="15" t="s">
        <v>23</v>
      </c>
    </row>
    <row r="4999" spans="1:11" ht="42" customHeight="1">
      <c r="A4999" s="4" t="s">
        <v>11357</v>
      </c>
      <c r="B4999" s="5" t="s">
        <v>11358</v>
      </c>
      <c r="C4999" s="5" t="s">
        <v>80</v>
      </c>
      <c r="D4999" s="5" t="s">
        <v>81</v>
      </c>
      <c r="E4999" s="5" t="s">
        <v>82</v>
      </c>
      <c r="F4999" s="9">
        <v>75</v>
      </c>
      <c r="G4999" s="9" t="s">
        <v>299</v>
      </c>
      <c r="H4999" s="5" t="s">
        <v>21</v>
      </c>
      <c r="I4999" s="5" t="s">
        <v>11359</v>
      </c>
      <c r="J4999" s="12" t="str">
        <f>HYPERLINK("https://www.boe.es/gazeta/dias/1801/08/04/pdfs/GMD-C-1801-75.pdf#page=5","Abrir facsímil")</f>
        <v>Abrir facsímil</v>
      </c>
      <c r="K4999" s="15" t="s">
        <v>23</v>
      </c>
    </row>
    <row r="5000" spans="1:11" ht="42" customHeight="1">
      <c r="A5000" s="4" t="s">
        <v>11360</v>
      </c>
      <c r="B5000" s="5" t="s">
        <v>11361</v>
      </c>
      <c r="C5000" s="5" t="s">
        <v>32</v>
      </c>
      <c r="D5000" s="5" t="s">
        <v>33</v>
      </c>
      <c r="E5000" s="5" t="s">
        <v>55</v>
      </c>
      <c r="F5000" s="9">
        <v>104</v>
      </c>
      <c r="G5000" s="9">
        <v>1144</v>
      </c>
      <c r="H5000" s="5" t="s">
        <v>21</v>
      </c>
      <c r="I5000" s="5" t="s">
        <v>11362</v>
      </c>
      <c r="J5000" s="12" t="str">
        <f>HYPERLINK("https://www.boe.es/gazeta/dias/1801/11/06/pdfs/GMD-1801-104.pdf#page=5","Abrir facsímil")</f>
        <v>Abrir facsímil</v>
      </c>
      <c r="K5000" s="15" t="s">
        <v>23</v>
      </c>
    </row>
    <row r="5001" spans="1:11" ht="42" customHeight="1">
      <c r="A5001" s="4" t="s">
        <v>11363</v>
      </c>
      <c r="B5001" s="5" t="s">
        <v>11364</v>
      </c>
      <c r="C5001" s="5" t="s">
        <v>38</v>
      </c>
      <c r="D5001" s="5" t="s">
        <v>39</v>
      </c>
      <c r="E5001" s="5" t="s">
        <v>62</v>
      </c>
      <c r="F5001" s="9">
        <v>6</v>
      </c>
      <c r="G5001" s="9">
        <v>72</v>
      </c>
      <c r="H5001" s="5" t="s">
        <v>21</v>
      </c>
      <c r="I5001" s="5" t="s">
        <v>11365</v>
      </c>
      <c r="J5001" s="12" t="str">
        <f>HYPERLINK("https://www.boe.es/gazeta/dias/1801/01/20/pdfs/GMD-1801-6.pdf#page=8","Abrir facsímil")</f>
        <v>Abrir facsímil</v>
      </c>
      <c r="K5001" s="15" t="s">
        <v>23</v>
      </c>
    </row>
    <row r="5002" spans="1:11" ht="42" customHeight="1">
      <c r="A5002" s="4" t="s">
        <v>11366</v>
      </c>
      <c r="B5002" s="5" t="s">
        <v>11367</v>
      </c>
      <c r="C5002" s="5" t="s">
        <v>32</v>
      </c>
      <c r="D5002" s="5" t="s">
        <v>33</v>
      </c>
      <c r="E5002" s="5" t="s">
        <v>262</v>
      </c>
      <c r="F5002" s="9">
        <v>109</v>
      </c>
      <c r="G5002" s="9">
        <v>1205</v>
      </c>
      <c r="H5002" s="5" t="s">
        <v>21</v>
      </c>
      <c r="I5002" s="5" t="s">
        <v>11368</v>
      </c>
      <c r="J5002" s="12" t="str">
        <f>HYPERLINK("https://www.boe.es/gazeta/dias/1801/11/24/pdfs/GMD-1801-109.pdf#page=10","Abrir facsímil")</f>
        <v>Abrir facsímil</v>
      </c>
      <c r="K5002" s="15" t="s">
        <v>23</v>
      </c>
    </row>
    <row r="5003" spans="1:11" ht="42" customHeight="1">
      <c r="A5003" s="4" t="s">
        <v>11369</v>
      </c>
      <c r="B5003" s="5" t="s">
        <v>11370</v>
      </c>
      <c r="C5003" s="5" t="s">
        <v>32</v>
      </c>
      <c r="D5003" s="5" t="s">
        <v>33</v>
      </c>
      <c r="E5003" s="5" t="s">
        <v>453</v>
      </c>
      <c r="F5003" s="9">
        <v>100</v>
      </c>
      <c r="G5003" s="9">
        <v>1097</v>
      </c>
      <c r="H5003" s="5" t="s">
        <v>21</v>
      </c>
      <c r="I5003" s="5" t="s">
        <v>11371</v>
      </c>
      <c r="J5003" s="12" t="str">
        <f>HYPERLINK("https://www.boe.es/gazeta/dias/1801/10/23/pdfs/GMD-1801-100.pdf#page=6","Abrir facsímil")</f>
        <v>Abrir facsímil</v>
      </c>
      <c r="K5003" s="15" t="s">
        <v>23</v>
      </c>
    </row>
    <row r="5004" spans="1:11" ht="42" customHeight="1">
      <c r="A5004" s="4" t="s">
        <v>11372</v>
      </c>
      <c r="B5004" s="5" t="s">
        <v>11372</v>
      </c>
      <c r="C5004" s="5" t="s">
        <v>32</v>
      </c>
      <c r="D5004" s="5" t="s">
        <v>33</v>
      </c>
      <c r="E5004" s="5" t="s">
        <v>292</v>
      </c>
      <c r="F5004" s="9">
        <v>25</v>
      </c>
      <c r="G5004" s="9">
        <v>332</v>
      </c>
      <c r="H5004" s="5" t="s">
        <v>21</v>
      </c>
      <c r="I5004" s="5" t="s">
        <v>11373</v>
      </c>
      <c r="J5004" s="12" t="str">
        <f>HYPERLINK("https://www.boe.es/gazeta/dias/1801/03/27/pdfs/GMD-1801-25.pdf#page=11","Abrir facsímil")</f>
        <v>Abrir facsímil</v>
      </c>
      <c r="K5004" s="15" t="s">
        <v>23</v>
      </c>
    </row>
    <row r="5005" spans="1:11" ht="42" customHeight="1">
      <c r="A5005" s="4" t="s">
        <v>11374</v>
      </c>
      <c r="B5005" s="5" t="s">
        <v>11374</v>
      </c>
      <c r="C5005" s="5" t="s">
        <v>32</v>
      </c>
      <c r="D5005" s="5" t="s">
        <v>33</v>
      </c>
      <c r="E5005" s="5" t="s">
        <v>292</v>
      </c>
      <c r="F5005" s="9">
        <v>25</v>
      </c>
      <c r="G5005" s="9">
        <v>331</v>
      </c>
      <c r="H5005" s="5" t="s">
        <v>21</v>
      </c>
      <c r="I5005" s="5" t="s">
        <v>11375</v>
      </c>
      <c r="J5005" s="12" t="str">
        <f>HYPERLINK("https://www.boe.es/gazeta/dias/1801/03/27/pdfs/GMD-1801-25.pdf#page=10","Abrir facsímil")</f>
        <v>Abrir facsímil</v>
      </c>
      <c r="K5005" s="15" t="s">
        <v>23</v>
      </c>
    </row>
    <row r="5006" spans="1:11" ht="42" customHeight="1">
      <c r="A5006" s="4" t="s">
        <v>11376</v>
      </c>
      <c r="B5006" s="5" t="s">
        <v>11376</v>
      </c>
      <c r="C5006" s="5" t="s">
        <v>32</v>
      </c>
      <c r="D5006" s="5" t="s">
        <v>33</v>
      </c>
      <c r="E5006" s="5" t="s">
        <v>131</v>
      </c>
      <c r="F5006" s="9">
        <v>22</v>
      </c>
      <c r="G5006" s="9">
        <v>289</v>
      </c>
      <c r="H5006" s="5" t="s">
        <v>21</v>
      </c>
      <c r="I5006" s="5" t="s">
        <v>11377</v>
      </c>
      <c r="J5006" s="12" t="str">
        <f>HYPERLINK("https://www.boe.es/gazeta/dias/1801/03/17/pdfs/GMD-1801-22.pdf#page=6","Abrir facsímil")</f>
        <v>Abrir facsímil</v>
      </c>
      <c r="K5006" s="15" t="s">
        <v>23</v>
      </c>
    </row>
    <row r="5007" spans="1:11" ht="42" customHeight="1">
      <c r="A5007" s="4" t="s">
        <v>11378</v>
      </c>
      <c r="B5007" s="5" t="s">
        <v>11379</v>
      </c>
      <c r="C5007" s="5" t="s">
        <v>80</v>
      </c>
      <c r="D5007" s="5" t="s">
        <v>81</v>
      </c>
      <c r="E5007" s="5" t="s">
        <v>82</v>
      </c>
      <c r="F5007" s="9">
        <v>75</v>
      </c>
      <c r="G5007" s="9" t="s">
        <v>83</v>
      </c>
      <c r="H5007" s="5" t="s">
        <v>21</v>
      </c>
      <c r="I5007" s="5" t="s">
        <v>11380</v>
      </c>
      <c r="J5007" s="12" t="str">
        <f>HYPERLINK("https://www.boe.es/gazeta/dias/1801/08/04/pdfs/GMD-C-1801-75.pdf#page=2","Abrir facsímil")</f>
        <v>Abrir facsímil</v>
      </c>
      <c r="K5007" s="15" t="s">
        <v>23</v>
      </c>
    </row>
    <row r="5008" spans="1:11" ht="42" customHeight="1">
      <c r="A5008" s="4" t="s">
        <v>11381</v>
      </c>
      <c r="B5008" s="5" t="s">
        <v>11381</v>
      </c>
      <c r="C5008" s="5" t="s">
        <v>38</v>
      </c>
      <c r="D5008" s="5" t="s">
        <v>39</v>
      </c>
      <c r="E5008" s="5" t="s">
        <v>82</v>
      </c>
      <c r="F5008" s="9">
        <v>75</v>
      </c>
      <c r="G5008" s="9">
        <v>841</v>
      </c>
      <c r="H5008" s="5" t="s">
        <v>21</v>
      </c>
      <c r="I5008" s="5" t="s">
        <v>11382</v>
      </c>
      <c r="J5008" s="12" t="str">
        <f>HYPERLINK("https://www.boe.es/gazeta/dias/1801/08/04/pdfs/GMD-1801-75.pdf#page=10","Abrir facsímil")</f>
        <v>Abrir facsímil</v>
      </c>
      <c r="K5008" s="15" t="s">
        <v>23</v>
      </c>
    </row>
    <row r="5009" spans="1:11" ht="42" customHeight="1">
      <c r="A5009" s="4" t="s">
        <v>11383</v>
      </c>
      <c r="B5009" s="5" t="s">
        <v>11384</v>
      </c>
      <c r="C5009" s="5" t="s">
        <v>32</v>
      </c>
      <c r="D5009" s="5" t="s">
        <v>33</v>
      </c>
      <c r="E5009" s="5" t="s">
        <v>171</v>
      </c>
      <c r="F5009" s="9">
        <v>76</v>
      </c>
      <c r="G5009" s="9">
        <v>853</v>
      </c>
      <c r="H5009" s="5" t="s">
        <v>21</v>
      </c>
      <c r="I5009" s="5" t="s">
        <v>11385</v>
      </c>
      <c r="J5009" s="12" t="str">
        <f>HYPERLINK("https://www.boe.es/gazeta/dias/1801/08/07/pdfs/GMD-1801-76.pdf#page=10","Abrir facsímil")</f>
        <v>Abrir facsímil</v>
      </c>
      <c r="K5009" s="15" t="s">
        <v>23</v>
      </c>
    </row>
    <row r="5010" spans="1:11" ht="42" customHeight="1">
      <c r="A5010" s="4" t="s">
        <v>11386</v>
      </c>
      <c r="B5010" s="5" t="s">
        <v>11386</v>
      </c>
      <c r="C5010" s="5" t="s">
        <v>32</v>
      </c>
      <c r="D5010" s="5" t="s">
        <v>33</v>
      </c>
      <c r="E5010" s="5" t="s">
        <v>453</v>
      </c>
      <c r="F5010" s="9">
        <v>100</v>
      </c>
      <c r="G5010" s="9">
        <v>1092</v>
      </c>
      <c r="H5010" s="5" t="s">
        <v>21</v>
      </c>
      <c r="I5010" s="5" t="s">
        <v>11387</v>
      </c>
      <c r="J5010" s="12" t="str">
        <f>HYPERLINK("https://www.boe.es/gazeta/dias/1801/10/23/pdfs/GMD-1801-100.pdf#page=1","Abrir facsímil")</f>
        <v>Abrir facsímil</v>
      </c>
      <c r="K5010" s="15" t="s">
        <v>23</v>
      </c>
    </row>
    <row r="5011" spans="1:11" ht="42" customHeight="1">
      <c r="A5011" s="4" t="s">
        <v>11388</v>
      </c>
      <c r="B5011" s="5" t="s">
        <v>11389</v>
      </c>
      <c r="C5011" s="5" t="s">
        <v>38</v>
      </c>
      <c r="D5011" s="5" t="s">
        <v>39</v>
      </c>
      <c r="E5011" s="5" t="s">
        <v>256</v>
      </c>
      <c r="F5011" s="9">
        <v>78</v>
      </c>
      <c r="G5011" s="9">
        <v>883</v>
      </c>
      <c r="H5011" s="5" t="s">
        <v>21</v>
      </c>
      <c r="I5011" s="5" t="s">
        <v>11390</v>
      </c>
      <c r="J5011" s="12" t="str">
        <f>HYPERLINK("https://www.boe.es/gazeta/dias/1801/08/14/pdfs/GMD-1801-78.pdf#page=12","Abrir facsímil")</f>
        <v>Abrir facsímil</v>
      </c>
      <c r="K5011" s="15" t="s">
        <v>23</v>
      </c>
    </row>
    <row r="5012" spans="1:11" ht="42" customHeight="1">
      <c r="A5012" s="4" t="s">
        <v>11391</v>
      </c>
      <c r="B5012" s="5" t="s">
        <v>11391</v>
      </c>
      <c r="C5012" s="5" t="s">
        <v>69</v>
      </c>
      <c r="D5012" s="5" t="s">
        <v>19</v>
      </c>
      <c r="E5012" s="5" t="s">
        <v>448</v>
      </c>
      <c r="F5012" s="9">
        <v>35</v>
      </c>
      <c r="G5012" s="9">
        <v>454</v>
      </c>
      <c r="H5012" s="5" t="s">
        <v>21</v>
      </c>
      <c r="I5012" s="5" t="s">
        <v>11392</v>
      </c>
      <c r="J5012" s="12" t="str">
        <f>HYPERLINK("https://www.boe.es/gazeta/dias/1801/05/01/pdfs/GMD-1801-35.pdf#page=10","Abrir facsímil")</f>
        <v>Abrir facsímil</v>
      </c>
      <c r="K5012" s="15" t="s">
        <v>23</v>
      </c>
    </row>
    <row r="5013" spans="1:11" ht="42" customHeight="1">
      <c r="A5013" s="4" t="s">
        <v>11393</v>
      </c>
      <c r="B5013" s="5" t="s">
        <v>11394</v>
      </c>
      <c r="C5013" s="5" t="s">
        <v>80</v>
      </c>
      <c r="D5013" s="5" t="s">
        <v>81</v>
      </c>
      <c r="E5013" s="5" t="s">
        <v>82</v>
      </c>
      <c r="F5013" s="9">
        <v>75</v>
      </c>
      <c r="G5013" s="9" t="s">
        <v>996</v>
      </c>
      <c r="H5013" s="5" t="s">
        <v>21</v>
      </c>
      <c r="I5013" s="5" t="s">
        <v>11395</v>
      </c>
      <c r="J5013" s="12" t="str">
        <f>HYPERLINK("https://www.boe.es/gazeta/dias/1801/08/04/pdfs/GMD-C-1801-75.pdf#page=6","Abrir facsímil")</f>
        <v>Abrir facsímil</v>
      </c>
      <c r="K5013" s="15" t="s">
        <v>23</v>
      </c>
    </row>
    <row r="5014" spans="1:11" ht="42" customHeight="1">
      <c r="A5014" s="4" t="s">
        <v>11396</v>
      </c>
      <c r="B5014" s="5" t="s">
        <v>11396</v>
      </c>
      <c r="C5014" s="5" t="s">
        <v>80</v>
      </c>
      <c r="D5014" s="5" t="s">
        <v>81</v>
      </c>
      <c r="E5014" s="5" t="s">
        <v>82</v>
      </c>
      <c r="F5014" s="9">
        <v>75</v>
      </c>
      <c r="G5014" s="9" t="s">
        <v>299</v>
      </c>
      <c r="H5014" s="5" t="s">
        <v>21</v>
      </c>
      <c r="I5014" s="5" t="s">
        <v>11397</v>
      </c>
      <c r="J5014" s="12" t="str">
        <f>HYPERLINK("https://www.boe.es/gazeta/dias/1801/08/04/pdfs/GMD-C-1801-75.pdf#page=5","Abrir facsímil")</f>
        <v>Abrir facsímil</v>
      </c>
      <c r="K5014" s="15" t="s">
        <v>23</v>
      </c>
    </row>
    <row r="5015" spans="1:11" ht="42" customHeight="1">
      <c r="A5015" s="4" t="s">
        <v>11398</v>
      </c>
      <c r="B5015" s="5" t="s">
        <v>11398</v>
      </c>
      <c r="C5015" s="5" t="s">
        <v>32</v>
      </c>
      <c r="D5015" s="5" t="s">
        <v>33</v>
      </c>
      <c r="E5015" s="5" t="s">
        <v>44</v>
      </c>
      <c r="F5015" s="9">
        <v>117</v>
      </c>
      <c r="G5015" s="9">
        <v>1282</v>
      </c>
      <c r="H5015" s="5" t="s">
        <v>21</v>
      </c>
      <c r="I5015" s="5" t="s">
        <v>11399</v>
      </c>
      <c r="J5015" s="12" t="str">
        <f>HYPERLINK("https://www.boe.es/gazeta/dias/1801/12/22/pdfs/GMD-1801-117.pdf#page=9","Abrir facsímil")</f>
        <v>Abrir facsímil</v>
      </c>
      <c r="K5015" s="15" t="s">
        <v>23</v>
      </c>
    </row>
    <row r="5016" spans="1:11" ht="42" customHeight="1">
      <c r="A5016" s="4" t="s">
        <v>11400</v>
      </c>
      <c r="B5016" s="5" t="s">
        <v>11400</v>
      </c>
      <c r="C5016" s="5" t="s">
        <v>18</v>
      </c>
      <c r="D5016" s="5" t="s">
        <v>19</v>
      </c>
      <c r="E5016" s="5" t="s">
        <v>169</v>
      </c>
      <c r="F5016" s="9">
        <v>70</v>
      </c>
      <c r="G5016" s="9">
        <v>777</v>
      </c>
      <c r="H5016" s="5" t="s">
        <v>21</v>
      </c>
      <c r="I5016" s="5" t="s">
        <v>11401</v>
      </c>
      <c r="J5016" s="12" t="str">
        <f>HYPERLINK("https://www.boe.es/gazeta/dias/1801/07/17/pdfs/GMD-1801-70.pdf#page=10","Abrir facsímil")</f>
        <v>Abrir facsímil</v>
      </c>
      <c r="K5016" s="15" t="s">
        <v>23</v>
      </c>
    </row>
    <row r="5017" spans="1:11" ht="42" customHeight="1">
      <c r="A5017" s="4" t="s">
        <v>11402</v>
      </c>
      <c r="B5017" s="5" t="s">
        <v>11403</v>
      </c>
      <c r="C5017" s="5" t="s">
        <v>75</v>
      </c>
      <c r="D5017" s="5" t="s">
        <v>76</v>
      </c>
      <c r="E5017" s="5" t="s">
        <v>135</v>
      </c>
      <c r="F5017" s="9">
        <v>24</v>
      </c>
      <c r="G5017" s="9">
        <v>314</v>
      </c>
      <c r="H5017" s="5" t="s">
        <v>21</v>
      </c>
      <c r="I5017" s="5" t="s">
        <v>11404</v>
      </c>
      <c r="J5017" s="12" t="str">
        <f>HYPERLINK("https://www.boe.es/gazeta/dias/1801/03/24/pdfs/GMD-1801-24.pdf#page=5","Abrir facsímil")</f>
        <v>Abrir facsímil</v>
      </c>
      <c r="K5017" s="15" t="s">
        <v>23</v>
      </c>
    </row>
    <row r="5018" spans="1:11" ht="42" customHeight="1">
      <c r="A5018" s="4" t="s">
        <v>11405</v>
      </c>
      <c r="B5018" s="5" t="s">
        <v>11406</v>
      </c>
      <c r="C5018" s="5" t="s">
        <v>38</v>
      </c>
      <c r="D5018" s="5" t="s">
        <v>39</v>
      </c>
      <c r="E5018" s="5" t="s">
        <v>186</v>
      </c>
      <c r="F5018" s="9">
        <v>21</v>
      </c>
      <c r="G5018" s="9">
        <v>280</v>
      </c>
      <c r="H5018" s="5" t="s">
        <v>21</v>
      </c>
      <c r="I5018" s="5" t="s">
        <v>11407</v>
      </c>
      <c r="J5018" s="12" t="str">
        <f>HYPERLINK("https://www.boe.es/gazeta/dias/1801/03/13/pdfs/GMD-1801-21.pdf#page=9","Abrir facsímil")</f>
        <v>Abrir facsímil</v>
      </c>
      <c r="K5018" s="15" t="s">
        <v>23</v>
      </c>
    </row>
    <row r="5019" spans="1:11" ht="42" customHeight="1">
      <c r="A5019" s="4" t="s">
        <v>11408</v>
      </c>
      <c r="B5019" s="5" t="s">
        <v>11408</v>
      </c>
      <c r="C5019" s="5" t="s">
        <v>69</v>
      </c>
      <c r="D5019" s="5" t="s">
        <v>19</v>
      </c>
      <c r="E5019" s="5" t="s">
        <v>292</v>
      </c>
      <c r="F5019" s="9">
        <v>25</v>
      </c>
      <c r="G5019" s="9">
        <v>331</v>
      </c>
      <c r="H5019" s="5" t="s">
        <v>21</v>
      </c>
      <c r="I5019" s="5" t="s">
        <v>11409</v>
      </c>
      <c r="J5019" s="12" t="str">
        <f>HYPERLINK("https://www.boe.es/gazeta/dias/1801/03/27/pdfs/GMD-1801-25.pdf#page=10","Abrir facsímil")</f>
        <v>Abrir facsímil</v>
      </c>
      <c r="K5019" s="15" t="s">
        <v>23</v>
      </c>
    </row>
    <row r="5020" spans="1:11" ht="42" customHeight="1">
      <c r="A5020" s="4" t="s">
        <v>11410</v>
      </c>
      <c r="B5020" s="5" t="s">
        <v>11410</v>
      </c>
      <c r="C5020" s="5" t="s">
        <v>32</v>
      </c>
      <c r="D5020" s="5" t="s">
        <v>33</v>
      </c>
      <c r="E5020" s="5" t="s">
        <v>171</v>
      </c>
      <c r="F5020" s="9">
        <v>76</v>
      </c>
      <c r="G5020" s="9">
        <v>852</v>
      </c>
      <c r="H5020" s="5" t="s">
        <v>21</v>
      </c>
      <c r="I5020" s="5" t="s">
        <v>11411</v>
      </c>
      <c r="J5020" s="12" t="str">
        <f>HYPERLINK("https://www.boe.es/gazeta/dias/1801/08/07/pdfs/GMD-1801-76.pdf#page=9","Abrir facsímil")</f>
        <v>Abrir facsímil</v>
      </c>
      <c r="K5020" s="15" t="s">
        <v>23</v>
      </c>
    </row>
    <row r="5021" spans="1:11" ht="42" customHeight="1">
      <c r="A5021" s="4" t="s">
        <v>11412</v>
      </c>
      <c r="B5021" s="5" t="s">
        <v>11412</v>
      </c>
      <c r="C5021" s="5" t="s">
        <v>32</v>
      </c>
      <c r="D5021" s="5" t="s">
        <v>33</v>
      </c>
      <c r="E5021" s="5" t="s">
        <v>292</v>
      </c>
      <c r="F5021" s="9">
        <v>25</v>
      </c>
      <c r="G5021" s="9">
        <v>331</v>
      </c>
      <c r="H5021" s="5" t="s">
        <v>21</v>
      </c>
      <c r="I5021" s="5" t="s">
        <v>11413</v>
      </c>
      <c r="J5021" s="12" t="str">
        <f>HYPERLINK("https://www.boe.es/gazeta/dias/1801/03/27/pdfs/GMD-1801-25.pdf#page=10","Abrir facsímil")</f>
        <v>Abrir facsímil</v>
      </c>
      <c r="K5021" s="15" t="s">
        <v>23</v>
      </c>
    </row>
    <row r="5022" spans="1:11" ht="42" customHeight="1">
      <c r="A5022" s="4" t="s">
        <v>11414</v>
      </c>
      <c r="B5022" s="5" t="s">
        <v>11415</v>
      </c>
      <c r="C5022" s="5" t="s">
        <v>32</v>
      </c>
      <c r="D5022" s="5" t="s">
        <v>33</v>
      </c>
      <c r="E5022" s="5" t="s">
        <v>309</v>
      </c>
      <c r="F5022" s="9">
        <v>118</v>
      </c>
      <c r="G5022" s="9">
        <v>1292</v>
      </c>
      <c r="H5022" s="5" t="s">
        <v>21</v>
      </c>
      <c r="I5022" s="5" t="s">
        <v>11416</v>
      </c>
      <c r="J5022" s="12" t="str">
        <f>HYPERLINK("https://www.boe.es/gazeta/dias/1801/12/25/pdfs/GMD-1801-118.pdf#page=7","Abrir facsímil")</f>
        <v>Abrir facsímil</v>
      </c>
      <c r="K5022" s="15" t="s">
        <v>23</v>
      </c>
    </row>
    <row r="5023" spans="1:11" ht="42" customHeight="1">
      <c r="A5023" s="4" t="s">
        <v>11417</v>
      </c>
      <c r="B5023" s="5" t="s">
        <v>11417</v>
      </c>
      <c r="C5023" s="5" t="s">
        <v>32</v>
      </c>
      <c r="D5023" s="5" t="s">
        <v>33</v>
      </c>
      <c r="E5023" s="5" t="s">
        <v>321</v>
      </c>
      <c r="F5023" s="9">
        <v>3</v>
      </c>
      <c r="G5023" s="9">
        <v>33</v>
      </c>
      <c r="H5023" s="5" t="s">
        <v>21</v>
      </c>
      <c r="I5023" s="5" t="s">
        <v>11418</v>
      </c>
      <c r="J5023" s="12" t="str">
        <f>HYPERLINK("https://www.boe.es/gazeta/dias/1801/01/09/pdfs/GMD-1801-3.pdf#page=9","Abrir facsímil")</f>
        <v>Abrir facsímil</v>
      </c>
      <c r="K5023" s="15" t="s">
        <v>23</v>
      </c>
    </row>
    <row r="5024" spans="1:11" ht="42" customHeight="1">
      <c r="A5024" s="4" t="s">
        <v>11419</v>
      </c>
      <c r="B5024" s="5" t="s">
        <v>11419</v>
      </c>
      <c r="C5024" s="5" t="s">
        <v>80</v>
      </c>
      <c r="D5024" s="5" t="s">
        <v>81</v>
      </c>
      <c r="E5024" s="5" t="s">
        <v>289</v>
      </c>
      <c r="F5024" s="9">
        <v>40</v>
      </c>
      <c r="G5024" s="9" t="s">
        <v>83</v>
      </c>
      <c r="H5024" s="5" t="s">
        <v>21</v>
      </c>
      <c r="I5024" s="5" t="s">
        <v>11420</v>
      </c>
      <c r="J5024" s="12" t="str">
        <f>HYPERLINK("https://www.boe.es/gazeta/dias/1801/05/19/pdfs/GMD-C-1801-40.pdf#page=2","Abrir facsímil")</f>
        <v>Abrir facsímil</v>
      </c>
      <c r="K5024" s="15" t="s">
        <v>23</v>
      </c>
    </row>
    <row r="5025" spans="1:11" ht="42" customHeight="1">
      <c r="A5025" s="4" t="s">
        <v>11421</v>
      </c>
      <c r="B5025" s="5" t="s">
        <v>11421</v>
      </c>
      <c r="C5025" s="5" t="s">
        <v>32</v>
      </c>
      <c r="D5025" s="5" t="s">
        <v>33</v>
      </c>
      <c r="E5025" s="5" t="s">
        <v>201</v>
      </c>
      <c r="F5025" s="9">
        <v>79</v>
      </c>
      <c r="G5025" s="9">
        <v>889</v>
      </c>
      <c r="H5025" s="5" t="s">
        <v>21</v>
      </c>
      <c r="I5025" s="5" t="s">
        <v>11422</v>
      </c>
      <c r="J5025" s="12" t="str">
        <f>HYPERLINK("https://www.boe.es/gazeta/dias/1801/08/18/pdfs/GMD-1801-79.pdf#page=6","Abrir facsímil")</f>
        <v>Abrir facsímil</v>
      </c>
      <c r="K5025" s="15" t="s">
        <v>23</v>
      </c>
    </row>
    <row r="5026" spans="1:11" ht="42" customHeight="1">
      <c r="A5026" s="4" t="s">
        <v>11423</v>
      </c>
      <c r="B5026" s="5" t="s">
        <v>11423</v>
      </c>
      <c r="C5026" s="5" t="s">
        <v>32</v>
      </c>
      <c r="D5026" s="5" t="s">
        <v>33</v>
      </c>
      <c r="E5026" s="5" t="s">
        <v>44</v>
      </c>
      <c r="F5026" s="9">
        <v>117</v>
      </c>
      <c r="G5026" s="9">
        <v>1282</v>
      </c>
      <c r="H5026" s="5" t="s">
        <v>21</v>
      </c>
      <c r="I5026" s="5" t="s">
        <v>11424</v>
      </c>
      <c r="J5026" s="12" t="str">
        <f>HYPERLINK("https://www.boe.es/gazeta/dias/1801/12/22/pdfs/GMD-1801-117.pdf#page=9","Abrir facsímil")</f>
        <v>Abrir facsímil</v>
      </c>
      <c r="K5026" s="15" t="s">
        <v>23</v>
      </c>
    </row>
    <row r="5027" spans="1:11" ht="42" customHeight="1">
      <c r="A5027" s="4" t="s">
        <v>11425</v>
      </c>
      <c r="B5027" s="5" t="s">
        <v>11426</v>
      </c>
      <c r="C5027" s="5" t="s">
        <v>32</v>
      </c>
      <c r="D5027" s="5" t="s">
        <v>33</v>
      </c>
      <c r="E5027" s="5" t="s">
        <v>258</v>
      </c>
      <c r="F5027" s="9">
        <v>96</v>
      </c>
      <c r="G5027" s="9">
        <v>1054</v>
      </c>
      <c r="H5027" s="5" t="s">
        <v>21</v>
      </c>
      <c r="I5027" s="5" t="s">
        <v>11427</v>
      </c>
      <c r="J5027" s="12" t="str">
        <f>HYPERLINK("https://www.boe.es/gazeta/dias/1801/10/09/pdfs/GMD-1801-96.pdf#page=10","Abrir facsímil")</f>
        <v>Abrir facsímil</v>
      </c>
      <c r="K5027" s="15" t="s">
        <v>23</v>
      </c>
    </row>
    <row r="5028" spans="1:11" ht="42" customHeight="1">
      <c r="A5028" s="4" t="s">
        <v>11428</v>
      </c>
      <c r="B5028" s="5" t="s">
        <v>11428</v>
      </c>
      <c r="C5028" s="5" t="s">
        <v>32</v>
      </c>
      <c r="D5028" s="5" t="s">
        <v>33</v>
      </c>
      <c r="E5028" s="5" t="s">
        <v>615</v>
      </c>
      <c r="F5028" s="9">
        <v>72</v>
      </c>
      <c r="G5028" s="9">
        <v>805</v>
      </c>
      <c r="H5028" s="5" t="s">
        <v>21</v>
      </c>
      <c r="I5028" s="5" t="s">
        <v>11429</v>
      </c>
      <c r="J5028" s="12" t="str">
        <f>HYPERLINK("https://www.boe.es/gazeta/dias/1801/07/24/pdfs/GMD-1801-72.pdf#page=10","Abrir facsímil")</f>
        <v>Abrir facsímil</v>
      </c>
      <c r="K5028" s="15" t="s">
        <v>23</v>
      </c>
    </row>
    <row r="5029" spans="1:11" ht="42" customHeight="1">
      <c r="A5029" s="4" t="s">
        <v>11430</v>
      </c>
      <c r="B5029" s="5" t="s">
        <v>11430</v>
      </c>
      <c r="C5029" s="5" t="s">
        <v>32</v>
      </c>
      <c r="D5029" s="5" t="s">
        <v>33</v>
      </c>
      <c r="E5029" s="5" t="s">
        <v>254</v>
      </c>
      <c r="F5029" s="9">
        <v>73</v>
      </c>
      <c r="G5029" s="9">
        <v>814</v>
      </c>
      <c r="H5029" s="5" t="s">
        <v>21</v>
      </c>
      <c r="I5029" s="5" t="s">
        <v>11431</v>
      </c>
      <c r="J5029" s="12" t="str">
        <f>HYPERLINK("https://www.boe.es/gazeta/dias/1801/07/28/pdfs/GMD-1801-73.pdf#page=7","Abrir facsímil")</f>
        <v>Abrir facsímil</v>
      </c>
      <c r="K5029" s="15" t="s">
        <v>23</v>
      </c>
    </row>
    <row r="5030" spans="1:11" ht="42" customHeight="1">
      <c r="A5030" s="4" t="s">
        <v>11432</v>
      </c>
      <c r="B5030" s="5" t="s">
        <v>11432</v>
      </c>
      <c r="C5030" s="5" t="s">
        <v>26</v>
      </c>
      <c r="D5030" s="5" t="s">
        <v>27</v>
      </c>
      <c r="E5030" s="5" t="s">
        <v>328</v>
      </c>
      <c r="F5030" s="9">
        <v>89</v>
      </c>
      <c r="G5030" s="9">
        <v>981</v>
      </c>
      <c r="H5030" s="5" t="s">
        <v>21</v>
      </c>
      <c r="I5030" s="5" t="s">
        <v>11433</v>
      </c>
      <c r="J5030" s="12" t="str">
        <f>HYPERLINK("https://www.boe.es/gazeta/dias/1801/09/15/pdfs/GMD-1801-89.pdf#page=8","Abrir facsímil")</f>
        <v>Abrir facsímil</v>
      </c>
      <c r="K5030" s="15" t="s">
        <v>23</v>
      </c>
    </row>
    <row r="5031" spans="1:11" ht="42" customHeight="1">
      <c r="A5031" s="4" t="s">
        <v>11434</v>
      </c>
      <c r="B5031" s="5" t="s">
        <v>11434</v>
      </c>
      <c r="C5031" s="5" t="s">
        <v>32</v>
      </c>
      <c r="D5031" s="5" t="s">
        <v>33</v>
      </c>
      <c r="E5031" s="5" t="s">
        <v>321</v>
      </c>
      <c r="F5031" s="9">
        <v>3</v>
      </c>
      <c r="G5031" s="9">
        <v>33</v>
      </c>
      <c r="H5031" s="5" t="s">
        <v>21</v>
      </c>
      <c r="I5031" s="5" t="s">
        <v>11435</v>
      </c>
      <c r="J5031" s="12" t="str">
        <f>HYPERLINK("https://www.boe.es/gazeta/dias/1801/01/09/pdfs/GMD-1801-3.pdf#page=9","Abrir facsímil")</f>
        <v>Abrir facsímil</v>
      </c>
      <c r="K5031" s="15" t="s">
        <v>23</v>
      </c>
    </row>
    <row r="5032" spans="1:11" ht="42" customHeight="1">
      <c r="A5032" s="4" t="s">
        <v>11436</v>
      </c>
      <c r="B5032" s="5" t="s">
        <v>11436</v>
      </c>
      <c r="C5032" s="5" t="s">
        <v>69</v>
      </c>
      <c r="D5032" s="5" t="s">
        <v>19</v>
      </c>
      <c r="E5032" s="5" t="s">
        <v>128</v>
      </c>
      <c r="F5032" s="9">
        <v>17</v>
      </c>
      <c r="G5032" s="9">
        <v>214</v>
      </c>
      <c r="H5032" s="5" t="s">
        <v>21</v>
      </c>
      <c r="I5032" s="5" t="s">
        <v>11437</v>
      </c>
      <c r="J5032" s="12" t="str">
        <f>HYPERLINK("https://www.boe.es/gazeta/dias/1801/02/27/pdfs/GMD-1801-17.pdf#page=9","Abrir facsímil")</f>
        <v>Abrir facsímil</v>
      </c>
      <c r="K5032" s="15" t="s">
        <v>23</v>
      </c>
    </row>
    <row r="5033" spans="1:11" ht="42" customHeight="1">
      <c r="A5033" s="4" t="s">
        <v>11438</v>
      </c>
      <c r="B5033" s="5" t="s">
        <v>11439</v>
      </c>
      <c r="C5033" s="5" t="s">
        <v>32</v>
      </c>
      <c r="D5033" s="5" t="s">
        <v>33</v>
      </c>
      <c r="E5033" s="5" t="s">
        <v>2225</v>
      </c>
      <c r="F5033" s="9" t="s">
        <v>2226</v>
      </c>
      <c r="G5033" s="9">
        <v>574</v>
      </c>
      <c r="H5033" s="5" t="s">
        <v>21</v>
      </c>
      <c r="I5033" s="5" t="s">
        <v>11440</v>
      </c>
      <c r="J5033" s="12" t="str">
        <f>HYPERLINK("https://www.boe.es/gazeta/dias/1801/06/03/pdfs/GMD-1801-47E.pdf#page=4","Abrir facsímil")</f>
        <v>Abrir facsímil</v>
      </c>
      <c r="K5033" s="15" t="s">
        <v>23</v>
      </c>
    </row>
    <row r="5034" spans="1:11" ht="42" customHeight="1">
      <c r="A5034" s="4" t="s">
        <v>11441</v>
      </c>
      <c r="B5034" s="5" t="s">
        <v>11441</v>
      </c>
      <c r="C5034" s="5" t="s">
        <v>80</v>
      </c>
      <c r="D5034" s="5" t="s">
        <v>81</v>
      </c>
      <c r="E5034" s="5" t="s">
        <v>289</v>
      </c>
      <c r="F5034" s="9">
        <v>40</v>
      </c>
      <c r="G5034" s="9" t="s">
        <v>668</v>
      </c>
      <c r="H5034" s="5" t="s">
        <v>21</v>
      </c>
      <c r="I5034" s="5" t="s">
        <v>11442</v>
      </c>
      <c r="J5034" s="12" t="str">
        <f>HYPERLINK("https://www.boe.es/gazeta/dias/1801/05/19/pdfs/GMD-C-1801-40.pdf#page=1","Abrir facsímil")</f>
        <v>Abrir facsímil</v>
      </c>
      <c r="K5034" s="15" t="s">
        <v>23</v>
      </c>
    </row>
    <row r="5035" spans="1:11" ht="42" customHeight="1">
      <c r="A5035" s="4" t="s">
        <v>11443</v>
      </c>
      <c r="B5035" s="5" t="s">
        <v>11443</v>
      </c>
      <c r="C5035" s="5" t="s">
        <v>32</v>
      </c>
      <c r="D5035" s="5" t="s">
        <v>33</v>
      </c>
      <c r="E5035" s="5" t="s">
        <v>55</v>
      </c>
      <c r="F5035" s="9">
        <v>104</v>
      </c>
      <c r="G5035" s="9">
        <v>1145</v>
      </c>
      <c r="H5035" s="5" t="s">
        <v>21</v>
      </c>
      <c r="I5035" s="5" t="s">
        <v>11444</v>
      </c>
      <c r="J5035" s="12" t="str">
        <f>HYPERLINK("https://www.boe.es/gazeta/dias/1801/11/06/pdfs/GMD-1801-104.pdf#page=6","Abrir facsímil")</f>
        <v>Abrir facsímil</v>
      </c>
      <c r="K5035" s="15" t="s">
        <v>23</v>
      </c>
    </row>
    <row r="5036" spans="1:11" ht="42" customHeight="1">
      <c r="A5036" s="4" t="s">
        <v>11445</v>
      </c>
      <c r="B5036" s="5" t="s">
        <v>11445</v>
      </c>
      <c r="C5036" s="5" t="s">
        <v>32</v>
      </c>
      <c r="D5036" s="5" t="s">
        <v>33</v>
      </c>
      <c r="E5036" s="5" t="s">
        <v>211</v>
      </c>
      <c r="F5036" s="9">
        <v>87</v>
      </c>
      <c r="G5036" s="9">
        <v>967</v>
      </c>
      <c r="H5036" s="5" t="s">
        <v>21</v>
      </c>
      <c r="I5036" s="5" t="s">
        <v>11446</v>
      </c>
      <c r="J5036" s="12" t="str">
        <f>HYPERLINK("https://www.boe.es/gazeta/dias/1801/09/11/pdfs/GMD-1801-87.pdf#page=10","Abrir facsímil")</f>
        <v>Abrir facsímil</v>
      </c>
      <c r="K5036" s="15" t="s">
        <v>23</v>
      </c>
    </row>
    <row r="5037" spans="1:11" ht="42" customHeight="1">
      <c r="A5037" s="4" t="s">
        <v>11447</v>
      </c>
      <c r="B5037" s="5" t="s">
        <v>11447</v>
      </c>
      <c r="C5037" s="5" t="s">
        <v>32</v>
      </c>
      <c r="D5037" s="5" t="s">
        <v>33</v>
      </c>
      <c r="E5037" s="5" t="s">
        <v>201</v>
      </c>
      <c r="F5037" s="9">
        <v>79</v>
      </c>
      <c r="G5037" s="9">
        <v>889</v>
      </c>
      <c r="H5037" s="5" t="s">
        <v>21</v>
      </c>
      <c r="I5037" s="5" t="s">
        <v>11448</v>
      </c>
      <c r="J5037" s="12" t="str">
        <f>HYPERLINK("https://www.boe.es/gazeta/dias/1801/08/18/pdfs/GMD-1801-79.pdf#page=6","Abrir facsímil")</f>
        <v>Abrir facsímil</v>
      </c>
      <c r="K5037" s="15" t="s">
        <v>23</v>
      </c>
    </row>
    <row r="5038" spans="1:11" ht="42" customHeight="1">
      <c r="A5038" s="4" t="s">
        <v>11449</v>
      </c>
      <c r="B5038" s="5" t="s">
        <v>11449</v>
      </c>
      <c r="C5038" s="5" t="s">
        <v>32</v>
      </c>
      <c r="D5038" s="5" t="s">
        <v>33</v>
      </c>
      <c r="E5038" s="5" t="s">
        <v>131</v>
      </c>
      <c r="F5038" s="9">
        <v>22</v>
      </c>
      <c r="G5038" s="9">
        <v>289</v>
      </c>
      <c r="H5038" s="5" t="s">
        <v>21</v>
      </c>
      <c r="I5038" s="5" t="s">
        <v>11450</v>
      </c>
      <c r="J5038" s="12" t="str">
        <f>HYPERLINK("https://www.boe.es/gazeta/dias/1801/03/17/pdfs/GMD-1801-22.pdf#page=6","Abrir facsímil")</f>
        <v>Abrir facsímil</v>
      </c>
      <c r="K5038" s="15" t="s">
        <v>23</v>
      </c>
    </row>
    <row r="5039" spans="1:11" ht="42" customHeight="1">
      <c r="A5039" s="4" t="s">
        <v>11451</v>
      </c>
      <c r="B5039" s="5" t="s">
        <v>11451</v>
      </c>
      <c r="C5039" s="5" t="s">
        <v>32</v>
      </c>
      <c r="D5039" s="5" t="s">
        <v>33</v>
      </c>
      <c r="E5039" s="5" t="s">
        <v>72</v>
      </c>
      <c r="F5039" s="9">
        <v>60</v>
      </c>
      <c r="G5039" s="9">
        <v>688</v>
      </c>
      <c r="H5039" s="5" t="s">
        <v>21</v>
      </c>
      <c r="I5039" s="5" t="s">
        <v>11452</v>
      </c>
      <c r="J5039" s="12" t="str">
        <f>HYPERLINK("https://www.boe.es/gazeta/dias/1801/06/26/pdfs/GMD-1801-60.pdf#page=9","Abrir facsímil")</f>
        <v>Abrir facsímil</v>
      </c>
      <c r="K5039" s="15" t="s">
        <v>23</v>
      </c>
    </row>
    <row r="5040" spans="1:11" ht="42" customHeight="1">
      <c r="A5040" s="4" t="s">
        <v>11453</v>
      </c>
      <c r="B5040" s="5" t="s">
        <v>11453</v>
      </c>
      <c r="C5040" s="5" t="s">
        <v>26</v>
      </c>
      <c r="D5040" s="5" t="s">
        <v>27</v>
      </c>
      <c r="E5040" s="5" t="s">
        <v>349</v>
      </c>
      <c r="F5040" s="9">
        <v>112</v>
      </c>
      <c r="G5040" s="9">
        <v>1227</v>
      </c>
      <c r="H5040" s="5" t="s">
        <v>21</v>
      </c>
      <c r="I5040" s="5" t="s">
        <v>11454</v>
      </c>
      <c r="J5040" s="12" t="str">
        <f>HYPERLINK("https://www.boe.es/gazeta/dias/1801/12/04/pdfs/GMD-1801-112.pdf#page=8","Abrir facsímil")</f>
        <v>Abrir facsímil</v>
      </c>
      <c r="K5040" s="15" t="s">
        <v>23</v>
      </c>
    </row>
    <row r="5041" spans="1:11" ht="42" customHeight="1">
      <c r="A5041" s="4" t="s">
        <v>11455</v>
      </c>
      <c r="B5041" s="5" t="s">
        <v>11455</v>
      </c>
      <c r="C5041" s="5" t="s">
        <v>18</v>
      </c>
      <c r="D5041" s="5" t="s">
        <v>19</v>
      </c>
      <c r="E5041" s="5" t="s">
        <v>2237</v>
      </c>
      <c r="F5041" s="9">
        <v>82</v>
      </c>
      <c r="G5041" s="9">
        <v>917</v>
      </c>
      <c r="H5041" s="5" t="s">
        <v>21</v>
      </c>
      <c r="I5041" s="5" t="s">
        <v>11456</v>
      </c>
      <c r="J5041" s="12" t="str">
        <f>HYPERLINK("https://www.boe.es/gazeta/dias/1801/08/28/pdfs/GMD-1801-82.pdf#page=6","Abrir facsímil")</f>
        <v>Abrir facsímil</v>
      </c>
      <c r="K5041" s="15" t="s">
        <v>23</v>
      </c>
    </row>
    <row r="5042" spans="1:11" ht="42" customHeight="1">
      <c r="A5042" s="4" t="s">
        <v>11457</v>
      </c>
      <c r="B5042" s="5" t="s">
        <v>11457</v>
      </c>
      <c r="C5042" s="5" t="s">
        <v>80</v>
      </c>
      <c r="D5042" s="5" t="s">
        <v>81</v>
      </c>
      <c r="E5042" s="5" t="s">
        <v>289</v>
      </c>
      <c r="F5042" s="9">
        <v>40</v>
      </c>
      <c r="G5042" s="9" t="s">
        <v>86</v>
      </c>
      <c r="H5042" s="5" t="s">
        <v>21</v>
      </c>
      <c r="I5042" s="5" t="s">
        <v>11458</v>
      </c>
      <c r="J5042" s="12" t="str">
        <f>HYPERLINK("https://www.boe.es/gazeta/dias/1801/05/19/pdfs/GMD-C-1801-40.pdf#page=3","Abrir facsímil")</f>
        <v>Abrir facsímil</v>
      </c>
      <c r="K5042" s="15" t="s">
        <v>23</v>
      </c>
    </row>
    <row r="5043" spans="1:11" ht="42" customHeight="1">
      <c r="A5043" s="4" t="s">
        <v>11459</v>
      </c>
      <c r="B5043" s="5" t="s">
        <v>11459</v>
      </c>
      <c r="C5043" s="5" t="s">
        <v>38</v>
      </c>
      <c r="D5043" s="5" t="s">
        <v>39</v>
      </c>
      <c r="E5043" s="5" t="s">
        <v>378</v>
      </c>
      <c r="F5043" s="9">
        <v>23</v>
      </c>
      <c r="G5043" s="9">
        <v>306</v>
      </c>
      <c r="H5043" s="5" t="s">
        <v>21</v>
      </c>
      <c r="I5043" s="5" t="s">
        <v>11460</v>
      </c>
      <c r="J5043" s="12" t="str">
        <f>HYPERLINK("https://www.boe.es/gazeta/dias/1801/03/20/pdfs/GMD-1801-23.pdf#page=9","Abrir facsímil")</f>
        <v>Abrir facsímil</v>
      </c>
      <c r="K5043" s="15" t="s">
        <v>23</v>
      </c>
    </row>
    <row r="5044" spans="1:11" ht="42" customHeight="1">
      <c r="A5044" s="4" t="s">
        <v>11461</v>
      </c>
      <c r="B5044" s="5" t="s">
        <v>11462</v>
      </c>
      <c r="C5044" s="5" t="s">
        <v>32</v>
      </c>
      <c r="D5044" s="5" t="s">
        <v>33</v>
      </c>
      <c r="E5044" s="5" t="s">
        <v>128</v>
      </c>
      <c r="F5044" s="9">
        <v>17</v>
      </c>
      <c r="G5044" s="9">
        <v>214</v>
      </c>
      <c r="H5044" s="5" t="s">
        <v>21</v>
      </c>
      <c r="I5044" s="5" t="s">
        <v>11463</v>
      </c>
      <c r="J5044" s="12" t="str">
        <f>HYPERLINK("https://www.boe.es/gazeta/dias/1801/02/27/pdfs/GMD-1801-17.pdf#page=9","Abrir facsímil")</f>
        <v>Abrir facsímil</v>
      </c>
      <c r="K5044" s="15" t="s">
        <v>23</v>
      </c>
    </row>
    <row r="5045" spans="1:11" ht="42" customHeight="1">
      <c r="A5045" s="4" t="s">
        <v>11464</v>
      </c>
      <c r="B5045" s="5" t="s">
        <v>11464</v>
      </c>
      <c r="C5045" s="5" t="s">
        <v>32</v>
      </c>
      <c r="D5045" s="5" t="s">
        <v>33</v>
      </c>
      <c r="E5045" s="5" t="s">
        <v>55</v>
      </c>
      <c r="F5045" s="9">
        <v>104</v>
      </c>
      <c r="G5045" s="9">
        <v>1145</v>
      </c>
      <c r="H5045" s="5" t="s">
        <v>21</v>
      </c>
      <c r="I5045" s="5" t="s">
        <v>11465</v>
      </c>
      <c r="J5045" s="12" t="str">
        <f>HYPERLINK("https://www.boe.es/gazeta/dias/1801/11/06/pdfs/GMD-1801-104.pdf#page=6","Abrir facsímil")</f>
        <v>Abrir facsímil</v>
      </c>
      <c r="K5045" s="15" t="s">
        <v>23</v>
      </c>
    </row>
    <row r="5046" spans="1:11" ht="42" customHeight="1">
      <c r="A5046" s="4" t="s">
        <v>11466</v>
      </c>
      <c r="B5046" s="5" t="s">
        <v>11466</v>
      </c>
      <c r="C5046" s="5" t="s">
        <v>32</v>
      </c>
      <c r="D5046" s="5" t="s">
        <v>33</v>
      </c>
      <c r="E5046" s="5" t="s">
        <v>128</v>
      </c>
      <c r="F5046" s="9">
        <v>17</v>
      </c>
      <c r="G5046" s="9">
        <v>214</v>
      </c>
      <c r="H5046" s="5" t="s">
        <v>21</v>
      </c>
      <c r="I5046" s="5" t="s">
        <v>11467</v>
      </c>
      <c r="J5046" s="12" t="str">
        <f>HYPERLINK("https://www.boe.es/gazeta/dias/1801/02/27/pdfs/GMD-1801-17.pdf#page=9","Abrir facsímil")</f>
        <v>Abrir facsímil</v>
      </c>
      <c r="K5046" s="15" t="s">
        <v>23</v>
      </c>
    </row>
    <row r="5047" spans="1:11" ht="42" customHeight="1">
      <c r="A5047" s="4" t="s">
        <v>11468</v>
      </c>
      <c r="B5047" s="5" t="s">
        <v>11469</v>
      </c>
      <c r="C5047" s="5" t="s">
        <v>38</v>
      </c>
      <c r="D5047" s="5" t="s">
        <v>39</v>
      </c>
      <c r="E5047" s="5" t="s">
        <v>702</v>
      </c>
      <c r="F5047" s="9">
        <v>69</v>
      </c>
      <c r="G5047" s="9">
        <v>764</v>
      </c>
      <c r="H5047" s="5" t="s">
        <v>21</v>
      </c>
      <c r="I5047" s="5" t="s">
        <v>11470</v>
      </c>
      <c r="J5047" s="12" t="str">
        <f>HYPERLINK("https://www.boe.es/gazeta/dias/1801/07/14/pdfs/GMD-1801-69.pdf#page=9","Abrir facsímil")</f>
        <v>Abrir facsímil</v>
      </c>
      <c r="K5047" s="15" t="s">
        <v>23</v>
      </c>
    </row>
    <row r="5048" spans="1:11" ht="42" customHeight="1">
      <c r="A5048" s="4" t="s">
        <v>11468</v>
      </c>
      <c r="B5048" s="5" t="s">
        <v>11469</v>
      </c>
      <c r="C5048" s="5" t="s">
        <v>75</v>
      </c>
      <c r="D5048" s="5" t="s">
        <v>76</v>
      </c>
      <c r="E5048" s="5" t="s">
        <v>169</v>
      </c>
      <c r="F5048" s="9">
        <v>70</v>
      </c>
      <c r="G5048" s="9">
        <v>776</v>
      </c>
      <c r="H5048" s="5" t="s">
        <v>21</v>
      </c>
      <c r="I5048" s="5" t="s">
        <v>11471</v>
      </c>
      <c r="J5048" s="12" t="str">
        <f>HYPERLINK("https://www.boe.es/gazeta/dias/1801/07/17/pdfs/GMD-1801-70.pdf#page=9","Abrir facsímil")</f>
        <v>Abrir facsímil</v>
      </c>
      <c r="K5048" s="15" t="s">
        <v>23</v>
      </c>
    </row>
    <row r="5049" spans="1:11" ht="42" customHeight="1">
      <c r="A5049" s="4" t="s">
        <v>11468</v>
      </c>
      <c r="B5049" s="5" t="s">
        <v>11469</v>
      </c>
      <c r="C5049" s="5" t="s">
        <v>38</v>
      </c>
      <c r="D5049" s="5" t="s">
        <v>39</v>
      </c>
      <c r="E5049" s="5" t="s">
        <v>215</v>
      </c>
      <c r="F5049" s="9">
        <v>71</v>
      </c>
      <c r="G5049" s="9">
        <v>788</v>
      </c>
      <c r="H5049" s="5" t="s">
        <v>21</v>
      </c>
      <c r="I5049" s="5" t="s">
        <v>11472</v>
      </c>
      <c r="J5049" s="12" t="str">
        <f>HYPERLINK("https://www.boe.es/gazeta/dias/1801/07/21/pdfs/GMD-1801-71.pdf#page=9","Abrir facsímil")</f>
        <v>Abrir facsímil</v>
      </c>
      <c r="K5049" s="15" t="s">
        <v>23</v>
      </c>
    </row>
    <row r="5050" spans="1:11" ht="42" customHeight="1">
      <c r="A5050" s="4" t="s">
        <v>11468</v>
      </c>
      <c r="B5050" s="5" t="s">
        <v>11469</v>
      </c>
      <c r="C5050" s="5" t="s">
        <v>515</v>
      </c>
      <c r="D5050" s="5" t="s">
        <v>516</v>
      </c>
      <c r="E5050" s="5" t="s">
        <v>751</v>
      </c>
      <c r="F5050" s="9">
        <v>106</v>
      </c>
      <c r="G5050" s="9">
        <v>1169</v>
      </c>
      <c r="H5050" s="5" t="s">
        <v>21</v>
      </c>
      <c r="I5050" s="5" t="s">
        <v>11473</v>
      </c>
      <c r="J5050" s="12" t="str">
        <f>HYPERLINK("https://www.boe.es/gazeta/dias/1801/11/13/pdfs/GMD-C-1801-106.pdf#page=2","Abrir facsímil")</f>
        <v>Abrir facsímil</v>
      </c>
      <c r="K5050" s="15" t="s">
        <v>23</v>
      </c>
    </row>
    <row r="5051" spans="1:11" ht="42" customHeight="1">
      <c r="A5051" s="4" t="s">
        <v>11468</v>
      </c>
      <c r="B5051" s="5" t="s">
        <v>11469</v>
      </c>
      <c r="C5051" s="5" t="s">
        <v>75</v>
      </c>
      <c r="D5051" s="5" t="s">
        <v>76</v>
      </c>
      <c r="E5051" s="5" t="s">
        <v>1939</v>
      </c>
      <c r="F5051" s="9">
        <v>107</v>
      </c>
      <c r="G5051" s="9">
        <v>1180</v>
      </c>
      <c r="H5051" s="5" t="s">
        <v>21</v>
      </c>
      <c r="I5051" s="5" t="s">
        <v>11474</v>
      </c>
      <c r="J5051" s="12" t="str">
        <f>HYPERLINK("https://www.boe.es/gazeta/dias/1801/11/17/pdfs/GMD-1801-107.pdf#page=9","Abrir facsímil")</f>
        <v>Abrir facsímil</v>
      </c>
      <c r="K5051" s="15" t="s">
        <v>23</v>
      </c>
    </row>
    <row r="5052" spans="1:11" ht="42" customHeight="1">
      <c r="A5052" s="4" t="s">
        <v>11468</v>
      </c>
      <c r="B5052" s="5" t="s">
        <v>11469</v>
      </c>
      <c r="C5052" s="5" t="s">
        <v>38</v>
      </c>
      <c r="D5052" s="5" t="s">
        <v>39</v>
      </c>
      <c r="E5052" s="5" t="s">
        <v>1058</v>
      </c>
      <c r="F5052" s="9">
        <v>108</v>
      </c>
      <c r="G5052" s="9">
        <v>1193</v>
      </c>
      <c r="H5052" s="5" t="s">
        <v>21</v>
      </c>
      <c r="I5052" s="5" t="s">
        <v>11475</v>
      </c>
      <c r="J5052" s="12" t="str">
        <f>HYPERLINK("https://www.boe.es/gazeta/dias/1801/11/20/pdfs/GMD-1801-108.pdf#page=10","Abrir facsímil")</f>
        <v>Abrir facsímil</v>
      </c>
      <c r="K5052" s="15" t="s">
        <v>23</v>
      </c>
    </row>
    <row r="5053" spans="1:11" ht="42" customHeight="1">
      <c r="A5053" s="4" t="s">
        <v>11476</v>
      </c>
      <c r="B5053" s="5" t="s">
        <v>11476</v>
      </c>
      <c r="C5053" s="5" t="s">
        <v>32</v>
      </c>
      <c r="D5053" s="5" t="s">
        <v>33</v>
      </c>
      <c r="E5053" s="5" t="s">
        <v>712</v>
      </c>
      <c r="F5053" s="9">
        <v>105</v>
      </c>
      <c r="G5053" s="9">
        <v>1155</v>
      </c>
      <c r="H5053" s="5" t="s">
        <v>21</v>
      </c>
      <c r="I5053" s="5" t="s">
        <v>11477</v>
      </c>
      <c r="J5053" s="12" t="str">
        <f>HYPERLINK("https://www.boe.es/gazeta/dias/1801/11/10/pdfs/GMD-1801-105.pdf#page=8","Abrir facsímil")</f>
        <v>Abrir facsímil</v>
      </c>
      <c r="K5053" s="15" t="s">
        <v>23</v>
      </c>
    </row>
    <row r="5054" spans="1:11" ht="42" customHeight="1">
      <c r="A5054" s="4" t="s">
        <v>11478</v>
      </c>
      <c r="B5054" s="5" t="s">
        <v>11478</v>
      </c>
      <c r="C5054" s="5" t="s">
        <v>32</v>
      </c>
      <c r="D5054" s="5" t="s">
        <v>33</v>
      </c>
      <c r="E5054" s="5" t="s">
        <v>50</v>
      </c>
      <c r="F5054" s="9">
        <v>29</v>
      </c>
      <c r="G5054" s="9">
        <v>382</v>
      </c>
      <c r="H5054" s="5" t="s">
        <v>21</v>
      </c>
      <c r="I5054" s="5" t="s">
        <v>11479</v>
      </c>
      <c r="J5054" s="12" t="str">
        <f>HYPERLINK("https://www.boe.es/gazeta/dias/1801/04/10/pdfs/GMD-1801-29.pdf#page=10","Abrir facsímil")</f>
        <v>Abrir facsímil</v>
      </c>
      <c r="K5054" s="15" t="s">
        <v>23</v>
      </c>
    </row>
    <row r="5055" spans="1:11" ht="42" customHeight="1">
      <c r="A5055" s="4" t="s">
        <v>11480</v>
      </c>
      <c r="B5055" s="5" t="s">
        <v>11481</v>
      </c>
      <c r="C5055" s="5" t="s">
        <v>80</v>
      </c>
      <c r="D5055" s="5" t="s">
        <v>81</v>
      </c>
      <c r="E5055" s="5" t="s">
        <v>82</v>
      </c>
      <c r="F5055" s="9">
        <v>75</v>
      </c>
      <c r="G5055" s="9" t="s">
        <v>83</v>
      </c>
      <c r="H5055" s="5" t="s">
        <v>21</v>
      </c>
      <c r="I5055" s="5" t="s">
        <v>11482</v>
      </c>
      <c r="J5055" s="12" t="str">
        <f>HYPERLINK("https://www.boe.es/gazeta/dias/1801/08/04/pdfs/GMD-C-1801-75.pdf#page=2","Abrir facsímil")</f>
        <v>Abrir facsímil</v>
      </c>
      <c r="K5055" s="15" t="s">
        <v>23</v>
      </c>
    </row>
    <row r="5056" spans="1:11" ht="42" customHeight="1">
      <c r="A5056" s="4" t="s">
        <v>11483</v>
      </c>
      <c r="B5056" s="5" t="s">
        <v>11484</v>
      </c>
      <c r="C5056" s="5" t="s">
        <v>80</v>
      </c>
      <c r="D5056" s="5" t="s">
        <v>81</v>
      </c>
      <c r="E5056" s="5" t="s">
        <v>289</v>
      </c>
      <c r="F5056" s="9">
        <v>40</v>
      </c>
      <c r="G5056" s="9" t="s">
        <v>517</v>
      </c>
      <c r="H5056" s="5" t="s">
        <v>21</v>
      </c>
      <c r="I5056" s="5" t="s">
        <v>11485</v>
      </c>
      <c r="J5056" s="12" t="str">
        <f>HYPERLINK("https://www.boe.es/gazeta/dias/1801/05/19/pdfs/GMD-C-1801-40.pdf#page=7","Abrir facsímil")</f>
        <v>Abrir facsímil</v>
      </c>
      <c r="K5056" s="15" t="s">
        <v>23</v>
      </c>
    </row>
    <row r="5057" spans="1:11" ht="42" customHeight="1">
      <c r="A5057" s="4" t="s">
        <v>11486</v>
      </c>
      <c r="B5057" s="5" t="s">
        <v>11487</v>
      </c>
      <c r="C5057" s="5" t="s">
        <v>32</v>
      </c>
      <c r="D5057" s="5" t="s">
        <v>33</v>
      </c>
      <c r="E5057" s="5" t="s">
        <v>62</v>
      </c>
      <c r="F5057" s="9">
        <v>6</v>
      </c>
      <c r="G5057" s="9">
        <v>73</v>
      </c>
      <c r="H5057" s="5" t="s">
        <v>21</v>
      </c>
      <c r="I5057" s="5" t="s">
        <v>11488</v>
      </c>
      <c r="J5057" s="12" t="str">
        <f>HYPERLINK("https://www.boe.es/gazeta/dias/1801/01/20/pdfs/GMD-1801-6.pdf#page=9","Abrir facsímil")</f>
        <v>Abrir facsímil</v>
      </c>
      <c r="K5057" s="15" t="s">
        <v>23</v>
      </c>
    </row>
    <row r="5058" spans="1:11" ht="42" customHeight="1">
      <c r="A5058" s="4" t="s">
        <v>11489</v>
      </c>
      <c r="B5058" s="5" t="s">
        <v>11490</v>
      </c>
      <c r="C5058" s="5" t="s">
        <v>32</v>
      </c>
      <c r="D5058" s="5" t="s">
        <v>33</v>
      </c>
      <c r="E5058" s="5" t="s">
        <v>120</v>
      </c>
      <c r="F5058" s="9">
        <v>7</v>
      </c>
      <c r="G5058" s="9">
        <v>84</v>
      </c>
      <c r="H5058" s="5" t="s">
        <v>21</v>
      </c>
      <c r="I5058" s="5" t="s">
        <v>11491</v>
      </c>
      <c r="J5058" s="12" t="str">
        <f>HYPERLINK("https://www.boe.es/gazeta/dias/1801/01/23/pdfs/GMD-1801-7.pdf#page=8","Abrir facsímil")</f>
        <v>Abrir facsímil</v>
      </c>
      <c r="K5058" s="15" t="s">
        <v>23</v>
      </c>
    </row>
    <row r="5059" spans="1:11" ht="42" customHeight="1">
      <c r="A5059" s="4" t="s">
        <v>11492</v>
      </c>
      <c r="B5059" s="5" t="s">
        <v>11493</v>
      </c>
      <c r="C5059" s="5" t="s">
        <v>32</v>
      </c>
      <c r="D5059" s="5" t="s">
        <v>33</v>
      </c>
      <c r="E5059" s="5" t="s">
        <v>615</v>
      </c>
      <c r="F5059" s="9">
        <v>72</v>
      </c>
      <c r="G5059" s="9">
        <v>805</v>
      </c>
      <c r="H5059" s="5" t="s">
        <v>21</v>
      </c>
      <c r="I5059" s="5" t="s">
        <v>11494</v>
      </c>
      <c r="J5059" s="12" t="str">
        <f>HYPERLINK("https://www.boe.es/gazeta/dias/1801/07/24/pdfs/GMD-1801-72.pdf#page=10","Abrir facsímil")</f>
        <v>Abrir facsímil</v>
      </c>
      <c r="K5059" s="15" t="s">
        <v>23</v>
      </c>
    </row>
    <row r="5060" spans="1:11" ht="42" customHeight="1">
      <c r="A5060" s="4" t="s">
        <v>11495</v>
      </c>
      <c r="B5060" s="5" t="s">
        <v>11496</v>
      </c>
      <c r="C5060" s="5" t="s">
        <v>69</v>
      </c>
      <c r="D5060" s="5" t="s">
        <v>19</v>
      </c>
      <c r="E5060" s="5" t="s">
        <v>317</v>
      </c>
      <c r="F5060" s="9">
        <v>102</v>
      </c>
      <c r="G5060" s="9">
        <v>1120</v>
      </c>
      <c r="H5060" s="5" t="s">
        <v>21</v>
      </c>
      <c r="I5060" s="5" t="s">
        <v>11497</v>
      </c>
      <c r="J5060" s="12" t="str">
        <f>HYPERLINK("https://www.boe.es/gazeta/dias/1801/10/30/pdfs/GMD-1801-102.pdf#page=5","Abrir facsímil")</f>
        <v>Abrir facsímil</v>
      </c>
      <c r="K5060" s="15" t="s">
        <v>23</v>
      </c>
    </row>
    <row r="5061" spans="1:11" ht="42" customHeight="1">
      <c r="A5061" s="4" t="s">
        <v>11498</v>
      </c>
      <c r="B5061" s="5" t="s">
        <v>11499</v>
      </c>
      <c r="C5061" s="5" t="s">
        <v>38</v>
      </c>
      <c r="D5061" s="5" t="s">
        <v>39</v>
      </c>
      <c r="E5061" s="5" t="s">
        <v>48</v>
      </c>
      <c r="F5061" s="9">
        <v>20</v>
      </c>
      <c r="G5061" s="9">
        <v>264</v>
      </c>
      <c r="H5061" s="5" t="s">
        <v>21</v>
      </c>
      <c r="I5061" s="5" t="s">
        <v>11500</v>
      </c>
      <c r="J5061" s="12" t="str">
        <f>HYPERLINK("https://www.boe.es/gazeta/dias/1801/03/10/pdfs/GMD-1801-20.pdf#page=9","Abrir facsímil")</f>
        <v>Abrir facsímil</v>
      </c>
      <c r="K5061" s="15" t="s">
        <v>23</v>
      </c>
    </row>
    <row r="5062" spans="1:11" ht="42" customHeight="1">
      <c r="A5062" s="4" t="s">
        <v>11501</v>
      </c>
      <c r="B5062" s="5" t="s">
        <v>11502</v>
      </c>
      <c r="C5062" s="5" t="s">
        <v>32</v>
      </c>
      <c r="D5062" s="5" t="s">
        <v>33</v>
      </c>
      <c r="E5062" s="5" t="s">
        <v>453</v>
      </c>
      <c r="F5062" s="9">
        <v>100</v>
      </c>
      <c r="G5062" s="9">
        <v>1101</v>
      </c>
      <c r="H5062" s="5" t="s">
        <v>21</v>
      </c>
      <c r="I5062" s="5" t="s">
        <v>11503</v>
      </c>
      <c r="J5062" s="12" t="str">
        <f>HYPERLINK("https://www.boe.es/gazeta/dias/1801/10/23/pdfs/GMD-1801-100.pdf#page=10","Abrir facsímil")</f>
        <v>Abrir facsímil</v>
      </c>
      <c r="K5062" s="15" t="s">
        <v>23</v>
      </c>
    </row>
    <row r="5063" spans="1:11" ht="42" customHeight="1">
      <c r="A5063" s="4" t="s">
        <v>11504</v>
      </c>
      <c r="B5063" s="5" t="s">
        <v>11504</v>
      </c>
      <c r="C5063" s="5" t="s">
        <v>32</v>
      </c>
      <c r="D5063" s="5" t="s">
        <v>33</v>
      </c>
      <c r="E5063" s="5" t="s">
        <v>321</v>
      </c>
      <c r="F5063" s="9">
        <v>3</v>
      </c>
      <c r="G5063" s="9">
        <v>33</v>
      </c>
      <c r="H5063" s="5" t="s">
        <v>21</v>
      </c>
      <c r="I5063" s="5" t="s">
        <v>11505</v>
      </c>
      <c r="J5063" s="12" t="str">
        <f>HYPERLINK("https://www.boe.es/gazeta/dias/1801/01/09/pdfs/GMD-1801-3.pdf#page=9","Abrir facsímil")</f>
        <v>Abrir facsímil</v>
      </c>
      <c r="K5063" s="15" t="s">
        <v>23</v>
      </c>
    </row>
    <row r="5064" spans="1:11" ht="42" customHeight="1">
      <c r="A5064" s="4" t="s">
        <v>11506</v>
      </c>
      <c r="B5064" s="5" t="s">
        <v>11507</v>
      </c>
      <c r="C5064" s="5" t="s">
        <v>75</v>
      </c>
      <c r="D5064" s="5" t="s">
        <v>76</v>
      </c>
      <c r="E5064" s="5" t="s">
        <v>145</v>
      </c>
      <c r="F5064" s="9">
        <v>36</v>
      </c>
      <c r="G5064" s="9">
        <v>463</v>
      </c>
      <c r="H5064" s="5" t="s">
        <v>21</v>
      </c>
      <c r="I5064" s="5" t="s">
        <v>11508</v>
      </c>
      <c r="J5064" s="12" t="str">
        <f>HYPERLINK("https://www.boe.es/gazeta/dias/1801/05/05/pdfs/GMD-1801-36.pdf#page=7","Abrir facsímil")</f>
        <v>Abrir facsímil</v>
      </c>
      <c r="K5064" s="15" t="s">
        <v>23</v>
      </c>
    </row>
    <row r="5065" spans="1:11" ht="42" customHeight="1">
      <c r="A5065" s="4" t="s">
        <v>11506</v>
      </c>
      <c r="B5065" s="5" t="s">
        <v>11507</v>
      </c>
      <c r="C5065" s="5" t="s">
        <v>32</v>
      </c>
      <c r="D5065" s="5" t="s">
        <v>33</v>
      </c>
      <c r="E5065" s="5" t="s">
        <v>145</v>
      </c>
      <c r="F5065" s="9">
        <v>36</v>
      </c>
      <c r="G5065" s="9">
        <v>464</v>
      </c>
      <c r="H5065" s="5" t="s">
        <v>21</v>
      </c>
      <c r="I5065" s="5" t="s">
        <v>11509</v>
      </c>
      <c r="J5065" s="12" t="str">
        <f>HYPERLINK("https://www.boe.es/gazeta/dias/1801/05/05/pdfs/GMD-1801-36.pdf#page=8","Abrir facsímil")</f>
        <v>Abrir facsímil</v>
      </c>
      <c r="K5065" s="15" t="s">
        <v>23</v>
      </c>
    </row>
    <row r="5066" spans="1:11" ht="42" customHeight="1">
      <c r="A5066" s="4" t="s">
        <v>11510</v>
      </c>
      <c r="B5066" s="5" t="s">
        <v>11511</v>
      </c>
      <c r="C5066" s="5" t="s">
        <v>32</v>
      </c>
      <c r="D5066" s="5" t="s">
        <v>33</v>
      </c>
      <c r="E5066" s="5" t="s">
        <v>1015</v>
      </c>
      <c r="F5066" s="9">
        <v>15</v>
      </c>
      <c r="G5066" s="9">
        <v>184</v>
      </c>
      <c r="H5066" s="5" t="s">
        <v>21</v>
      </c>
      <c r="I5066" s="5" t="s">
        <v>11512</v>
      </c>
      <c r="J5066" s="12" t="str">
        <f>HYPERLINK("https://www.boe.es/gazeta/dias/1801/02/20/pdfs/GMD-1801-15.pdf#page=3","Abrir facsímil")</f>
        <v>Abrir facsímil</v>
      </c>
      <c r="K5066" s="15" t="s">
        <v>23</v>
      </c>
    </row>
    <row r="5067" spans="1:11" ht="42" customHeight="1">
      <c r="A5067" s="4" t="s">
        <v>11513</v>
      </c>
      <c r="B5067" s="5" t="s">
        <v>11514</v>
      </c>
      <c r="C5067" s="5" t="s">
        <v>32</v>
      </c>
      <c r="D5067" s="5" t="s">
        <v>33</v>
      </c>
      <c r="E5067" s="5" t="s">
        <v>366</v>
      </c>
      <c r="F5067" s="9">
        <v>86</v>
      </c>
      <c r="G5067" s="9">
        <v>955</v>
      </c>
      <c r="H5067" s="5" t="s">
        <v>21</v>
      </c>
      <c r="I5067" s="5" t="s">
        <v>11515</v>
      </c>
      <c r="J5067" s="12" t="str">
        <f>HYPERLINK("https://www.boe.es/gazeta/dias/1801/09/08/pdfs/GMD-1801-86.pdf#page=6","Abrir facsímil")</f>
        <v>Abrir facsímil</v>
      </c>
      <c r="K5067" s="15" t="s">
        <v>23</v>
      </c>
    </row>
    <row r="5068" spans="1:11" ht="42" customHeight="1">
      <c r="A5068" s="4" t="s">
        <v>11516</v>
      </c>
      <c r="B5068" s="5" t="s">
        <v>11516</v>
      </c>
      <c r="C5068" s="5" t="s">
        <v>75</v>
      </c>
      <c r="D5068" s="5" t="s">
        <v>76</v>
      </c>
      <c r="E5068" s="5" t="s">
        <v>924</v>
      </c>
      <c r="F5068" s="9">
        <v>90</v>
      </c>
      <c r="G5068" s="9">
        <v>991</v>
      </c>
      <c r="H5068" s="5" t="s">
        <v>21</v>
      </c>
      <c r="I5068" s="5" t="s">
        <v>11517</v>
      </c>
      <c r="J5068" s="12" t="str">
        <f>HYPERLINK("https://www.boe.es/gazeta/dias/1801/09/18/pdfs/GMD-1801-90.pdf#page=6","Abrir facsímil")</f>
        <v>Abrir facsímil</v>
      </c>
      <c r="K5068" s="15" t="s">
        <v>23</v>
      </c>
    </row>
    <row r="5069" spans="1:11" ht="42" customHeight="1">
      <c r="A5069" s="4" t="s">
        <v>11518</v>
      </c>
      <c r="B5069" s="5" t="s">
        <v>11519</v>
      </c>
      <c r="C5069" s="5" t="s">
        <v>75</v>
      </c>
      <c r="D5069" s="5" t="s">
        <v>76</v>
      </c>
      <c r="E5069" s="5" t="s">
        <v>120</v>
      </c>
      <c r="F5069" s="9">
        <v>7</v>
      </c>
      <c r="G5069" s="9">
        <v>82</v>
      </c>
      <c r="H5069" s="5" t="s">
        <v>21</v>
      </c>
      <c r="I5069" s="5" t="s">
        <v>11520</v>
      </c>
      <c r="J5069" s="12" t="str">
        <f>HYPERLINK("https://www.boe.es/gazeta/dias/1801/01/23/pdfs/GMD-1801-7.pdf#page=6","Abrir facsímil")</f>
        <v>Abrir facsímil</v>
      </c>
      <c r="K5069" s="15" t="s">
        <v>23</v>
      </c>
    </row>
    <row r="5070" spans="1:11" ht="42" customHeight="1">
      <c r="A5070" s="4" t="s">
        <v>11518</v>
      </c>
      <c r="B5070" s="5" t="s">
        <v>11519</v>
      </c>
      <c r="C5070" s="5" t="s">
        <v>38</v>
      </c>
      <c r="D5070" s="5" t="s">
        <v>39</v>
      </c>
      <c r="E5070" s="5" t="s">
        <v>781</v>
      </c>
      <c r="F5070" s="9">
        <v>14</v>
      </c>
      <c r="G5070" s="9">
        <v>172</v>
      </c>
      <c r="H5070" s="5" t="s">
        <v>21</v>
      </c>
      <c r="I5070" s="5" t="s">
        <v>11521</v>
      </c>
      <c r="J5070" s="12" t="str">
        <f>HYPERLINK("https://www.boe.es/gazeta/dias/1801/02/17/pdfs/GMD-1801-14.pdf#page=7","Abrir facsímil")</f>
        <v>Abrir facsímil</v>
      </c>
      <c r="K5070" s="15" t="s">
        <v>23</v>
      </c>
    </row>
    <row r="5071" spans="1:11" ht="42" customHeight="1">
      <c r="A5071" s="4" t="s">
        <v>11522</v>
      </c>
      <c r="B5071" s="5" t="s">
        <v>11523</v>
      </c>
      <c r="C5071" s="5" t="s">
        <v>75</v>
      </c>
      <c r="D5071" s="5" t="s">
        <v>76</v>
      </c>
      <c r="E5071" s="5" t="s">
        <v>179</v>
      </c>
      <c r="F5071" s="9">
        <v>11</v>
      </c>
      <c r="G5071" s="9">
        <v>133</v>
      </c>
      <c r="H5071" s="5" t="s">
        <v>21</v>
      </c>
      <c r="I5071" s="5" t="s">
        <v>11524</v>
      </c>
      <c r="J5071" s="12" t="str">
        <f>HYPERLINK("https://www.boe.es/gazeta/dias/1801/02/06/pdfs/GMD-1801-11.pdf#page=6","Abrir facsímil")</f>
        <v>Abrir facsímil</v>
      </c>
      <c r="K5071" s="15" t="s">
        <v>23</v>
      </c>
    </row>
    <row r="5072" spans="1:11" ht="42" customHeight="1">
      <c r="A5072" s="4" t="s">
        <v>11525</v>
      </c>
      <c r="B5072" s="5" t="s">
        <v>11526</v>
      </c>
      <c r="C5072" s="5" t="s">
        <v>32</v>
      </c>
      <c r="D5072" s="5" t="s">
        <v>33</v>
      </c>
      <c r="E5072" s="5" t="s">
        <v>55</v>
      </c>
      <c r="F5072" s="9">
        <v>104</v>
      </c>
      <c r="G5072" s="9">
        <v>1145</v>
      </c>
      <c r="H5072" s="5" t="s">
        <v>21</v>
      </c>
      <c r="I5072" s="5" t="s">
        <v>11527</v>
      </c>
      <c r="J5072" s="12" t="str">
        <f>HYPERLINK("https://www.boe.es/gazeta/dias/1801/11/06/pdfs/GMD-1801-104.pdf#page=6","Abrir facsímil")</f>
        <v>Abrir facsímil</v>
      </c>
      <c r="K5072" s="15" t="s">
        <v>23</v>
      </c>
    </row>
    <row r="5073" spans="1:11" ht="42" customHeight="1">
      <c r="A5073" s="4" t="s">
        <v>11528</v>
      </c>
      <c r="B5073" s="5" t="s">
        <v>11529</v>
      </c>
      <c r="C5073" s="5" t="s">
        <v>32</v>
      </c>
      <c r="D5073" s="5" t="s">
        <v>33</v>
      </c>
      <c r="E5073" s="5" t="s">
        <v>122</v>
      </c>
      <c r="F5073" s="9">
        <v>8</v>
      </c>
      <c r="G5073" s="9">
        <v>97</v>
      </c>
      <c r="H5073" s="5" t="s">
        <v>21</v>
      </c>
      <c r="I5073" s="5" t="s">
        <v>11530</v>
      </c>
      <c r="J5073" s="12" t="str">
        <f>HYPERLINK("https://www.boe.es/gazeta/dias/1801/01/27/pdfs/GMD-1801-8.pdf#page=9","Abrir facsímil")</f>
        <v>Abrir facsímil</v>
      </c>
      <c r="K5073" s="15" t="s">
        <v>23</v>
      </c>
    </row>
    <row r="5074" spans="1:11" ht="42" customHeight="1">
      <c r="A5074" s="4" t="s">
        <v>11531</v>
      </c>
      <c r="B5074" s="5" t="s">
        <v>11531</v>
      </c>
      <c r="C5074" s="5" t="s">
        <v>80</v>
      </c>
      <c r="D5074" s="5" t="s">
        <v>81</v>
      </c>
      <c r="E5074" s="5" t="s">
        <v>82</v>
      </c>
      <c r="F5074" s="9">
        <v>75</v>
      </c>
      <c r="G5074" s="9" t="s">
        <v>86</v>
      </c>
      <c r="H5074" s="5" t="s">
        <v>21</v>
      </c>
      <c r="I5074" s="5" t="s">
        <v>11532</v>
      </c>
      <c r="J5074" s="12" t="str">
        <f>HYPERLINK("https://www.boe.es/gazeta/dias/1801/08/04/pdfs/GMD-C-1801-75.pdf#page=3","Abrir facsímil")</f>
        <v>Abrir facsímil</v>
      </c>
      <c r="K5074" s="15" t="s">
        <v>23</v>
      </c>
    </row>
    <row r="5075" spans="1:11" ht="42" customHeight="1">
      <c r="A5075" s="4" t="s">
        <v>11533</v>
      </c>
      <c r="B5075" s="5" t="s">
        <v>11533</v>
      </c>
      <c r="C5075" s="5" t="s">
        <v>32</v>
      </c>
      <c r="D5075" s="5" t="s">
        <v>33</v>
      </c>
      <c r="E5075" s="5" t="s">
        <v>465</v>
      </c>
      <c r="F5075" s="9">
        <v>4</v>
      </c>
      <c r="G5075" s="9">
        <v>46</v>
      </c>
      <c r="H5075" s="5" t="s">
        <v>21</v>
      </c>
      <c r="I5075" s="5" t="s">
        <v>11534</v>
      </c>
      <c r="J5075" s="12" t="str">
        <f>HYPERLINK("https://www.boe.es/gazeta/dias/1801/01/13/pdfs/GMD-1801-4.pdf#page=10","Abrir facsímil")</f>
        <v>Abrir facsímil</v>
      </c>
      <c r="K5075" s="15" t="s">
        <v>23</v>
      </c>
    </row>
    <row r="5076" spans="1:11" ht="42" customHeight="1">
      <c r="A5076" s="4" t="s">
        <v>11535</v>
      </c>
      <c r="B5076" s="5" t="s">
        <v>11535</v>
      </c>
      <c r="C5076" s="5" t="s">
        <v>32</v>
      </c>
      <c r="D5076" s="5" t="s">
        <v>33</v>
      </c>
      <c r="E5076" s="5" t="s">
        <v>112</v>
      </c>
      <c r="F5076" s="9">
        <v>114</v>
      </c>
      <c r="G5076" s="9">
        <v>1247</v>
      </c>
      <c r="H5076" s="5" t="s">
        <v>21</v>
      </c>
      <c r="I5076" s="5" t="s">
        <v>11536</v>
      </c>
      <c r="J5076" s="12" t="str">
        <f>HYPERLINK("https://www.boe.es/gazeta/dias/1801/12/11/pdfs/GMD-1801-114.pdf#page=9","Abrir facsímil")</f>
        <v>Abrir facsímil</v>
      </c>
      <c r="K5076" s="15" t="s">
        <v>23</v>
      </c>
    </row>
    <row r="5077" spans="1:11" ht="42" customHeight="1">
      <c r="A5077" s="4" t="s">
        <v>11537</v>
      </c>
      <c r="B5077" s="5" t="s">
        <v>11538</v>
      </c>
      <c r="C5077" s="5" t="s">
        <v>32</v>
      </c>
      <c r="D5077" s="5" t="s">
        <v>33</v>
      </c>
      <c r="E5077" s="5" t="s">
        <v>151</v>
      </c>
      <c r="F5077" s="9" t="s">
        <v>1483</v>
      </c>
      <c r="G5077" s="9">
        <v>566</v>
      </c>
      <c r="H5077" s="5" t="s">
        <v>21</v>
      </c>
      <c r="I5077" s="5" t="s">
        <v>11539</v>
      </c>
      <c r="J5077" s="12" t="str">
        <f>HYPERLINK("https://www.boe.es/gazeta/dias/1801/06/02/pdfs/GMD-1801-46E.pdf#page=2","Abrir facsímil")</f>
        <v>Abrir facsímil</v>
      </c>
      <c r="K5077" s="15" t="s">
        <v>23</v>
      </c>
    </row>
    <row r="5078" spans="1:11" ht="42" customHeight="1">
      <c r="A5078" s="4" t="s">
        <v>11540</v>
      </c>
      <c r="B5078" s="5" t="s">
        <v>11541</v>
      </c>
      <c r="C5078" s="5" t="s">
        <v>32</v>
      </c>
      <c r="D5078" s="5" t="s">
        <v>33</v>
      </c>
      <c r="E5078" s="5" t="s">
        <v>1436</v>
      </c>
      <c r="F5078" s="9">
        <v>95</v>
      </c>
      <c r="G5078" s="9">
        <v>1037</v>
      </c>
      <c r="H5078" s="5" t="s">
        <v>21</v>
      </c>
      <c r="I5078" s="5" t="s">
        <v>11542</v>
      </c>
      <c r="J5078" s="12" t="str">
        <f>HYPERLINK("https://www.boe.es/gazeta/dias/1801/10/06/pdfs/GMD-1801-95.pdf#page=1","Abrir facsímil")</f>
        <v>Abrir facsímil</v>
      </c>
      <c r="K5078" s="15" t="s">
        <v>23</v>
      </c>
    </row>
    <row r="5079" spans="1:11" ht="42" customHeight="1">
      <c r="A5079" s="4" t="s">
        <v>11543</v>
      </c>
      <c r="B5079" s="5" t="s">
        <v>11543</v>
      </c>
      <c r="C5079" s="5" t="s">
        <v>32</v>
      </c>
      <c r="D5079" s="5" t="s">
        <v>33</v>
      </c>
      <c r="E5079" s="5" t="s">
        <v>723</v>
      </c>
      <c r="F5079" s="9">
        <v>113</v>
      </c>
      <c r="G5079" s="9">
        <v>1233</v>
      </c>
      <c r="H5079" s="5" t="s">
        <v>21</v>
      </c>
      <c r="I5079" s="5" t="s">
        <v>11544</v>
      </c>
      <c r="J5079" s="12" t="str">
        <f>HYPERLINK("https://www.boe.es/gazeta/dias/1801/12/08/pdfs/GMD-1801-113.pdf#page=6","Abrir facsímil")</f>
        <v>Abrir facsímil</v>
      </c>
      <c r="K5079" s="15" t="s">
        <v>23</v>
      </c>
    </row>
    <row r="5080" spans="1:11" ht="42" customHeight="1">
      <c r="A5080" s="4" t="s">
        <v>11545</v>
      </c>
      <c r="B5080" s="5" t="s">
        <v>11545</v>
      </c>
      <c r="C5080" s="5" t="s">
        <v>32</v>
      </c>
      <c r="D5080" s="5" t="s">
        <v>33</v>
      </c>
      <c r="E5080" s="5" t="s">
        <v>70</v>
      </c>
      <c r="F5080" s="9">
        <v>2</v>
      </c>
      <c r="G5080" s="9">
        <v>19</v>
      </c>
      <c r="H5080" s="5" t="s">
        <v>21</v>
      </c>
      <c r="I5080" s="5" t="s">
        <v>11546</v>
      </c>
      <c r="J5080" s="12" t="str">
        <f>HYPERLINK("https://www.boe.es/gazeta/dias/1801/01/06/pdfs/GMD-1801-2.pdf#page=7","Abrir facsímil")</f>
        <v>Abrir facsímil</v>
      </c>
      <c r="K5080" s="15" t="s">
        <v>23</v>
      </c>
    </row>
    <row r="5081" spans="1:11" ht="42" customHeight="1">
      <c r="A5081" s="4" t="s">
        <v>11545</v>
      </c>
      <c r="B5081" s="5" t="s">
        <v>11545</v>
      </c>
      <c r="C5081" s="5" t="s">
        <v>75</v>
      </c>
      <c r="D5081" s="5" t="s">
        <v>76</v>
      </c>
      <c r="E5081" s="5" t="s">
        <v>165</v>
      </c>
      <c r="F5081" s="9">
        <v>59</v>
      </c>
      <c r="G5081" s="9">
        <v>673</v>
      </c>
      <c r="H5081" s="5" t="s">
        <v>21</v>
      </c>
      <c r="I5081" s="5" t="s">
        <v>11547</v>
      </c>
      <c r="J5081" s="12" t="str">
        <f>HYPERLINK("https://www.boe.es/gazeta/dias/1801/06/23/pdfs/GMD-1801-59.pdf#page=6","Abrir facsímil")</f>
        <v>Abrir facsímil</v>
      </c>
      <c r="K5081" s="15" t="s">
        <v>23</v>
      </c>
    </row>
    <row r="5082" spans="1:11" ht="42" customHeight="1">
      <c r="A5082" s="4" t="s">
        <v>11548</v>
      </c>
      <c r="B5082" s="5" t="s">
        <v>11548</v>
      </c>
      <c r="C5082" s="5" t="s">
        <v>38</v>
      </c>
      <c r="D5082" s="5" t="s">
        <v>39</v>
      </c>
      <c r="E5082" s="5" t="s">
        <v>1058</v>
      </c>
      <c r="F5082" s="9">
        <v>108</v>
      </c>
      <c r="G5082" s="9">
        <v>1187</v>
      </c>
      <c r="H5082" s="5" t="s">
        <v>21</v>
      </c>
      <c r="I5082" s="5" t="s">
        <v>11549</v>
      </c>
      <c r="J5082" s="12" t="str">
        <f>HYPERLINK("https://www.boe.es/gazeta/dias/1801/11/20/pdfs/GMD-1801-108.pdf#page=4","Abrir facsímil")</f>
        <v>Abrir facsímil</v>
      </c>
      <c r="K5082" s="15" t="s">
        <v>23</v>
      </c>
    </row>
    <row r="5083" spans="1:11" ht="42" customHeight="1">
      <c r="A5083" s="4" t="s">
        <v>11550</v>
      </c>
      <c r="B5083" s="5" t="s">
        <v>11551</v>
      </c>
      <c r="C5083" s="5" t="s">
        <v>32</v>
      </c>
      <c r="D5083" s="5" t="s">
        <v>33</v>
      </c>
      <c r="E5083" s="5" t="s">
        <v>44</v>
      </c>
      <c r="F5083" s="9">
        <v>117</v>
      </c>
      <c r="G5083" s="9">
        <v>1282</v>
      </c>
      <c r="H5083" s="5" t="s">
        <v>21</v>
      </c>
      <c r="I5083" s="5" t="s">
        <v>11552</v>
      </c>
      <c r="J5083" s="12" t="str">
        <f>HYPERLINK("https://www.boe.es/gazeta/dias/1801/12/22/pdfs/GMD-1801-117.pdf#page=9","Abrir facsímil")</f>
        <v>Abrir facsímil</v>
      </c>
      <c r="K5083" s="15" t="s">
        <v>23</v>
      </c>
    </row>
    <row r="5084" spans="1:11" ht="42" customHeight="1">
      <c r="A5084" s="4" t="s">
        <v>11553</v>
      </c>
      <c r="B5084" s="5" t="s">
        <v>11554</v>
      </c>
      <c r="C5084" s="5" t="s">
        <v>32</v>
      </c>
      <c r="D5084" s="5" t="s">
        <v>33</v>
      </c>
      <c r="E5084" s="5" t="s">
        <v>723</v>
      </c>
      <c r="F5084" s="9">
        <v>113</v>
      </c>
      <c r="G5084" s="9">
        <v>1234</v>
      </c>
      <c r="H5084" s="5" t="s">
        <v>21</v>
      </c>
      <c r="I5084" s="5" t="s">
        <v>11555</v>
      </c>
      <c r="J5084" s="12" t="str">
        <f>HYPERLINK("https://www.boe.es/gazeta/dias/1801/12/08/pdfs/GMD-1801-113.pdf#page=7","Abrir facsímil")</f>
        <v>Abrir facsímil</v>
      </c>
      <c r="K5084" s="15" t="s">
        <v>23</v>
      </c>
    </row>
    <row r="5085" spans="1:11" ht="42" customHeight="1">
      <c r="A5085" s="4" t="s">
        <v>11556</v>
      </c>
      <c r="B5085" s="5" t="s">
        <v>11557</v>
      </c>
      <c r="C5085" s="5" t="s">
        <v>32</v>
      </c>
      <c r="D5085" s="5" t="s">
        <v>33</v>
      </c>
      <c r="E5085" s="5" t="s">
        <v>480</v>
      </c>
      <c r="F5085" s="9">
        <v>10</v>
      </c>
      <c r="G5085" s="9">
        <v>123</v>
      </c>
      <c r="H5085" s="5" t="s">
        <v>21</v>
      </c>
      <c r="I5085" s="5" t="s">
        <v>11558</v>
      </c>
      <c r="J5085" s="12" t="str">
        <f>HYPERLINK("https://www.boe.es/gazeta/dias/1801/02/03/pdfs/GMD-1801-10.pdf#page=8","Abrir facsímil")</f>
        <v>Abrir facsímil</v>
      </c>
      <c r="K5085" s="15" t="s">
        <v>23</v>
      </c>
    </row>
    <row r="5086" spans="1:11" ht="42" customHeight="1">
      <c r="A5086" s="4" t="s">
        <v>11559</v>
      </c>
      <c r="B5086" s="5" t="s">
        <v>11560</v>
      </c>
      <c r="C5086" s="5" t="s">
        <v>32</v>
      </c>
      <c r="D5086" s="5" t="s">
        <v>33</v>
      </c>
      <c r="E5086" s="5" t="s">
        <v>62</v>
      </c>
      <c r="F5086" s="9">
        <v>6</v>
      </c>
      <c r="G5086" s="9">
        <v>72</v>
      </c>
      <c r="H5086" s="5" t="s">
        <v>21</v>
      </c>
      <c r="I5086" s="5" t="s">
        <v>11561</v>
      </c>
      <c r="J5086" s="12" t="str">
        <f>HYPERLINK("https://www.boe.es/gazeta/dias/1801/01/20/pdfs/GMD-1801-6.pdf#page=8","Abrir facsímil")</f>
        <v>Abrir facsímil</v>
      </c>
      <c r="K5086" s="15" t="s">
        <v>23</v>
      </c>
    </row>
    <row r="5087" spans="1:11" ht="42" customHeight="1">
      <c r="A5087" s="4" t="s">
        <v>11562</v>
      </c>
      <c r="B5087" s="5" t="s">
        <v>11563</v>
      </c>
      <c r="C5087" s="5" t="s">
        <v>18</v>
      </c>
      <c r="D5087" s="5" t="s">
        <v>19</v>
      </c>
      <c r="E5087" s="5" t="s">
        <v>615</v>
      </c>
      <c r="F5087" s="9">
        <v>72</v>
      </c>
      <c r="G5087" s="9">
        <v>806</v>
      </c>
      <c r="H5087" s="5" t="s">
        <v>21</v>
      </c>
      <c r="I5087" s="5" t="s">
        <v>11564</v>
      </c>
      <c r="J5087" s="12" t="str">
        <f>HYPERLINK("https://www.boe.es/gazeta/dias/1801/07/24/pdfs/GMD-1801-72.pdf#page=11","Abrir facsímil")</f>
        <v>Abrir facsímil</v>
      </c>
      <c r="K5087" s="15" t="s">
        <v>23</v>
      </c>
    </row>
    <row r="5088" spans="1:11" ht="42" customHeight="1">
      <c r="A5088" s="4" t="s">
        <v>11565</v>
      </c>
      <c r="B5088" s="5" t="s">
        <v>11566</v>
      </c>
      <c r="C5088" s="5" t="s">
        <v>69</v>
      </c>
      <c r="D5088" s="5" t="s">
        <v>19</v>
      </c>
      <c r="E5088" s="5" t="s">
        <v>313</v>
      </c>
      <c r="F5088" s="9">
        <v>39</v>
      </c>
      <c r="G5088" s="9">
        <v>506</v>
      </c>
      <c r="H5088" s="5" t="s">
        <v>21</v>
      </c>
      <c r="I5088" s="5" t="s">
        <v>11567</v>
      </c>
      <c r="J5088" s="12" t="str">
        <f>HYPERLINK("https://www.boe.es/gazeta/dias/1801/05/15/pdfs/GMD-1801-39.pdf#page=10","Abrir facsímil")</f>
        <v>Abrir facsímil</v>
      </c>
      <c r="K5088" s="15" t="s">
        <v>23</v>
      </c>
    </row>
    <row r="5089" spans="1:11" ht="42" customHeight="1">
      <c r="A5089" s="4" t="s">
        <v>11565</v>
      </c>
      <c r="B5089" s="5" t="s">
        <v>11566</v>
      </c>
      <c r="C5089" s="5" t="s">
        <v>32</v>
      </c>
      <c r="D5089" s="5" t="s">
        <v>33</v>
      </c>
      <c r="E5089" s="5" t="s">
        <v>417</v>
      </c>
      <c r="F5089" s="9">
        <v>64</v>
      </c>
      <c r="G5089" s="9">
        <v>729</v>
      </c>
      <c r="H5089" s="5" t="s">
        <v>21</v>
      </c>
      <c r="I5089" s="5" t="s">
        <v>11568</v>
      </c>
      <c r="J5089" s="12" t="str">
        <f>HYPERLINK("https://www.boe.es/gazeta/dias/1801/07/07/pdfs/GMD-1801-64.pdf#page=10","Abrir facsímil")</f>
        <v>Abrir facsímil</v>
      </c>
      <c r="K5089" s="15" t="s">
        <v>23</v>
      </c>
    </row>
    <row r="5090" spans="1:11" ht="42" customHeight="1">
      <c r="A5090" s="4" t="s">
        <v>11569</v>
      </c>
      <c r="B5090" s="5" t="s">
        <v>11570</v>
      </c>
      <c r="C5090" s="5" t="s">
        <v>32</v>
      </c>
      <c r="D5090" s="5" t="s">
        <v>33</v>
      </c>
      <c r="E5090" s="5" t="s">
        <v>90</v>
      </c>
      <c r="F5090" s="9">
        <v>1</v>
      </c>
      <c r="G5090" s="9">
        <v>9</v>
      </c>
      <c r="H5090" s="5" t="s">
        <v>21</v>
      </c>
      <c r="I5090" s="5" t="s">
        <v>11571</v>
      </c>
      <c r="J5090" s="12" t="str">
        <f>HYPERLINK("https://www.boe.es/gazeta/dias/1801/01/02/pdfs/GMD-1801-1.pdf#page=9","Abrir facsímil")</f>
        <v>Abrir facsímil</v>
      </c>
      <c r="K5090" s="15" t="s">
        <v>23</v>
      </c>
    </row>
    <row r="5091" spans="1:11" ht="42" customHeight="1">
      <c r="A5091" s="4" t="s">
        <v>11572</v>
      </c>
      <c r="B5091" s="5" t="s">
        <v>11573</v>
      </c>
      <c r="C5091" s="5" t="s">
        <v>38</v>
      </c>
      <c r="D5091" s="5" t="s">
        <v>39</v>
      </c>
      <c r="E5091" s="5" t="s">
        <v>165</v>
      </c>
      <c r="F5091" s="9">
        <v>59</v>
      </c>
      <c r="G5091" s="9">
        <v>675</v>
      </c>
      <c r="H5091" s="5" t="s">
        <v>21</v>
      </c>
      <c r="I5091" s="5" t="s">
        <v>11574</v>
      </c>
      <c r="J5091" s="12" t="str">
        <f>HYPERLINK("https://www.boe.es/gazeta/dias/1801/06/23/pdfs/GMD-1801-59.pdf#page=8","Abrir facsímil")</f>
        <v>Abrir facsímil</v>
      </c>
      <c r="K5091" s="15" t="s">
        <v>23</v>
      </c>
    </row>
    <row r="5092" spans="1:11" ht="42" customHeight="1">
      <c r="A5092" s="4" t="s">
        <v>11575</v>
      </c>
      <c r="B5092" s="5" t="s">
        <v>11576</v>
      </c>
      <c r="C5092" s="5" t="s">
        <v>38</v>
      </c>
      <c r="D5092" s="5" t="s">
        <v>39</v>
      </c>
      <c r="E5092" s="5" t="s">
        <v>211</v>
      </c>
      <c r="F5092" s="9">
        <v>87</v>
      </c>
      <c r="G5092" s="9">
        <v>966</v>
      </c>
      <c r="H5092" s="5" t="s">
        <v>21</v>
      </c>
      <c r="I5092" s="5" t="s">
        <v>11577</v>
      </c>
      <c r="J5092" s="12" t="str">
        <f>HYPERLINK("https://www.boe.es/gazeta/dias/1801/09/11/pdfs/GMD-1801-87.pdf#page=9","Abrir facsímil")</f>
        <v>Abrir facsímil</v>
      </c>
      <c r="K5092" s="15" t="s">
        <v>23</v>
      </c>
    </row>
    <row r="5093" spans="1:11" ht="42" customHeight="1">
      <c r="A5093" s="4" t="s">
        <v>11578</v>
      </c>
      <c r="B5093" s="5" t="s">
        <v>11579</v>
      </c>
      <c r="C5093" s="5" t="s">
        <v>32</v>
      </c>
      <c r="D5093" s="5" t="s">
        <v>33</v>
      </c>
      <c r="E5093" s="5" t="s">
        <v>145</v>
      </c>
      <c r="F5093" s="9">
        <v>36</v>
      </c>
      <c r="G5093" s="9">
        <v>467</v>
      </c>
      <c r="H5093" s="5" t="s">
        <v>21</v>
      </c>
      <c r="I5093" s="5" t="s">
        <v>11580</v>
      </c>
      <c r="J5093" s="12" t="str">
        <f>HYPERLINK("https://www.boe.es/gazeta/dias/1801/05/05/pdfs/GMD-1801-36.pdf#page=11","Abrir facsímil")</f>
        <v>Abrir facsímil</v>
      </c>
      <c r="K5093" s="15" t="s">
        <v>23</v>
      </c>
    </row>
    <row r="5094" spans="1:11" ht="42" customHeight="1">
      <c r="A5094" s="4" t="s">
        <v>11581</v>
      </c>
      <c r="B5094" s="5" t="s">
        <v>11581</v>
      </c>
      <c r="C5094" s="5" t="s">
        <v>75</v>
      </c>
      <c r="D5094" s="5" t="s">
        <v>76</v>
      </c>
      <c r="E5094" s="5" t="s">
        <v>448</v>
      </c>
      <c r="F5094" s="9">
        <v>35</v>
      </c>
      <c r="G5094" s="9">
        <v>449</v>
      </c>
      <c r="H5094" s="5" t="s">
        <v>21</v>
      </c>
      <c r="I5094" s="5" t="s">
        <v>11582</v>
      </c>
      <c r="J5094" s="12" t="str">
        <f>HYPERLINK("https://www.boe.es/gazeta/dias/1801/05/01/pdfs/GMD-1801-35.pdf#page=5","Abrir facsímil")</f>
        <v>Abrir facsímil</v>
      </c>
      <c r="K5094" s="15" t="s">
        <v>23</v>
      </c>
    </row>
    <row r="5095" spans="1:11" ht="42" customHeight="1">
      <c r="A5095" s="4" t="s">
        <v>11583</v>
      </c>
      <c r="B5095" s="5" t="s">
        <v>11584</v>
      </c>
      <c r="C5095" s="5" t="s">
        <v>18</v>
      </c>
      <c r="D5095" s="5" t="s">
        <v>19</v>
      </c>
      <c r="E5095" s="5" t="s">
        <v>1487</v>
      </c>
      <c r="F5095" s="9" t="s">
        <v>1488</v>
      </c>
      <c r="G5095" s="9">
        <v>642</v>
      </c>
      <c r="H5095" s="5" t="s">
        <v>21</v>
      </c>
      <c r="I5095" s="5" t="s">
        <v>11585</v>
      </c>
      <c r="J5095" s="12" t="str">
        <f>HYPERLINK("https://www.boe.es/gazeta/dias/1801/06/17/pdfs/GMD-1801-56E.pdf#page=2","Abrir facsímil")</f>
        <v>Abrir facsímil</v>
      </c>
      <c r="K5095" s="15" t="s">
        <v>23</v>
      </c>
    </row>
    <row r="5096" spans="1:11" ht="42" customHeight="1">
      <c r="A5096" s="4" t="s">
        <v>11586</v>
      </c>
      <c r="B5096" s="5" t="s">
        <v>11587</v>
      </c>
      <c r="C5096" s="5" t="s">
        <v>26</v>
      </c>
      <c r="D5096" s="5" t="s">
        <v>27</v>
      </c>
      <c r="E5096" s="5" t="s">
        <v>465</v>
      </c>
      <c r="F5096" s="9">
        <v>4</v>
      </c>
      <c r="G5096" s="9">
        <v>48</v>
      </c>
      <c r="H5096" s="5" t="s">
        <v>21</v>
      </c>
      <c r="I5096" s="5" t="s">
        <v>11588</v>
      </c>
      <c r="J5096" s="12" t="str">
        <f>HYPERLINK("https://www.boe.es/gazeta/dias/1801/01/13/pdfs/GMD-1801-4.pdf#page=12","Abrir facsímil")</f>
        <v>Abrir facsímil</v>
      </c>
      <c r="K5096" s="15" t="s">
        <v>23</v>
      </c>
    </row>
    <row r="5097" spans="1:11" ht="42" customHeight="1">
      <c r="A5097" s="4" t="s">
        <v>11589</v>
      </c>
      <c r="B5097" s="5" t="s">
        <v>11590</v>
      </c>
      <c r="C5097" s="5" t="s">
        <v>32</v>
      </c>
      <c r="D5097" s="5" t="s">
        <v>33</v>
      </c>
      <c r="E5097" s="5" t="s">
        <v>480</v>
      </c>
      <c r="F5097" s="9">
        <v>10</v>
      </c>
      <c r="G5097" s="9">
        <v>118</v>
      </c>
      <c r="H5097" s="5" t="s">
        <v>21</v>
      </c>
      <c r="I5097" s="5" t="s">
        <v>11591</v>
      </c>
      <c r="J5097" s="12" t="str">
        <f>HYPERLINK("https://www.boe.es/gazeta/dias/1801/02/03/pdfs/GMD-1801-10.pdf#page=3","Abrir facsímil")</f>
        <v>Abrir facsímil</v>
      </c>
      <c r="K5097" s="15" t="s">
        <v>23</v>
      </c>
    </row>
    <row r="5098" spans="1:11" ht="42" customHeight="1">
      <c r="A5098" s="4" t="s">
        <v>11592</v>
      </c>
      <c r="B5098" s="5" t="s">
        <v>11593</v>
      </c>
      <c r="C5098" s="5" t="s">
        <v>38</v>
      </c>
      <c r="D5098" s="5" t="s">
        <v>39</v>
      </c>
      <c r="E5098" s="5" t="s">
        <v>735</v>
      </c>
      <c r="F5098" s="9">
        <v>97</v>
      </c>
      <c r="G5098" s="9">
        <v>1062</v>
      </c>
      <c r="H5098" s="5" t="s">
        <v>21</v>
      </c>
      <c r="I5098" s="5" t="s">
        <v>11594</v>
      </c>
      <c r="J5098" s="12" t="str">
        <f>HYPERLINK("https://www.boe.es/gazeta/dias/1801/10/13/pdfs/GMD-1801-97.pdf#page=6","Abrir facsímil")</f>
        <v>Abrir facsímil</v>
      </c>
      <c r="K5098" s="15" t="s">
        <v>23</v>
      </c>
    </row>
    <row r="5099" spans="1:11" ht="42" customHeight="1">
      <c r="A5099" s="4" t="s">
        <v>11595</v>
      </c>
      <c r="B5099" s="5" t="s">
        <v>11596</v>
      </c>
      <c r="C5099" s="5" t="s">
        <v>69</v>
      </c>
      <c r="D5099" s="5" t="s">
        <v>19</v>
      </c>
      <c r="E5099" s="5" t="s">
        <v>97</v>
      </c>
      <c r="F5099" s="9">
        <v>31</v>
      </c>
      <c r="G5099" s="9">
        <v>400</v>
      </c>
      <c r="H5099" s="5" t="s">
        <v>21</v>
      </c>
      <c r="I5099" s="5" t="s">
        <v>11597</v>
      </c>
      <c r="J5099" s="12" t="str">
        <f>HYPERLINK("https://www.boe.es/gazeta/dias/1801/04/17/pdfs/GMD-1801-31.pdf#page=4","Abrir facsímil")</f>
        <v>Abrir facsímil</v>
      </c>
      <c r="K5099" s="15" t="s">
        <v>23</v>
      </c>
    </row>
    <row r="5100" spans="1:11" ht="42" customHeight="1">
      <c r="A5100" s="4" t="s">
        <v>11598</v>
      </c>
      <c r="B5100" s="5" t="s">
        <v>11599</v>
      </c>
      <c r="C5100" s="5" t="s">
        <v>69</v>
      </c>
      <c r="D5100" s="5" t="s">
        <v>19</v>
      </c>
      <c r="E5100" s="5" t="s">
        <v>764</v>
      </c>
      <c r="F5100" s="9">
        <v>80</v>
      </c>
      <c r="G5100" s="9">
        <v>898</v>
      </c>
      <c r="H5100" s="5" t="s">
        <v>21</v>
      </c>
      <c r="I5100" s="5" t="s">
        <v>11600</v>
      </c>
      <c r="J5100" s="12" t="str">
        <f>HYPERLINK("https://www.boe.es/gazeta/dias/1801/08/21/pdfs/GMD-1801-80.pdf#page=7","Abrir facsímil")</f>
        <v>Abrir facsímil</v>
      </c>
      <c r="K5100" s="15" t="s">
        <v>23</v>
      </c>
    </row>
    <row r="5101" spans="1:11" ht="42" customHeight="1">
      <c r="A5101" s="4" t="s">
        <v>11601</v>
      </c>
      <c r="B5101" s="5" t="s">
        <v>11602</v>
      </c>
      <c r="C5101" s="5" t="s">
        <v>32</v>
      </c>
      <c r="D5101" s="5" t="s">
        <v>33</v>
      </c>
      <c r="E5101" s="5" t="s">
        <v>62</v>
      </c>
      <c r="F5101" s="9">
        <v>6</v>
      </c>
      <c r="G5101" s="9">
        <v>73</v>
      </c>
      <c r="H5101" s="5" t="s">
        <v>21</v>
      </c>
      <c r="I5101" s="5" t="s">
        <v>11603</v>
      </c>
      <c r="J5101" s="12" t="str">
        <f>HYPERLINK("https://www.boe.es/gazeta/dias/1801/01/20/pdfs/GMD-1801-6.pdf#page=9","Abrir facsímil")</f>
        <v>Abrir facsímil</v>
      </c>
      <c r="K5101" s="15" t="s">
        <v>23</v>
      </c>
    </row>
    <row r="5102" spans="1:11" ht="42" customHeight="1">
      <c r="A5102" s="4" t="s">
        <v>11604</v>
      </c>
      <c r="B5102" s="5" t="s">
        <v>11605</v>
      </c>
      <c r="C5102" s="5" t="s">
        <v>32</v>
      </c>
      <c r="D5102" s="5" t="s">
        <v>33</v>
      </c>
      <c r="E5102" s="5" t="s">
        <v>48</v>
      </c>
      <c r="F5102" s="9">
        <v>20</v>
      </c>
      <c r="G5102" s="9">
        <v>265</v>
      </c>
      <c r="H5102" s="5" t="s">
        <v>21</v>
      </c>
      <c r="I5102" s="5" t="s">
        <v>11606</v>
      </c>
      <c r="J5102" s="12" t="str">
        <f>HYPERLINK("https://www.boe.es/gazeta/dias/1801/03/10/pdfs/GMD-1801-20.pdf#page=10","Abrir facsímil")</f>
        <v>Abrir facsímil</v>
      </c>
      <c r="K5102" s="15" t="s">
        <v>23</v>
      </c>
    </row>
    <row r="5103" spans="1:11" ht="42" customHeight="1">
      <c r="A5103" s="4" t="s">
        <v>11607</v>
      </c>
      <c r="B5103" s="5" t="s">
        <v>11608</v>
      </c>
      <c r="C5103" s="5" t="s">
        <v>32</v>
      </c>
      <c r="D5103" s="5" t="s">
        <v>33</v>
      </c>
      <c r="E5103" s="5" t="s">
        <v>82</v>
      </c>
      <c r="F5103" s="9">
        <v>75</v>
      </c>
      <c r="G5103" s="9">
        <v>840</v>
      </c>
      <c r="H5103" s="5" t="s">
        <v>21</v>
      </c>
      <c r="I5103" s="5" t="s">
        <v>11609</v>
      </c>
      <c r="J5103" s="12" t="str">
        <f>HYPERLINK("https://www.boe.es/gazeta/dias/1801/08/04/pdfs/GMD-1801-75.pdf#page=9","Abrir facsímil")</f>
        <v>Abrir facsímil</v>
      </c>
      <c r="K5103" s="15" t="s">
        <v>23</v>
      </c>
    </row>
    <row r="5104" spans="1:11" ht="42" customHeight="1">
      <c r="A5104" s="4" t="s">
        <v>11610</v>
      </c>
      <c r="B5104" s="5" t="s">
        <v>11611</v>
      </c>
      <c r="C5104" s="5" t="s">
        <v>18</v>
      </c>
      <c r="D5104" s="5" t="s">
        <v>19</v>
      </c>
      <c r="E5104" s="5" t="s">
        <v>702</v>
      </c>
      <c r="F5104" s="9">
        <v>69</v>
      </c>
      <c r="G5104" s="9">
        <v>764</v>
      </c>
      <c r="H5104" s="5" t="s">
        <v>21</v>
      </c>
      <c r="I5104" s="5" t="s">
        <v>11612</v>
      </c>
      <c r="J5104" s="12" t="str">
        <f>HYPERLINK("https://www.boe.es/gazeta/dias/1801/07/14/pdfs/GMD-1801-69.pdf#page=9","Abrir facsímil")</f>
        <v>Abrir facsímil</v>
      </c>
      <c r="K5104" s="15" t="s">
        <v>23</v>
      </c>
    </row>
    <row r="5105" spans="1:11" ht="42" customHeight="1">
      <c r="A5105" s="4" t="s">
        <v>11610</v>
      </c>
      <c r="B5105" s="5" t="s">
        <v>11611</v>
      </c>
      <c r="C5105" s="5" t="s">
        <v>75</v>
      </c>
      <c r="D5105" s="5" t="s">
        <v>76</v>
      </c>
      <c r="E5105" s="5" t="s">
        <v>169</v>
      </c>
      <c r="F5105" s="9">
        <v>70</v>
      </c>
      <c r="G5105" s="9">
        <v>776</v>
      </c>
      <c r="H5105" s="5" t="s">
        <v>21</v>
      </c>
      <c r="I5105" s="5" t="s">
        <v>11613</v>
      </c>
      <c r="J5105" s="12" t="str">
        <f>HYPERLINK("https://www.boe.es/gazeta/dias/1801/07/17/pdfs/GMD-1801-70.pdf#page=9","Abrir facsímil")</f>
        <v>Abrir facsímil</v>
      </c>
      <c r="K5105" s="15" t="s">
        <v>23</v>
      </c>
    </row>
    <row r="5106" spans="1:11" ht="42" customHeight="1">
      <c r="A5106" s="4" t="s">
        <v>11610</v>
      </c>
      <c r="B5106" s="5" t="s">
        <v>11611</v>
      </c>
      <c r="C5106" s="5" t="s">
        <v>18</v>
      </c>
      <c r="D5106" s="5" t="s">
        <v>19</v>
      </c>
      <c r="E5106" s="5" t="s">
        <v>215</v>
      </c>
      <c r="F5106" s="9">
        <v>71</v>
      </c>
      <c r="G5106" s="9">
        <v>788</v>
      </c>
      <c r="H5106" s="5" t="s">
        <v>21</v>
      </c>
      <c r="I5106" s="5" t="s">
        <v>11614</v>
      </c>
      <c r="J5106" s="12" t="str">
        <f>HYPERLINK("https://www.boe.es/gazeta/dias/1801/07/21/pdfs/GMD-1801-71.pdf#page=9","Abrir facsímil")</f>
        <v>Abrir facsímil</v>
      </c>
      <c r="K5106" s="15" t="s">
        <v>23</v>
      </c>
    </row>
    <row r="5107" spans="1:11" ht="42" customHeight="1">
      <c r="A5107" s="4" t="s">
        <v>11610</v>
      </c>
      <c r="B5107" s="5" t="s">
        <v>11611</v>
      </c>
      <c r="C5107" s="5" t="s">
        <v>18</v>
      </c>
      <c r="D5107" s="5" t="s">
        <v>19</v>
      </c>
      <c r="E5107" s="5" t="s">
        <v>751</v>
      </c>
      <c r="F5107" s="9">
        <v>106</v>
      </c>
      <c r="G5107" s="9">
        <v>1169</v>
      </c>
      <c r="H5107" s="5" t="s">
        <v>21</v>
      </c>
      <c r="I5107" s="5" t="s">
        <v>11615</v>
      </c>
      <c r="J5107" s="12" t="str">
        <f>HYPERLINK("https://www.boe.es/gazeta/dias/1801/11/13/pdfs/GMD-C-1801-106.pdf#page=2","Abrir facsímil")</f>
        <v>Abrir facsímil</v>
      </c>
      <c r="K5107" s="15" t="s">
        <v>23</v>
      </c>
    </row>
    <row r="5108" spans="1:11" ht="42" customHeight="1">
      <c r="A5108" s="4" t="s">
        <v>11610</v>
      </c>
      <c r="B5108" s="5" t="s">
        <v>11611</v>
      </c>
      <c r="C5108" s="5" t="s">
        <v>18</v>
      </c>
      <c r="D5108" s="5" t="s">
        <v>19</v>
      </c>
      <c r="E5108" s="5" t="s">
        <v>1939</v>
      </c>
      <c r="F5108" s="9">
        <v>107</v>
      </c>
      <c r="G5108" s="9">
        <v>1180</v>
      </c>
      <c r="H5108" s="5" t="s">
        <v>21</v>
      </c>
      <c r="I5108" s="5" t="s">
        <v>11616</v>
      </c>
      <c r="J5108" s="12" t="str">
        <f>HYPERLINK("https://www.boe.es/gazeta/dias/1801/11/17/pdfs/GMD-1801-107.pdf#page=9","Abrir facsímil")</f>
        <v>Abrir facsímil</v>
      </c>
      <c r="K5108" s="15" t="s">
        <v>23</v>
      </c>
    </row>
    <row r="5109" spans="1:11" ht="42" customHeight="1">
      <c r="A5109" s="4" t="s">
        <v>11610</v>
      </c>
      <c r="B5109" s="5" t="s">
        <v>11611</v>
      </c>
      <c r="C5109" s="5" t="s">
        <v>18</v>
      </c>
      <c r="D5109" s="5" t="s">
        <v>19</v>
      </c>
      <c r="E5109" s="5" t="s">
        <v>1058</v>
      </c>
      <c r="F5109" s="9">
        <v>108</v>
      </c>
      <c r="G5109" s="9">
        <v>1193</v>
      </c>
      <c r="H5109" s="5" t="s">
        <v>21</v>
      </c>
      <c r="I5109" s="5" t="s">
        <v>11617</v>
      </c>
      <c r="J5109" s="12" t="str">
        <f>HYPERLINK("https://www.boe.es/gazeta/dias/1801/11/20/pdfs/GMD-1801-108.pdf#page=10","Abrir facsímil")</f>
        <v>Abrir facsímil</v>
      </c>
      <c r="K5109" s="15" t="s">
        <v>23</v>
      </c>
    </row>
    <row r="5110" spans="1:11" ht="42" customHeight="1">
      <c r="A5110" s="4" t="s">
        <v>11618</v>
      </c>
      <c r="B5110" s="5" t="s">
        <v>11619</v>
      </c>
      <c r="C5110" s="5" t="s">
        <v>38</v>
      </c>
      <c r="D5110" s="5" t="s">
        <v>39</v>
      </c>
      <c r="E5110" s="5" t="s">
        <v>258</v>
      </c>
      <c r="F5110" s="9">
        <v>96</v>
      </c>
      <c r="G5110" s="9">
        <v>1054</v>
      </c>
      <c r="H5110" s="5" t="s">
        <v>21</v>
      </c>
      <c r="I5110" s="5" t="s">
        <v>11620</v>
      </c>
      <c r="J5110" s="12" t="str">
        <f>HYPERLINK("https://www.boe.es/gazeta/dias/1801/10/09/pdfs/GMD-1801-96.pdf#page=10","Abrir facsímil")</f>
        <v>Abrir facsímil</v>
      </c>
      <c r="K5110" s="15" t="s">
        <v>23</v>
      </c>
    </row>
    <row r="5111" spans="1:11" ht="42" customHeight="1">
      <c r="A5111" s="4" t="s">
        <v>11621</v>
      </c>
      <c r="B5111" s="5" t="s">
        <v>11622</v>
      </c>
      <c r="C5111" s="5" t="s">
        <v>32</v>
      </c>
      <c r="D5111" s="5" t="s">
        <v>33</v>
      </c>
      <c r="E5111" s="5" t="s">
        <v>781</v>
      </c>
      <c r="F5111" s="9">
        <v>14</v>
      </c>
      <c r="G5111" s="9">
        <v>173</v>
      </c>
      <c r="H5111" s="5" t="s">
        <v>21</v>
      </c>
      <c r="I5111" s="5" t="s">
        <v>11623</v>
      </c>
      <c r="J5111" s="12" t="str">
        <f>HYPERLINK("https://www.boe.es/gazeta/dias/1801/02/17/pdfs/GMD-1801-14.pdf#page=8","Abrir facsímil")</f>
        <v>Abrir facsímil</v>
      </c>
      <c r="K5111" s="15" t="s">
        <v>23</v>
      </c>
    </row>
    <row r="5112" spans="1:11" ht="42" customHeight="1">
      <c r="A5112" s="4" t="s">
        <v>11624</v>
      </c>
      <c r="B5112" s="5" t="s">
        <v>11625</v>
      </c>
      <c r="C5112" s="5" t="s">
        <v>69</v>
      </c>
      <c r="D5112" s="5" t="s">
        <v>19</v>
      </c>
      <c r="E5112" s="5" t="s">
        <v>262</v>
      </c>
      <c r="F5112" s="9">
        <v>109</v>
      </c>
      <c r="G5112" s="9">
        <v>1204</v>
      </c>
      <c r="H5112" s="5" t="s">
        <v>21</v>
      </c>
      <c r="I5112" s="5" t="s">
        <v>11626</v>
      </c>
      <c r="J5112" s="12" t="str">
        <f>HYPERLINK("https://www.boe.es/gazeta/dias/1801/11/24/pdfs/GMD-1801-109.pdf#page=9","Abrir facsímil")</f>
        <v>Abrir facsímil</v>
      </c>
      <c r="K5112" s="15" t="s">
        <v>23</v>
      </c>
    </row>
    <row r="5113" spans="1:11" ht="42" customHeight="1">
      <c r="A5113" s="4" t="s">
        <v>11627</v>
      </c>
      <c r="B5113" s="5" t="s">
        <v>11628</v>
      </c>
      <c r="C5113" s="5" t="s">
        <v>38</v>
      </c>
      <c r="D5113" s="5" t="s">
        <v>39</v>
      </c>
      <c r="E5113" s="5" t="s">
        <v>640</v>
      </c>
      <c r="F5113" s="9">
        <v>81</v>
      </c>
      <c r="G5113" s="9">
        <v>910</v>
      </c>
      <c r="H5113" s="5" t="s">
        <v>21</v>
      </c>
      <c r="I5113" s="5" t="s">
        <v>11629</v>
      </c>
      <c r="J5113" s="12" t="str">
        <f>HYPERLINK("https://www.boe.es/gazeta/dias/1801/08/25/pdfs/GMD-1801-81.pdf#page=7","Abrir facsímil")</f>
        <v>Abrir facsímil</v>
      </c>
      <c r="K5113" s="15" t="s">
        <v>23</v>
      </c>
    </row>
    <row r="5114" spans="1:11" ht="42" customHeight="1">
      <c r="A5114" s="4" t="s">
        <v>11630</v>
      </c>
      <c r="B5114" s="5" t="s">
        <v>11631</v>
      </c>
      <c r="C5114" s="5" t="s">
        <v>69</v>
      </c>
      <c r="D5114" s="5" t="s">
        <v>19</v>
      </c>
      <c r="E5114" s="5" t="s">
        <v>44</v>
      </c>
      <c r="F5114" s="9">
        <v>117</v>
      </c>
      <c r="G5114" s="9">
        <v>1284</v>
      </c>
      <c r="H5114" s="5" t="s">
        <v>21</v>
      </c>
      <c r="I5114" s="5" t="s">
        <v>11632</v>
      </c>
      <c r="J5114" s="12" t="str">
        <f>HYPERLINK("https://www.boe.es/gazeta/dias/1801/12/22/pdfs/GMD-1801-117.pdf#page=11","Abrir facsímil")</f>
        <v>Abrir facsímil</v>
      </c>
      <c r="K5114" s="15" t="s">
        <v>23</v>
      </c>
    </row>
    <row r="5115" spans="1:11" ht="42" customHeight="1">
      <c r="A5115" s="4" t="s">
        <v>11633</v>
      </c>
      <c r="B5115" s="5" t="s">
        <v>11634</v>
      </c>
      <c r="C5115" s="5" t="s">
        <v>26</v>
      </c>
      <c r="D5115" s="5" t="s">
        <v>27</v>
      </c>
      <c r="E5115" s="5" t="s">
        <v>453</v>
      </c>
      <c r="F5115" s="9">
        <v>100</v>
      </c>
      <c r="G5115" s="9">
        <v>1103</v>
      </c>
      <c r="H5115" s="5" t="s">
        <v>21</v>
      </c>
      <c r="I5115" s="5" t="s">
        <v>11635</v>
      </c>
      <c r="J5115" s="12" t="str">
        <f>HYPERLINK("https://www.boe.es/gazeta/dias/1801/10/23/pdfs/GMD-1801-100.pdf#page=12","Abrir facsímil")</f>
        <v>Abrir facsímil</v>
      </c>
      <c r="K5115" s="15" t="s">
        <v>23</v>
      </c>
    </row>
    <row r="5116" spans="1:11" ht="42" customHeight="1">
      <c r="A5116" s="4" t="s">
        <v>11636</v>
      </c>
      <c r="B5116" s="5" t="s">
        <v>11637</v>
      </c>
      <c r="C5116" s="5" t="s">
        <v>75</v>
      </c>
      <c r="D5116" s="5" t="s">
        <v>76</v>
      </c>
      <c r="E5116" s="5" t="s">
        <v>321</v>
      </c>
      <c r="F5116" s="9">
        <v>3</v>
      </c>
      <c r="G5116" s="9">
        <v>32</v>
      </c>
      <c r="H5116" s="5" t="s">
        <v>21</v>
      </c>
      <c r="I5116" s="5" t="s">
        <v>11638</v>
      </c>
      <c r="J5116" s="12" t="str">
        <f>HYPERLINK("https://www.boe.es/gazeta/dias/1801/01/09/pdfs/GMD-1801-3.pdf#page=8","Abrir facsímil")</f>
        <v>Abrir facsímil</v>
      </c>
      <c r="K5116" s="15" t="s">
        <v>23</v>
      </c>
    </row>
    <row r="5117" spans="1:11" ht="42" customHeight="1">
      <c r="A5117" s="4" t="s">
        <v>11639</v>
      </c>
      <c r="B5117" s="5" t="s">
        <v>11640</v>
      </c>
      <c r="C5117" s="5" t="s">
        <v>18</v>
      </c>
      <c r="D5117" s="5" t="s">
        <v>19</v>
      </c>
      <c r="E5117" s="5" t="s">
        <v>215</v>
      </c>
      <c r="F5117" s="9">
        <v>71</v>
      </c>
      <c r="G5117" s="9">
        <v>787</v>
      </c>
      <c r="H5117" s="5" t="s">
        <v>21</v>
      </c>
      <c r="I5117" s="5" t="s">
        <v>11641</v>
      </c>
      <c r="J5117" s="12" t="str">
        <f>HYPERLINK("https://www.boe.es/gazeta/dias/1801/07/21/pdfs/GMD-1801-71.pdf#page=8","Abrir facsímil")</f>
        <v>Abrir facsímil</v>
      </c>
      <c r="K5117" s="15" t="s">
        <v>23</v>
      </c>
    </row>
    <row r="5118" spans="1:11" ht="42" customHeight="1">
      <c r="A5118" s="4" t="s">
        <v>11642</v>
      </c>
      <c r="B5118" s="5" t="s">
        <v>11643</v>
      </c>
      <c r="C5118" s="5" t="s">
        <v>32</v>
      </c>
      <c r="D5118" s="5" t="s">
        <v>33</v>
      </c>
      <c r="E5118" s="5" t="s">
        <v>313</v>
      </c>
      <c r="F5118" s="9">
        <v>39</v>
      </c>
      <c r="G5118" s="9">
        <v>505</v>
      </c>
      <c r="H5118" s="5" t="s">
        <v>21</v>
      </c>
      <c r="I5118" s="5" t="s">
        <v>11644</v>
      </c>
      <c r="J5118" s="12" t="str">
        <f>HYPERLINK("https://www.boe.es/gazeta/dias/1801/05/15/pdfs/GMD-1801-39.pdf#page=9","Abrir facsímil")</f>
        <v>Abrir facsímil</v>
      </c>
      <c r="K5118" s="15" t="s">
        <v>23</v>
      </c>
    </row>
    <row r="5119" spans="1:11" ht="42" customHeight="1">
      <c r="A5119" s="4" t="s">
        <v>11645</v>
      </c>
      <c r="B5119" s="5" t="s">
        <v>11646</v>
      </c>
      <c r="C5119" s="5" t="s">
        <v>18</v>
      </c>
      <c r="D5119" s="5" t="s">
        <v>19</v>
      </c>
      <c r="E5119" s="5" t="s">
        <v>44</v>
      </c>
      <c r="F5119" s="9">
        <v>117</v>
      </c>
      <c r="G5119" s="9">
        <v>1280</v>
      </c>
      <c r="H5119" s="5" t="s">
        <v>21</v>
      </c>
      <c r="I5119" s="5" t="s">
        <v>11647</v>
      </c>
      <c r="J5119" s="12" t="str">
        <f>HYPERLINK("https://www.boe.es/gazeta/dias/1801/12/22/pdfs/GMD-1801-117.pdf#page=7","Abrir facsímil")</f>
        <v>Abrir facsímil</v>
      </c>
      <c r="K5119" s="15" t="s">
        <v>23</v>
      </c>
    </row>
    <row r="5120" spans="1:11" ht="42" customHeight="1">
      <c r="A5120" s="4" t="s">
        <v>11648</v>
      </c>
      <c r="B5120" s="5" t="s">
        <v>11649</v>
      </c>
      <c r="C5120" s="5" t="s">
        <v>32</v>
      </c>
      <c r="D5120" s="5" t="s">
        <v>33</v>
      </c>
      <c r="E5120" s="5" t="s">
        <v>317</v>
      </c>
      <c r="F5120" s="9">
        <v>102</v>
      </c>
      <c r="G5120" s="9">
        <v>1121</v>
      </c>
      <c r="H5120" s="5" t="s">
        <v>21</v>
      </c>
      <c r="I5120" s="5" t="s">
        <v>11650</v>
      </c>
      <c r="J5120" s="12" t="str">
        <f>HYPERLINK("https://www.boe.es/gazeta/dias/1801/10/30/pdfs/GMD-1801-102.pdf#page=6","Abrir facsímil")</f>
        <v>Abrir facsímil</v>
      </c>
      <c r="K5120" s="15" t="s">
        <v>23</v>
      </c>
    </row>
    <row r="5121" spans="1:11" ht="42" customHeight="1">
      <c r="A5121" s="4" t="s">
        <v>11651</v>
      </c>
      <c r="B5121" s="5" t="s">
        <v>11652</v>
      </c>
      <c r="C5121" s="5" t="s">
        <v>75</v>
      </c>
      <c r="D5121" s="5" t="s">
        <v>76</v>
      </c>
      <c r="E5121" s="5" t="s">
        <v>712</v>
      </c>
      <c r="F5121" s="9">
        <v>105</v>
      </c>
      <c r="G5121" s="9">
        <v>1154</v>
      </c>
      <c r="H5121" s="5" t="s">
        <v>21</v>
      </c>
      <c r="I5121" s="5" t="s">
        <v>11653</v>
      </c>
      <c r="J5121" s="12" t="str">
        <f>HYPERLINK("https://www.boe.es/gazeta/dias/1801/11/10/pdfs/GMD-1801-105.pdf#page=7","Abrir facsímil")</f>
        <v>Abrir facsímil</v>
      </c>
      <c r="K5121" s="15" t="s">
        <v>23</v>
      </c>
    </row>
    <row r="5122" spans="1:11" ht="42" customHeight="1">
      <c r="A5122" s="4" t="s">
        <v>11654</v>
      </c>
      <c r="B5122" s="5" t="s">
        <v>11655</v>
      </c>
      <c r="C5122" s="5" t="s">
        <v>32</v>
      </c>
      <c r="D5122" s="5" t="s">
        <v>33</v>
      </c>
      <c r="E5122" s="5" t="s">
        <v>70</v>
      </c>
      <c r="F5122" s="9">
        <v>2</v>
      </c>
      <c r="G5122" s="9">
        <v>21</v>
      </c>
      <c r="H5122" s="5" t="s">
        <v>21</v>
      </c>
      <c r="I5122" s="5" t="s">
        <v>11656</v>
      </c>
      <c r="J5122" s="12" t="str">
        <f>HYPERLINK("https://www.boe.es/gazeta/dias/1801/01/06/pdfs/GMD-1801-2.pdf#page=9","Abrir facsímil")</f>
        <v>Abrir facsímil</v>
      </c>
      <c r="K5122" s="15" t="s">
        <v>23</v>
      </c>
    </row>
    <row r="5123" spans="1:11" ht="42" customHeight="1">
      <c r="A5123" s="4" t="s">
        <v>11657</v>
      </c>
      <c r="B5123" s="5" t="s">
        <v>11658</v>
      </c>
      <c r="C5123" s="5" t="s">
        <v>18</v>
      </c>
      <c r="D5123" s="5" t="s">
        <v>19</v>
      </c>
      <c r="E5123" s="5" t="s">
        <v>275</v>
      </c>
      <c r="F5123" s="9">
        <v>9</v>
      </c>
      <c r="G5123" s="9">
        <v>113</v>
      </c>
      <c r="H5123" s="5" t="s">
        <v>21</v>
      </c>
      <c r="I5123" s="5" t="s">
        <v>11659</v>
      </c>
      <c r="J5123" s="12" t="str">
        <f>HYPERLINK("https://www.boe.es/gazeta/dias/1801/01/30/pdfs/GMD-1801-9.pdf#page=10","Abrir facsímil")</f>
        <v>Abrir facsímil</v>
      </c>
      <c r="K5123" s="15" t="s">
        <v>23</v>
      </c>
    </row>
    <row r="5124" spans="1:11" ht="42" customHeight="1">
      <c r="A5124" s="4" t="s">
        <v>11660</v>
      </c>
      <c r="B5124" s="5" t="s">
        <v>11661</v>
      </c>
      <c r="C5124" s="5" t="s">
        <v>32</v>
      </c>
      <c r="D5124" s="5" t="s">
        <v>33</v>
      </c>
      <c r="E5124" s="5" t="s">
        <v>712</v>
      </c>
      <c r="F5124" s="9">
        <v>105</v>
      </c>
      <c r="G5124" s="9">
        <v>1155</v>
      </c>
      <c r="H5124" s="5" t="s">
        <v>21</v>
      </c>
      <c r="I5124" s="5" t="s">
        <v>11662</v>
      </c>
      <c r="J5124" s="12" t="str">
        <f>HYPERLINK("https://www.boe.es/gazeta/dias/1801/11/10/pdfs/GMD-1801-105.pdf#page=8","Abrir facsímil")</f>
        <v>Abrir facsímil</v>
      </c>
      <c r="K5124" s="15" t="s">
        <v>23</v>
      </c>
    </row>
    <row r="5125" spans="1:11" ht="42" customHeight="1">
      <c r="A5125" s="4" t="s">
        <v>11663</v>
      </c>
      <c r="B5125" s="5" t="s">
        <v>11664</v>
      </c>
      <c r="C5125" s="5" t="s">
        <v>75</v>
      </c>
      <c r="D5125" s="5" t="s">
        <v>76</v>
      </c>
      <c r="E5125" s="5" t="s">
        <v>70</v>
      </c>
      <c r="F5125" s="9">
        <v>2</v>
      </c>
      <c r="G5125" s="9">
        <v>20</v>
      </c>
      <c r="H5125" s="5" t="s">
        <v>21</v>
      </c>
      <c r="I5125" s="5" t="s">
        <v>11665</v>
      </c>
      <c r="J5125" s="12" t="str">
        <f>HYPERLINK("https://www.boe.es/gazeta/dias/1801/01/06/pdfs/GMD-1801-2.pdf#page=8","Abrir facsímil")</f>
        <v>Abrir facsímil</v>
      </c>
      <c r="K5125" s="15" t="s">
        <v>23</v>
      </c>
    </row>
    <row r="5126" spans="1:11" ht="42" customHeight="1">
      <c r="A5126" s="4" t="s">
        <v>11666</v>
      </c>
      <c r="B5126" s="5" t="s">
        <v>11667</v>
      </c>
      <c r="C5126" s="5" t="s">
        <v>18</v>
      </c>
      <c r="D5126" s="5" t="s">
        <v>19</v>
      </c>
      <c r="E5126" s="5" t="s">
        <v>417</v>
      </c>
      <c r="F5126" s="9">
        <v>64</v>
      </c>
      <c r="G5126" s="9">
        <v>730</v>
      </c>
      <c r="H5126" s="5" t="s">
        <v>21</v>
      </c>
      <c r="I5126" s="5" t="s">
        <v>11668</v>
      </c>
      <c r="J5126" s="12" t="str">
        <f>HYPERLINK("https://www.boe.es/gazeta/dias/1801/07/07/pdfs/GMD-1801-64.pdf#page=11","Abrir facsímil")</f>
        <v>Abrir facsímil</v>
      </c>
      <c r="K5126" s="15" t="s">
        <v>23</v>
      </c>
    </row>
    <row r="5127" spans="1:11" ht="42" customHeight="1">
      <c r="A5127" s="4" t="s">
        <v>11669</v>
      </c>
      <c r="B5127" s="5" t="s">
        <v>11670</v>
      </c>
      <c r="C5127" s="5" t="s">
        <v>32</v>
      </c>
      <c r="D5127" s="5" t="s">
        <v>33</v>
      </c>
      <c r="E5127" s="5" t="s">
        <v>155</v>
      </c>
      <c r="F5127" s="9">
        <v>50</v>
      </c>
      <c r="G5127" s="9">
        <v>597</v>
      </c>
      <c r="H5127" s="5" t="s">
        <v>21</v>
      </c>
      <c r="I5127" s="5" t="s">
        <v>11671</v>
      </c>
      <c r="J5127" s="12" t="str">
        <f>HYPERLINK("https://www.boe.es/gazeta/dias/1801/06/09/pdfs/GMD-1801-50.pdf#page=9","Abrir facsímil")</f>
        <v>Abrir facsímil</v>
      </c>
      <c r="K5127" s="15" t="s">
        <v>23</v>
      </c>
    </row>
    <row r="5128" spans="1:11" ht="42" customHeight="1">
      <c r="A5128" s="4" t="s">
        <v>11672</v>
      </c>
      <c r="B5128" s="5" t="s">
        <v>11673</v>
      </c>
      <c r="C5128" s="5" t="s">
        <v>32</v>
      </c>
      <c r="D5128" s="5" t="s">
        <v>33</v>
      </c>
      <c r="E5128" s="5" t="s">
        <v>99</v>
      </c>
      <c r="F5128" s="9">
        <v>32</v>
      </c>
      <c r="G5128" s="9">
        <v>413</v>
      </c>
      <c r="H5128" s="5" t="s">
        <v>21</v>
      </c>
      <c r="I5128" s="5" t="s">
        <v>11674</v>
      </c>
      <c r="J5128" s="12" t="str">
        <f>HYPERLINK("https://www.boe.es/gazeta/dias/1801/04/21/pdfs/GMD-1801-32.pdf#page=9","Abrir facsímil")</f>
        <v>Abrir facsímil</v>
      </c>
      <c r="K5128" s="15" t="s">
        <v>23</v>
      </c>
    </row>
    <row r="5129" spans="1:11" ht="42" customHeight="1">
      <c r="A5129" s="4" t="s">
        <v>11675</v>
      </c>
      <c r="B5129" s="5" t="s">
        <v>11676</v>
      </c>
      <c r="C5129" s="5" t="s">
        <v>32</v>
      </c>
      <c r="D5129" s="5" t="s">
        <v>33</v>
      </c>
      <c r="E5129" s="5" t="s">
        <v>122</v>
      </c>
      <c r="F5129" s="9">
        <v>8</v>
      </c>
      <c r="G5129" s="9">
        <v>97</v>
      </c>
      <c r="H5129" s="5" t="s">
        <v>21</v>
      </c>
      <c r="I5129" s="5" t="s">
        <v>11677</v>
      </c>
      <c r="J5129" s="12" t="str">
        <f>HYPERLINK("https://www.boe.es/gazeta/dias/1801/01/27/pdfs/GMD-1801-8.pdf#page=9","Abrir facsímil")</f>
        <v>Abrir facsímil</v>
      </c>
      <c r="K5129" s="15" t="s">
        <v>23</v>
      </c>
    </row>
    <row r="5130" spans="1:11" ht="42" customHeight="1">
      <c r="A5130" s="4" t="s">
        <v>11678</v>
      </c>
      <c r="B5130" s="5" t="s">
        <v>11679</v>
      </c>
      <c r="C5130" s="5" t="s">
        <v>69</v>
      </c>
      <c r="D5130" s="5" t="s">
        <v>19</v>
      </c>
      <c r="E5130" s="5" t="s">
        <v>128</v>
      </c>
      <c r="F5130" s="9">
        <v>17</v>
      </c>
      <c r="G5130" s="9">
        <v>215</v>
      </c>
      <c r="H5130" s="5" t="s">
        <v>21</v>
      </c>
      <c r="I5130" s="5" t="s">
        <v>11680</v>
      </c>
      <c r="J5130" s="12" t="str">
        <f>HYPERLINK("https://www.boe.es/gazeta/dias/1801/02/27/pdfs/GMD-1801-17.pdf#page=10","Abrir facsímil")</f>
        <v>Abrir facsímil</v>
      </c>
      <c r="K5130" s="15" t="s">
        <v>23</v>
      </c>
    </row>
    <row r="5131" spans="1:11" ht="42" customHeight="1">
      <c r="A5131" s="4" t="s">
        <v>11681</v>
      </c>
      <c r="B5131" s="5" t="s">
        <v>11682</v>
      </c>
      <c r="C5131" s="5" t="s">
        <v>69</v>
      </c>
      <c r="D5131" s="5" t="s">
        <v>19</v>
      </c>
      <c r="E5131" s="5" t="s">
        <v>105</v>
      </c>
      <c r="F5131" s="9">
        <v>44</v>
      </c>
      <c r="G5131" s="9">
        <v>548</v>
      </c>
      <c r="H5131" s="5" t="s">
        <v>21</v>
      </c>
      <c r="I5131" s="5" t="s">
        <v>11683</v>
      </c>
      <c r="J5131" s="12" t="str">
        <f>HYPERLINK("https://www.boe.es/gazeta/dias/1801/05/29/pdfs/GMD-1801-44.pdf#page=8","Abrir facsímil")</f>
        <v>Abrir facsímil</v>
      </c>
      <c r="K5131" s="15" t="s">
        <v>23</v>
      </c>
    </row>
    <row r="5132" spans="1:11" ht="42" customHeight="1">
      <c r="A5132" s="4" t="s">
        <v>11684</v>
      </c>
      <c r="B5132" s="5" t="s">
        <v>11685</v>
      </c>
      <c r="C5132" s="5" t="s">
        <v>32</v>
      </c>
      <c r="D5132" s="5" t="s">
        <v>33</v>
      </c>
      <c r="E5132" s="5" t="s">
        <v>82</v>
      </c>
      <c r="F5132" s="9">
        <v>75</v>
      </c>
      <c r="G5132" s="9">
        <v>840</v>
      </c>
      <c r="H5132" s="5" t="s">
        <v>21</v>
      </c>
      <c r="I5132" s="5" t="s">
        <v>11686</v>
      </c>
      <c r="J5132" s="12" t="str">
        <f>HYPERLINK("https://www.boe.es/gazeta/dias/1801/08/04/pdfs/GMD-1801-75.pdf#page=9","Abrir facsímil")</f>
        <v>Abrir facsímil</v>
      </c>
      <c r="K5132" s="15" t="s">
        <v>23</v>
      </c>
    </row>
    <row r="5133" spans="1:11" ht="42" customHeight="1">
      <c r="A5133" s="4" t="s">
        <v>11687</v>
      </c>
      <c r="B5133" s="5" t="s">
        <v>11688</v>
      </c>
      <c r="C5133" s="5" t="s">
        <v>38</v>
      </c>
      <c r="D5133" s="5" t="s">
        <v>39</v>
      </c>
      <c r="E5133" s="5" t="s">
        <v>122</v>
      </c>
      <c r="F5133" s="9">
        <v>8</v>
      </c>
      <c r="G5133" s="9">
        <v>99</v>
      </c>
      <c r="H5133" s="5" t="s">
        <v>21</v>
      </c>
      <c r="I5133" s="5" t="s">
        <v>11689</v>
      </c>
      <c r="J5133" s="12" t="str">
        <f>HYPERLINK("https://www.boe.es/gazeta/dias/1801/01/27/pdfs/GMD-1801-8.pdf#page=11","Abrir facsímil")</f>
        <v>Abrir facsímil</v>
      </c>
      <c r="K5133" s="15" t="s">
        <v>23</v>
      </c>
    </row>
    <row r="5134" spans="1:11" ht="42" customHeight="1">
      <c r="A5134" s="4" t="s">
        <v>11690</v>
      </c>
      <c r="B5134" s="5" t="s">
        <v>11691</v>
      </c>
      <c r="C5134" s="5" t="s">
        <v>18</v>
      </c>
      <c r="D5134" s="5" t="s">
        <v>19</v>
      </c>
      <c r="E5134" s="5" t="s">
        <v>143</v>
      </c>
      <c r="F5134" s="9">
        <v>34</v>
      </c>
      <c r="G5134" s="9">
        <v>440</v>
      </c>
      <c r="H5134" s="5" t="s">
        <v>21</v>
      </c>
      <c r="I5134" s="5" t="s">
        <v>11692</v>
      </c>
      <c r="J5134" s="12" t="str">
        <f>HYPERLINK("https://www.boe.es/gazeta/dias/1801/04/28/pdfs/GMD-1801-34.pdf#page=12","Abrir facsímil")</f>
        <v>Abrir facsímil</v>
      </c>
      <c r="K5134" s="15" t="s">
        <v>23</v>
      </c>
    </row>
    <row r="5135" spans="1:11" ht="42" customHeight="1">
      <c r="A5135" s="4" t="s">
        <v>11693</v>
      </c>
      <c r="B5135" s="5" t="s">
        <v>11694</v>
      </c>
      <c r="C5135" s="5" t="s">
        <v>38</v>
      </c>
      <c r="D5135" s="5" t="s">
        <v>39</v>
      </c>
      <c r="E5135" s="5" t="s">
        <v>223</v>
      </c>
      <c r="F5135" s="9">
        <v>74</v>
      </c>
      <c r="G5135" s="9">
        <v>828</v>
      </c>
      <c r="H5135" s="5" t="s">
        <v>21</v>
      </c>
      <c r="I5135" s="5" t="s">
        <v>11695</v>
      </c>
      <c r="J5135" s="12" t="str">
        <f>HYPERLINK("https://www.boe.es/gazeta/dias/1801/07/31/pdfs/GMD-1801-74.pdf#page=9","Abrir facsímil")</f>
        <v>Abrir facsímil</v>
      </c>
      <c r="K5135" s="15" t="s">
        <v>23</v>
      </c>
    </row>
    <row r="5136" spans="1:11" ht="42" customHeight="1">
      <c r="A5136" s="4" t="s">
        <v>11696</v>
      </c>
      <c r="B5136" s="5" t="s">
        <v>11697</v>
      </c>
      <c r="C5136" s="5" t="s">
        <v>32</v>
      </c>
      <c r="D5136" s="5" t="s">
        <v>33</v>
      </c>
      <c r="E5136" s="5" t="s">
        <v>640</v>
      </c>
      <c r="F5136" s="9">
        <v>81</v>
      </c>
      <c r="G5136" s="9">
        <v>910</v>
      </c>
      <c r="H5136" s="5" t="s">
        <v>21</v>
      </c>
      <c r="I5136" s="5" t="s">
        <v>11698</v>
      </c>
      <c r="J5136" s="12" t="str">
        <f>HYPERLINK("https://www.boe.es/gazeta/dias/1801/08/25/pdfs/GMD-1801-81.pdf#page=7","Abrir facsímil")</f>
        <v>Abrir facsímil</v>
      </c>
      <c r="K5136" s="15" t="s">
        <v>23</v>
      </c>
    </row>
    <row r="5137" spans="1:11" ht="42" customHeight="1">
      <c r="A5137" s="4" t="s">
        <v>11699</v>
      </c>
      <c r="B5137" s="5" t="s">
        <v>11700</v>
      </c>
      <c r="C5137" s="5" t="s">
        <v>32</v>
      </c>
      <c r="D5137" s="5" t="s">
        <v>33</v>
      </c>
      <c r="E5137" s="5" t="s">
        <v>48</v>
      </c>
      <c r="F5137" s="9">
        <v>20</v>
      </c>
      <c r="G5137" s="9">
        <v>265</v>
      </c>
      <c r="H5137" s="5" t="s">
        <v>21</v>
      </c>
      <c r="I5137" s="5" t="s">
        <v>11701</v>
      </c>
      <c r="J5137" s="12" t="str">
        <f>HYPERLINK("https://www.boe.es/gazeta/dias/1801/03/10/pdfs/GMD-1801-20.pdf#page=10","Abrir facsímil")</f>
        <v>Abrir facsímil</v>
      </c>
      <c r="K5137" s="15" t="s">
        <v>23</v>
      </c>
    </row>
    <row r="5138" spans="1:11" ht="42" customHeight="1">
      <c r="A5138" s="4" t="s">
        <v>11699</v>
      </c>
      <c r="B5138" s="5" t="s">
        <v>11700</v>
      </c>
      <c r="C5138" s="5" t="s">
        <v>38</v>
      </c>
      <c r="D5138" s="5" t="s">
        <v>39</v>
      </c>
      <c r="E5138" s="5" t="s">
        <v>292</v>
      </c>
      <c r="F5138" s="9">
        <v>25</v>
      </c>
      <c r="G5138" s="9">
        <v>331</v>
      </c>
      <c r="H5138" s="5" t="s">
        <v>21</v>
      </c>
      <c r="I5138" s="5" t="s">
        <v>11702</v>
      </c>
      <c r="J5138" s="12" t="str">
        <f>HYPERLINK("https://www.boe.es/gazeta/dias/1801/03/27/pdfs/GMD-1801-25.pdf#page=10","Abrir facsímil")</f>
        <v>Abrir facsímil</v>
      </c>
      <c r="K5138" s="15" t="s">
        <v>23</v>
      </c>
    </row>
    <row r="5139" spans="1:11" ht="42" customHeight="1">
      <c r="A5139" s="4" t="s">
        <v>11703</v>
      </c>
      <c r="B5139" s="5" t="s">
        <v>11704</v>
      </c>
      <c r="C5139" s="5" t="s">
        <v>18</v>
      </c>
      <c r="D5139" s="5" t="s">
        <v>19</v>
      </c>
      <c r="E5139" s="5" t="s">
        <v>275</v>
      </c>
      <c r="F5139" s="9">
        <v>9</v>
      </c>
      <c r="G5139" s="9">
        <v>114</v>
      </c>
      <c r="H5139" s="5" t="s">
        <v>21</v>
      </c>
      <c r="I5139" s="5" t="s">
        <v>11705</v>
      </c>
      <c r="J5139" s="12" t="str">
        <f>HYPERLINK("https://www.boe.es/gazeta/dias/1801/01/30/pdfs/GMD-1801-9.pdf#page=11","Abrir facsímil")</f>
        <v>Abrir facsímil</v>
      </c>
      <c r="K5139" s="15" t="s">
        <v>23</v>
      </c>
    </row>
    <row r="5140" spans="1:11" ht="42" customHeight="1">
      <c r="A5140" s="4" t="s">
        <v>11703</v>
      </c>
      <c r="B5140" s="5" t="s">
        <v>11704</v>
      </c>
      <c r="C5140" s="5" t="s">
        <v>80</v>
      </c>
      <c r="D5140" s="5" t="s">
        <v>81</v>
      </c>
      <c r="E5140" s="5" t="s">
        <v>289</v>
      </c>
      <c r="F5140" s="9">
        <v>40</v>
      </c>
      <c r="G5140" s="9" t="s">
        <v>668</v>
      </c>
      <c r="H5140" s="5" t="s">
        <v>21</v>
      </c>
      <c r="I5140" s="5" t="s">
        <v>11706</v>
      </c>
      <c r="J5140" s="12" t="str">
        <f>HYPERLINK("https://www.boe.es/gazeta/dias/1801/05/19/pdfs/GMD-C-1801-40.pdf#page=1","Abrir facsímil")</f>
        <v>Abrir facsímil</v>
      </c>
      <c r="K5140" s="15" t="s">
        <v>23</v>
      </c>
    </row>
    <row r="5141" spans="1:11" ht="42" customHeight="1">
      <c r="A5141" s="4" t="s">
        <v>11707</v>
      </c>
      <c r="B5141" s="5" t="s">
        <v>11708</v>
      </c>
      <c r="C5141" s="5" t="s">
        <v>32</v>
      </c>
      <c r="D5141" s="5" t="s">
        <v>33</v>
      </c>
      <c r="E5141" s="5" t="s">
        <v>90</v>
      </c>
      <c r="F5141" s="9">
        <v>1</v>
      </c>
      <c r="G5141" s="9">
        <v>9</v>
      </c>
      <c r="H5141" s="5" t="s">
        <v>21</v>
      </c>
      <c r="I5141" s="5" t="s">
        <v>11709</v>
      </c>
      <c r="J5141" s="12" t="str">
        <f>HYPERLINK("https://www.boe.es/gazeta/dias/1801/01/02/pdfs/GMD-1801-1.pdf#page=9","Abrir facsímil")</f>
        <v>Abrir facsímil</v>
      </c>
      <c r="K5141" s="15" t="s">
        <v>23</v>
      </c>
    </row>
    <row r="5142" spans="1:11" ht="42" customHeight="1">
      <c r="A5142" s="4" t="s">
        <v>11710</v>
      </c>
      <c r="B5142" s="5" t="s">
        <v>11711</v>
      </c>
      <c r="C5142" s="5" t="s">
        <v>26</v>
      </c>
      <c r="D5142" s="5" t="s">
        <v>27</v>
      </c>
      <c r="E5142" s="5" t="s">
        <v>888</v>
      </c>
      <c r="F5142" s="9">
        <v>103</v>
      </c>
      <c r="G5142" s="9">
        <v>1136</v>
      </c>
      <c r="H5142" s="5" t="s">
        <v>21</v>
      </c>
      <c r="I5142" s="5" t="s">
        <v>11712</v>
      </c>
      <c r="J5142" s="12" t="str">
        <f>HYPERLINK("https://www.boe.es/gazeta/dias/1801/11/03/pdfs/GMD-1801-103.pdf#page=9","Abrir facsímil")</f>
        <v>Abrir facsímil</v>
      </c>
      <c r="K5142" s="15" t="s">
        <v>23</v>
      </c>
    </row>
    <row r="5143" spans="1:11" ht="42" customHeight="1">
      <c r="A5143" s="4" t="s">
        <v>11713</v>
      </c>
      <c r="B5143" s="5" t="s">
        <v>11714</v>
      </c>
      <c r="C5143" s="5" t="s">
        <v>38</v>
      </c>
      <c r="D5143" s="5" t="s">
        <v>39</v>
      </c>
      <c r="E5143" s="5" t="s">
        <v>90</v>
      </c>
      <c r="F5143" s="9">
        <v>1</v>
      </c>
      <c r="G5143" s="9">
        <v>12</v>
      </c>
      <c r="H5143" s="5" t="s">
        <v>21</v>
      </c>
      <c r="I5143" s="5" t="s">
        <v>11715</v>
      </c>
      <c r="J5143" s="12" t="str">
        <f>HYPERLINK("https://www.boe.es/gazeta/dias/1801/01/02/pdfs/GMD-1801-1.pdf#page=12","Abrir facsímil")</f>
        <v>Abrir facsímil</v>
      </c>
      <c r="K5143" s="15" t="s">
        <v>23</v>
      </c>
    </row>
    <row r="5144" spans="1:11" ht="42" customHeight="1">
      <c r="A5144" s="4" t="s">
        <v>11716</v>
      </c>
      <c r="B5144" s="5" t="s">
        <v>11717</v>
      </c>
      <c r="C5144" s="5" t="s">
        <v>18</v>
      </c>
      <c r="D5144" s="5" t="s">
        <v>19</v>
      </c>
      <c r="E5144" s="5" t="s">
        <v>122</v>
      </c>
      <c r="F5144" s="9">
        <v>8</v>
      </c>
      <c r="G5144" s="9">
        <v>99</v>
      </c>
      <c r="H5144" s="5" t="s">
        <v>21</v>
      </c>
      <c r="I5144" s="5" t="s">
        <v>11718</v>
      </c>
      <c r="J5144" s="12" t="str">
        <f>HYPERLINK("https://www.boe.es/gazeta/dias/1801/01/27/pdfs/GMD-1801-8.pdf#page=11","Abrir facsímil")</f>
        <v>Abrir facsímil</v>
      </c>
      <c r="K5144" s="15" t="s">
        <v>23</v>
      </c>
    </row>
    <row r="5145" spans="1:11" ht="42" customHeight="1">
      <c r="A5145" s="4" t="s">
        <v>11716</v>
      </c>
      <c r="B5145" s="5" t="s">
        <v>11717</v>
      </c>
      <c r="C5145" s="5" t="s">
        <v>80</v>
      </c>
      <c r="D5145" s="5" t="s">
        <v>81</v>
      </c>
      <c r="E5145" s="5" t="s">
        <v>289</v>
      </c>
      <c r="F5145" s="9">
        <v>40</v>
      </c>
      <c r="G5145" s="9" t="s">
        <v>83</v>
      </c>
      <c r="H5145" s="5" t="s">
        <v>21</v>
      </c>
      <c r="I5145" s="5" t="s">
        <v>11719</v>
      </c>
      <c r="J5145" s="12" t="str">
        <f>HYPERLINK("https://www.boe.es/gazeta/dias/1801/05/19/pdfs/GMD-C-1801-40.pdf#page=2","Abrir facsímil")</f>
        <v>Abrir facsímil</v>
      </c>
      <c r="K5145" s="15" t="s">
        <v>23</v>
      </c>
    </row>
    <row r="5146" spans="1:11" ht="42" customHeight="1">
      <c r="A5146" s="4" t="s">
        <v>11720</v>
      </c>
      <c r="B5146" s="5" t="s">
        <v>11721</v>
      </c>
      <c r="C5146" s="5" t="s">
        <v>80</v>
      </c>
      <c r="D5146" s="5" t="s">
        <v>81</v>
      </c>
      <c r="E5146" s="5" t="s">
        <v>289</v>
      </c>
      <c r="F5146" s="9">
        <v>40</v>
      </c>
      <c r="G5146" s="9" t="s">
        <v>668</v>
      </c>
      <c r="H5146" s="5" t="s">
        <v>21</v>
      </c>
      <c r="I5146" s="5" t="s">
        <v>11722</v>
      </c>
      <c r="J5146" s="12" t="str">
        <f>HYPERLINK("https://www.boe.es/gazeta/dias/1801/05/19/pdfs/GMD-C-1801-40.pdf#page=1","Abrir facsímil")</f>
        <v>Abrir facsímil</v>
      </c>
      <c r="K5146" s="15" t="s">
        <v>23</v>
      </c>
    </row>
    <row r="5147" spans="1:11" ht="42" customHeight="1">
      <c r="A5147" s="4" t="s">
        <v>11723</v>
      </c>
      <c r="B5147" s="5" t="s">
        <v>11724</v>
      </c>
      <c r="C5147" s="5" t="s">
        <v>38</v>
      </c>
      <c r="D5147" s="5" t="s">
        <v>39</v>
      </c>
      <c r="E5147" s="5" t="s">
        <v>615</v>
      </c>
      <c r="F5147" s="9">
        <v>72</v>
      </c>
      <c r="G5147" s="9">
        <v>806</v>
      </c>
      <c r="H5147" s="5" t="s">
        <v>21</v>
      </c>
      <c r="I5147" s="5" t="s">
        <v>11725</v>
      </c>
      <c r="J5147" s="12" t="str">
        <f>HYPERLINK("https://www.boe.es/gazeta/dias/1801/07/24/pdfs/GMD-1801-72.pdf#page=11","Abrir facsímil")</f>
        <v>Abrir facsímil</v>
      </c>
      <c r="K5147" s="15" t="s">
        <v>23</v>
      </c>
    </row>
    <row r="5148" spans="1:11" ht="42" customHeight="1">
      <c r="A5148" s="4" t="s">
        <v>11726</v>
      </c>
      <c r="B5148" s="5" t="s">
        <v>11727</v>
      </c>
      <c r="C5148" s="5" t="s">
        <v>38</v>
      </c>
      <c r="D5148" s="5" t="s">
        <v>39</v>
      </c>
      <c r="E5148" s="5" t="s">
        <v>143</v>
      </c>
      <c r="F5148" s="9">
        <v>34</v>
      </c>
      <c r="G5148" s="9">
        <v>440</v>
      </c>
      <c r="H5148" s="5" t="s">
        <v>21</v>
      </c>
      <c r="I5148" s="5" t="s">
        <v>11728</v>
      </c>
      <c r="J5148" s="12" t="str">
        <f>HYPERLINK("https://www.boe.es/gazeta/dias/1801/04/28/pdfs/GMD-1801-34.pdf#page=12","Abrir facsímil")</f>
        <v>Abrir facsímil</v>
      </c>
      <c r="K5148" s="15" t="s">
        <v>23</v>
      </c>
    </row>
    <row r="5149" spans="1:11" ht="42" customHeight="1">
      <c r="A5149" s="4" t="s">
        <v>11729</v>
      </c>
      <c r="B5149" s="5" t="s">
        <v>11730</v>
      </c>
      <c r="C5149" s="5" t="s">
        <v>32</v>
      </c>
      <c r="D5149" s="5" t="s">
        <v>33</v>
      </c>
      <c r="E5149" s="5" t="s">
        <v>480</v>
      </c>
      <c r="F5149" s="9">
        <v>10</v>
      </c>
      <c r="G5149" s="9">
        <v>123</v>
      </c>
      <c r="H5149" s="5" t="s">
        <v>21</v>
      </c>
      <c r="I5149" s="5" t="s">
        <v>11731</v>
      </c>
      <c r="J5149" s="12" t="str">
        <f>HYPERLINK("https://www.boe.es/gazeta/dias/1801/02/03/pdfs/GMD-1801-10.pdf#page=8","Abrir facsímil")</f>
        <v>Abrir facsímil</v>
      </c>
      <c r="K5149" s="15" t="s">
        <v>23</v>
      </c>
    </row>
    <row r="5150" spans="1:11" ht="42" customHeight="1">
      <c r="A5150" s="4" t="s">
        <v>11732</v>
      </c>
      <c r="B5150" s="5" t="s">
        <v>11733</v>
      </c>
      <c r="C5150" s="5" t="s">
        <v>80</v>
      </c>
      <c r="D5150" s="5" t="s">
        <v>81</v>
      </c>
      <c r="E5150" s="5" t="s">
        <v>82</v>
      </c>
      <c r="F5150" s="9">
        <v>75</v>
      </c>
      <c r="G5150" s="9" t="s">
        <v>83</v>
      </c>
      <c r="H5150" s="5" t="s">
        <v>21</v>
      </c>
      <c r="I5150" s="5" t="s">
        <v>11734</v>
      </c>
      <c r="J5150" s="12" t="str">
        <f>HYPERLINK("https://www.boe.es/gazeta/dias/1801/08/04/pdfs/GMD-C-1801-75.pdf#page=2","Abrir facsímil")</f>
        <v>Abrir facsímil</v>
      </c>
      <c r="K5150" s="15" t="s">
        <v>23</v>
      </c>
    </row>
    <row r="5151" spans="1:11" ht="42" customHeight="1">
      <c r="A5151" s="4" t="s">
        <v>11735</v>
      </c>
      <c r="B5151" s="5" t="s">
        <v>11736</v>
      </c>
      <c r="C5151" s="5" t="s">
        <v>80</v>
      </c>
      <c r="D5151" s="5" t="s">
        <v>81</v>
      </c>
      <c r="E5151" s="5" t="s">
        <v>82</v>
      </c>
      <c r="F5151" s="9">
        <v>75</v>
      </c>
      <c r="G5151" s="9" t="s">
        <v>299</v>
      </c>
      <c r="H5151" s="5" t="s">
        <v>21</v>
      </c>
      <c r="I5151" s="5" t="s">
        <v>11737</v>
      </c>
      <c r="J5151" s="12" t="str">
        <f>HYPERLINK("https://www.boe.es/gazeta/dias/1801/08/04/pdfs/GMD-C-1801-75.pdf#page=5","Abrir facsímil")</f>
        <v>Abrir facsímil</v>
      </c>
      <c r="K5151" s="15" t="s">
        <v>23</v>
      </c>
    </row>
    <row r="5152" spans="1:11" ht="42" customHeight="1">
      <c r="A5152" s="4" t="s">
        <v>11738</v>
      </c>
      <c r="B5152" s="5" t="s">
        <v>11739</v>
      </c>
      <c r="C5152" s="5" t="s">
        <v>75</v>
      </c>
      <c r="D5152" s="5" t="s">
        <v>76</v>
      </c>
      <c r="E5152" s="5" t="s">
        <v>448</v>
      </c>
      <c r="F5152" s="9">
        <v>35</v>
      </c>
      <c r="G5152" s="9">
        <v>452</v>
      </c>
      <c r="H5152" s="5" t="s">
        <v>21</v>
      </c>
      <c r="I5152" s="5" t="s">
        <v>11740</v>
      </c>
      <c r="J5152" s="12" t="str">
        <f>HYPERLINK("https://www.boe.es/gazeta/dias/1801/05/01/pdfs/GMD-1801-35.pdf#page=8","Abrir facsímil")</f>
        <v>Abrir facsímil</v>
      </c>
      <c r="K5152" s="15" t="s">
        <v>23</v>
      </c>
    </row>
    <row r="5153" spans="1:11" ht="42" customHeight="1">
      <c r="A5153" s="4" t="s">
        <v>11741</v>
      </c>
      <c r="B5153" s="5" t="s">
        <v>11742</v>
      </c>
      <c r="C5153" s="5" t="s">
        <v>26</v>
      </c>
      <c r="D5153" s="5" t="s">
        <v>27</v>
      </c>
      <c r="E5153" s="5" t="s">
        <v>179</v>
      </c>
      <c r="F5153" s="9">
        <v>11</v>
      </c>
      <c r="G5153" s="9">
        <v>138</v>
      </c>
      <c r="H5153" s="5" t="s">
        <v>21</v>
      </c>
      <c r="I5153" s="5" t="s">
        <v>11743</v>
      </c>
      <c r="J5153" s="12" t="str">
        <f>HYPERLINK("https://www.boe.es/gazeta/dias/1801/02/06/pdfs/GMD-1801-11.pdf#page=11","Abrir facsímil")</f>
        <v>Abrir facsímil</v>
      </c>
      <c r="K5153" s="15" t="s">
        <v>23</v>
      </c>
    </row>
    <row r="5154" spans="1:11" ht="42" customHeight="1">
      <c r="A5154" s="4" t="s">
        <v>11744</v>
      </c>
      <c r="B5154" s="5" t="s">
        <v>11745</v>
      </c>
      <c r="C5154" s="5" t="s">
        <v>26</v>
      </c>
      <c r="D5154" s="5" t="s">
        <v>27</v>
      </c>
      <c r="E5154" s="5" t="s">
        <v>48</v>
      </c>
      <c r="F5154" s="9">
        <v>20</v>
      </c>
      <c r="G5154" s="9">
        <v>267</v>
      </c>
      <c r="H5154" s="5" t="s">
        <v>21</v>
      </c>
      <c r="I5154" s="5" t="s">
        <v>11746</v>
      </c>
      <c r="J5154" s="12" t="str">
        <f>HYPERLINK("https://www.boe.es/gazeta/dias/1801/03/10/pdfs/GMD-1801-20.pdf#page=12","Abrir facsímil")</f>
        <v>Abrir facsímil</v>
      </c>
      <c r="K5154" s="15" t="s">
        <v>23</v>
      </c>
    </row>
    <row r="5155" spans="1:11" ht="42" customHeight="1">
      <c r="A5155" s="4" t="s">
        <v>11747</v>
      </c>
      <c r="B5155" s="5" t="s">
        <v>11748</v>
      </c>
      <c r="C5155" s="5" t="s">
        <v>32</v>
      </c>
      <c r="D5155" s="5" t="s">
        <v>33</v>
      </c>
      <c r="E5155" s="5" t="s">
        <v>2237</v>
      </c>
      <c r="F5155" s="9">
        <v>82</v>
      </c>
      <c r="G5155" s="9">
        <v>918</v>
      </c>
      <c r="H5155" s="5" t="s">
        <v>21</v>
      </c>
      <c r="I5155" s="5" t="s">
        <v>11749</v>
      </c>
      <c r="J5155" s="12" t="str">
        <f>HYPERLINK("https://www.boe.es/gazeta/dias/1801/08/28/pdfs/GMD-1801-82.pdf#page=7","Abrir facsímil")</f>
        <v>Abrir facsímil</v>
      </c>
      <c r="K5155" s="15" t="s">
        <v>23</v>
      </c>
    </row>
    <row r="5156" spans="1:11" ht="42" customHeight="1">
      <c r="A5156" s="4" t="s">
        <v>11747</v>
      </c>
      <c r="B5156" s="5" t="s">
        <v>11748</v>
      </c>
      <c r="C5156" s="5" t="s">
        <v>26</v>
      </c>
      <c r="D5156" s="5" t="s">
        <v>27</v>
      </c>
      <c r="E5156" s="5" t="s">
        <v>751</v>
      </c>
      <c r="F5156" s="9">
        <v>106</v>
      </c>
      <c r="G5156" s="9">
        <v>1165</v>
      </c>
      <c r="H5156" s="5" t="s">
        <v>21</v>
      </c>
      <c r="I5156" s="5" t="s">
        <v>11750</v>
      </c>
      <c r="J5156" s="12" t="str">
        <f>HYPERLINK("https://www.boe.es/gazeta/dias/1801/11/13/pdfs/GMD-1801-106.pdf#page=6","Abrir facsímil")</f>
        <v>Abrir facsímil</v>
      </c>
      <c r="K5156" s="15" t="s">
        <v>23</v>
      </c>
    </row>
    <row r="5157" spans="1:11" ht="42" customHeight="1">
      <c r="A5157" s="4" t="s">
        <v>11751</v>
      </c>
      <c r="B5157" s="5" t="s">
        <v>11752</v>
      </c>
      <c r="C5157" s="5" t="s">
        <v>32</v>
      </c>
      <c r="D5157" s="5" t="s">
        <v>33</v>
      </c>
      <c r="E5157" s="5" t="s">
        <v>101</v>
      </c>
      <c r="F5157" s="9">
        <v>41</v>
      </c>
      <c r="G5157" s="9">
        <v>523</v>
      </c>
      <c r="H5157" s="5" t="s">
        <v>21</v>
      </c>
      <c r="I5157" s="5" t="s">
        <v>11753</v>
      </c>
      <c r="J5157" s="12" t="str">
        <f>HYPERLINK("https://www.boe.es/gazeta/dias/1801/05/22/pdfs/GMD-1801-41.pdf#page=7","Abrir facsímil")</f>
        <v>Abrir facsímil</v>
      </c>
      <c r="K5157" s="15" t="s">
        <v>23</v>
      </c>
    </row>
    <row r="5158" spans="1:11" ht="42" customHeight="1">
      <c r="A5158" s="4" t="s">
        <v>11754</v>
      </c>
      <c r="B5158" s="5" t="s">
        <v>11755</v>
      </c>
      <c r="C5158" s="5" t="s">
        <v>32</v>
      </c>
      <c r="D5158" s="5" t="s">
        <v>33</v>
      </c>
      <c r="E5158" s="5" t="s">
        <v>194</v>
      </c>
      <c r="F5158" s="9">
        <v>92</v>
      </c>
      <c r="G5158" s="9">
        <v>1011</v>
      </c>
      <c r="H5158" s="5" t="s">
        <v>21</v>
      </c>
      <c r="I5158" s="5" t="s">
        <v>11756</v>
      </c>
      <c r="J5158" s="12" t="str">
        <f>HYPERLINK("https://www.boe.es/gazeta/dias/1801/09/25/pdfs/GMD-1801-92.pdf#page=6","Abrir facsímil")</f>
        <v>Abrir facsímil</v>
      </c>
      <c r="K5158" s="15" t="s">
        <v>23</v>
      </c>
    </row>
    <row r="5159" spans="1:11" ht="42" customHeight="1">
      <c r="A5159" s="4" t="s">
        <v>11757</v>
      </c>
      <c r="B5159" s="5" t="s">
        <v>11758</v>
      </c>
      <c r="C5159" s="5" t="s">
        <v>26</v>
      </c>
      <c r="D5159" s="5" t="s">
        <v>27</v>
      </c>
      <c r="E5159" s="5" t="s">
        <v>90</v>
      </c>
      <c r="F5159" s="9">
        <v>1</v>
      </c>
      <c r="G5159" s="9">
        <v>10</v>
      </c>
      <c r="H5159" s="5" t="s">
        <v>21</v>
      </c>
      <c r="I5159" s="5" t="s">
        <v>11759</v>
      </c>
      <c r="J5159" s="12" t="str">
        <f>HYPERLINK("https://www.boe.es/gazeta/dias/1801/01/02/pdfs/GMD-1801-1.pdf#page=10","Abrir facsímil")</f>
        <v>Abrir facsímil</v>
      </c>
      <c r="K5159" s="15" t="s">
        <v>23</v>
      </c>
    </row>
    <row r="5160" spans="1:11" ht="42" customHeight="1">
      <c r="A5160" s="4" t="s">
        <v>11760</v>
      </c>
      <c r="B5160" s="5" t="s">
        <v>11761</v>
      </c>
      <c r="C5160" s="5" t="s">
        <v>32</v>
      </c>
      <c r="D5160" s="5" t="s">
        <v>33</v>
      </c>
      <c r="E5160" s="5" t="s">
        <v>155</v>
      </c>
      <c r="F5160" s="9">
        <v>50</v>
      </c>
      <c r="G5160" s="9">
        <v>597</v>
      </c>
      <c r="H5160" s="5" t="s">
        <v>21</v>
      </c>
      <c r="I5160" s="5" t="s">
        <v>11762</v>
      </c>
      <c r="J5160" s="12" t="str">
        <f>HYPERLINK("https://www.boe.es/gazeta/dias/1801/06/09/pdfs/GMD-1801-50.pdf#page=9","Abrir facsímil")</f>
        <v>Abrir facsímil</v>
      </c>
      <c r="K5160" s="15" t="s">
        <v>23</v>
      </c>
    </row>
    <row r="5161" spans="1:11" ht="42" customHeight="1">
      <c r="A5161" s="4" t="s">
        <v>11760</v>
      </c>
      <c r="B5161" s="5" t="s">
        <v>11761</v>
      </c>
      <c r="C5161" s="5" t="s">
        <v>515</v>
      </c>
      <c r="D5161" s="5" t="s">
        <v>516</v>
      </c>
      <c r="E5161" s="5" t="s">
        <v>501</v>
      </c>
      <c r="F5161" s="9">
        <v>115</v>
      </c>
      <c r="G5161" s="9" t="s">
        <v>305</v>
      </c>
      <c r="H5161" s="5" t="s">
        <v>21</v>
      </c>
      <c r="I5161" s="5" t="s">
        <v>11763</v>
      </c>
      <c r="J5161" s="12" t="str">
        <f>HYPERLINK("https://www.boe.es/gazeta/dias/1801/12/15/pdfs/GMD-C-1801-115.pdf#page=4","Abrir facsímil")</f>
        <v>Abrir facsímil</v>
      </c>
      <c r="K5161" s="15" t="s">
        <v>23</v>
      </c>
    </row>
    <row r="5162" spans="1:11" ht="42" customHeight="1">
      <c r="A5162" s="4" t="s">
        <v>11764</v>
      </c>
      <c r="B5162" s="5" t="s">
        <v>11765</v>
      </c>
      <c r="C5162" s="5" t="s">
        <v>32</v>
      </c>
      <c r="D5162" s="5" t="s">
        <v>33</v>
      </c>
      <c r="E5162" s="5" t="s">
        <v>1436</v>
      </c>
      <c r="F5162" s="9">
        <v>95</v>
      </c>
      <c r="G5162" s="9">
        <v>1042</v>
      </c>
      <c r="H5162" s="5" t="s">
        <v>21</v>
      </c>
      <c r="I5162" s="5" t="s">
        <v>11766</v>
      </c>
      <c r="J5162" s="12" t="str">
        <f>HYPERLINK("https://www.boe.es/gazeta/dias/1801/10/06/pdfs/GMD-1801-95.pdf#page=6","Abrir facsímil")</f>
        <v>Abrir facsímil</v>
      </c>
      <c r="K5162" s="15" t="s">
        <v>23</v>
      </c>
    </row>
    <row r="5163" spans="1:11" ht="42" customHeight="1">
      <c r="A5163" s="4" t="s">
        <v>11767</v>
      </c>
      <c r="B5163" s="5" t="s">
        <v>11768</v>
      </c>
      <c r="C5163" s="5" t="s">
        <v>38</v>
      </c>
      <c r="D5163" s="5" t="s">
        <v>39</v>
      </c>
      <c r="E5163" s="5" t="s">
        <v>1436</v>
      </c>
      <c r="F5163" s="9">
        <v>95</v>
      </c>
      <c r="G5163" s="9">
        <v>1044</v>
      </c>
      <c r="H5163" s="5" t="s">
        <v>21</v>
      </c>
      <c r="I5163" s="5" t="s">
        <v>11769</v>
      </c>
      <c r="J5163" s="12" t="str">
        <f>HYPERLINK("https://www.boe.es/gazeta/dias/1801/10/06/pdfs/GMD-1801-95.pdf#page=8","Abrir facsímil")</f>
        <v>Abrir facsímil</v>
      </c>
      <c r="K5163" s="15" t="s">
        <v>23</v>
      </c>
    </row>
    <row r="5164" spans="1:11" ht="42" customHeight="1">
      <c r="A5164" s="4" t="s">
        <v>11770</v>
      </c>
      <c r="B5164" s="5" t="s">
        <v>11770</v>
      </c>
      <c r="C5164" s="5" t="s">
        <v>80</v>
      </c>
      <c r="D5164" s="5" t="s">
        <v>81</v>
      </c>
      <c r="E5164" s="5" t="s">
        <v>289</v>
      </c>
      <c r="F5164" s="9">
        <v>40</v>
      </c>
      <c r="G5164" s="9" t="s">
        <v>517</v>
      </c>
      <c r="H5164" s="5" t="s">
        <v>21</v>
      </c>
      <c r="I5164" s="5" t="s">
        <v>11771</v>
      </c>
      <c r="J5164" s="12" t="str">
        <f>HYPERLINK("https://www.boe.es/gazeta/dias/1801/05/19/pdfs/GMD-C-1801-40.pdf#page=7","Abrir facsímil")</f>
        <v>Abrir facsímil</v>
      </c>
      <c r="K5164" s="15" t="s">
        <v>23</v>
      </c>
    </row>
    <row r="5165" spans="1:11" ht="42" customHeight="1">
      <c r="A5165" s="4" t="s">
        <v>11772</v>
      </c>
      <c r="B5165" s="5" t="s">
        <v>11773</v>
      </c>
      <c r="C5165" s="5" t="s">
        <v>69</v>
      </c>
      <c r="D5165" s="5" t="s">
        <v>19</v>
      </c>
      <c r="E5165" s="5" t="s">
        <v>465</v>
      </c>
      <c r="F5165" s="9">
        <v>4</v>
      </c>
      <c r="G5165" s="9">
        <v>46</v>
      </c>
      <c r="H5165" s="5" t="s">
        <v>21</v>
      </c>
      <c r="I5165" s="5" t="s">
        <v>11774</v>
      </c>
      <c r="J5165" s="12" t="str">
        <f>HYPERLINK("https://www.boe.es/gazeta/dias/1801/01/13/pdfs/GMD-1801-4.pdf#page=10","Abrir facsímil")</f>
        <v>Abrir facsímil</v>
      </c>
      <c r="K5165" s="15" t="s">
        <v>23</v>
      </c>
    </row>
    <row r="5166" spans="1:11" ht="42" customHeight="1">
      <c r="A5166" s="4" t="s">
        <v>11775</v>
      </c>
      <c r="B5166" s="5" t="s">
        <v>11775</v>
      </c>
      <c r="C5166" s="5" t="s">
        <v>32</v>
      </c>
      <c r="D5166" s="5" t="s">
        <v>33</v>
      </c>
      <c r="E5166" s="5" t="s">
        <v>165</v>
      </c>
      <c r="F5166" s="9">
        <v>59</v>
      </c>
      <c r="G5166" s="9">
        <v>676</v>
      </c>
      <c r="H5166" s="5" t="s">
        <v>21</v>
      </c>
      <c r="I5166" s="5" t="s">
        <v>11776</v>
      </c>
      <c r="J5166" s="12" t="str">
        <f>HYPERLINK("https://www.boe.es/gazeta/dias/1801/06/23/pdfs/GMD-1801-59.pdf#page=9","Abrir facsímil")</f>
        <v>Abrir facsímil</v>
      </c>
      <c r="K5166" s="15" t="s">
        <v>23</v>
      </c>
    </row>
    <row r="5167" spans="1:11" ht="42" customHeight="1">
      <c r="A5167" s="4" t="s">
        <v>11777</v>
      </c>
      <c r="B5167" s="5" t="s">
        <v>11777</v>
      </c>
      <c r="C5167" s="5" t="s">
        <v>32</v>
      </c>
      <c r="D5167" s="5" t="s">
        <v>33</v>
      </c>
      <c r="E5167" s="5" t="s">
        <v>317</v>
      </c>
      <c r="F5167" s="9">
        <v>102</v>
      </c>
      <c r="G5167" s="9">
        <v>1122</v>
      </c>
      <c r="H5167" s="5" t="s">
        <v>21</v>
      </c>
      <c r="I5167" s="5" t="s">
        <v>11778</v>
      </c>
      <c r="J5167" s="12" t="str">
        <f>HYPERLINK("https://www.boe.es/gazeta/dias/1801/10/30/pdfs/GMD-1801-102.pdf#page=7","Abrir facsímil")</f>
        <v>Abrir facsímil</v>
      </c>
      <c r="K5167" s="15" t="s">
        <v>23</v>
      </c>
    </row>
    <row r="5168" spans="1:11" ht="42" customHeight="1">
      <c r="A5168" s="4" t="s">
        <v>11779</v>
      </c>
      <c r="B5168" s="5" t="s">
        <v>11779</v>
      </c>
      <c r="C5168" s="5" t="s">
        <v>69</v>
      </c>
      <c r="D5168" s="5" t="s">
        <v>19</v>
      </c>
      <c r="E5168" s="5" t="s">
        <v>359</v>
      </c>
      <c r="F5168" s="9">
        <v>101</v>
      </c>
      <c r="G5168" s="9">
        <v>1113</v>
      </c>
      <c r="H5168" s="5" t="s">
        <v>21</v>
      </c>
      <c r="I5168" s="5" t="s">
        <v>11780</v>
      </c>
      <c r="J5168" s="12" t="str">
        <f>HYPERLINK("https://www.boe.es/gazeta/dias/1801/10/27/pdfs/GMD-1801-101.pdf#page=6","Abrir facsímil")</f>
        <v>Abrir facsímil</v>
      </c>
      <c r="K5168" s="15" t="s">
        <v>23</v>
      </c>
    </row>
    <row r="5169" spans="1:11" ht="42" customHeight="1">
      <c r="A5169" s="4" t="s">
        <v>11781</v>
      </c>
      <c r="B5169" s="5" t="s">
        <v>11782</v>
      </c>
      <c r="C5169" s="5" t="s">
        <v>32</v>
      </c>
      <c r="D5169" s="5" t="s">
        <v>33</v>
      </c>
      <c r="E5169" s="5" t="s">
        <v>55</v>
      </c>
      <c r="F5169" s="9">
        <v>104</v>
      </c>
      <c r="G5169" s="9">
        <v>1143</v>
      </c>
      <c r="H5169" s="5" t="s">
        <v>21</v>
      </c>
      <c r="I5169" s="5" t="s">
        <v>11783</v>
      </c>
      <c r="J5169" s="12" t="str">
        <f>HYPERLINK("https://www.boe.es/gazeta/dias/1801/11/06/pdfs/GMD-1801-104.pdf#page=4","Abrir facsímil")</f>
        <v>Abrir facsímil</v>
      </c>
      <c r="K5169" s="15" t="s">
        <v>23</v>
      </c>
    </row>
    <row r="5170" spans="1:11" ht="42" customHeight="1">
      <c r="A5170" s="4" t="s">
        <v>11784</v>
      </c>
      <c r="B5170" s="5" t="s">
        <v>11784</v>
      </c>
      <c r="C5170" s="5" t="s">
        <v>32</v>
      </c>
      <c r="D5170" s="5" t="s">
        <v>33</v>
      </c>
      <c r="E5170" s="5" t="s">
        <v>201</v>
      </c>
      <c r="F5170" s="9">
        <v>79</v>
      </c>
      <c r="G5170" s="9">
        <v>889</v>
      </c>
      <c r="H5170" s="5" t="s">
        <v>21</v>
      </c>
      <c r="I5170" s="5" t="s">
        <v>11785</v>
      </c>
      <c r="J5170" s="12" t="str">
        <f>HYPERLINK("https://www.boe.es/gazeta/dias/1801/08/18/pdfs/GMD-1801-79.pdf#page=6","Abrir facsímil")</f>
        <v>Abrir facsímil</v>
      </c>
      <c r="K5170" s="15" t="s">
        <v>23</v>
      </c>
    </row>
    <row r="5171" spans="1:11" ht="42" customHeight="1">
      <c r="A5171" s="4" t="s">
        <v>11786</v>
      </c>
      <c r="B5171" s="5" t="s">
        <v>11787</v>
      </c>
      <c r="C5171" s="5" t="s">
        <v>69</v>
      </c>
      <c r="D5171" s="5" t="s">
        <v>19</v>
      </c>
      <c r="E5171" s="5" t="s">
        <v>366</v>
      </c>
      <c r="F5171" s="9">
        <v>86</v>
      </c>
      <c r="G5171" s="9">
        <v>951</v>
      </c>
      <c r="H5171" s="5" t="s">
        <v>21</v>
      </c>
      <c r="I5171" s="5" t="s">
        <v>11788</v>
      </c>
      <c r="J5171" s="12" t="str">
        <f>HYPERLINK("https://www.boe.es/gazeta/dias/1801/09/08/pdfs/GMD-1801-86.pdf#page=2","Abrir facsímil")</f>
        <v>Abrir facsímil</v>
      </c>
      <c r="K5171" s="15" t="s">
        <v>23</v>
      </c>
    </row>
    <row r="5172" spans="1:11" ht="42" customHeight="1">
      <c r="A5172" s="4" t="s">
        <v>11789</v>
      </c>
      <c r="B5172" s="5" t="s">
        <v>11789</v>
      </c>
      <c r="C5172" s="5" t="s">
        <v>32</v>
      </c>
      <c r="D5172" s="5" t="s">
        <v>33</v>
      </c>
      <c r="E5172" s="5" t="s">
        <v>120</v>
      </c>
      <c r="F5172" s="9">
        <v>7</v>
      </c>
      <c r="G5172" s="9">
        <v>84</v>
      </c>
      <c r="H5172" s="5" t="s">
        <v>21</v>
      </c>
      <c r="I5172" s="5" t="s">
        <v>11790</v>
      </c>
      <c r="J5172" s="12" t="str">
        <f>HYPERLINK("https://www.boe.es/gazeta/dias/1801/01/23/pdfs/GMD-1801-7.pdf#page=8","Abrir facsímil")</f>
        <v>Abrir facsímil</v>
      </c>
      <c r="K5172" s="15" t="s">
        <v>23</v>
      </c>
    </row>
    <row r="5173" spans="1:11" ht="42" customHeight="1">
      <c r="A5173" s="4" t="s">
        <v>11791</v>
      </c>
      <c r="B5173" s="5" t="s">
        <v>11792</v>
      </c>
      <c r="C5173" s="5" t="s">
        <v>75</v>
      </c>
      <c r="D5173" s="5" t="s">
        <v>76</v>
      </c>
      <c r="E5173" s="5" t="s">
        <v>223</v>
      </c>
      <c r="F5173" s="9">
        <v>74</v>
      </c>
      <c r="G5173" s="9">
        <v>822</v>
      </c>
      <c r="H5173" s="5" t="s">
        <v>21</v>
      </c>
      <c r="I5173" s="5" t="s">
        <v>11793</v>
      </c>
      <c r="J5173" s="12" t="str">
        <f>HYPERLINK("https://www.boe.es/gazeta/dias/1801/07/31/pdfs/GMD-1801-74.pdf#page=3","Abrir facsímil")</f>
        <v>Abrir facsímil</v>
      </c>
      <c r="K5173" s="15" t="s">
        <v>23</v>
      </c>
    </row>
    <row r="5174" spans="1:11" ht="42" customHeight="1">
      <c r="A5174" s="4" t="s">
        <v>11791</v>
      </c>
      <c r="B5174" s="5" t="s">
        <v>11792</v>
      </c>
      <c r="C5174" s="5" t="s">
        <v>69</v>
      </c>
      <c r="D5174" s="5" t="s">
        <v>19</v>
      </c>
      <c r="E5174" s="5" t="s">
        <v>338</v>
      </c>
      <c r="F5174" s="9">
        <v>83</v>
      </c>
      <c r="G5174" s="9">
        <v>927</v>
      </c>
      <c r="H5174" s="5" t="s">
        <v>21</v>
      </c>
      <c r="I5174" s="5" t="s">
        <v>11794</v>
      </c>
      <c r="J5174" s="12" t="str">
        <f>HYPERLINK("https://www.boe.es/gazeta/dias/1801/09/01/pdfs/GMD-1801-83.pdf#page=2","Abrir facsímil")</f>
        <v>Abrir facsímil</v>
      </c>
      <c r="K5174" s="15" t="s">
        <v>23</v>
      </c>
    </row>
    <row r="5175" spans="1:11" ht="42" customHeight="1">
      <c r="A5175" s="4" t="s">
        <v>11791</v>
      </c>
      <c r="B5175" s="5" t="s">
        <v>11792</v>
      </c>
      <c r="C5175" s="5" t="s">
        <v>75</v>
      </c>
      <c r="D5175" s="5" t="s">
        <v>76</v>
      </c>
      <c r="E5175" s="5" t="s">
        <v>366</v>
      </c>
      <c r="F5175" s="9">
        <v>86</v>
      </c>
      <c r="G5175" s="9">
        <v>951</v>
      </c>
      <c r="H5175" s="5" t="s">
        <v>21</v>
      </c>
      <c r="I5175" s="5" t="s">
        <v>11795</v>
      </c>
      <c r="J5175" s="12" t="str">
        <f>HYPERLINK("https://www.boe.es/gazeta/dias/1801/09/08/pdfs/GMD-1801-86.pdf#page=2","Abrir facsímil")</f>
        <v>Abrir facsímil</v>
      </c>
      <c r="K5175" s="15" t="s">
        <v>23</v>
      </c>
    </row>
    <row r="5176" spans="1:11" ht="42" customHeight="1">
      <c r="A5176" s="4" t="s">
        <v>11796</v>
      </c>
      <c r="B5176" s="5" t="s">
        <v>11796</v>
      </c>
      <c r="C5176" s="5" t="s">
        <v>75</v>
      </c>
      <c r="D5176" s="5" t="s">
        <v>76</v>
      </c>
      <c r="E5176" s="5" t="s">
        <v>40</v>
      </c>
      <c r="F5176" s="9">
        <v>63</v>
      </c>
      <c r="G5176" s="9">
        <v>706</v>
      </c>
      <c r="H5176" s="5" t="s">
        <v>21</v>
      </c>
      <c r="I5176" s="5" t="s">
        <v>11797</v>
      </c>
      <c r="J5176" s="12" t="str">
        <f>HYPERLINK("https://www.boe.es/gazeta/dias/1801/07/03/pdfs/GMD-1801-63.pdf#page=3","Abrir facsímil")</f>
        <v>Abrir facsímil</v>
      </c>
      <c r="K5176" s="15" t="s">
        <v>23</v>
      </c>
    </row>
    <row r="5177" spans="1:11" ht="42" customHeight="1">
      <c r="A5177" s="4" t="s">
        <v>11798</v>
      </c>
      <c r="B5177" s="5" t="s">
        <v>11799</v>
      </c>
      <c r="C5177" s="5" t="s">
        <v>38</v>
      </c>
      <c r="D5177" s="5" t="s">
        <v>39</v>
      </c>
      <c r="E5177" s="5" t="s">
        <v>1058</v>
      </c>
      <c r="F5177" s="9">
        <v>108</v>
      </c>
      <c r="G5177" s="9">
        <v>1193</v>
      </c>
      <c r="H5177" s="5" t="s">
        <v>21</v>
      </c>
      <c r="I5177" s="5" t="s">
        <v>11800</v>
      </c>
      <c r="J5177" s="12" t="str">
        <f>HYPERLINK("https://www.boe.es/gazeta/dias/1801/11/20/pdfs/GMD-1801-108.pdf#page=10","Abrir facsímil")</f>
        <v>Abrir facsímil</v>
      </c>
      <c r="K5177" s="15" t="s">
        <v>23</v>
      </c>
    </row>
    <row r="5178" spans="1:11" ht="42" customHeight="1">
      <c r="A5178" s="4" t="s">
        <v>11801</v>
      </c>
      <c r="B5178" s="5" t="s">
        <v>11802</v>
      </c>
      <c r="C5178" s="5" t="s">
        <v>515</v>
      </c>
      <c r="D5178" s="5" t="s">
        <v>516</v>
      </c>
      <c r="E5178" s="5" t="s">
        <v>751</v>
      </c>
      <c r="F5178" s="9">
        <v>106</v>
      </c>
      <c r="G5178" s="9">
        <v>1169</v>
      </c>
      <c r="H5178" s="5" t="s">
        <v>21</v>
      </c>
      <c r="I5178" s="5" t="s">
        <v>11803</v>
      </c>
      <c r="J5178" s="12" t="str">
        <f>HYPERLINK("https://www.boe.es/gazeta/dias/1801/11/13/pdfs/GMD-C-1801-106.pdf#page=2","Abrir facsímil")</f>
        <v>Abrir facsímil</v>
      </c>
      <c r="K5178" s="15" t="s">
        <v>23</v>
      </c>
    </row>
    <row r="5179" spans="1:11" ht="42" customHeight="1">
      <c r="A5179" s="4" t="s">
        <v>11804</v>
      </c>
      <c r="B5179" s="5" t="s">
        <v>11805</v>
      </c>
      <c r="C5179" s="5" t="s">
        <v>38</v>
      </c>
      <c r="D5179" s="5" t="s">
        <v>39</v>
      </c>
      <c r="E5179" s="5" t="s">
        <v>702</v>
      </c>
      <c r="F5179" s="9">
        <v>69</v>
      </c>
      <c r="G5179" s="9">
        <v>764</v>
      </c>
      <c r="H5179" s="5" t="s">
        <v>21</v>
      </c>
      <c r="I5179" s="5" t="s">
        <v>11806</v>
      </c>
      <c r="J5179" s="12" t="str">
        <f>HYPERLINK("https://www.boe.es/gazeta/dias/1801/07/14/pdfs/GMD-1801-69.pdf#page=9","Abrir facsímil")</f>
        <v>Abrir facsímil</v>
      </c>
      <c r="K5179" s="15" t="s">
        <v>23</v>
      </c>
    </row>
    <row r="5180" spans="1:11" ht="42" customHeight="1">
      <c r="A5180" s="4" t="s">
        <v>11804</v>
      </c>
      <c r="B5180" s="5" t="s">
        <v>11805</v>
      </c>
      <c r="C5180" s="5" t="s">
        <v>75</v>
      </c>
      <c r="D5180" s="5" t="s">
        <v>76</v>
      </c>
      <c r="E5180" s="5" t="s">
        <v>169</v>
      </c>
      <c r="F5180" s="9">
        <v>70</v>
      </c>
      <c r="G5180" s="9">
        <v>776</v>
      </c>
      <c r="H5180" s="5" t="s">
        <v>21</v>
      </c>
      <c r="I5180" s="5" t="s">
        <v>11807</v>
      </c>
      <c r="J5180" s="12" t="str">
        <f>HYPERLINK("https://www.boe.es/gazeta/dias/1801/07/17/pdfs/GMD-1801-70.pdf#page=9","Abrir facsímil")</f>
        <v>Abrir facsímil</v>
      </c>
      <c r="K5180" s="15" t="s">
        <v>23</v>
      </c>
    </row>
    <row r="5181" spans="1:11" ht="42" customHeight="1">
      <c r="A5181" s="4" t="s">
        <v>11804</v>
      </c>
      <c r="B5181" s="5" t="s">
        <v>11805</v>
      </c>
      <c r="C5181" s="5" t="s">
        <v>38</v>
      </c>
      <c r="D5181" s="5" t="s">
        <v>39</v>
      </c>
      <c r="E5181" s="5" t="s">
        <v>215</v>
      </c>
      <c r="F5181" s="9">
        <v>71</v>
      </c>
      <c r="G5181" s="9">
        <v>788</v>
      </c>
      <c r="H5181" s="5" t="s">
        <v>21</v>
      </c>
      <c r="I5181" s="5" t="s">
        <v>11808</v>
      </c>
      <c r="J5181" s="12" t="str">
        <f>HYPERLINK("https://www.boe.es/gazeta/dias/1801/07/21/pdfs/GMD-1801-71.pdf#page=9","Abrir facsímil")</f>
        <v>Abrir facsímil</v>
      </c>
      <c r="K5181" s="15" t="s">
        <v>23</v>
      </c>
    </row>
    <row r="5182" spans="1:11" ht="42" customHeight="1">
      <c r="A5182" s="4" t="s">
        <v>11804</v>
      </c>
      <c r="B5182" s="5" t="s">
        <v>11805</v>
      </c>
      <c r="C5182" s="5" t="s">
        <v>75</v>
      </c>
      <c r="D5182" s="5" t="s">
        <v>76</v>
      </c>
      <c r="E5182" s="5" t="s">
        <v>1939</v>
      </c>
      <c r="F5182" s="9">
        <v>107</v>
      </c>
      <c r="G5182" s="9">
        <v>1180</v>
      </c>
      <c r="H5182" s="5" t="s">
        <v>21</v>
      </c>
      <c r="I5182" s="5" t="s">
        <v>11809</v>
      </c>
      <c r="J5182" s="12" t="str">
        <f>HYPERLINK("https://www.boe.es/gazeta/dias/1801/11/17/pdfs/GMD-1801-107.pdf#page=9","Abrir facsímil")</f>
        <v>Abrir facsímil</v>
      </c>
      <c r="K5182" s="15" t="s">
        <v>23</v>
      </c>
    </row>
    <row r="5183" spans="1:11" ht="42" customHeight="1">
      <c r="A5183" s="4" t="s">
        <v>11810</v>
      </c>
      <c r="B5183" s="5" t="s">
        <v>11811</v>
      </c>
      <c r="C5183" s="5" t="s">
        <v>80</v>
      </c>
      <c r="D5183" s="5" t="s">
        <v>81</v>
      </c>
      <c r="E5183" s="5" t="s">
        <v>289</v>
      </c>
      <c r="F5183" s="9">
        <v>40</v>
      </c>
      <c r="G5183" s="9" t="s">
        <v>83</v>
      </c>
      <c r="H5183" s="5" t="s">
        <v>21</v>
      </c>
      <c r="I5183" s="5" t="s">
        <v>11812</v>
      </c>
      <c r="J5183" s="12" t="str">
        <f>HYPERLINK("https://www.boe.es/gazeta/dias/1801/05/19/pdfs/GMD-C-1801-40.pdf#page=2","Abrir facsímil")</f>
        <v>Abrir facsímil</v>
      </c>
      <c r="K5183" s="15" t="s">
        <v>23</v>
      </c>
    </row>
    <row r="5184" spans="1:11" ht="42" customHeight="1">
      <c r="A5184" s="4" t="s">
        <v>11813</v>
      </c>
      <c r="B5184" s="5" t="s">
        <v>11814</v>
      </c>
      <c r="C5184" s="5" t="s">
        <v>38</v>
      </c>
      <c r="D5184" s="5" t="s">
        <v>39</v>
      </c>
      <c r="E5184" s="5" t="s">
        <v>126</v>
      </c>
      <c r="F5184" s="9">
        <v>13</v>
      </c>
      <c r="G5184" s="9">
        <v>156</v>
      </c>
      <c r="H5184" s="5" t="s">
        <v>21</v>
      </c>
      <c r="I5184" s="5" t="s">
        <v>11815</v>
      </c>
      <c r="J5184" s="12" t="str">
        <f>HYPERLINK("https://www.boe.es/gazeta/dias/1801/02/13/pdfs/GMD-1801-13.pdf#page=3","Abrir facsímil")</f>
        <v>Abrir facsímil</v>
      </c>
      <c r="K5184" s="15" t="s">
        <v>23</v>
      </c>
    </row>
    <row r="5185" spans="1:11" ht="42" customHeight="1">
      <c r="A5185" s="4" t="s">
        <v>11816</v>
      </c>
      <c r="B5185" s="5" t="s">
        <v>11817</v>
      </c>
      <c r="C5185" s="5" t="s">
        <v>38</v>
      </c>
      <c r="D5185" s="5" t="s">
        <v>39</v>
      </c>
      <c r="E5185" s="5" t="s">
        <v>97</v>
      </c>
      <c r="F5185" s="9">
        <v>31</v>
      </c>
      <c r="G5185" s="9">
        <v>401</v>
      </c>
      <c r="H5185" s="5" t="s">
        <v>21</v>
      </c>
      <c r="I5185" s="5" t="s">
        <v>11818</v>
      </c>
      <c r="J5185" s="12" t="str">
        <f>HYPERLINK("https://www.boe.es/gazeta/dias/1801/04/17/pdfs/GMD-1801-31.pdf#page=5","Abrir facsímil")</f>
        <v>Abrir facsímil</v>
      </c>
      <c r="K5185" s="15" t="s">
        <v>23</v>
      </c>
    </row>
    <row r="5186" spans="1:11" ht="42" customHeight="1">
      <c r="A5186" s="4" t="s">
        <v>11819</v>
      </c>
      <c r="B5186" s="5" t="s">
        <v>11820</v>
      </c>
      <c r="C5186" s="5" t="s">
        <v>69</v>
      </c>
      <c r="D5186" s="5" t="s">
        <v>19</v>
      </c>
      <c r="E5186" s="5" t="s">
        <v>465</v>
      </c>
      <c r="F5186" s="9">
        <v>4</v>
      </c>
      <c r="G5186" s="9">
        <v>46</v>
      </c>
      <c r="H5186" s="5" t="s">
        <v>21</v>
      </c>
      <c r="I5186" s="5" t="s">
        <v>11821</v>
      </c>
      <c r="J5186" s="12" t="str">
        <f>HYPERLINK("https://www.boe.es/gazeta/dias/1801/01/13/pdfs/GMD-1801-4.pdf#page=10","Abrir facsímil")</f>
        <v>Abrir facsímil</v>
      </c>
      <c r="K5186" s="15" t="s">
        <v>23</v>
      </c>
    </row>
    <row r="5187" spans="1:11" ht="42" customHeight="1">
      <c r="A5187" s="4" t="s">
        <v>11822</v>
      </c>
      <c r="B5187" s="5" t="s">
        <v>11823</v>
      </c>
      <c r="C5187" s="5" t="s">
        <v>32</v>
      </c>
      <c r="D5187" s="5" t="s">
        <v>33</v>
      </c>
      <c r="E5187" s="5" t="s">
        <v>266</v>
      </c>
      <c r="F5187" s="9">
        <v>119</v>
      </c>
      <c r="G5187" s="9">
        <v>1303</v>
      </c>
      <c r="H5187" s="5" t="s">
        <v>21</v>
      </c>
      <c r="I5187" s="5" t="s">
        <v>11824</v>
      </c>
      <c r="J5187" s="12" t="str">
        <f>HYPERLINK("https://www.boe.es/gazeta/dias/1801/12/29/pdfs/GMD-1801-119.pdf#page=7","Abrir facsímil")</f>
        <v>Abrir facsímil</v>
      </c>
      <c r="K5187" s="15" t="s">
        <v>23</v>
      </c>
    </row>
    <row r="5188" spans="1:11" ht="42" customHeight="1">
      <c r="A5188" s="4" t="s">
        <v>11825</v>
      </c>
      <c r="B5188" s="5" t="s">
        <v>11826</v>
      </c>
      <c r="C5188" s="5" t="s">
        <v>75</v>
      </c>
      <c r="D5188" s="5" t="s">
        <v>76</v>
      </c>
      <c r="E5188" s="5" t="s">
        <v>223</v>
      </c>
      <c r="F5188" s="9">
        <v>74</v>
      </c>
      <c r="G5188" s="9">
        <v>825</v>
      </c>
      <c r="H5188" s="5" t="s">
        <v>21</v>
      </c>
      <c r="I5188" s="5" t="s">
        <v>11827</v>
      </c>
      <c r="J5188" s="12" t="str">
        <f>HYPERLINK("https://www.boe.es/gazeta/dias/1801/07/31/pdfs/GMD-1801-74.pdf#page=6","Abrir facsímil")</f>
        <v>Abrir facsímil</v>
      </c>
      <c r="K5188" s="15" t="s">
        <v>23</v>
      </c>
    </row>
    <row r="5189" spans="1:11" ht="42" customHeight="1">
      <c r="A5189" s="4" t="s">
        <v>11828</v>
      </c>
      <c r="B5189" s="5" t="s">
        <v>11829</v>
      </c>
      <c r="C5189" s="5" t="s">
        <v>75</v>
      </c>
      <c r="D5189" s="5" t="s">
        <v>76</v>
      </c>
      <c r="E5189" s="5" t="s">
        <v>120</v>
      </c>
      <c r="F5189" s="9">
        <v>7</v>
      </c>
      <c r="G5189" s="9">
        <v>78</v>
      </c>
      <c r="H5189" s="5" t="s">
        <v>21</v>
      </c>
      <c r="I5189" s="5" t="s">
        <v>11830</v>
      </c>
      <c r="J5189" s="12" t="str">
        <f>HYPERLINK("https://www.boe.es/gazeta/dias/1801/01/23/pdfs/GMD-1801-7.pdf#page=2","Abrir facsímil")</f>
        <v>Abrir facsímil</v>
      </c>
      <c r="K5189" s="15" t="s">
        <v>23</v>
      </c>
    </row>
    <row r="5190" spans="1:11" ht="42" customHeight="1">
      <c r="A5190" s="4" t="s">
        <v>11831</v>
      </c>
      <c r="B5190" s="5" t="s">
        <v>11831</v>
      </c>
      <c r="C5190" s="5" t="s">
        <v>32</v>
      </c>
      <c r="D5190" s="5" t="s">
        <v>33</v>
      </c>
      <c r="E5190" s="5" t="s">
        <v>781</v>
      </c>
      <c r="F5190" s="9">
        <v>14</v>
      </c>
      <c r="G5190" s="9">
        <v>173</v>
      </c>
      <c r="H5190" s="5" t="s">
        <v>21</v>
      </c>
      <c r="I5190" s="5" t="s">
        <v>11832</v>
      </c>
      <c r="J5190" s="12" t="str">
        <f>HYPERLINK("https://www.boe.es/gazeta/dias/1801/02/17/pdfs/GMD-1801-14.pdf#page=8","Abrir facsímil")</f>
        <v>Abrir facsímil</v>
      </c>
      <c r="K5190" s="15" t="s">
        <v>23</v>
      </c>
    </row>
    <row r="5191" spans="1:11" ht="42" customHeight="1">
      <c r="A5191" s="4" t="s">
        <v>11831</v>
      </c>
      <c r="B5191" s="5" t="s">
        <v>11831</v>
      </c>
      <c r="C5191" s="5" t="s">
        <v>32</v>
      </c>
      <c r="D5191" s="5" t="s">
        <v>33</v>
      </c>
      <c r="E5191" s="5" t="s">
        <v>194</v>
      </c>
      <c r="F5191" s="9">
        <v>92</v>
      </c>
      <c r="G5191" s="9">
        <v>1011</v>
      </c>
      <c r="H5191" s="5" t="s">
        <v>21</v>
      </c>
      <c r="I5191" s="5" t="s">
        <v>11833</v>
      </c>
      <c r="J5191" s="12" t="str">
        <f>HYPERLINK("https://www.boe.es/gazeta/dias/1801/09/25/pdfs/GMD-1801-92.pdf#page=6","Abrir facsímil")</f>
        <v>Abrir facsímil</v>
      </c>
      <c r="K5191" s="15" t="s">
        <v>23</v>
      </c>
    </row>
    <row r="5192" spans="1:11" ht="42" customHeight="1">
      <c r="A5192" s="4" t="s">
        <v>11834</v>
      </c>
      <c r="B5192" s="5" t="s">
        <v>11835</v>
      </c>
      <c r="C5192" s="5" t="s">
        <v>32</v>
      </c>
      <c r="D5192" s="5" t="s">
        <v>33</v>
      </c>
      <c r="E5192" s="5" t="s">
        <v>55</v>
      </c>
      <c r="F5192" s="9">
        <v>104</v>
      </c>
      <c r="G5192" s="9">
        <v>1145</v>
      </c>
      <c r="H5192" s="5" t="s">
        <v>21</v>
      </c>
      <c r="I5192" s="5" t="s">
        <v>11836</v>
      </c>
      <c r="J5192" s="12" t="str">
        <f>HYPERLINK("https://www.boe.es/gazeta/dias/1801/11/06/pdfs/GMD-1801-104.pdf#page=6","Abrir facsímil")</f>
        <v>Abrir facsímil</v>
      </c>
      <c r="K5192" s="15" t="s">
        <v>23</v>
      </c>
    </row>
    <row r="5193" spans="1:11" ht="42" customHeight="1">
      <c r="A5193" s="4" t="s">
        <v>11837</v>
      </c>
      <c r="B5193" s="5" t="s">
        <v>11838</v>
      </c>
      <c r="C5193" s="5" t="s">
        <v>75</v>
      </c>
      <c r="D5193" s="5" t="s">
        <v>76</v>
      </c>
      <c r="E5193" s="5" t="s">
        <v>465</v>
      </c>
      <c r="F5193" s="9">
        <v>4</v>
      </c>
      <c r="G5193" s="9">
        <v>45</v>
      </c>
      <c r="H5193" s="5" t="s">
        <v>21</v>
      </c>
      <c r="I5193" s="5" t="s">
        <v>11839</v>
      </c>
      <c r="J5193" s="12" t="str">
        <f>HYPERLINK("https://www.boe.es/gazeta/dias/1801/01/13/pdfs/GMD-1801-4.pdf#page=9","Abrir facsímil")</f>
        <v>Abrir facsímil</v>
      </c>
      <c r="K5193" s="15" t="s">
        <v>23</v>
      </c>
    </row>
    <row r="5194" spans="1:11" ht="42" customHeight="1">
      <c r="A5194" s="4" t="s">
        <v>11840</v>
      </c>
      <c r="B5194" s="5" t="s">
        <v>11841</v>
      </c>
      <c r="C5194" s="5" t="s">
        <v>38</v>
      </c>
      <c r="D5194" s="5" t="s">
        <v>39</v>
      </c>
      <c r="E5194" s="5" t="s">
        <v>108</v>
      </c>
      <c r="F5194" s="9">
        <v>61</v>
      </c>
      <c r="G5194" s="9">
        <v>698</v>
      </c>
      <c r="H5194" s="5" t="s">
        <v>21</v>
      </c>
      <c r="I5194" s="5" t="s">
        <v>11842</v>
      </c>
      <c r="J5194" s="12" t="str">
        <f>HYPERLINK("https://www.boe.es/gazeta/dias/1801/06/30/pdfs/GMD-1801-61.pdf#page=7","Abrir facsímil")</f>
        <v>Abrir facsímil</v>
      </c>
      <c r="K5194" s="15" t="s">
        <v>23</v>
      </c>
    </row>
    <row r="5195" spans="1:11" ht="42" customHeight="1">
      <c r="A5195" s="4" t="s">
        <v>11843</v>
      </c>
      <c r="B5195" s="5" t="s">
        <v>11844</v>
      </c>
      <c r="C5195" s="5" t="s">
        <v>32</v>
      </c>
      <c r="D5195" s="5" t="s">
        <v>33</v>
      </c>
      <c r="E5195" s="5" t="s">
        <v>186</v>
      </c>
      <c r="F5195" s="9">
        <v>21</v>
      </c>
      <c r="G5195" s="9">
        <v>279</v>
      </c>
      <c r="H5195" s="5" t="s">
        <v>21</v>
      </c>
      <c r="I5195" s="5" t="s">
        <v>11845</v>
      </c>
      <c r="J5195" s="12" t="str">
        <f>HYPERLINK("https://www.boe.es/gazeta/dias/1801/03/13/pdfs/GMD-1801-21.pdf#page=8","Abrir facsímil")</f>
        <v>Abrir facsímil</v>
      </c>
      <c r="K5195" s="15" t="s">
        <v>23</v>
      </c>
    </row>
    <row r="5196" spans="1:11" ht="42" customHeight="1">
      <c r="A5196" s="4" t="s">
        <v>11846</v>
      </c>
      <c r="B5196" s="5" t="s">
        <v>11847</v>
      </c>
      <c r="C5196" s="5" t="s">
        <v>69</v>
      </c>
      <c r="D5196" s="5" t="s">
        <v>19</v>
      </c>
      <c r="E5196" s="5" t="s">
        <v>359</v>
      </c>
      <c r="F5196" s="9">
        <v>101</v>
      </c>
      <c r="G5196" s="9">
        <v>1113</v>
      </c>
      <c r="H5196" s="5" t="s">
        <v>21</v>
      </c>
      <c r="I5196" s="5" t="s">
        <v>11848</v>
      </c>
      <c r="J5196" s="12" t="str">
        <f>HYPERLINK("https://www.boe.es/gazeta/dias/1801/10/27/pdfs/GMD-1801-101.pdf#page=6","Abrir facsímil")</f>
        <v>Abrir facsímil</v>
      </c>
      <c r="K5196" s="15" t="s">
        <v>23</v>
      </c>
    </row>
    <row r="5197" spans="1:11" ht="42" customHeight="1">
      <c r="A5197" s="4" t="s">
        <v>11849</v>
      </c>
      <c r="B5197" s="5" t="s">
        <v>11850</v>
      </c>
      <c r="C5197" s="5" t="s">
        <v>32</v>
      </c>
      <c r="D5197" s="5" t="s">
        <v>33</v>
      </c>
      <c r="E5197" s="5" t="s">
        <v>145</v>
      </c>
      <c r="F5197" s="9">
        <v>36</v>
      </c>
      <c r="G5197" s="9">
        <v>468</v>
      </c>
      <c r="H5197" s="5" t="s">
        <v>21</v>
      </c>
      <c r="I5197" s="5" t="s">
        <v>11851</v>
      </c>
      <c r="J5197" s="12" t="str">
        <f>HYPERLINK("https://www.boe.es/gazeta/dias/1801/05/05/pdfs/GMD-1801-36.pdf#page=12","Abrir facsímil")</f>
        <v>Abrir facsímil</v>
      </c>
      <c r="K5197" s="15" t="s">
        <v>23</v>
      </c>
    </row>
    <row r="5198" spans="1:11" ht="42" customHeight="1">
      <c r="A5198" s="4" t="s">
        <v>11852</v>
      </c>
      <c r="B5198" s="5" t="s">
        <v>11852</v>
      </c>
      <c r="C5198" s="5" t="s">
        <v>75</v>
      </c>
      <c r="D5198" s="5" t="s">
        <v>76</v>
      </c>
      <c r="E5198" s="5" t="s">
        <v>122</v>
      </c>
      <c r="F5198" s="9">
        <v>8</v>
      </c>
      <c r="G5198" s="9">
        <v>90</v>
      </c>
      <c r="H5198" s="5" t="s">
        <v>21</v>
      </c>
      <c r="I5198" s="5" t="s">
        <v>11853</v>
      </c>
      <c r="J5198" s="12" t="str">
        <f>HYPERLINK("https://www.boe.es/gazeta/dias/1801/01/27/pdfs/GMD-1801-8.pdf#page=2","Abrir facsímil")</f>
        <v>Abrir facsímil</v>
      </c>
      <c r="K5198" s="15" t="s">
        <v>23</v>
      </c>
    </row>
    <row r="5199" spans="1:11" ht="42" customHeight="1">
      <c r="A5199" s="4" t="s">
        <v>11854</v>
      </c>
      <c r="B5199" s="5" t="s">
        <v>11855</v>
      </c>
      <c r="C5199" s="5" t="s">
        <v>75</v>
      </c>
      <c r="D5199" s="5" t="s">
        <v>76</v>
      </c>
      <c r="E5199" s="5" t="s">
        <v>70</v>
      </c>
      <c r="F5199" s="9">
        <v>2</v>
      </c>
      <c r="G5199" s="9">
        <v>18</v>
      </c>
      <c r="H5199" s="5" t="s">
        <v>21</v>
      </c>
      <c r="I5199" s="5" t="s">
        <v>11856</v>
      </c>
      <c r="J5199" s="12" t="str">
        <f>HYPERLINK("https://www.boe.es/gazeta/dias/1801/01/06/pdfs/GMD-1801-2.pdf#page=6","Abrir facsímil")</f>
        <v>Abrir facsímil</v>
      </c>
      <c r="K5199" s="15" t="s">
        <v>23</v>
      </c>
    </row>
    <row r="5200" spans="1:11" ht="42" customHeight="1">
      <c r="A5200" s="4" t="s">
        <v>11857</v>
      </c>
      <c r="B5200" s="5" t="s">
        <v>11858</v>
      </c>
      <c r="C5200" s="5" t="s">
        <v>38</v>
      </c>
      <c r="D5200" s="5" t="s">
        <v>39</v>
      </c>
      <c r="E5200" s="5" t="s">
        <v>99</v>
      </c>
      <c r="F5200" s="9">
        <v>32</v>
      </c>
      <c r="G5200" s="9">
        <v>414</v>
      </c>
      <c r="H5200" s="5" t="s">
        <v>21</v>
      </c>
      <c r="I5200" s="5" t="s">
        <v>11859</v>
      </c>
      <c r="J5200" s="12" t="str">
        <f>HYPERLINK("https://www.boe.es/gazeta/dias/1801/04/21/pdfs/GMD-1801-32.pdf#page=10","Abrir facsímil")</f>
        <v>Abrir facsímil</v>
      </c>
      <c r="K5200" s="15" t="s">
        <v>23</v>
      </c>
    </row>
    <row r="5201" spans="1:11" ht="42" customHeight="1">
      <c r="A5201" s="4" t="s">
        <v>11860</v>
      </c>
      <c r="B5201" s="5" t="s">
        <v>11860</v>
      </c>
      <c r="C5201" s="5" t="s">
        <v>75</v>
      </c>
      <c r="D5201" s="5" t="s">
        <v>76</v>
      </c>
      <c r="E5201" s="5" t="s">
        <v>70</v>
      </c>
      <c r="F5201" s="9">
        <v>2</v>
      </c>
      <c r="G5201" s="9">
        <v>20</v>
      </c>
      <c r="H5201" s="5" t="s">
        <v>21</v>
      </c>
      <c r="I5201" s="5" t="s">
        <v>11861</v>
      </c>
      <c r="J5201" s="12" t="str">
        <f>HYPERLINK("https://www.boe.es/gazeta/dias/1801/01/06/pdfs/GMD-1801-2.pdf#page=8","Abrir facsímil")</f>
        <v>Abrir facsímil</v>
      </c>
      <c r="K5201" s="15" t="s">
        <v>23</v>
      </c>
    </row>
    <row r="5202" spans="1:11" ht="42" customHeight="1">
      <c r="A5202" s="4" t="s">
        <v>11862</v>
      </c>
      <c r="B5202" s="5" t="s">
        <v>11863</v>
      </c>
      <c r="C5202" s="5" t="s">
        <v>32</v>
      </c>
      <c r="D5202" s="5" t="s">
        <v>33</v>
      </c>
      <c r="E5202" s="5" t="s">
        <v>352</v>
      </c>
      <c r="F5202" s="9">
        <v>43</v>
      </c>
      <c r="G5202" s="9">
        <v>531</v>
      </c>
      <c r="H5202" s="5" t="s">
        <v>21</v>
      </c>
      <c r="I5202" s="5" t="s">
        <v>11864</v>
      </c>
      <c r="J5202" s="12" t="str">
        <f>HYPERLINK("https://www.boe.es/gazeta/dias/1801/05/26/pdfs/GMD-1801-43.pdf#page=3","Abrir facsímil")</f>
        <v>Abrir facsímil</v>
      </c>
      <c r="K5202" s="15" t="s">
        <v>23</v>
      </c>
    </row>
    <row r="5203" spans="1:11" ht="42" customHeight="1">
      <c r="A5203" s="4" t="s">
        <v>11865</v>
      </c>
      <c r="B5203" s="5" t="s">
        <v>11866</v>
      </c>
      <c r="C5203" s="5" t="s">
        <v>18</v>
      </c>
      <c r="D5203" s="5" t="s">
        <v>19</v>
      </c>
      <c r="E5203" s="5" t="s">
        <v>66</v>
      </c>
      <c r="F5203" s="9">
        <v>52</v>
      </c>
      <c r="G5203" s="9">
        <v>608</v>
      </c>
      <c r="H5203" s="5" t="s">
        <v>21</v>
      </c>
      <c r="I5203" s="5" t="s">
        <v>11867</v>
      </c>
      <c r="J5203" s="12" t="str">
        <f>HYPERLINK("https://www.boe.es/gazeta/dias/1801/06/12/pdfs/GMD-1801-52.pdf#page=7","Abrir facsímil")</f>
        <v>Abrir facsímil</v>
      </c>
      <c r="K5203" s="15" t="s">
        <v>23</v>
      </c>
    </row>
    <row r="5204" spans="1:11" ht="42" customHeight="1">
      <c r="A5204" s="4" t="s">
        <v>11868</v>
      </c>
      <c r="B5204" s="5" t="s">
        <v>11869</v>
      </c>
      <c r="C5204" s="5" t="s">
        <v>32</v>
      </c>
      <c r="D5204" s="5" t="s">
        <v>33</v>
      </c>
      <c r="E5204" s="5" t="s">
        <v>1436</v>
      </c>
      <c r="F5204" s="9">
        <v>95</v>
      </c>
      <c r="G5204" s="9">
        <v>1043</v>
      </c>
      <c r="H5204" s="5" t="s">
        <v>21</v>
      </c>
      <c r="I5204" s="5" t="s">
        <v>11870</v>
      </c>
      <c r="J5204" s="12" t="str">
        <f>HYPERLINK("https://www.boe.es/gazeta/dias/1801/10/06/pdfs/GMD-1801-95.pdf#page=7","Abrir facsímil")</f>
        <v>Abrir facsímil</v>
      </c>
      <c r="K5204" s="15" t="s">
        <v>23</v>
      </c>
    </row>
    <row r="5205" spans="1:11" ht="42" customHeight="1">
      <c r="A5205" s="4" t="s">
        <v>11871</v>
      </c>
      <c r="B5205" s="5" t="s">
        <v>11872</v>
      </c>
      <c r="C5205" s="5" t="s">
        <v>18</v>
      </c>
      <c r="D5205" s="5" t="s">
        <v>19</v>
      </c>
      <c r="E5205" s="5" t="s">
        <v>128</v>
      </c>
      <c r="F5205" s="9">
        <v>17</v>
      </c>
      <c r="G5205" s="9">
        <v>215</v>
      </c>
      <c r="H5205" s="5" t="s">
        <v>21</v>
      </c>
      <c r="I5205" s="5" t="s">
        <v>11873</v>
      </c>
      <c r="J5205" s="12" t="str">
        <f>HYPERLINK("https://www.boe.es/gazeta/dias/1801/02/27/pdfs/GMD-1801-17.pdf#page=10","Abrir facsímil")</f>
        <v>Abrir facsímil</v>
      </c>
      <c r="K5205" s="15" t="s">
        <v>23</v>
      </c>
    </row>
    <row r="5206" spans="1:11" ht="42" customHeight="1">
      <c r="A5206" s="4" t="s">
        <v>11871</v>
      </c>
      <c r="B5206" s="5" t="s">
        <v>11872</v>
      </c>
      <c r="C5206" s="5" t="s">
        <v>18</v>
      </c>
      <c r="D5206" s="5" t="s">
        <v>19</v>
      </c>
      <c r="E5206" s="5" t="s">
        <v>131</v>
      </c>
      <c r="F5206" s="9">
        <v>22</v>
      </c>
      <c r="G5206" s="9">
        <v>293</v>
      </c>
      <c r="H5206" s="5" t="s">
        <v>21</v>
      </c>
      <c r="I5206" s="5" t="s">
        <v>11874</v>
      </c>
      <c r="J5206" s="12" t="str">
        <f>HYPERLINK("https://www.boe.es/gazeta/dias/1801/03/17/pdfs/GMD-1801-22.pdf#page=10","Abrir facsímil")</f>
        <v>Abrir facsímil</v>
      </c>
      <c r="K5206" s="15" t="s">
        <v>23</v>
      </c>
    </row>
    <row r="5207" spans="1:11" ht="42" customHeight="1">
      <c r="A5207" s="4" t="s">
        <v>11871</v>
      </c>
      <c r="B5207" s="5" t="s">
        <v>11872</v>
      </c>
      <c r="C5207" s="5" t="s">
        <v>18</v>
      </c>
      <c r="D5207" s="5" t="s">
        <v>19</v>
      </c>
      <c r="E5207" s="5" t="s">
        <v>352</v>
      </c>
      <c r="F5207" s="9">
        <v>43</v>
      </c>
      <c r="G5207" s="9">
        <v>539</v>
      </c>
      <c r="H5207" s="5" t="s">
        <v>21</v>
      </c>
      <c r="I5207" s="5" t="s">
        <v>11875</v>
      </c>
      <c r="J5207" s="12" t="str">
        <f>HYPERLINK("https://www.boe.es/gazeta/dias/1801/05/26/pdfs/GMD-1801-43.pdf#page=11","Abrir facsímil")</f>
        <v>Abrir facsímil</v>
      </c>
      <c r="K5207" s="15" t="s">
        <v>23</v>
      </c>
    </row>
    <row r="5208" spans="1:11" ht="42" customHeight="1">
      <c r="A5208" s="4" t="s">
        <v>11871</v>
      </c>
      <c r="B5208" s="5" t="s">
        <v>11872</v>
      </c>
      <c r="C5208" s="5" t="s">
        <v>18</v>
      </c>
      <c r="D5208" s="5" t="s">
        <v>19</v>
      </c>
      <c r="E5208" s="5" t="s">
        <v>201</v>
      </c>
      <c r="F5208" s="9">
        <v>79</v>
      </c>
      <c r="G5208" s="9">
        <v>890</v>
      </c>
      <c r="H5208" s="5" t="s">
        <v>21</v>
      </c>
      <c r="I5208" s="5" t="s">
        <v>11876</v>
      </c>
      <c r="J5208" s="12" t="str">
        <f>HYPERLINK("https://www.boe.es/gazeta/dias/1801/08/18/pdfs/GMD-1801-79.pdf#page=7","Abrir facsímil")</f>
        <v>Abrir facsímil</v>
      </c>
      <c r="K5208" s="15" t="s">
        <v>23</v>
      </c>
    </row>
    <row r="5209" spans="1:11" ht="42" customHeight="1">
      <c r="A5209" s="4" t="s">
        <v>11877</v>
      </c>
      <c r="B5209" s="5" t="s">
        <v>11878</v>
      </c>
      <c r="C5209" s="5" t="s">
        <v>32</v>
      </c>
      <c r="D5209" s="5" t="s">
        <v>33</v>
      </c>
      <c r="E5209" s="5" t="s">
        <v>275</v>
      </c>
      <c r="F5209" s="9">
        <v>9</v>
      </c>
      <c r="G5209" s="9">
        <v>112</v>
      </c>
      <c r="H5209" s="5" t="s">
        <v>21</v>
      </c>
      <c r="I5209" s="5" t="s">
        <v>11879</v>
      </c>
      <c r="J5209" s="12" t="str">
        <f>HYPERLINK("https://www.boe.es/gazeta/dias/1801/01/30/pdfs/GMD-1801-9.pdf#page=9","Abrir facsímil")</f>
        <v>Abrir facsímil</v>
      </c>
      <c r="K5209" s="15" t="s">
        <v>23</v>
      </c>
    </row>
    <row r="5210" spans="1:11" ht="42" customHeight="1">
      <c r="A5210" s="4" t="s">
        <v>11880</v>
      </c>
      <c r="B5210" s="5" t="s">
        <v>11881</v>
      </c>
      <c r="C5210" s="5" t="s">
        <v>32</v>
      </c>
      <c r="D5210" s="5" t="s">
        <v>33</v>
      </c>
      <c r="E5210" s="5" t="s">
        <v>223</v>
      </c>
      <c r="F5210" s="9">
        <v>74</v>
      </c>
      <c r="G5210" s="9">
        <v>827</v>
      </c>
      <c r="H5210" s="5" t="s">
        <v>21</v>
      </c>
      <c r="I5210" s="5" t="s">
        <v>11882</v>
      </c>
      <c r="J5210" s="12" t="str">
        <f>HYPERLINK("https://www.boe.es/gazeta/dias/1801/07/31/pdfs/GMD-1801-74.pdf#page=8","Abrir facsímil")</f>
        <v>Abrir facsímil</v>
      </c>
      <c r="K5210" s="15" t="s">
        <v>23</v>
      </c>
    </row>
    <row r="5211" spans="1:11" ht="42" customHeight="1">
      <c r="A5211" s="4" t="s">
        <v>11883</v>
      </c>
      <c r="B5211" s="5" t="s">
        <v>11884</v>
      </c>
      <c r="C5211" s="5" t="s">
        <v>69</v>
      </c>
      <c r="D5211" s="5" t="s">
        <v>19</v>
      </c>
      <c r="E5211" s="5" t="s">
        <v>112</v>
      </c>
      <c r="F5211" s="9">
        <v>114</v>
      </c>
      <c r="G5211" s="9">
        <v>1248</v>
      </c>
      <c r="H5211" s="5" t="s">
        <v>21</v>
      </c>
      <c r="I5211" s="5" t="s">
        <v>11885</v>
      </c>
      <c r="J5211" s="12" t="str">
        <f>HYPERLINK("https://www.boe.es/gazeta/dias/1801/12/11/pdfs/GMD-1801-114.pdf#page=10","Abrir facsímil")</f>
        <v>Abrir facsímil</v>
      </c>
      <c r="K5211" s="15" t="s">
        <v>23</v>
      </c>
    </row>
    <row r="5212" spans="1:11" ht="42" customHeight="1">
      <c r="A5212" s="4" t="s">
        <v>11886</v>
      </c>
      <c r="B5212" s="5" t="s">
        <v>11886</v>
      </c>
      <c r="C5212" s="5" t="s">
        <v>69</v>
      </c>
      <c r="D5212" s="5" t="s">
        <v>19</v>
      </c>
      <c r="E5212" s="5" t="s">
        <v>112</v>
      </c>
      <c r="F5212" s="9">
        <v>114</v>
      </c>
      <c r="G5212" s="9">
        <v>1247</v>
      </c>
      <c r="H5212" s="5" t="s">
        <v>21</v>
      </c>
      <c r="I5212" s="5" t="s">
        <v>11887</v>
      </c>
      <c r="J5212" s="12" t="str">
        <f>HYPERLINK("https://www.boe.es/gazeta/dias/1801/12/11/pdfs/GMD-1801-114.pdf#page=9","Abrir facsímil")</f>
        <v>Abrir facsímil</v>
      </c>
      <c r="K5212" s="15" t="s">
        <v>23</v>
      </c>
    </row>
    <row r="5213" spans="1:11" ht="42" customHeight="1">
      <c r="A5213" s="4" t="s">
        <v>11888</v>
      </c>
      <c r="B5213" s="5" t="s">
        <v>11889</v>
      </c>
      <c r="C5213" s="5" t="s">
        <v>32</v>
      </c>
      <c r="D5213" s="5" t="s">
        <v>33</v>
      </c>
      <c r="E5213" s="5" t="s">
        <v>313</v>
      </c>
      <c r="F5213" s="9">
        <v>39</v>
      </c>
      <c r="G5213" s="9">
        <v>506</v>
      </c>
      <c r="H5213" s="5" t="s">
        <v>21</v>
      </c>
      <c r="I5213" s="5" t="s">
        <v>11890</v>
      </c>
      <c r="J5213" s="12" t="str">
        <f>HYPERLINK("https://www.boe.es/gazeta/dias/1801/05/15/pdfs/GMD-1801-39.pdf#page=10","Abrir facsímil")</f>
        <v>Abrir facsímil</v>
      </c>
      <c r="K5213" s="15" t="s">
        <v>23</v>
      </c>
    </row>
    <row r="5214" spans="1:11" ht="42" customHeight="1">
      <c r="A5214" s="4" t="s">
        <v>11891</v>
      </c>
      <c r="B5214" s="5" t="s">
        <v>11892</v>
      </c>
      <c r="C5214" s="5" t="s">
        <v>32</v>
      </c>
      <c r="D5214" s="5" t="s">
        <v>33</v>
      </c>
      <c r="E5214" s="5" t="s">
        <v>44</v>
      </c>
      <c r="F5214" s="9">
        <v>117</v>
      </c>
      <c r="G5214" s="9">
        <v>1282</v>
      </c>
      <c r="H5214" s="5" t="s">
        <v>21</v>
      </c>
      <c r="I5214" s="5" t="s">
        <v>11893</v>
      </c>
      <c r="J5214" s="12" t="str">
        <f>HYPERLINK("https://www.boe.es/gazeta/dias/1801/12/22/pdfs/GMD-1801-117.pdf#page=9","Abrir facsímil")</f>
        <v>Abrir facsímil</v>
      </c>
      <c r="K5214" s="15" t="s">
        <v>23</v>
      </c>
    </row>
    <row r="5215" spans="1:11" ht="42" customHeight="1">
      <c r="A5215" s="4" t="s">
        <v>11894</v>
      </c>
      <c r="B5215" s="5" t="s">
        <v>11894</v>
      </c>
      <c r="C5215" s="5" t="s">
        <v>75</v>
      </c>
      <c r="D5215" s="5" t="s">
        <v>76</v>
      </c>
      <c r="E5215" s="5" t="s">
        <v>94</v>
      </c>
      <c r="F5215" s="9">
        <v>19</v>
      </c>
      <c r="G5215" s="9">
        <v>244</v>
      </c>
      <c r="H5215" s="5" t="s">
        <v>21</v>
      </c>
      <c r="I5215" s="5" t="s">
        <v>11895</v>
      </c>
      <c r="J5215" s="12" t="str">
        <f>HYPERLINK("https://www.boe.es/gazeta/dias/1801/03/06/pdfs/GMD-1801-19.pdf#page=9","Abrir facsímil")</f>
        <v>Abrir facsímil</v>
      </c>
      <c r="K5215" s="15" t="s">
        <v>23</v>
      </c>
    </row>
    <row r="5216" spans="1:11" ht="42" customHeight="1">
      <c r="A5216" s="4" t="s">
        <v>11896</v>
      </c>
      <c r="B5216" s="5" t="s">
        <v>11897</v>
      </c>
      <c r="C5216" s="5" t="s">
        <v>80</v>
      </c>
      <c r="D5216" s="5" t="s">
        <v>81</v>
      </c>
      <c r="E5216" s="5" t="s">
        <v>289</v>
      </c>
      <c r="F5216" s="9">
        <v>40</v>
      </c>
      <c r="G5216" s="9" t="s">
        <v>83</v>
      </c>
      <c r="H5216" s="5" t="s">
        <v>21</v>
      </c>
      <c r="I5216" s="5" t="s">
        <v>11898</v>
      </c>
      <c r="J5216" s="12" t="str">
        <f>HYPERLINK("https://www.boe.es/gazeta/dias/1801/05/19/pdfs/GMD-C-1801-40.pdf#page=2","Abrir facsímil")</f>
        <v>Abrir facsímil</v>
      </c>
      <c r="K5216" s="15" t="s">
        <v>23</v>
      </c>
    </row>
    <row r="5217" spans="1:11" ht="42" customHeight="1">
      <c r="A5217" s="4" t="s">
        <v>11899</v>
      </c>
      <c r="B5217" s="5" t="s">
        <v>11900</v>
      </c>
      <c r="C5217" s="5" t="s">
        <v>69</v>
      </c>
      <c r="D5217" s="5" t="s">
        <v>19</v>
      </c>
      <c r="E5217" s="5" t="s">
        <v>359</v>
      </c>
      <c r="F5217" s="9">
        <v>101</v>
      </c>
      <c r="G5217" s="9">
        <v>1113</v>
      </c>
      <c r="H5217" s="5" t="s">
        <v>21</v>
      </c>
      <c r="I5217" s="5" t="s">
        <v>11901</v>
      </c>
      <c r="J5217" s="12" t="str">
        <f>HYPERLINK("https://www.boe.es/gazeta/dias/1801/10/27/pdfs/GMD-1801-101.pdf#page=6","Abrir facsímil")</f>
        <v>Abrir facsímil</v>
      </c>
      <c r="K5217" s="15" t="s">
        <v>23</v>
      </c>
    </row>
    <row r="5218" spans="1:11" ht="42" customHeight="1">
      <c r="A5218" s="4" t="s">
        <v>11902</v>
      </c>
      <c r="B5218" s="5" t="s">
        <v>11903</v>
      </c>
      <c r="C5218" s="5" t="s">
        <v>80</v>
      </c>
      <c r="D5218" s="5" t="s">
        <v>81</v>
      </c>
      <c r="E5218" s="5" t="s">
        <v>289</v>
      </c>
      <c r="F5218" s="9">
        <v>40</v>
      </c>
      <c r="G5218" s="9" t="s">
        <v>517</v>
      </c>
      <c r="H5218" s="5" t="s">
        <v>21</v>
      </c>
      <c r="I5218" s="5" t="s">
        <v>11904</v>
      </c>
      <c r="J5218" s="12" t="str">
        <f>HYPERLINK("https://www.boe.es/gazeta/dias/1801/05/19/pdfs/GMD-C-1801-40.pdf#page=7","Abrir facsímil")</f>
        <v>Abrir facsímil</v>
      </c>
      <c r="K5218" s="15" t="s">
        <v>23</v>
      </c>
    </row>
    <row r="5219" spans="1:11" ht="42" customHeight="1">
      <c r="A5219" s="4" t="s">
        <v>11905</v>
      </c>
      <c r="B5219" s="5" t="s">
        <v>11906</v>
      </c>
      <c r="C5219" s="5" t="s">
        <v>69</v>
      </c>
      <c r="D5219" s="5" t="s">
        <v>19</v>
      </c>
      <c r="E5219" s="5" t="s">
        <v>1085</v>
      </c>
      <c r="F5219" s="9">
        <v>99</v>
      </c>
      <c r="G5219" s="9">
        <v>1090</v>
      </c>
      <c r="H5219" s="5" t="s">
        <v>21</v>
      </c>
      <c r="I5219" s="5" t="s">
        <v>11907</v>
      </c>
      <c r="J5219" s="12" t="str">
        <f>HYPERLINK("https://www.boe.es/gazeta/dias/1801/10/20/pdfs/GMD-1801-99.pdf#page=7","Abrir facsímil")</f>
        <v>Abrir facsímil</v>
      </c>
      <c r="K5219" s="15" t="s">
        <v>23</v>
      </c>
    </row>
    <row r="5220" spans="1:11" ht="42" customHeight="1">
      <c r="A5220" s="4" t="s">
        <v>11908</v>
      </c>
      <c r="B5220" s="5" t="s">
        <v>11909</v>
      </c>
      <c r="C5220" s="5" t="s">
        <v>32</v>
      </c>
      <c r="D5220" s="5" t="s">
        <v>33</v>
      </c>
      <c r="E5220" s="5" t="s">
        <v>161</v>
      </c>
      <c r="F5220" s="9">
        <v>58</v>
      </c>
      <c r="G5220" s="9">
        <v>664</v>
      </c>
      <c r="H5220" s="5" t="s">
        <v>21</v>
      </c>
      <c r="I5220" s="5" t="s">
        <v>11910</v>
      </c>
      <c r="J5220" s="12" t="str">
        <f>HYPERLINK("https://www.boe.es/gazeta/dias/1801/06/19/pdfs/GMD-1801-58.pdf#page=9","Abrir facsímil")</f>
        <v>Abrir facsímil</v>
      </c>
      <c r="K5220" s="15" t="s">
        <v>23</v>
      </c>
    </row>
    <row r="5221" spans="1:11" ht="42" customHeight="1">
      <c r="A5221" s="4" t="s">
        <v>11911</v>
      </c>
      <c r="B5221" s="5" t="s">
        <v>11912</v>
      </c>
      <c r="C5221" s="5" t="s">
        <v>38</v>
      </c>
      <c r="D5221" s="5" t="s">
        <v>39</v>
      </c>
      <c r="E5221" s="5" t="s">
        <v>1058</v>
      </c>
      <c r="F5221" s="9">
        <v>108</v>
      </c>
      <c r="G5221" s="9">
        <v>1194</v>
      </c>
      <c r="H5221" s="5" t="s">
        <v>21</v>
      </c>
      <c r="I5221" s="5" t="s">
        <v>11913</v>
      </c>
      <c r="J5221" s="12" t="str">
        <f>HYPERLINK("https://www.boe.es/gazeta/dias/1801/11/20/pdfs/GMD-1801-108.pdf#page=11","Abrir facsímil")</f>
        <v>Abrir facsímil</v>
      </c>
      <c r="K5221" s="15" t="s">
        <v>23</v>
      </c>
    </row>
    <row r="5222" spans="1:11" ht="42" customHeight="1">
      <c r="A5222" s="4" t="s">
        <v>11914</v>
      </c>
      <c r="B5222" s="5" t="s">
        <v>11915</v>
      </c>
      <c r="C5222" s="5" t="s">
        <v>18</v>
      </c>
      <c r="D5222" s="5" t="s">
        <v>19</v>
      </c>
      <c r="E5222" s="5" t="s">
        <v>99</v>
      </c>
      <c r="F5222" s="9">
        <v>32</v>
      </c>
      <c r="G5222" s="9">
        <v>415</v>
      </c>
      <c r="H5222" s="5" t="s">
        <v>21</v>
      </c>
      <c r="I5222" s="5" t="s">
        <v>11916</v>
      </c>
      <c r="J5222" s="12" t="str">
        <f>HYPERLINK("https://www.boe.es/gazeta/dias/1801/04/21/pdfs/GMD-1801-32.pdf#page=11","Abrir facsímil")</f>
        <v>Abrir facsímil</v>
      </c>
      <c r="K5222" s="15" t="s">
        <v>23</v>
      </c>
    </row>
    <row r="5223" spans="1:11" ht="42" customHeight="1">
      <c r="A5223" s="4" t="s">
        <v>11917</v>
      </c>
      <c r="B5223" s="5" t="s">
        <v>11918</v>
      </c>
      <c r="C5223" s="5" t="s">
        <v>32</v>
      </c>
      <c r="D5223" s="5" t="s">
        <v>33</v>
      </c>
      <c r="E5223" s="5" t="s">
        <v>328</v>
      </c>
      <c r="F5223" s="9">
        <v>89</v>
      </c>
      <c r="G5223" s="9">
        <v>982</v>
      </c>
      <c r="H5223" s="5" t="s">
        <v>21</v>
      </c>
      <c r="I5223" s="5" t="s">
        <v>11919</v>
      </c>
      <c r="J5223" s="12" t="str">
        <f>HYPERLINK("https://www.boe.es/gazeta/dias/1801/09/15/pdfs/GMD-1801-89.pdf#page=9","Abrir facsímil")</f>
        <v>Abrir facsímil</v>
      </c>
      <c r="K5223" s="15" t="s">
        <v>23</v>
      </c>
    </row>
    <row r="5224" spans="1:11" ht="42" customHeight="1">
      <c r="A5224" s="4" t="s">
        <v>11920</v>
      </c>
      <c r="B5224" s="5" t="s">
        <v>11921</v>
      </c>
      <c r="C5224" s="5" t="s">
        <v>26</v>
      </c>
      <c r="D5224" s="5" t="s">
        <v>27</v>
      </c>
      <c r="E5224" s="5" t="s">
        <v>501</v>
      </c>
      <c r="F5224" s="9">
        <v>115</v>
      </c>
      <c r="G5224" s="9" t="s">
        <v>668</v>
      </c>
      <c r="H5224" s="5" t="s">
        <v>21</v>
      </c>
      <c r="I5224" s="5" t="s">
        <v>11922</v>
      </c>
      <c r="J5224" s="12" t="str">
        <f>HYPERLINK("https://www.boe.es/gazeta/dias/1801/12/15/pdfs/GMD-C-1801-115.pdf#page=1","Abrir facsímil")</f>
        <v>Abrir facsímil</v>
      </c>
      <c r="K5224" s="15" t="s">
        <v>23</v>
      </c>
    </row>
    <row r="5225" spans="1:11" ht="42" customHeight="1">
      <c r="A5225" s="4" t="s">
        <v>11923</v>
      </c>
      <c r="B5225" s="5" t="s">
        <v>11924</v>
      </c>
      <c r="C5225" s="5" t="s">
        <v>80</v>
      </c>
      <c r="D5225" s="5" t="s">
        <v>81</v>
      </c>
      <c r="E5225" s="5" t="s">
        <v>289</v>
      </c>
      <c r="F5225" s="9">
        <v>40</v>
      </c>
      <c r="G5225" s="9" t="s">
        <v>996</v>
      </c>
      <c r="H5225" s="5" t="s">
        <v>21</v>
      </c>
      <c r="I5225" s="5" t="s">
        <v>11925</v>
      </c>
      <c r="J5225" s="12" t="str">
        <f>HYPERLINK("https://www.boe.es/gazeta/dias/1801/05/19/pdfs/GMD-C-1801-40.pdf#page=6","Abrir facsímil")</f>
        <v>Abrir facsímil</v>
      </c>
      <c r="K5225" s="15" t="s">
        <v>23</v>
      </c>
    </row>
    <row r="5226" spans="1:11" ht="42" customHeight="1">
      <c r="A5226" s="4" t="s">
        <v>11926</v>
      </c>
      <c r="B5226" s="5" t="s">
        <v>11927</v>
      </c>
      <c r="C5226" s="5" t="s">
        <v>75</v>
      </c>
      <c r="D5226" s="5" t="s">
        <v>76</v>
      </c>
      <c r="E5226" s="5" t="s">
        <v>321</v>
      </c>
      <c r="F5226" s="9">
        <v>3</v>
      </c>
      <c r="G5226" s="9">
        <v>31</v>
      </c>
      <c r="H5226" s="5" t="s">
        <v>21</v>
      </c>
      <c r="I5226" s="5" t="s">
        <v>11928</v>
      </c>
      <c r="J5226" s="12" t="str">
        <f>HYPERLINK("https://www.boe.es/gazeta/dias/1801/01/09/pdfs/GMD-1801-3.pdf#page=7","Abrir facsímil")</f>
        <v>Abrir facsímil</v>
      </c>
      <c r="K5226" s="15" t="s">
        <v>23</v>
      </c>
    </row>
    <row r="5227" spans="1:11" ht="42" customHeight="1">
      <c r="A5227" s="4" t="s">
        <v>11929</v>
      </c>
      <c r="B5227" s="5" t="s">
        <v>11930</v>
      </c>
      <c r="C5227" s="5" t="s">
        <v>32</v>
      </c>
      <c r="D5227" s="5" t="s">
        <v>33</v>
      </c>
      <c r="E5227" s="5" t="s">
        <v>70</v>
      </c>
      <c r="F5227" s="9">
        <v>2</v>
      </c>
      <c r="G5227" s="9">
        <v>21</v>
      </c>
      <c r="H5227" s="5" t="s">
        <v>21</v>
      </c>
      <c r="I5227" s="5" t="s">
        <v>11931</v>
      </c>
      <c r="J5227" s="12" t="str">
        <f>HYPERLINK("https://www.boe.es/gazeta/dias/1801/01/06/pdfs/GMD-1801-2.pdf#page=9","Abrir facsímil")</f>
        <v>Abrir facsímil</v>
      </c>
      <c r="K5227" s="15" t="s">
        <v>23</v>
      </c>
    </row>
    <row r="5228" spans="1:11" ht="42" customHeight="1">
      <c r="A5228" s="4" t="s">
        <v>11932</v>
      </c>
      <c r="B5228" s="5" t="s">
        <v>11933</v>
      </c>
      <c r="C5228" s="5" t="s">
        <v>38</v>
      </c>
      <c r="D5228" s="5" t="s">
        <v>39</v>
      </c>
      <c r="E5228" s="5" t="s">
        <v>161</v>
      </c>
      <c r="F5228" s="9">
        <v>58</v>
      </c>
      <c r="G5228" s="9">
        <v>662</v>
      </c>
      <c r="H5228" s="5" t="s">
        <v>21</v>
      </c>
      <c r="I5228" s="5" t="s">
        <v>11934</v>
      </c>
      <c r="J5228" s="12" t="str">
        <f>HYPERLINK("https://www.boe.es/gazeta/dias/1801/06/19/pdfs/GMD-1801-58.pdf#page=7","Abrir facsímil")</f>
        <v>Abrir facsímil</v>
      </c>
      <c r="K5228" s="15" t="s">
        <v>23</v>
      </c>
    </row>
    <row r="5229" spans="1:11" ht="42" customHeight="1">
      <c r="A5229" s="4" t="s">
        <v>11935</v>
      </c>
      <c r="B5229" s="5" t="s">
        <v>11936</v>
      </c>
      <c r="C5229" s="5" t="s">
        <v>32</v>
      </c>
      <c r="D5229" s="5" t="s">
        <v>33</v>
      </c>
      <c r="E5229" s="5" t="s">
        <v>640</v>
      </c>
      <c r="F5229" s="9">
        <v>81</v>
      </c>
      <c r="G5229" s="9">
        <v>910</v>
      </c>
      <c r="H5229" s="5" t="s">
        <v>21</v>
      </c>
      <c r="I5229" s="5" t="s">
        <v>11937</v>
      </c>
      <c r="J5229" s="12" t="str">
        <f>HYPERLINK("https://www.boe.es/gazeta/dias/1801/08/25/pdfs/GMD-1801-81.pdf#page=7","Abrir facsímil")</f>
        <v>Abrir facsímil</v>
      </c>
      <c r="K5229" s="15" t="s">
        <v>23</v>
      </c>
    </row>
    <row r="5230" spans="1:11" ht="42" customHeight="1">
      <c r="A5230" s="4" t="s">
        <v>11938</v>
      </c>
      <c r="B5230" s="5" t="s">
        <v>11939</v>
      </c>
      <c r="C5230" s="5" t="s">
        <v>75</v>
      </c>
      <c r="D5230" s="5" t="s">
        <v>76</v>
      </c>
      <c r="E5230" s="5" t="s">
        <v>321</v>
      </c>
      <c r="F5230" s="9">
        <v>3</v>
      </c>
      <c r="G5230" s="9">
        <v>30</v>
      </c>
      <c r="H5230" s="5" t="s">
        <v>21</v>
      </c>
      <c r="I5230" s="5" t="s">
        <v>11940</v>
      </c>
      <c r="J5230" s="12" t="str">
        <f>HYPERLINK("https://www.boe.es/gazeta/dias/1801/01/09/pdfs/GMD-1801-3.pdf#page=6","Abrir facsímil")</f>
        <v>Abrir facsímil</v>
      </c>
      <c r="K5230" s="15" t="s">
        <v>23</v>
      </c>
    </row>
    <row r="5231" spans="1:11" ht="42" customHeight="1">
      <c r="A5231" s="4" t="s">
        <v>11941</v>
      </c>
      <c r="B5231" s="5" t="s">
        <v>11942</v>
      </c>
      <c r="C5231" s="5" t="s">
        <v>75</v>
      </c>
      <c r="D5231" s="5" t="s">
        <v>76</v>
      </c>
      <c r="E5231" s="5" t="s">
        <v>465</v>
      </c>
      <c r="F5231" s="9">
        <v>4</v>
      </c>
      <c r="G5231" s="9">
        <v>45</v>
      </c>
      <c r="H5231" s="5" t="s">
        <v>21</v>
      </c>
      <c r="I5231" s="5" t="s">
        <v>11943</v>
      </c>
      <c r="J5231" s="12" t="str">
        <f>HYPERLINK("https://www.boe.es/gazeta/dias/1801/01/13/pdfs/GMD-1801-4.pdf#page=9","Abrir facsímil")</f>
        <v>Abrir facsímil</v>
      </c>
      <c r="K5231" s="15" t="s">
        <v>23</v>
      </c>
    </row>
    <row r="5232" spans="1:11" ht="42" customHeight="1">
      <c r="A5232" s="4" t="s">
        <v>11941</v>
      </c>
      <c r="B5232" s="5" t="s">
        <v>11942</v>
      </c>
      <c r="C5232" s="5" t="s">
        <v>75</v>
      </c>
      <c r="D5232" s="5" t="s">
        <v>76</v>
      </c>
      <c r="E5232" s="5" t="s">
        <v>462</v>
      </c>
      <c r="F5232" s="9">
        <v>5</v>
      </c>
      <c r="G5232" s="9">
        <v>55</v>
      </c>
      <c r="H5232" s="5" t="s">
        <v>21</v>
      </c>
      <c r="I5232" s="5" t="s">
        <v>11944</v>
      </c>
      <c r="J5232" s="12" t="str">
        <f>HYPERLINK("https://www.boe.es/gazeta/dias/1801/01/16/pdfs/GMD-1801-5.pdf#page=7","Abrir facsímil")</f>
        <v>Abrir facsímil</v>
      </c>
      <c r="K5232" s="15" t="s">
        <v>23</v>
      </c>
    </row>
    <row r="5233" spans="1:11" ht="42" customHeight="1">
      <c r="A5233" s="4" t="s">
        <v>11941</v>
      </c>
      <c r="B5233" s="5" t="s">
        <v>11942</v>
      </c>
      <c r="C5233" s="5" t="s">
        <v>75</v>
      </c>
      <c r="D5233" s="5" t="s">
        <v>76</v>
      </c>
      <c r="E5233" s="5" t="s">
        <v>62</v>
      </c>
      <c r="F5233" s="9">
        <v>6</v>
      </c>
      <c r="G5233" s="9">
        <v>70</v>
      </c>
      <c r="H5233" s="5" t="s">
        <v>21</v>
      </c>
      <c r="I5233" s="5" t="s">
        <v>11945</v>
      </c>
      <c r="J5233" s="12" t="str">
        <f>HYPERLINK("https://www.boe.es/gazeta/dias/1801/01/20/pdfs/GMD-1801-6.pdf#page=6","Abrir facsímil")</f>
        <v>Abrir facsímil</v>
      </c>
      <c r="K5233" s="15" t="s">
        <v>23</v>
      </c>
    </row>
    <row r="5234" spans="1:11" ht="42" customHeight="1">
      <c r="A5234" s="4" t="s">
        <v>11941</v>
      </c>
      <c r="B5234" s="5" t="s">
        <v>11942</v>
      </c>
      <c r="C5234" s="5" t="s">
        <v>75</v>
      </c>
      <c r="D5234" s="5" t="s">
        <v>76</v>
      </c>
      <c r="E5234" s="5" t="s">
        <v>275</v>
      </c>
      <c r="F5234" s="9">
        <v>9</v>
      </c>
      <c r="G5234" s="9">
        <v>107</v>
      </c>
      <c r="H5234" s="5" t="s">
        <v>21</v>
      </c>
      <c r="I5234" s="5" t="s">
        <v>11946</v>
      </c>
      <c r="J5234" s="12" t="str">
        <f>HYPERLINK("https://www.boe.es/gazeta/dias/1801/01/30/pdfs/GMD-1801-9.pdf#page=4","Abrir facsímil")</f>
        <v>Abrir facsímil</v>
      </c>
      <c r="K5234" s="15" t="s">
        <v>23</v>
      </c>
    </row>
    <row r="5235" spans="1:11" ht="42" customHeight="1">
      <c r="A5235" s="4" t="s">
        <v>11941</v>
      </c>
      <c r="B5235" s="5" t="s">
        <v>11942</v>
      </c>
      <c r="C5235" s="5" t="s">
        <v>75</v>
      </c>
      <c r="D5235" s="5" t="s">
        <v>76</v>
      </c>
      <c r="E5235" s="5" t="s">
        <v>275</v>
      </c>
      <c r="F5235" s="9">
        <v>9</v>
      </c>
      <c r="G5235" s="9">
        <v>108</v>
      </c>
      <c r="H5235" s="5" t="s">
        <v>21</v>
      </c>
      <c r="I5235" s="5" t="s">
        <v>11947</v>
      </c>
      <c r="J5235" s="12" t="str">
        <f>HYPERLINK("https://www.boe.es/gazeta/dias/1801/01/30/pdfs/GMD-1801-9.pdf#page=5","Abrir facsímil")</f>
        <v>Abrir facsímil</v>
      </c>
      <c r="K5235" s="15" t="s">
        <v>23</v>
      </c>
    </row>
    <row r="5236" spans="1:11" ht="42" customHeight="1">
      <c r="A5236" s="4" t="s">
        <v>11941</v>
      </c>
      <c r="B5236" s="5" t="s">
        <v>11942</v>
      </c>
      <c r="C5236" s="5" t="s">
        <v>75</v>
      </c>
      <c r="D5236" s="5" t="s">
        <v>76</v>
      </c>
      <c r="E5236" s="5" t="s">
        <v>124</v>
      </c>
      <c r="F5236" s="9">
        <v>12</v>
      </c>
      <c r="G5236" s="9">
        <v>146</v>
      </c>
      <c r="H5236" s="5" t="s">
        <v>21</v>
      </c>
      <c r="I5236" s="5" t="s">
        <v>11948</v>
      </c>
      <c r="J5236" s="12" t="str">
        <f>HYPERLINK("https://www.boe.es/gazeta/dias/1801/02/10/pdfs/GMD-1801-12.pdf#page=7","Abrir facsímil")</f>
        <v>Abrir facsímil</v>
      </c>
      <c r="K5236" s="15" t="s">
        <v>23</v>
      </c>
    </row>
    <row r="5237" spans="1:11" ht="42" customHeight="1">
      <c r="A5237" s="4" t="s">
        <v>11941</v>
      </c>
      <c r="B5237" s="5" t="s">
        <v>11942</v>
      </c>
      <c r="C5237" s="5" t="s">
        <v>18</v>
      </c>
      <c r="D5237" s="5" t="s">
        <v>19</v>
      </c>
      <c r="E5237" s="5" t="s">
        <v>126</v>
      </c>
      <c r="F5237" s="9">
        <v>13</v>
      </c>
      <c r="G5237" s="9">
        <v>162</v>
      </c>
      <c r="H5237" s="5" t="s">
        <v>21</v>
      </c>
      <c r="I5237" s="5" t="s">
        <v>11949</v>
      </c>
      <c r="J5237" s="12" t="str">
        <f>HYPERLINK("https://www.boe.es/gazeta/dias/1801/02/13/pdfs/GMD-1801-13.pdf#page=9","Abrir facsímil")</f>
        <v>Abrir facsímil</v>
      </c>
      <c r="K5237" s="15" t="s">
        <v>23</v>
      </c>
    </row>
    <row r="5238" spans="1:11" ht="42" customHeight="1">
      <c r="A5238" s="4" t="s">
        <v>11941</v>
      </c>
      <c r="B5238" s="5" t="s">
        <v>11942</v>
      </c>
      <c r="C5238" s="5" t="s">
        <v>32</v>
      </c>
      <c r="D5238" s="5" t="s">
        <v>33</v>
      </c>
      <c r="E5238" s="5" t="s">
        <v>131</v>
      </c>
      <c r="F5238" s="9">
        <v>22</v>
      </c>
      <c r="G5238" s="9">
        <v>284</v>
      </c>
      <c r="H5238" s="5" t="s">
        <v>21</v>
      </c>
      <c r="I5238" s="5" t="s">
        <v>11950</v>
      </c>
      <c r="J5238" s="12" t="str">
        <f>HYPERLINK("https://www.boe.es/gazeta/dias/1801/03/17/pdfs/GMD-1801-22.pdf#page=1","Abrir facsímil")</f>
        <v>Abrir facsímil</v>
      </c>
      <c r="K5238" s="15" t="s">
        <v>23</v>
      </c>
    </row>
    <row r="5239" spans="1:11" ht="42" customHeight="1">
      <c r="A5239" s="4" t="s">
        <v>11941</v>
      </c>
      <c r="B5239" s="5" t="s">
        <v>11942</v>
      </c>
      <c r="C5239" s="5" t="s">
        <v>38</v>
      </c>
      <c r="D5239" s="5" t="s">
        <v>39</v>
      </c>
      <c r="E5239" s="5" t="s">
        <v>2430</v>
      </c>
      <c r="F5239" s="9">
        <v>27</v>
      </c>
      <c r="G5239" s="9">
        <v>353</v>
      </c>
      <c r="H5239" s="5" t="s">
        <v>21</v>
      </c>
      <c r="I5239" s="5" t="s">
        <v>11951</v>
      </c>
      <c r="J5239" s="12" t="str">
        <f>HYPERLINK("https://www.boe.es/gazeta/dias/1801/04/03/pdfs/GMD-1801-27.pdf#page=5","Abrir facsímil")</f>
        <v>Abrir facsímil</v>
      </c>
      <c r="K5239" s="15" t="s">
        <v>23</v>
      </c>
    </row>
    <row r="5240" spans="1:11" ht="42" customHeight="1">
      <c r="A5240" s="4" t="s">
        <v>11941</v>
      </c>
      <c r="B5240" s="5" t="s">
        <v>11942</v>
      </c>
      <c r="C5240" s="5" t="s">
        <v>75</v>
      </c>
      <c r="D5240" s="5" t="s">
        <v>76</v>
      </c>
      <c r="E5240" s="5" t="s">
        <v>50</v>
      </c>
      <c r="F5240" s="9">
        <v>29</v>
      </c>
      <c r="G5240" s="9">
        <v>380</v>
      </c>
      <c r="H5240" s="5" t="s">
        <v>21</v>
      </c>
      <c r="I5240" s="5" t="s">
        <v>11952</v>
      </c>
      <c r="J5240" s="12" t="str">
        <f>HYPERLINK("https://www.boe.es/gazeta/dias/1801/04/10/pdfs/GMD-1801-29.pdf#page=8","Abrir facsímil")</f>
        <v>Abrir facsímil</v>
      </c>
      <c r="K5240" s="15" t="s">
        <v>23</v>
      </c>
    </row>
    <row r="5241" spans="1:11" ht="42" customHeight="1">
      <c r="A5241" s="4" t="s">
        <v>11941</v>
      </c>
      <c r="B5241" s="5" t="s">
        <v>11942</v>
      </c>
      <c r="C5241" s="5" t="s">
        <v>75</v>
      </c>
      <c r="D5241" s="5" t="s">
        <v>76</v>
      </c>
      <c r="E5241" s="5" t="s">
        <v>137</v>
      </c>
      <c r="F5241" s="9">
        <v>30</v>
      </c>
      <c r="G5241" s="9">
        <v>392</v>
      </c>
      <c r="H5241" s="5" t="s">
        <v>21</v>
      </c>
      <c r="I5241" s="5" t="s">
        <v>11953</v>
      </c>
      <c r="J5241" s="12" t="str">
        <f>HYPERLINK("https://www.boe.es/gazeta/dias/1801/04/14/pdfs/GMD-1801-30.pdf#page=8","Abrir facsímil")</f>
        <v>Abrir facsímil</v>
      </c>
      <c r="K5241" s="15" t="s">
        <v>23</v>
      </c>
    </row>
    <row r="5242" spans="1:11" ht="42" customHeight="1">
      <c r="A5242" s="4" t="s">
        <v>11941</v>
      </c>
      <c r="B5242" s="5" t="s">
        <v>11942</v>
      </c>
      <c r="C5242" s="5" t="s">
        <v>32</v>
      </c>
      <c r="D5242" s="5" t="s">
        <v>33</v>
      </c>
      <c r="E5242" s="5" t="s">
        <v>99</v>
      </c>
      <c r="F5242" s="9">
        <v>32</v>
      </c>
      <c r="G5242" s="9">
        <v>411</v>
      </c>
      <c r="H5242" s="5" t="s">
        <v>21</v>
      </c>
      <c r="I5242" s="5" t="s">
        <v>11954</v>
      </c>
      <c r="J5242" s="12" t="str">
        <f>HYPERLINK("https://www.boe.es/gazeta/dias/1801/04/21/pdfs/GMD-1801-32.pdf#page=7","Abrir facsímil")</f>
        <v>Abrir facsímil</v>
      </c>
      <c r="K5242" s="15" t="s">
        <v>23</v>
      </c>
    </row>
    <row r="5243" spans="1:11" ht="42" customHeight="1">
      <c r="A5243" s="4" t="s">
        <v>11941</v>
      </c>
      <c r="B5243" s="5" t="s">
        <v>11942</v>
      </c>
      <c r="C5243" s="5" t="s">
        <v>32</v>
      </c>
      <c r="D5243" s="5" t="s">
        <v>33</v>
      </c>
      <c r="E5243" s="5" t="s">
        <v>141</v>
      </c>
      <c r="F5243" s="9">
        <v>33</v>
      </c>
      <c r="G5243" s="9">
        <v>417</v>
      </c>
      <c r="H5243" s="5" t="s">
        <v>21</v>
      </c>
      <c r="I5243" s="5" t="s">
        <v>11955</v>
      </c>
      <c r="J5243" s="12" t="str">
        <f>HYPERLINK("https://www.boe.es/gazeta/dias/1801/04/24/pdfs/GMD-1801-33.pdf#page=1","Abrir facsímil")</f>
        <v>Abrir facsímil</v>
      </c>
      <c r="K5243" s="15" t="s">
        <v>23</v>
      </c>
    </row>
    <row r="5244" spans="1:11" ht="42" customHeight="1">
      <c r="A5244" s="4" t="s">
        <v>11941</v>
      </c>
      <c r="B5244" s="5" t="s">
        <v>11942</v>
      </c>
      <c r="C5244" s="5" t="s">
        <v>38</v>
      </c>
      <c r="D5244" s="5" t="s">
        <v>39</v>
      </c>
      <c r="E5244" s="5" t="s">
        <v>143</v>
      </c>
      <c r="F5244" s="9">
        <v>34</v>
      </c>
      <c r="G5244" s="9">
        <v>429</v>
      </c>
      <c r="H5244" s="5" t="s">
        <v>21</v>
      </c>
      <c r="I5244" s="5" t="s">
        <v>11956</v>
      </c>
      <c r="J5244" s="12" t="str">
        <f>HYPERLINK("https://www.boe.es/gazeta/dias/1801/04/28/pdfs/GMD-1801-34.pdf#page=1","Abrir facsímil")</f>
        <v>Abrir facsímil</v>
      </c>
      <c r="K5244" s="15" t="s">
        <v>23</v>
      </c>
    </row>
    <row r="5245" spans="1:11" ht="42" customHeight="1">
      <c r="A5245" s="4" t="s">
        <v>11941</v>
      </c>
      <c r="B5245" s="5" t="s">
        <v>11942</v>
      </c>
      <c r="C5245" s="5" t="s">
        <v>75</v>
      </c>
      <c r="D5245" s="5" t="s">
        <v>76</v>
      </c>
      <c r="E5245" s="5" t="s">
        <v>34</v>
      </c>
      <c r="F5245" s="9">
        <v>38</v>
      </c>
      <c r="G5245" s="9">
        <v>491</v>
      </c>
      <c r="H5245" s="5" t="s">
        <v>21</v>
      </c>
      <c r="I5245" s="5" t="s">
        <v>11957</v>
      </c>
      <c r="J5245" s="12" t="str">
        <f>HYPERLINK("https://www.boe.es/gazeta/dias/1801/05/12/pdfs/GMD-1801-38.pdf#page=7","Abrir facsímil")</f>
        <v>Abrir facsímil</v>
      </c>
      <c r="K5245" s="15" t="s">
        <v>23</v>
      </c>
    </row>
    <row r="5246" spans="1:11" ht="42" customHeight="1">
      <c r="A5246" s="4" t="s">
        <v>11941</v>
      </c>
      <c r="B5246" s="5" t="s">
        <v>11942</v>
      </c>
      <c r="C5246" s="5" t="s">
        <v>75</v>
      </c>
      <c r="D5246" s="5" t="s">
        <v>76</v>
      </c>
      <c r="E5246" s="5" t="s">
        <v>101</v>
      </c>
      <c r="F5246" s="9">
        <v>41</v>
      </c>
      <c r="G5246" s="9">
        <v>522</v>
      </c>
      <c r="H5246" s="5" t="s">
        <v>21</v>
      </c>
      <c r="I5246" s="5" t="s">
        <v>11958</v>
      </c>
      <c r="J5246" s="12" t="str">
        <f>HYPERLINK("https://www.boe.es/gazeta/dias/1801/05/22/pdfs/GMD-1801-41.pdf#page=6","Abrir facsímil")</f>
        <v>Abrir facsímil</v>
      </c>
      <c r="K5246" s="15" t="s">
        <v>23</v>
      </c>
    </row>
    <row r="5247" spans="1:11" ht="42" customHeight="1">
      <c r="A5247" s="4" t="s">
        <v>11941</v>
      </c>
      <c r="B5247" s="5" t="s">
        <v>11942</v>
      </c>
      <c r="C5247" s="5" t="s">
        <v>75</v>
      </c>
      <c r="D5247" s="5" t="s">
        <v>76</v>
      </c>
      <c r="E5247" s="5" t="s">
        <v>155</v>
      </c>
      <c r="F5247" s="9">
        <v>50</v>
      </c>
      <c r="G5247" s="9">
        <v>589</v>
      </c>
      <c r="H5247" s="5" t="s">
        <v>21</v>
      </c>
      <c r="I5247" s="5" t="s">
        <v>11959</v>
      </c>
      <c r="J5247" s="12" t="str">
        <f>HYPERLINK("https://www.boe.es/gazeta/dias/1801/06/09/pdfs/GMD-1801-50.pdf#page=1","Abrir facsímil")</f>
        <v>Abrir facsímil</v>
      </c>
      <c r="K5247" s="15" t="s">
        <v>23</v>
      </c>
    </row>
    <row r="5248" spans="1:11" ht="42" customHeight="1">
      <c r="A5248" s="4" t="s">
        <v>11941</v>
      </c>
      <c r="B5248" s="5" t="s">
        <v>11942</v>
      </c>
      <c r="C5248" s="5" t="s">
        <v>38</v>
      </c>
      <c r="D5248" s="5" t="s">
        <v>39</v>
      </c>
      <c r="E5248" s="5" t="s">
        <v>155</v>
      </c>
      <c r="F5248" s="9">
        <v>50</v>
      </c>
      <c r="G5248" s="9">
        <v>592</v>
      </c>
      <c r="H5248" s="5" t="s">
        <v>21</v>
      </c>
      <c r="I5248" s="5" t="s">
        <v>11960</v>
      </c>
      <c r="J5248" s="12" t="str">
        <f>HYPERLINK("https://www.boe.es/gazeta/dias/1801/06/09/pdfs/GMD-1801-50.pdf#page=4","Abrir facsímil")</f>
        <v>Abrir facsímil</v>
      </c>
      <c r="K5248" s="15" t="s">
        <v>23</v>
      </c>
    </row>
    <row r="5249" spans="1:11" ht="42" customHeight="1">
      <c r="A5249" s="4" t="s">
        <v>11941</v>
      </c>
      <c r="B5249" s="5" t="s">
        <v>11942</v>
      </c>
      <c r="C5249" s="5" t="s">
        <v>38</v>
      </c>
      <c r="D5249" s="5" t="s">
        <v>39</v>
      </c>
      <c r="E5249" s="5" t="s">
        <v>158</v>
      </c>
      <c r="F5249" s="9">
        <v>55</v>
      </c>
      <c r="G5249" s="9">
        <v>629</v>
      </c>
      <c r="H5249" s="5" t="s">
        <v>21</v>
      </c>
      <c r="I5249" s="5" t="s">
        <v>11961</v>
      </c>
      <c r="J5249" s="12" t="str">
        <f>HYPERLINK("https://www.boe.es/gazeta/dias/1801/06/16/pdfs/GMD-1801-55.pdf#page=5","Abrir facsímil")</f>
        <v>Abrir facsímil</v>
      </c>
      <c r="K5249" s="15" t="s">
        <v>23</v>
      </c>
    </row>
    <row r="5250" spans="1:11" ht="42" customHeight="1">
      <c r="A5250" s="4" t="s">
        <v>11941</v>
      </c>
      <c r="B5250" s="5" t="s">
        <v>11942</v>
      </c>
      <c r="C5250" s="5" t="s">
        <v>32</v>
      </c>
      <c r="D5250" s="5" t="s">
        <v>33</v>
      </c>
      <c r="E5250" s="5" t="s">
        <v>165</v>
      </c>
      <c r="F5250" s="9">
        <v>59</v>
      </c>
      <c r="G5250" s="9">
        <v>674</v>
      </c>
      <c r="H5250" s="5" t="s">
        <v>21</v>
      </c>
      <c r="I5250" s="5" t="s">
        <v>11962</v>
      </c>
      <c r="J5250" s="12" t="str">
        <f>HYPERLINK("https://www.boe.es/gazeta/dias/1801/06/23/pdfs/GMD-1801-59.pdf#page=7","Abrir facsímil")</f>
        <v>Abrir facsímil</v>
      </c>
      <c r="K5250" s="15" t="s">
        <v>23</v>
      </c>
    </row>
    <row r="5251" spans="1:11" ht="42" customHeight="1">
      <c r="A5251" s="4" t="s">
        <v>11941</v>
      </c>
      <c r="B5251" s="5" t="s">
        <v>11942</v>
      </c>
      <c r="C5251" s="5" t="s">
        <v>38</v>
      </c>
      <c r="D5251" s="5" t="s">
        <v>39</v>
      </c>
      <c r="E5251" s="5" t="s">
        <v>72</v>
      </c>
      <c r="F5251" s="9">
        <v>60</v>
      </c>
      <c r="G5251" s="9">
        <v>687</v>
      </c>
      <c r="H5251" s="5" t="s">
        <v>21</v>
      </c>
      <c r="I5251" s="5" t="s">
        <v>11963</v>
      </c>
      <c r="J5251" s="12" t="str">
        <f>HYPERLINK("https://www.boe.es/gazeta/dias/1801/06/26/pdfs/GMD-1801-60.pdf#page=8","Abrir facsímil")</f>
        <v>Abrir facsímil</v>
      </c>
      <c r="K5251" s="15" t="s">
        <v>23</v>
      </c>
    </row>
    <row r="5252" spans="1:11" ht="42" customHeight="1">
      <c r="A5252" s="4" t="s">
        <v>11941</v>
      </c>
      <c r="B5252" s="5" t="s">
        <v>11942</v>
      </c>
      <c r="C5252" s="5" t="s">
        <v>32</v>
      </c>
      <c r="D5252" s="5" t="s">
        <v>33</v>
      </c>
      <c r="E5252" s="5" t="s">
        <v>72</v>
      </c>
      <c r="F5252" s="9">
        <v>60</v>
      </c>
      <c r="G5252" s="9">
        <v>688</v>
      </c>
      <c r="H5252" s="5" t="s">
        <v>21</v>
      </c>
      <c r="I5252" s="5" t="s">
        <v>11964</v>
      </c>
      <c r="J5252" s="12" t="str">
        <f>HYPERLINK("https://www.boe.es/gazeta/dias/1801/06/26/pdfs/GMD-1801-60.pdf#page=9","Abrir facsímil")</f>
        <v>Abrir facsímil</v>
      </c>
      <c r="K5252" s="15" t="s">
        <v>23</v>
      </c>
    </row>
    <row r="5253" spans="1:11" ht="42" customHeight="1">
      <c r="A5253" s="4" t="s">
        <v>11941</v>
      </c>
      <c r="B5253" s="5" t="s">
        <v>11942</v>
      </c>
      <c r="C5253" s="5" t="s">
        <v>75</v>
      </c>
      <c r="D5253" s="5" t="s">
        <v>76</v>
      </c>
      <c r="E5253" s="5" t="s">
        <v>223</v>
      </c>
      <c r="F5253" s="9">
        <v>74</v>
      </c>
      <c r="G5253" s="9">
        <v>826</v>
      </c>
      <c r="H5253" s="5" t="s">
        <v>21</v>
      </c>
      <c r="I5253" s="5" t="s">
        <v>11965</v>
      </c>
      <c r="J5253" s="12" t="str">
        <f>HYPERLINK("https://www.boe.es/gazeta/dias/1801/07/31/pdfs/GMD-1801-74.pdf#page=7","Abrir facsímil")</f>
        <v>Abrir facsímil</v>
      </c>
      <c r="K5253" s="15" t="s">
        <v>23</v>
      </c>
    </row>
    <row r="5254" spans="1:11" ht="42" customHeight="1">
      <c r="A5254" s="4" t="s">
        <v>11941</v>
      </c>
      <c r="B5254" s="5" t="s">
        <v>11942</v>
      </c>
      <c r="C5254" s="5" t="s">
        <v>38</v>
      </c>
      <c r="D5254" s="5" t="s">
        <v>39</v>
      </c>
      <c r="E5254" s="5" t="s">
        <v>82</v>
      </c>
      <c r="F5254" s="9">
        <v>75</v>
      </c>
      <c r="G5254" s="9">
        <v>832</v>
      </c>
      <c r="H5254" s="5" t="s">
        <v>21</v>
      </c>
      <c r="I5254" s="5" t="s">
        <v>11966</v>
      </c>
      <c r="J5254" s="12" t="str">
        <f>HYPERLINK("https://www.boe.es/gazeta/dias/1801/08/04/pdfs/GMD-1801-75.pdf#page=1","Abrir facsímil")</f>
        <v>Abrir facsímil</v>
      </c>
      <c r="K5254" s="15" t="s">
        <v>23</v>
      </c>
    </row>
    <row r="5255" spans="1:11" ht="42" customHeight="1">
      <c r="A5255" s="4" t="s">
        <v>11941</v>
      </c>
      <c r="B5255" s="5" t="s">
        <v>11942</v>
      </c>
      <c r="C5255" s="5" t="s">
        <v>38</v>
      </c>
      <c r="D5255" s="5" t="s">
        <v>39</v>
      </c>
      <c r="E5255" s="5" t="s">
        <v>82</v>
      </c>
      <c r="F5255" s="9">
        <v>75</v>
      </c>
      <c r="G5255" s="9">
        <v>836</v>
      </c>
      <c r="H5255" s="5" t="s">
        <v>21</v>
      </c>
      <c r="I5255" s="5" t="s">
        <v>11967</v>
      </c>
      <c r="J5255" s="12" t="str">
        <f>HYPERLINK("https://www.boe.es/gazeta/dias/1801/08/04/pdfs/GMD-1801-75.pdf#page=5","Abrir facsímil")</f>
        <v>Abrir facsímil</v>
      </c>
      <c r="K5255" s="15" t="s">
        <v>23</v>
      </c>
    </row>
    <row r="5256" spans="1:11" ht="42" customHeight="1">
      <c r="A5256" s="4" t="s">
        <v>11941</v>
      </c>
      <c r="B5256" s="5" t="s">
        <v>11942</v>
      </c>
      <c r="C5256" s="5" t="s">
        <v>38</v>
      </c>
      <c r="D5256" s="5" t="s">
        <v>39</v>
      </c>
      <c r="E5256" s="5" t="s">
        <v>171</v>
      </c>
      <c r="F5256" s="9">
        <v>76</v>
      </c>
      <c r="G5256" s="9">
        <v>844</v>
      </c>
      <c r="H5256" s="5" t="s">
        <v>21</v>
      </c>
      <c r="I5256" s="5" t="s">
        <v>11968</v>
      </c>
      <c r="J5256" s="12" t="str">
        <f>HYPERLINK("https://www.boe.es/gazeta/dias/1801/08/07/pdfs/GMD-1801-76.pdf#page=1","Abrir facsímil")</f>
        <v>Abrir facsímil</v>
      </c>
      <c r="K5256" s="15" t="s">
        <v>23</v>
      </c>
    </row>
    <row r="5257" spans="1:11" ht="42" customHeight="1">
      <c r="A5257" s="4" t="s">
        <v>11941</v>
      </c>
      <c r="B5257" s="5" t="s">
        <v>11942</v>
      </c>
      <c r="C5257" s="5" t="s">
        <v>75</v>
      </c>
      <c r="D5257" s="5" t="s">
        <v>76</v>
      </c>
      <c r="E5257" s="5" t="s">
        <v>256</v>
      </c>
      <c r="F5257" s="9">
        <v>78</v>
      </c>
      <c r="G5257" s="9">
        <v>874</v>
      </c>
      <c r="H5257" s="5" t="s">
        <v>21</v>
      </c>
      <c r="I5257" s="5" t="s">
        <v>11969</v>
      </c>
      <c r="J5257" s="12" t="str">
        <f>HYPERLINK("https://www.boe.es/gazeta/dias/1801/08/14/pdfs/GMD-1801-78.pdf#page=3","Abrir facsímil")</f>
        <v>Abrir facsímil</v>
      </c>
      <c r="K5257" s="15" t="s">
        <v>23</v>
      </c>
    </row>
    <row r="5258" spans="1:11" ht="42" customHeight="1">
      <c r="A5258" s="4" t="s">
        <v>11941</v>
      </c>
      <c r="B5258" s="5" t="s">
        <v>11942</v>
      </c>
      <c r="C5258" s="5" t="s">
        <v>38</v>
      </c>
      <c r="D5258" s="5" t="s">
        <v>39</v>
      </c>
      <c r="E5258" s="5" t="s">
        <v>919</v>
      </c>
      <c r="F5258" s="9">
        <v>91</v>
      </c>
      <c r="G5258" s="9">
        <v>1001</v>
      </c>
      <c r="H5258" s="5" t="s">
        <v>21</v>
      </c>
      <c r="I5258" s="5" t="s">
        <v>11970</v>
      </c>
      <c r="J5258" s="12" t="str">
        <f>HYPERLINK("https://www.boe.es/gazeta/dias/1801/09/22/pdfs/GMD-1801-91.pdf#page=4","Abrir facsímil")</f>
        <v>Abrir facsímil</v>
      </c>
      <c r="K5258" s="15" t="s">
        <v>23</v>
      </c>
    </row>
    <row r="5259" spans="1:11" ht="42" customHeight="1">
      <c r="A5259" s="4" t="s">
        <v>11941</v>
      </c>
      <c r="B5259" s="5" t="s">
        <v>11942</v>
      </c>
      <c r="C5259" s="5" t="s">
        <v>38</v>
      </c>
      <c r="D5259" s="5" t="s">
        <v>39</v>
      </c>
      <c r="E5259" s="5" t="s">
        <v>77</v>
      </c>
      <c r="F5259" s="9">
        <v>93</v>
      </c>
      <c r="G5259" s="9">
        <v>1019</v>
      </c>
      <c r="H5259" s="5" t="s">
        <v>21</v>
      </c>
      <c r="I5259" s="5" t="s">
        <v>11971</v>
      </c>
      <c r="J5259" s="12" t="str">
        <f>HYPERLINK("https://www.boe.es/gazeta/dias/1801/09/29/pdfs/GMD-1801-93.pdf#page=6","Abrir facsímil")</f>
        <v>Abrir facsímil</v>
      </c>
      <c r="K5259" s="15" t="s">
        <v>23</v>
      </c>
    </row>
    <row r="5260" spans="1:11" ht="42" customHeight="1">
      <c r="A5260" s="4" t="s">
        <v>11941</v>
      </c>
      <c r="B5260" s="5" t="s">
        <v>11942</v>
      </c>
      <c r="C5260" s="5" t="s">
        <v>38</v>
      </c>
      <c r="D5260" s="5" t="s">
        <v>39</v>
      </c>
      <c r="E5260" s="5" t="s">
        <v>505</v>
      </c>
      <c r="F5260" s="9">
        <v>94</v>
      </c>
      <c r="G5260" s="9">
        <v>1029</v>
      </c>
      <c r="H5260" s="5" t="s">
        <v>21</v>
      </c>
      <c r="I5260" s="5" t="s">
        <v>11972</v>
      </c>
      <c r="J5260" s="12" t="str">
        <f>HYPERLINK("https://www.boe.es/gazeta/dias/1801/10/02/pdfs/GMD-1801-94.pdf#page=5","Abrir facsímil")</f>
        <v>Abrir facsímil</v>
      </c>
      <c r="K5260" s="15" t="s">
        <v>23</v>
      </c>
    </row>
    <row r="5261" spans="1:11" ht="42" customHeight="1">
      <c r="A5261" s="4" t="s">
        <v>11941</v>
      </c>
      <c r="B5261" s="5" t="s">
        <v>11942</v>
      </c>
      <c r="C5261" s="5" t="s">
        <v>32</v>
      </c>
      <c r="D5261" s="5" t="s">
        <v>33</v>
      </c>
      <c r="E5261" s="5" t="s">
        <v>735</v>
      </c>
      <c r="F5261" s="9">
        <v>97</v>
      </c>
      <c r="G5261" s="9">
        <v>1062</v>
      </c>
      <c r="H5261" s="5" t="s">
        <v>21</v>
      </c>
      <c r="I5261" s="5" t="s">
        <v>11973</v>
      </c>
      <c r="J5261" s="12" t="str">
        <f>HYPERLINK("https://www.boe.es/gazeta/dias/1801/10/13/pdfs/GMD-1801-97.pdf#page=6","Abrir facsímil")</f>
        <v>Abrir facsímil</v>
      </c>
      <c r="K5261" s="15" t="s">
        <v>23</v>
      </c>
    </row>
    <row r="5262" spans="1:11" ht="42" customHeight="1">
      <c r="A5262" s="4" t="s">
        <v>11941</v>
      </c>
      <c r="B5262" s="5" t="s">
        <v>11942</v>
      </c>
      <c r="C5262" s="5" t="s">
        <v>38</v>
      </c>
      <c r="D5262" s="5" t="s">
        <v>39</v>
      </c>
      <c r="E5262" s="5" t="s">
        <v>173</v>
      </c>
      <c r="F5262" s="9">
        <v>98</v>
      </c>
      <c r="G5262" s="9">
        <v>1073</v>
      </c>
      <c r="H5262" s="5" t="s">
        <v>21</v>
      </c>
      <c r="I5262" s="5" t="s">
        <v>11974</v>
      </c>
      <c r="J5262" s="12" t="str">
        <f>HYPERLINK("https://www.boe.es/gazeta/dias/1801/10/16/pdfs/GMD-1801-98.pdf#page=5","Abrir facsímil")</f>
        <v>Abrir facsímil</v>
      </c>
      <c r="K5262" s="15" t="s">
        <v>23</v>
      </c>
    </row>
    <row r="5263" spans="1:11" ht="42" customHeight="1">
      <c r="A5263" s="4" t="s">
        <v>11941</v>
      </c>
      <c r="B5263" s="5" t="s">
        <v>11942</v>
      </c>
      <c r="C5263" s="5" t="s">
        <v>38</v>
      </c>
      <c r="D5263" s="5" t="s">
        <v>39</v>
      </c>
      <c r="E5263" s="5" t="s">
        <v>1085</v>
      </c>
      <c r="F5263" s="9">
        <v>99</v>
      </c>
      <c r="G5263" s="9">
        <v>1088</v>
      </c>
      <c r="H5263" s="5" t="s">
        <v>21</v>
      </c>
      <c r="I5263" s="5" t="s">
        <v>11975</v>
      </c>
      <c r="J5263" s="12" t="str">
        <f>HYPERLINK("https://www.boe.es/gazeta/dias/1801/10/20/pdfs/GMD-1801-99.pdf#page=5","Abrir facsímil")</f>
        <v>Abrir facsímil</v>
      </c>
      <c r="K5263" s="15" t="s">
        <v>23</v>
      </c>
    </row>
    <row r="5264" spans="1:11" ht="42" customHeight="1">
      <c r="A5264" s="4" t="s">
        <v>11941</v>
      </c>
      <c r="B5264" s="5" t="s">
        <v>11942</v>
      </c>
      <c r="C5264" s="5" t="s">
        <v>26</v>
      </c>
      <c r="D5264" s="5" t="s">
        <v>27</v>
      </c>
      <c r="E5264" s="5" t="s">
        <v>888</v>
      </c>
      <c r="F5264" s="9">
        <v>103</v>
      </c>
      <c r="G5264" s="9">
        <v>1128</v>
      </c>
      <c r="H5264" s="5" t="s">
        <v>21</v>
      </c>
      <c r="I5264" s="5" t="s">
        <v>11976</v>
      </c>
      <c r="J5264" s="12" t="str">
        <f>HYPERLINK("https://www.boe.es/gazeta/dias/1801/11/03/pdfs/GMD-1801-103.pdf#page=1","Abrir facsímil")</f>
        <v>Abrir facsímil</v>
      </c>
      <c r="K5264" s="15" t="s">
        <v>23</v>
      </c>
    </row>
    <row r="5265" spans="1:11" ht="42" customHeight="1">
      <c r="A5265" s="4" t="s">
        <v>11941</v>
      </c>
      <c r="B5265" s="5" t="s">
        <v>11942</v>
      </c>
      <c r="C5265" s="5" t="s">
        <v>18</v>
      </c>
      <c r="D5265" s="5" t="s">
        <v>19</v>
      </c>
      <c r="E5265" s="5" t="s">
        <v>712</v>
      </c>
      <c r="F5265" s="9">
        <v>105</v>
      </c>
      <c r="G5265" s="9">
        <v>1148</v>
      </c>
      <c r="H5265" s="5" t="s">
        <v>21</v>
      </c>
      <c r="I5265" s="5" t="s">
        <v>11977</v>
      </c>
      <c r="J5265" s="12" t="str">
        <f>HYPERLINK("https://www.boe.es/gazeta/dias/1801/11/10/pdfs/GMD-1801-105.pdf#page=1","Abrir facsímil")</f>
        <v>Abrir facsímil</v>
      </c>
      <c r="K5265" s="15" t="s">
        <v>23</v>
      </c>
    </row>
    <row r="5266" spans="1:11" ht="42" customHeight="1">
      <c r="A5266" s="4" t="s">
        <v>11941</v>
      </c>
      <c r="B5266" s="5" t="s">
        <v>11942</v>
      </c>
      <c r="C5266" s="5" t="s">
        <v>69</v>
      </c>
      <c r="D5266" s="5" t="s">
        <v>19</v>
      </c>
      <c r="E5266" s="5" t="s">
        <v>1058</v>
      </c>
      <c r="F5266" s="9">
        <v>108</v>
      </c>
      <c r="G5266" s="9">
        <v>1184</v>
      </c>
      <c r="H5266" s="5" t="s">
        <v>21</v>
      </c>
      <c r="I5266" s="5" t="s">
        <v>11978</v>
      </c>
      <c r="J5266" s="12" t="str">
        <f>HYPERLINK("https://www.boe.es/gazeta/dias/1801/11/20/pdfs/GMD-1801-108.pdf#page=1","Abrir facsímil")</f>
        <v>Abrir facsímil</v>
      </c>
      <c r="K5266" s="15" t="s">
        <v>23</v>
      </c>
    </row>
    <row r="5267" spans="1:11" ht="42" customHeight="1">
      <c r="A5267" s="4" t="s">
        <v>11941</v>
      </c>
      <c r="B5267" s="5" t="s">
        <v>11942</v>
      </c>
      <c r="C5267" s="5" t="s">
        <v>75</v>
      </c>
      <c r="D5267" s="5" t="s">
        <v>76</v>
      </c>
      <c r="E5267" s="5" t="s">
        <v>935</v>
      </c>
      <c r="F5267" s="9">
        <v>116</v>
      </c>
      <c r="G5267" s="9">
        <v>1265</v>
      </c>
      <c r="H5267" s="5" t="s">
        <v>21</v>
      </c>
      <c r="I5267" s="5" t="s">
        <v>11979</v>
      </c>
      <c r="J5267" s="12" t="str">
        <f>HYPERLINK("https://www.boe.es/gazeta/dias/1801/12/18/pdfs/GMD-1801-116.pdf#page=7","Abrir facsímil")</f>
        <v>Abrir facsímil</v>
      </c>
      <c r="K5267" s="15" t="s">
        <v>23</v>
      </c>
    </row>
    <row r="5268" spans="1:11" ht="42" customHeight="1">
      <c r="A5268" s="4" t="s">
        <v>11941</v>
      </c>
      <c r="B5268" s="5" t="s">
        <v>11942</v>
      </c>
      <c r="C5268" s="5" t="s">
        <v>38</v>
      </c>
      <c r="D5268" s="5" t="s">
        <v>39</v>
      </c>
      <c r="E5268" s="5" t="s">
        <v>309</v>
      </c>
      <c r="F5268" s="9">
        <v>118</v>
      </c>
      <c r="G5268" s="9">
        <v>1290</v>
      </c>
      <c r="H5268" s="5" t="s">
        <v>21</v>
      </c>
      <c r="I5268" s="5" t="s">
        <v>11980</v>
      </c>
      <c r="J5268" s="12" t="str">
        <f>HYPERLINK("https://www.boe.es/gazeta/dias/1801/12/25/pdfs/GMD-1801-118.pdf#page=5","Abrir facsímil")</f>
        <v>Abrir facsímil</v>
      </c>
      <c r="K5268" s="15" t="s">
        <v>23</v>
      </c>
    </row>
    <row r="5269" spans="1:11" ht="42" customHeight="1">
      <c r="A5269" s="4" t="s">
        <v>11941</v>
      </c>
      <c r="B5269" s="5" t="s">
        <v>11942</v>
      </c>
      <c r="C5269" s="5" t="s">
        <v>38</v>
      </c>
      <c r="D5269" s="5" t="s">
        <v>39</v>
      </c>
      <c r="E5269" s="5" t="s">
        <v>266</v>
      </c>
      <c r="F5269" s="9">
        <v>119</v>
      </c>
      <c r="G5269" s="9">
        <v>1303</v>
      </c>
      <c r="H5269" s="5" t="s">
        <v>21</v>
      </c>
      <c r="I5269" s="5" t="s">
        <v>11981</v>
      </c>
      <c r="J5269" s="12" t="str">
        <f>HYPERLINK("https://www.boe.es/gazeta/dias/1801/12/29/pdfs/GMD-1801-119.pdf#page=7","Abrir facsímil")</f>
        <v>Abrir facsímil</v>
      </c>
      <c r="K5269" s="15" t="s">
        <v>23</v>
      </c>
    </row>
    <row r="5270" spans="1:11" ht="42" customHeight="1">
      <c r="A5270" s="4" t="s">
        <v>11982</v>
      </c>
      <c r="B5270" s="5" t="s">
        <v>11982</v>
      </c>
      <c r="C5270" s="5" t="s">
        <v>38</v>
      </c>
      <c r="D5270" s="5" t="s">
        <v>39</v>
      </c>
      <c r="E5270" s="5" t="s">
        <v>62</v>
      </c>
      <c r="F5270" s="9">
        <v>6</v>
      </c>
      <c r="G5270" s="9">
        <v>76</v>
      </c>
      <c r="H5270" s="5" t="s">
        <v>21</v>
      </c>
      <c r="I5270" s="5" t="s">
        <v>11983</v>
      </c>
      <c r="J5270" s="12" t="str">
        <f>HYPERLINK("https://www.boe.es/gazeta/dias/1801/01/20/pdfs/GMD-1801-6.pdf#page=12","Abrir facsímil")</f>
        <v>Abrir facsímil</v>
      </c>
      <c r="K5270" s="15" t="s">
        <v>23</v>
      </c>
    </row>
    <row r="5271" spans="1:11" ht="42" customHeight="1">
      <c r="A5271" s="4" t="s">
        <v>11984</v>
      </c>
      <c r="B5271" s="5" t="s">
        <v>11985</v>
      </c>
      <c r="C5271" s="5" t="s">
        <v>32</v>
      </c>
      <c r="D5271" s="5" t="s">
        <v>33</v>
      </c>
      <c r="E5271" s="5" t="s">
        <v>615</v>
      </c>
      <c r="F5271" s="9">
        <v>72</v>
      </c>
      <c r="G5271" s="9">
        <v>804</v>
      </c>
      <c r="H5271" s="5" t="s">
        <v>21</v>
      </c>
      <c r="I5271" s="5" t="s">
        <v>11986</v>
      </c>
      <c r="J5271" s="12" t="str">
        <f>HYPERLINK("https://www.boe.es/gazeta/dias/1801/07/24/pdfs/GMD-1801-72.pdf#page=9","Abrir facsímil")</f>
        <v>Abrir facsímil</v>
      </c>
      <c r="K5271" s="15" t="s">
        <v>23</v>
      </c>
    </row>
    <row r="5272" spans="1:11" ht="42" customHeight="1">
      <c r="A5272" s="4" t="s">
        <v>11987</v>
      </c>
      <c r="B5272" s="5" t="s">
        <v>11988</v>
      </c>
      <c r="C5272" s="5" t="s">
        <v>38</v>
      </c>
      <c r="D5272" s="5" t="s">
        <v>39</v>
      </c>
      <c r="E5272" s="5" t="s">
        <v>1436</v>
      </c>
      <c r="F5272" s="9">
        <v>95</v>
      </c>
      <c r="G5272" s="9">
        <v>1038</v>
      </c>
      <c r="H5272" s="5" t="s">
        <v>21</v>
      </c>
      <c r="I5272" s="5" t="s">
        <v>11989</v>
      </c>
      <c r="J5272" s="12" t="str">
        <f>HYPERLINK("https://www.boe.es/gazeta/dias/1801/10/06/pdfs/GMD-1801-95.pdf#page=2","Abrir facsímil")</f>
        <v>Abrir facsímil</v>
      </c>
      <c r="K5272" s="15" t="s">
        <v>23</v>
      </c>
    </row>
    <row r="5273" spans="1:11" ht="42" customHeight="1">
      <c r="A5273" s="4" t="s">
        <v>11990</v>
      </c>
      <c r="B5273" s="5" t="s">
        <v>11991</v>
      </c>
      <c r="C5273" s="5" t="s">
        <v>32</v>
      </c>
      <c r="D5273" s="5" t="s">
        <v>33</v>
      </c>
      <c r="E5273" s="5" t="s">
        <v>453</v>
      </c>
      <c r="F5273" s="9">
        <v>100</v>
      </c>
      <c r="G5273" s="9">
        <v>1100</v>
      </c>
      <c r="H5273" s="5" t="s">
        <v>21</v>
      </c>
      <c r="I5273" s="5" t="s">
        <v>11992</v>
      </c>
      <c r="J5273" s="12" t="str">
        <f>HYPERLINK("https://www.boe.es/gazeta/dias/1801/10/23/pdfs/GMD-1801-100.pdf#page=9","Abrir facsímil")</f>
        <v>Abrir facsímil</v>
      </c>
      <c r="K5273" s="15" t="s">
        <v>23</v>
      </c>
    </row>
    <row r="5274" spans="1:11" ht="42" customHeight="1">
      <c r="A5274" s="4" t="s">
        <v>11993</v>
      </c>
      <c r="B5274" s="5" t="s">
        <v>11994</v>
      </c>
      <c r="C5274" s="5" t="s">
        <v>38</v>
      </c>
      <c r="D5274" s="5" t="s">
        <v>39</v>
      </c>
      <c r="E5274" s="5" t="s">
        <v>131</v>
      </c>
      <c r="F5274" s="9">
        <v>22</v>
      </c>
      <c r="G5274" s="9">
        <v>285</v>
      </c>
      <c r="H5274" s="5" t="s">
        <v>21</v>
      </c>
      <c r="I5274" s="5" t="s">
        <v>11995</v>
      </c>
      <c r="J5274" s="12" t="str">
        <f>HYPERLINK("https://www.boe.es/gazeta/dias/1801/03/17/pdfs/GMD-1801-22.pdf#page=2","Abrir facsímil")</f>
        <v>Abrir facsímil</v>
      </c>
      <c r="K5274" s="15" t="s">
        <v>23</v>
      </c>
    </row>
    <row r="5275" spans="1:11" ht="42" customHeight="1">
      <c r="A5275" s="4" t="s">
        <v>11996</v>
      </c>
      <c r="B5275" s="5" t="s">
        <v>11997</v>
      </c>
      <c r="C5275" s="5" t="s">
        <v>75</v>
      </c>
      <c r="D5275" s="5" t="s">
        <v>76</v>
      </c>
      <c r="E5275" s="5" t="s">
        <v>201</v>
      </c>
      <c r="F5275" s="9">
        <v>79</v>
      </c>
      <c r="G5275" s="9">
        <v>887</v>
      </c>
      <c r="H5275" s="5" t="s">
        <v>21</v>
      </c>
      <c r="I5275" s="5" t="s">
        <v>11998</v>
      </c>
      <c r="J5275" s="12" t="str">
        <f>HYPERLINK("https://www.boe.es/gazeta/dias/1801/08/18/pdfs/GMD-1801-79.pdf#page=4","Abrir facsímil")</f>
        <v>Abrir facsímil</v>
      </c>
      <c r="K5275" s="15" t="s">
        <v>23</v>
      </c>
    </row>
    <row r="5276" spans="1:11" ht="42" customHeight="1">
      <c r="A5276" s="4" t="s">
        <v>11999</v>
      </c>
      <c r="B5276" s="5" t="s">
        <v>12000</v>
      </c>
      <c r="C5276" s="5" t="s">
        <v>32</v>
      </c>
      <c r="D5276" s="5" t="s">
        <v>33</v>
      </c>
      <c r="E5276" s="5" t="s">
        <v>349</v>
      </c>
      <c r="F5276" s="9">
        <v>112</v>
      </c>
      <c r="G5276" s="9">
        <v>1225</v>
      </c>
      <c r="H5276" s="5" t="s">
        <v>21</v>
      </c>
      <c r="I5276" s="5" t="s">
        <v>12001</v>
      </c>
      <c r="J5276" s="12" t="str">
        <f>HYPERLINK("https://www.boe.es/gazeta/dias/1801/12/04/pdfs/GMD-1801-112.pdf#page=6","Abrir facsímil")</f>
        <v>Abrir facsímil</v>
      </c>
      <c r="K5276" s="15" t="s">
        <v>23</v>
      </c>
    </row>
    <row r="5277" spans="1:11" ht="42" customHeight="1">
      <c r="A5277" s="4" t="s">
        <v>12002</v>
      </c>
      <c r="B5277" s="5" t="s">
        <v>12003</v>
      </c>
      <c r="C5277" s="5" t="s">
        <v>32</v>
      </c>
      <c r="D5277" s="5" t="s">
        <v>33</v>
      </c>
      <c r="E5277" s="5" t="s">
        <v>90</v>
      </c>
      <c r="F5277" s="9">
        <v>1</v>
      </c>
      <c r="G5277" s="9">
        <v>9</v>
      </c>
      <c r="H5277" s="5" t="s">
        <v>21</v>
      </c>
      <c r="I5277" s="5" t="s">
        <v>12004</v>
      </c>
      <c r="J5277" s="12" t="str">
        <f>HYPERLINK("https://www.boe.es/gazeta/dias/1801/01/02/pdfs/GMD-1801-1.pdf#page=9","Abrir facsímil")</f>
        <v>Abrir facsímil</v>
      </c>
      <c r="K5277" s="15" t="s">
        <v>23</v>
      </c>
    </row>
    <row r="5278" spans="1:11" ht="42" customHeight="1">
      <c r="A5278" s="4" t="s">
        <v>12005</v>
      </c>
      <c r="B5278" s="5" t="s">
        <v>12005</v>
      </c>
      <c r="C5278" s="5" t="s">
        <v>75</v>
      </c>
      <c r="D5278" s="5" t="s">
        <v>76</v>
      </c>
      <c r="E5278" s="5" t="s">
        <v>173</v>
      </c>
      <c r="F5278" s="9">
        <v>98</v>
      </c>
      <c r="G5278" s="9">
        <v>1070</v>
      </c>
      <c r="H5278" s="5" t="s">
        <v>21</v>
      </c>
      <c r="I5278" s="5" t="s">
        <v>12006</v>
      </c>
      <c r="J5278" s="12" t="str">
        <f>HYPERLINK("https://www.boe.es/gazeta/dias/1801/10/16/pdfs/GMD-1801-98.pdf#page=2","Abrir facsímil")</f>
        <v>Abrir facsímil</v>
      </c>
      <c r="K5278" s="15" t="s">
        <v>23</v>
      </c>
    </row>
    <row r="5279" spans="1:11" ht="42" customHeight="1">
      <c r="A5279" s="4" t="s">
        <v>12005</v>
      </c>
      <c r="B5279" s="5" t="s">
        <v>12005</v>
      </c>
      <c r="C5279" s="5" t="s">
        <v>75</v>
      </c>
      <c r="D5279" s="5" t="s">
        <v>76</v>
      </c>
      <c r="E5279" s="5" t="s">
        <v>1085</v>
      </c>
      <c r="F5279" s="9">
        <v>99</v>
      </c>
      <c r="G5279" s="9">
        <v>1086</v>
      </c>
      <c r="H5279" s="5" t="s">
        <v>21</v>
      </c>
      <c r="I5279" s="5" t="s">
        <v>12007</v>
      </c>
      <c r="J5279" s="12" t="str">
        <f>HYPERLINK("https://www.boe.es/gazeta/dias/1801/10/20/pdfs/GMD-1801-99.pdf#page=3","Abrir facsímil")</f>
        <v>Abrir facsímil</v>
      </c>
      <c r="K5279" s="15" t="s">
        <v>23</v>
      </c>
    </row>
    <row r="5280" spans="1:11" ht="42" customHeight="1">
      <c r="A5280" s="4" t="s">
        <v>12005</v>
      </c>
      <c r="B5280" s="5" t="s">
        <v>12005</v>
      </c>
      <c r="C5280" s="5" t="s">
        <v>75</v>
      </c>
      <c r="D5280" s="5" t="s">
        <v>76</v>
      </c>
      <c r="E5280" s="5" t="s">
        <v>44</v>
      </c>
      <c r="F5280" s="9">
        <v>117</v>
      </c>
      <c r="G5280" s="9">
        <v>1277</v>
      </c>
      <c r="H5280" s="5" t="s">
        <v>21</v>
      </c>
      <c r="I5280" s="5" t="s">
        <v>12008</v>
      </c>
      <c r="J5280" s="12" t="str">
        <f>HYPERLINK("https://www.boe.es/gazeta/dias/1801/12/22/pdfs/GMD-1801-117.pdf#page=4","Abrir facsímil")</f>
        <v>Abrir facsímil</v>
      </c>
      <c r="K5280" s="15" t="s">
        <v>23</v>
      </c>
    </row>
    <row r="5281" spans="1:11" ht="42" customHeight="1">
      <c r="A5281" s="4" t="s">
        <v>12009</v>
      </c>
      <c r="B5281" s="5" t="s">
        <v>12009</v>
      </c>
      <c r="C5281" s="5" t="s">
        <v>32</v>
      </c>
      <c r="D5281" s="5" t="s">
        <v>33</v>
      </c>
      <c r="E5281" s="5" t="s">
        <v>254</v>
      </c>
      <c r="F5281" s="9">
        <v>73</v>
      </c>
      <c r="G5281" s="9">
        <v>810</v>
      </c>
      <c r="H5281" s="5" t="s">
        <v>21</v>
      </c>
      <c r="I5281" s="5" t="s">
        <v>12010</v>
      </c>
      <c r="J5281" s="12" t="str">
        <f>HYPERLINK("https://www.boe.es/gazeta/dias/1801/07/28/pdfs/GMD-1801-73.pdf#page=3","Abrir facsímil")</f>
        <v>Abrir facsímil</v>
      </c>
      <c r="K5281" s="15" t="s">
        <v>23</v>
      </c>
    </row>
    <row r="5282" spans="1:11" ht="42" customHeight="1">
      <c r="A5282" s="4" t="s">
        <v>12009</v>
      </c>
      <c r="B5282" s="5" t="s">
        <v>12009</v>
      </c>
      <c r="C5282" s="5" t="s">
        <v>69</v>
      </c>
      <c r="D5282" s="5" t="s">
        <v>19</v>
      </c>
      <c r="E5282" s="5" t="s">
        <v>223</v>
      </c>
      <c r="F5282" s="9">
        <v>74</v>
      </c>
      <c r="G5282" s="9">
        <v>826</v>
      </c>
      <c r="H5282" s="5" t="s">
        <v>21</v>
      </c>
      <c r="I5282" s="5" t="s">
        <v>12011</v>
      </c>
      <c r="J5282" s="12" t="str">
        <f>HYPERLINK("https://www.boe.es/gazeta/dias/1801/07/31/pdfs/GMD-1801-74.pdf#page=7","Abrir facsímil")</f>
        <v>Abrir facsímil</v>
      </c>
      <c r="K5282" s="15" t="s">
        <v>23</v>
      </c>
    </row>
    <row r="5283" spans="1:11" ht="42" customHeight="1">
      <c r="A5283" s="4" t="s">
        <v>12012</v>
      </c>
      <c r="B5283" s="5" t="s">
        <v>12013</v>
      </c>
      <c r="C5283" s="5" t="s">
        <v>32</v>
      </c>
      <c r="D5283" s="5" t="s">
        <v>33</v>
      </c>
      <c r="E5283" s="5" t="s">
        <v>378</v>
      </c>
      <c r="F5283" s="9">
        <v>23</v>
      </c>
      <c r="G5283" s="9">
        <v>298</v>
      </c>
      <c r="H5283" s="5" t="s">
        <v>21</v>
      </c>
      <c r="I5283" s="5" t="s">
        <v>12014</v>
      </c>
      <c r="J5283" s="12" t="str">
        <f>HYPERLINK("https://www.boe.es/gazeta/dias/1801/03/20/pdfs/GMD-1801-23.pdf#page=1","Abrir facsímil")</f>
        <v>Abrir facsímil</v>
      </c>
      <c r="K5283" s="15" t="s">
        <v>23</v>
      </c>
    </row>
    <row r="5284" spans="1:11" ht="42" customHeight="1">
      <c r="A5284" s="4" t="s">
        <v>12015</v>
      </c>
      <c r="B5284" s="5" t="s">
        <v>12016</v>
      </c>
      <c r="C5284" s="5" t="s">
        <v>26</v>
      </c>
      <c r="D5284" s="5" t="s">
        <v>27</v>
      </c>
      <c r="E5284" s="5" t="s">
        <v>137</v>
      </c>
      <c r="F5284" s="9">
        <v>30</v>
      </c>
      <c r="G5284" s="9">
        <v>396</v>
      </c>
      <c r="H5284" s="5" t="s">
        <v>21</v>
      </c>
      <c r="I5284" s="5" t="s">
        <v>12017</v>
      </c>
      <c r="J5284" s="12" t="str">
        <f>HYPERLINK("https://www.boe.es/gazeta/dias/1801/04/14/pdfs/GMD-1801-30.pdf#page=12","Abrir facsímil")</f>
        <v>Abrir facsímil</v>
      </c>
      <c r="K5284" s="15" t="s">
        <v>23</v>
      </c>
    </row>
    <row r="5285" spans="1:11" ht="42" customHeight="1">
      <c r="A5285" s="4" t="s">
        <v>12018</v>
      </c>
      <c r="B5285" s="5" t="s">
        <v>12019</v>
      </c>
      <c r="C5285" s="5" t="s">
        <v>26</v>
      </c>
      <c r="D5285" s="5" t="s">
        <v>27</v>
      </c>
      <c r="E5285" s="5" t="s">
        <v>501</v>
      </c>
      <c r="F5285" s="9">
        <v>115</v>
      </c>
      <c r="G5285" s="9" t="s">
        <v>502</v>
      </c>
      <c r="H5285" s="5" t="s">
        <v>21</v>
      </c>
      <c r="I5285" s="5" t="s">
        <v>12020</v>
      </c>
      <c r="J5285" s="12" t="str">
        <f>HYPERLINK("https://www.boe.es/gazeta/dias/1801/12/15/pdfs/GMD-C-1801-115.pdf#page=8","Abrir facsímil")</f>
        <v>Abrir facsímil</v>
      </c>
      <c r="K5285" s="15" t="s">
        <v>23</v>
      </c>
    </row>
    <row r="5286" spans="1:11" ht="42" customHeight="1">
      <c r="A5286" s="4" t="s">
        <v>12021</v>
      </c>
      <c r="B5286" s="5" t="s">
        <v>12022</v>
      </c>
      <c r="C5286" s="5" t="s">
        <v>32</v>
      </c>
      <c r="D5286" s="5" t="s">
        <v>33</v>
      </c>
      <c r="E5286" s="5" t="s">
        <v>44</v>
      </c>
      <c r="F5286" s="9">
        <v>117</v>
      </c>
      <c r="G5286" s="9">
        <v>1281</v>
      </c>
      <c r="H5286" s="5" t="s">
        <v>21</v>
      </c>
      <c r="I5286" s="5" t="s">
        <v>12023</v>
      </c>
      <c r="J5286" s="12" t="str">
        <f>HYPERLINK("https://www.boe.es/gazeta/dias/1801/12/22/pdfs/GMD-1801-117.pdf#page=8","Abrir facsímil")</f>
        <v>Abrir facsímil</v>
      </c>
      <c r="K5286" s="15" t="s">
        <v>23</v>
      </c>
    </row>
    <row r="5287" spans="1:11" ht="42" customHeight="1">
      <c r="A5287" s="4" t="s">
        <v>12024</v>
      </c>
      <c r="B5287" s="5" t="s">
        <v>12025</v>
      </c>
      <c r="C5287" s="5" t="s">
        <v>32</v>
      </c>
      <c r="D5287" s="5" t="s">
        <v>33</v>
      </c>
      <c r="E5287" s="5" t="s">
        <v>62</v>
      </c>
      <c r="F5287" s="9">
        <v>6</v>
      </c>
      <c r="G5287" s="9">
        <v>73</v>
      </c>
      <c r="H5287" s="5" t="s">
        <v>21</v>
      </c>
      <c r="I5287" s="5" t="s">
        <v>12026</v>
      </c>
      <c r="J5287" s="12" t="str">
        <f>HYPERLINK("https://www.boe.es/gazeta/dias/1801/01/20/pdfs/GMD-1801-6.pdf#page=9","Abrir facsímil")</f>
        <v>Abrir facsímil</v>
      </c>
      <c r="K5287" s="15" t="s">
        <v>23</v>
      </c>
    </row>
    <row r="5288" spans="1:11" ht="42" customHeight="1">
      <c r="A5288" s="4" t="s">
        <v>12027</v>
      </c>
      <c r="B5288" s="5" t="s">
        <v>12028</v>
      </c>
      <c r="C5288" s="5" t="s">
        <v>32</v>
      </c>
      <c r="D5288" s="5" t="s">
        <v>33</v>
      </c>
      <c r="E5288" s="5" t="s">
        <v>462</v>
      </c>
      <c r="F5288" s="9">
        <v>5</v>
      </c>
      <c r="G5288" s="9">
        <v>57</v>
      </c>
      <c r="H5288" s="5" t="s">
        <v>21</v>
      </c>
      <c r="I5288" s="5" t="s">
        <v>12029</v>
      </c>
      <c r="J5288" s="12" t="str">
        <f>HYPERLINK("https://www.boe.es/gazeta/dias/1801/01/16/pdfs/GMD-1801-5.pdf#page=9","Abrir facsímil")</f>
        <v>Abrir facsímil</v>
      </c>
      <c r="K5288" s="15" t="s">
        <v>23</v>
      </c>
    </row>
    <row r="5289" spans="1:11" ht="42" customHeight="1">
      <c r="A5289" s="4" t="s">
        <v>12030</v>
      </c>
      <c r="B5289" s="5" t="s">
        <v>12031</v>
      </c>
      <c r="C5289" s="5" t="s">
        <v>75</v>
      </c>
      <c r="D5289" s="5" t="s">
        <v>76</v>
      </c>
      <c r="E5289" s="5" t="s">
        <v>120</v>
      </c>
      <c r="F5289" s="9">
        <v>7</v>
      </c>
      <c r="G5289" s="9">
        <v>82</v>
      </c>
      <c r="H5289" s="5" t="s">
        <v>21</v>
      </c>
      <c r="I5289" s="5" t="s">
        <v>12032</v>
      </c>
      <c r="J5289" s="12" t="str">
        <f>HYPERLINK("https://www.boe.es/gazeta/dias/1801/01/23/pdfs/GMD-1801-7.pdf#page=6","Abrir facsímil")</f>
        <v>Abrir facsímil</v>
      </c>
      <c r="K5289" s="15" t="s">
        <v>23</v>
      </c>
    </row>
    <row r="5290" spans="1:11" ht="42" customHeight="1">
      <c r="A5290" s="4" t="s">
        <v>12033</v>
      </c>
      <c r="B5290" s="5" t="s">
        <v>12034</v>
      </c>
      <c r="C5290" s="5" t="s">
        <v>38</v>
      </c>
      <c r="D5290" s="5" t="s">
        <v>39</v>
      </c>
      <c r="E5290" s="5" t="s">
        <v>378</v>
      </c>
      <c r="F5290" s="9">
        <v>23</v>
      </c>
      <c r="G5290" s="9">
        <v>302</v>
      </c>
      <c r="H5290" s="5" t="s">
        <v>21</v>
      </c>
      <c r="I5290" s="5" t="s">
        <v>12035</v>
      </c>
      <c r="J5290" s="12" t="str">
        <f>HYPERLINK("https://www.boe.es/gazeta/dias/1801/03/20/pdfs/GMD-1801-23.pdf#page=5","Abrir facsímil")</f>
        <v>Abrir facsímil</v>
      </c>
      <c r="K5290" s="15" t="s">
        <v>23</v>
      </c>
    </row>
    <row r="5291" spans="1:11" ht="42" customHeight="1">
      <c r="A5291" s="4" t="s">
        <v>12036</v>
      </c>
      <c r="B5291" s="5" t="s">
        <v>12037</v>
      </c>
      <c r="C5291" s="5" t="s">
        <v>69</v>
      </c>
      <c r="D5291" s="5" t="s">
        <v>19</v>
      </c>
      <c r="E5291" s="5" t="s">
        <v>275</v>
      </c>
      <c r="F5291" s="9">
        <v>9</v>
      </c>
      <c r="G5291" s="9">
        <v>111</v>
      </c>
      <c r="H5291" s="5" t="s">
        <v>21</v>
      </c>
      <c r="I5291" s="5" t="s">
        <v>12038</v>
      </c>
      <c r="J5291" s="12" t="str">
        <f>HYPERLINK("https://www.boe.es/gazeta/dias/1801/01/30/pdfs/GMD-1801-9.pdf#page=8","Abrir facsímil")</f>
        <v>Abrir facsímil</v>
      </c>
      <c r="K5291" s="15" t="s">
        <v>23</v>
      </c>
    </row>
    <row r="5292" spans="1:11" ht="42" customHeight="1">
      <c r="A5292" s="4" t="s">
        <v>12039</v>
      </c>
      <c r="B5292" s="5" t="s">
        <v>12040</v>
      </c>
      <c r="C5292" s="5" t="s">
        <v>32</v>
      </c>
      <c r="D5292" s="5" t="s">
        <v>33</v>
      </c>
      <c r="E5292" s="5" t="s">
        <v>505</v>
      </c>
      <c r="F5292" s="9">
        <v>94</v>
      </c>
      <c r="G5292" s="9">
        <v>1033</v>
      </c>
      <c r="H5292" s="5" t="s">
        <v>21</v>
      </c>
      <c r="I5292" s="5" t="s">
        <v>12041</v>
      </c>
      <c r="J5292" s="12" t="str">
        <f>HYPERLINK("https://www.boe.es/gazeta/dias/1801/10/02/pdfs/GMD-1801-94.pdf#page=9","Abrir facsímil")</f>
        <v>Abrir facsímil</v>
      </c>
      <c r="K5292" s="15" t="s">
        <v>23</v>
      </c>
    </row>
    <row r="5293" spans="1:11" ht="42" customHeight="1">
      <c r="A5293" s="4" t="s">
        <v>12042</v>
      </c>
      <c r="B5293" s="5" t="s">
        <v>12043</v>
      </c>
      <c r="C5293" s="5" t="s">
        <v>75</v>
      </c>
      <c r="D5293" s="5" t="s">
        <v>76</v>
      </c>
      <c r="E5293" s="5" t="s">
        <v>462</v>
      </c>
      <c r="F5293" s="9">
        <v>5</v>
      </c>
      <c r="G5293" s="9">
        <v>51</v>
      </c>
      <c r="H5293" s="5" t="s">
        <v>21</v>
      </c>
      <c r="I5293" s="5" t="s">
        <v>12044</v>
      </c>
      <c r="J5293" s="12" t="str">
        <f>HYPERLINK("https://www.boe.es/gazeta/dias/1801/01/16/pdfs/GMD-1801-5.pdf#page=3","Abrir facsímil")</f>
        <v>Abrir facsímil</v>
      </c>
      <c r="K5293" s="15" t="s">
        <v>23</v>
      </c>
    </row>
    <row r="5294" spans="1:11" ht="42" customHeight="1">
      <c r="A5294" s="4" t="s">
        <v>12045</v>
      </c>
      <c r="B5294" s="5" t="s">
        <v>12046</v>
      </c>
      <c r="C5294" s="5" t="s">
        <v>38</v>
      </c>
      <c r="D5294" s="5" t="s">
        <v>39</v>
      </c>
      <c r="E5294" s="5" t="s">
        <v>781</v>
      </c>
      <c r="F5294" s="9">
        <v>14</v>
      </c>
      <c r="G5294" s="9">
        <v>172</v>
      </c>
      <c r="H5294" s="5" t="s">
        <v>21</v>
      </c>
      <c r="I5294" s="5" t="s">
        <v>12047</v>
      </c>
      <c r="J5294" s="12" t="str">
        <f>HYPERLINK("https://www.boe.es/gazeta/dias/1801/02/17/pdfs/GMD-1801-14.pdf#page=7","Abrir facsímil")</f>
        <v>Abrir facsímil</v>
      </c>
      <c r="K5294" s="15" t="s">
        <v>23</v>
      </c>
    </row>
    <row r="5295" spans="1:11" ht="42" customHeight="1">
      <c r="A5295" s="4" t="s">
        <v>12048</v>
      </c>
      <c r="B5295" s="5" t="s">
        <v>12049</v>
      </c>
      <c r="C5295" s="5" t="s">
        <v>32</v>
      </c>
      <c r="D5295" s="5" t="s">
        <v>33</v>
      </c>
      <c r="E5295" s="5" t="s">
        <v>924</v>
      </c>
      <c r="F5295" s="9">
        <v>90</v>
      </c>
      <c r="G5295" s="9">
        <v>992</v>
      </c>
      <c r="H5295" s="5" t="s">
        <v>21</v>
      </c>
      <c r="I5295" s="5" t="s">
        <v>12050</v>
      </c>
      <c r="J5295" s="12" t="str">
        <f>HYPERLINK("https://www.boe.es/gazeta/dias/1801/09/18/pdfs/GMD-1801-90.pdf#page=7","Abrir facsímil")</f>
        <v>Abrir facsímil</v>
      </c>
      <c r="K5295" s="15" t="s">
        <v>23</v>
      </c>
    </row>
    <row r="5296" spans="1:11" ht="42" customHeight="1">
      <c r="A5296" s="4" t="s">
        <v>12051</v>
      </c>
      <c r="B5296" s="5" t="s">
        <v>12051</v>
      </c>
      <c r="C5296" s="5" t="s">
        <v>32</v>
      </c>
      <c r="D5296" s="5" t="s">
        <v>33</v>
      </c>
      <c r="E5296" s="5" t="s">
        <v>90</v>
      </c>
      <c r="F5296" s="9">
        <v>1</v>
      </c>
      <c r="G5296" s="9">
        <v>8</v>
      </c>
      <c r="H5296" s="5" t="s">
        <v>21</v>
      </c>
      <c r="I5296" s="5" t="s">
        <v>12052</v>
      </c>
      <c r="J5296" s="12" t="str">
        <f>HYPERLINK("https://www.boe.es/gazeta/dias/1801/01/02/pdfs/GMD-1801-1.pdf#page=8","Abrir facsímil")</f>
        <v>Abrir facsímil</v>
      </c>
      <c r="K5296" s="15" t="s">
        <v>23</v>
      </c>
    </row>
    <row r="5297" spans="1:11" ht="42" customHeight="1">
      <c r="A5297" s="4" t="s">
        <v>12053</v>
      </c>
      <c r="B5297" s="5" t="s">
        <v>12054</v>
      </c>
      <c r="C5297" s="5" t="s">
        <v>32</v>
      </c>
      <c r="D5297" s="5" t="s">
        <v>33</v>
      </c>
      <c r="E5297" s="5" t="s">
        <v>924</v>
      </c>
      <c r="F5297" s="9">
        <v>90</v>
      </c>
      <c r="G5297" s="9">
        <v>991</v>
      </c>
      <c r="H5297" s="5" t="s">
        <v>21</v>
      </c>
      <c r="I5297" s="5" t="s">
        <v>12055</v>
      </c>
      <c r="J5297" s="12" t="str">
        <f>HYPERLINK("https://www.boe.es/gazeta/dias/1801/09/18/pdfs/GMD-1801-90.pdf#page=6","Abrir facsímil")</f>
        <v>Abrir facsímil</v>
      </c>
      <c r="K5297" s="15" t="s">
        <v>23</v>
      </c>
    </row>
    <row r="5298" spans="1:11" ht="42" customHeight="1">
      <c r="A5298" s="4" t="s">
        <v>12056</v>
      </c>
      <c r="B5298" s="5" t="s">
        <v>12057</v>
      </c>
      <c r="C5298" s="5" t="s">
        <v>69</v>
      </c>
      <c r="D5298" s="5" t="s">
        <v>19</v>
      </c>
      <c r="E5298" s="5" t="s">
        <v>105</v>
      </c>
      <c r="F5298" s="9">
        <v>44</v>
      </c>
      <c r="G5298" s="9">
        <v>549</v>
      </c>
      <c r="H5298" s="5" t="s">
        <v>21</v>
      </c>
      <c r="I5298" s="5" t="s">
        <v>12058</v>
      </c>
      <c r="J5298" s="12" t="str">
        <f>HYPERLINK("https://www.boe.es/gazeta/dias/1801/05/29/pdfs/GMD-1801-44.pdf#page=9","Abrir facsímil")</f>
        <v>Abrir facsímil</v>
      </c>
      <c r="K5298" s="15" t="s">
        <v>23</v>
      </c>
    </row>
    <row r="5299" spans="1:11" ht="42" customHeight="1">
      <c r="A5299" s="4" t="s">
        <v>12059</v>
      </c>
      <c r="B5299" s="5" t="s">
        <v>12060</v>
      </c>
      <c r="C5299" s="5" t="s">
        <v>32</v>
      </c>
      <c r="D5299" s="5" t="s">
        <v>33</v>
      </c>
      <c r="E5299" s="5" t="s">
        <v>48</v>
      </c>
      <c r="F5299" s="9">
        <v>20</v>
      </c>
      <c r="G5299" s="9">
        <v>265</v>
      </c>
      <c r="H5299" s="5" t="s">
        <v>21</v>
      </c>
      <c r="I5299" s="5" t="s">
        <v>12061</v>
      </c>
      <c r="J5299" s="12" t="str">
        <f>HYPERLINK("https://www.boe.es/gazeta/dias/1801/03/10/pdfs/GMD-1801-20.pdf#page=10","Abrir facsímil")</f>
        <v>Abrir facsímil</v>
      </c>
      <c r="K5299" s="15" t="s">
        <v>23</v>
      </c>
    </row>
    <row r="5300" spans="1:11" ht="42" customHeight="1">
      <c r="A5300" s="4" t="s">
        <v>12062</v>
      </c>
      <c r="B5300" s="5" t="s">
        <v>12063</v>
      </c>
      <c r="C5300" s="5" t="s">
        <v>32</v>
      </c>
      <c r="D5300" s="5" t="s">
        <v>33</v>
      </c>
      <c r="E5300" s="5" t="s">
        <v>99</v>
      </c>
      <c r="F5300" s="9">
        <v>32</v>
      </c>
      <c r="G5300" s="9">
        <v>414</v>
      </c>
      <c r="H5300" s="5" t="s">
        <v>21</v>
      </c>
      <c r="I5300" s="5" t="s">
        <v>12064</v>
      </c>
      <c r="J5300" s="12" t="str">
        <f>HYPERLINK("https://www.boe.es/gazeta/dias/1801/04/21/pdfs/GMD-1801-32.pdf#page=10","Abrir facsímil")</f>
        <v>Abrir facsímil</v>
      </c>
      <c r="K5300" s="15" t="s">
        <v>23</v>
      </c>
    </row>
    <row r="5301" spans="1:11" ht="42" customHeight="1">
      <c r="A5301" s="4" t="s">
        <v>12065</v>
      </c>
      <c r="B5301" s="5" t="s">
        <v>12066</v>
      </c>
      <c r="C5301" s="5" t="s">
        <v>75</v>
      </c>
      <c r="D5301" s="5" t="s">
        <v>76</v>
      </c>
      <c r="E5301" s="5" t="s">
        <v>2185</v>
      </c>
      <c r="F5301" s="9">
        <v>84</v>
      </c>
      <c r="G5301" s="9">
        <v>939</v>
      </c>
      <c r="H5301" s="5" t="s">
        <v>21</v>
      </c>
      <c r="I5301" s="5" t="s">
        <v>12067</v>
      </c>
      <c r="J5301" s="12" t="str">
        <f>HYPERLINK("https://www.boe.es/gazeta/dias/1801/09/04/pdfs/GMD-1801-84.pdf#page=2","Abrir facsímil")</f>
        <v>Abrir facsímil</v>
      </c>
      <c r="K5301" s="15" t="s">
        <v>23</v>
      </c>
    </row>
    <row r="5302" spans="1:11" ht="42" customHeight="1">
      <c r="A5302" s="4" t="s">
        <v>12068</v>
      </c>
      <c r="B5302" s="5" t="s">
        <v>12069</v>
      </c>
      <c r="C5302" s="5" t="s">
        <v>32</v>
      </c>
      <c r="D5302" s="5" t="s">
        <v>33</v>
      </c>
      <c r="E5302" s="5" t="s">
        <v>169</v>
      </c>
      <c r="F5302" s="9">
        <v>70</v>
      </c>
      <c r="G5302" s="9">
        <v>774</v>
      </c>
      <c r="H5302" s="5" t="s">
        <v>21</v>
      </c>
      <c r="I5302" s="5" t="s">
        <v>12070</v>
      </c>
      <c r="J5302" s="12" t="str">
        <f>HYPERLINK("https://www.boe.es/gazeta/dias/1801/07/17/pdfs/GMD-1801-70.pdf#page=7","Abrir facsímil")</f>
        <v>Abrir facsímil</v>
      </c>
      <c r="K5302" s="15" t="s">
        <v>23</v>
      </c>
    </row>
    <row r="5303" spans="1:11" ht="42" customHeight="1">
      <c r="A5303" s="4" t="s">
        <v>12071</v>
      </c>
      <c r="B5303" s="5" t="s">
        <v>12072</v>
      </c>
      <c r="C5303" s="5" t="s">
        <v>75</v>
      </c>
      <c r="D5303" s="5" t="s">
        <v>76</v>
      </c>
      <c r="E5303" s="5" t="s">
        <v>120</v>
      </c>
      <c r="F5303" s="9">
        <v>7</v>
      </c>
      <c r="G5303" s="9">
        <v>78</v>
      </c>
      <c r="H5303" s="5" t="s">
        <v>21</v>
      </c>
      <c r="I5303" s="5" t="s">
        <v>12073</v>
      </c>
      <c r="J5303" s="12" t="str">
        <f>HYPERLINK("https://www.boe.es/gazeta/dias/1801/01/23/pdfs/GMD-1801-7.pdf#page=2","Abrir facsímil")</f>
        <v>Abrir facsímil</v>
      </c>
      <c r="K5303" s="15" t="s">
        <v>23</v>
      </c>
    </row>
    <row r="5304" spans="1:11" ht="42" customHeight="1">
      <c r="A5304" s="4" t="s">
        <v>12074</v>
      </c>
      <c r="B5304" s="5" t="s">
        <v>12074</v>
      </c>
      <c r="C5304" s="5" t="s">
        <v>75</v>
      </c>
      <c r="D5304" s="5" t="s">
        <v>76</v>
      </c>
      <c r="E5304" s="5" t="s">
        <v>223</v>
      </c>
      <c r="F5304" s="9">
        <v>74</v>
      </c>
      <c r="G5304" s="9">
        <v>824</v>
      </c>
      <c r="H5304" s="5" t="s">
        <v>21</v>
      </c>
      <c r="I5304" s="5" t="s">
        <v>12075</v>
      </c>
      <c r="J5304" s="12" t="str">
        <f>HYPERLINK("https://www.boe.es/gazeta/dias/1801/07/31/pdfs/GMD-1801-74.pdf#page=5","Abrir facsímil")</f>
        <v>Abrir facsímil</v>
      </c>
      <c r="K5304" s="15" t="s">
        <v>23</v>
      </c>
    </row>
    <row r="5305" spans="1:11" ht="42" customHeight="1">
      <c r="A5305" s="4" t="s">
        <v>12076</v>
      </c>
      <c r="B5305" s="5" t="s">
        <v>12077</v>
      </c>
      <c r="C5305" s="5" t="s">
        <v>75</v>
      </c>
      <c r="D5305" s="5" t="s">
        <v>76</v>
      </c>
      <c r="E5305" s="5" t="s">
        <v>1085</v>
      </c>
      <c r="F5305" s="9">
        <v>99</v>
      </c>
      <c r="G5305" s="9">
        <v>1085</v>
      </c>
      <c r="H5305" s="5" t="s">
        <v>21</v>
      </c>
      <c r="I5305" s="5" t="s">
        <v>12078</v>
      </c>
      <c r="J5305" s="12" t="str">
        <f>HYPERLINK("https://www.boe.es/gazeta/dias/1801/10/20/pdfs/GMD-1801-99.pdf#page=2","Abrir facsímil")</f>
        <v>Abrir facsímil</v>
      </c>
      <c r="K5305" s="15" t="s">
        <v>23</v>
      </c>
    </row>
    <row r="5306" spans="1:11" ht="42" customHeight="1">
      <c r="A5306" s="4" t="s">
        <v>12079</v>
      </c>
      <c r="B5306" s="5" t="s">
        <v>12080</v>
      </c>
      <c r="C5306" s="5" t="s">
        <v>80</v>
      </c>
      <c r="D5306" s="5" t="s">
        <v>81</v>
      </c>
      <c r="E5306" s="5" t="s">
        <v>289</v>
      </c>
      <c r="F5306" s="9">
        <v>40</v>
      </c>
      <c r="G5306" s="9" t="s">
        <v>996</v>
      </c>
      <c r="H5306" s="5" t="s">
        <v>21</v>
      </c>
      <c r="I5306" s="5" t="s">
        <v>12081</v>
      </c>
      <c r="J5306" s="12" t="str">
        <f>HYPERLINK("https://www.boe.es/gazeta/dias/1801/05/19/pdfs/GMD-C-1801-40.pdf#page=6","Abrir facsímil")</f>
        <v>Abrir facsímil</v>
      </c>
      <c r="K5306" s="15" t="s">
        <v>23</v>
      </c>
    </row>
    <row r="5307" spans="1:11" ht="42" customHeight="1">
      <c r="A5307" s="4" t="s">
        <v>12082</v>
      </c>
      <c r="B5307" s="5" t="s">
        <v>12083</v>
      </c>
      <c r="C5307" s="5" t="s">
        <v>32</v>
      </c>
      <c r="D5307" s="5" t="s">
        <v>33</v>
      </c>
      <c r="E5307" s="5" t="s">
        <v>453</v>
      </c>
      <c r="F5307" s="9">
        <v>100</v>
      </c>
      <c r="G5307" s="9">
        <v>1100</v>
      </c>
      <c r="H5307" s="5" t="s">
        <v>21</v>
      </c>
      <c r="I5307" s="5" t="s">
        <v>12084</v>
      </c>
      <c r="J5307" s="12" t="str">
        <f>HYPERLINK("https://www.boe.es/gazeta/dias/1801/10/23/pdfs/GMD-1801-100.pdf#page=9","Abrir facsímil")</f>
        <v>Abrir facsímil</v>
      </c>
      <c r="K5307" s="15" t="s">
        <v>23</v>
      </c>
    </row>
    <row r="5308" spans="1:11" ht="42" customHeight="1">
      <c r="A5308" s="4" t="s">
        <v>12085</v>
      </c>
      <c r="B5308" s="5" t="s">
        <v>12086</v>
      </c>
      <c r="C5308" s="5" t="s">
        <v>75</v>
      </c>
      <c r="D5308" s="5" t="s">
        <v>76</v>
      </c>
      <c r="E5308" s="5" t="s">
        <v>165</v>
      </c>
      <c r="F5308" s="9">
        <v>59</v>
      </c>
      <c r="G5308" s="9">
        <v>672</v>
      </c>
      <c r="H5308" s="5" t="s">
        <v>21</v>
      </c>
      <c r="I5308" s="5" t="s">
        <v>12087</v>
      </c>
      <c r="J5308" s="12" t="str">
        <f>HYPERLINK("https://www.boe.es/gazeta/dias/1801/06/23/pdfs/GMD-1801-59.pdf#page=5","Abrir facsímil")</f>
        <v>Abrir facsímil</v>
      </c>
      <c r="K5308" s="15" t="s">
        <v>23</v>
      </c>
    </row>
    <row r="5309" spans="1:11" ht="42" customHeight="1">
      <c r="A5309" s="4" t="s">
        <v>12088</v>
      </c>
      <c r="B5309" s="5" t="s">
        <v>12088</v>
      </c>
      <c r="C5309" s="5" t="s">
        <v>75</v>
      </c>
      <c r="D5309" s="5" t="s">
        <v>76</v>
      </c>
      <c r="E5309" s="5" t="s">
        <v>262</v>
      </c>
      <c r="F5309" s="9">
        <v>109</v>
      </c>
      <c r="G5309" s="9">
        <v>1202</v>
      </c>
      <c r="H5309" s="5" t="s">
        <v>21</v>
      </c>
      <c r="I5309" s="5" t="s">
        <v>12089</v>
      </c>
      <c r="J5309" s="12" t="str">
        <f>HYPERLINK("https://www.boe.es/gazeta/dias/1801/11/24/pdfs/GMD-1801-109.pdf#page=7","Abrir facsímil")</f>
        <v>Abrir facsímil</v>
      </c>
      <c r="K5309" s="15" t="s">
        <v>23</v>
      </c>
    </row>
    <row r="5310" spans="1:11" ht="42" customHeight="1">
      <c r="A5310" s="4" t="s">
        <v>12090</v>
      </c>
      <c r="B5310" s="5" t="s">
        <v>12090</v>
      </c>
      <c r="C5310" s="5" t="s">
        <v>32</v>
      </c>
      <c r="D5310" s="5" t="s">
        <v>33</v>
      </c>
      <c r="E5310" s="5" t="s">
        <v>221</v>
      </c>
      <c r="F5310" s="9">
        <v>28</v>
      </c>
      <c r="G5310" s="9">
        <v>362</v>
      </c>
      <c r="H5310" s="5" t="s">
        <v>21</v>
      </c>
      <c r="I5310" s="5" t="s">
        <v>12091</v>
      </c>
      <c r="J5310" s="12" t="str">
        <f>HYPERLINK("https://www.boe.es/gazeta/dias/1801/04/07/pdfs/GMD-1801-28.pdf#page=2","Abrir facsímil")</f>
        <v>Abrir facsímil</v>
      </c>
      <c r="K5310" s="15" t="s">
        <v>23</v>
      </c>
    </row>
    <row r="5311" spans="1:11" ht="42" customHeight="1">
      <c r="A5311" s="4" t="s">
        <v>12092</v>
      </c>
      <c r="B5311" s="5" t="s">
        <v>12092</v>
      </c>
      <c r="C5311" s="5" t="s">
        <v>32</v>
      </c>
      <c r="D5311" s="5" t="s">
        <v>33</v>
      </c>
      <c r="E5311" s="5" t="s">
        <v>99</v>
      </c>
      <c r="F5311" s="9">
        <v>32</v>
      </c>
      <c r="G5311" s="9">
        <v>406</v>
      </c>
      <c r="H5311" s="5" t="s">
        <v>21</v>
      </c>
      <c r="I5311" s="5" t="s">
        <v>12093</v>
      </c>
      <c r="J5311" s="12" t="str">
        <f>HYPERLINK("https://www.boe.es/gazeta/dias/1801/04/21/pdfs/GMD-1801-32.pdf#page=2","Abrir facsímil")</f>
        <v>Abrir facsímil</v>
      </c>
      <c r="K5311" s="15" t="s">
        <v>23</v>
      </c>
    </row>
    <row r="5312" spans="1:11" ht="42" customHeight="1">
      <c r="A5312" s="4" t="s">
        <v>12094</v>
      </c>
      <c r="B5312" s="5" t="s">
        <v>12094</v>
      </c>
      <c r="C5312" s="5" t="s">
        <v>32</v>
      </c>
      <c r="D5312" s="5" t="s">
        <v>33</v>
      </c>
      <c r="E5312" s="5" t="s">
        <v>501</v>
      </c>
      <c r="F5312" s="9">
        <v>115</v>
      </c>
      <c r="G5312" s="9">
        <v>1254</v>
      </c>
      <c r="H5312" s="5" t="s">
        <v>21</v>
      </c>
      <c r="I5312" s="5" t="s">
        <v>12095</v>
      </c>
      <c r="J5312" s="12" t="str">
        <f>HYPERLINK("https://www.boe.es/gazeta/dias/1801/12/15/pdfs/GMD-1801-115.pdf#page=4","Abrir facsímil")</f>
        <v>Abrir facsímil</v>
      </c>
      <c r="K5312" s="15" t="s">
        <v>23</v>
      </c>
    </row>
    <row r="5313" spans="1:11" ht="42" customHeight="1">
      <c r="A5313" s="4" t="s">
        <v>12096</v>
      </c>
      <c r="B5313" s="5" t="s">
        <v>12096</v>
      </c>
      <c r="C5313" s="5" t="s">
        <v>69</v>
      </c>
      <c r="D5313" s="5" t="s">
        <v>19</v>
      </c>
      <c r="E5313" s="5" t="s">
        <v>173</v>
      </c>
      <c r="F5313" s="9">
        <v>98</v>
      </c>
      <c r="G5313" s="9">
        <v>1072</v>
      </c>
      <c r="H5313" s="5" t="s">
        <v>21</v>
      </c>
      <c r="I5313" s="5" t="s">
        <v>12097</v>
      </c>
      <c r="J5313" s="12" t="str">
        <f>HYPERLINK("https://www.boe.es/gazeta/dias/1801/10/16/pdfs/GMD-1801-98.pdf#page=4","Abrir facsímil")</f>
        <v>Abrir facsímil</v>
      </c>
      <c r="K5313" s="15" t="s">
        <v>23</v>
      </c>
    </row>
    <row r="5314" spans="1:11" ht="42" customHeight="1">
      <c r="A5314" s="4" t="s">
        <v>12098</v>
      </c>
      <c r="B5314" s="5" t="s">
        <v>12098</v>
      </c>
      <c r="C5314" s="5" t="s">
        <v>75</v>
      </c>
      <c r="D5314" s="5" t="s">
        <v>76</v>
      </c>
      <c r="E5314" s="5" t="s">
        <v>112</v>
      </c>
      <c r="F5314" s="9">
        <v>114</v>
      </c>
      <c r="G5314" s="9">
        <v>1242</v>
      </c>
      <c r="H5314" s="5" t="s">
        <v>21</v>
      </c>
      <c r="I5314" s="5" t="s">
        <v>12099</v>
      </c>
      <c r="J5314" s="12" t="str">
        <f>HYPERLINK("https://www.boe.es/gazeta/dias/1801/12/11/pdfs/GMD-1801-114.pdf#page=4","Abrir facsímil")</f>
        <v>Abrir facsímil</v>
      </c>
      <c r="K5314" s="15" t="s">
        <v>23</v>
      </c>
    </row>
    <row r="5315" spans="1:11" ht="42" customHeight="1">
      <c r="A5315" s="4" t="s">
        <v>12100</v>
      </c>
      <c r="B5315" s="5" t="s">
        <v>12100</v>
      </c>
      <c r="C5315" s="5" t="s">
        <v>38</v>
      </c>
      <c r="D5315" s="5" t="s">
        <v>39</v>
      </c>
      <c r="E5315" s="5" t="s">
        <v>264</v>
      </c>
      <c r="F5315" s="9">
        <v>111</v>
      </c>
      <c r="G5315" s="9">
        <v>1216</v>
      </c>
      <c r="H5315" s="5" t="s">
        <v>21</v>
      </c>
      <c r="I5315" s="5" t="s">
        <v>12101</v>
      </c>
      <c r="J5315" s="12" t="str">
        <f>HYPERLINK("https://www.boe.es/gazeta/dias/1801/12/01/pdfs/GMD-1801-111.pdf#page=5","Abrir facsímil")</f>
        <v>Abrir facsímil</v>
      </c>
      <c r="K5315" s="15" t="s">
        <v>23</v>
      </c>
    </row>
    <row r="5316" spans="1:11" ht="42" customHeight="1">
      <c r="A5316" s="4" t="s">
        <v>12102</v>
      </c>
      <c r="B5316" s="5" t="s">
        <v>12102</v>
      </c>
      <c r="C5316" s="5" t="s">
        <v>38</v>
      </c>
      <c r="D5316" s="5" t="s">
        <v>39</v>
      </c>
      <c r="E5316" s="5" t="s">
        <v>264</v>
      </c>
      <c r="F5316" s="9">
        <v>111</v>
      </c>
      <c r="G5316" s="9">
        <v>1215</v>
      </c>
      <c r="H5316" s="5" t="s">
        <v>21</v>
      </c>
      <c r="I5316" s="5" t="s">
        <v>12103</v>
      </c>
      <c r="J5316" s="12" t="str">
        <f>HYPERLINK("https://www.boe.es/gazeta/dias/1801/12/01/pdfs/GMD-1801-111.pdf#page=4","Abrir facsímil")</f>
        <v>Abrir facsímil</v>
      </c>
      <c r="K5316" s="15" t="s">
        <v>23</v>
      </c>
    </row>
    <row r="5317" spans="1:11" ht="42" customHeight="1">
      <c r="A5317" s="4" t="s">
        <v>12104</v>
      </c>
      <c r="B5317" s="5" t="s">
        <v>12104</v>
      </c>
      <c r="C5317" s="5" t="s">
        <v>32</v>
      </c>
      <c r="D5317" s="5" t="s">
        <v>33</v>
      </c>
      <c r="E5317" s="5" t="s">
        <v>292</v>
      </c>
      <c r="F5317" s="9">
        <v>25</v>
      </c>
      <c r="G5317" s="9">
        <v>327</v>
      </c>
      <c r="H5317" s="5" t="s">
        <v>21</v>
      </c>
      <c r="I5317" s="5" t="s">
        <v>12105</v>
      </c>
      <c r="J5317" s="12" t="str">
        <f>HYPERLINK("https://www.boe.es/gazeta/dias/1801/03/27/pdfs/GMD-1801-25.pdf#page=6","Abrir facsímil")</f>
        <v>Abrir facsímil</v>
      </c>
      <c r="K5317" s="15" t="s">
        <v>23</v>
      </c>
    </row>
    <row r="5318" spans="1:11" ht="42" customHeight="1">
      <c r="A5318" s="4" t="s">
        <v>12106</v>
      </c>
      <c r="B5318" s="5" t="s">
        <v>12106</v>
      </c>
      <c r="C5318" s="5" t="s">
        <v>32</v>
      </c>
      <c r="D5318" s="5" t="s">
        <v>33</v>
      </c>
      <c r="E5318" s="5" t="s">
        <v>97</v>
      </c>
      <c r="F5318" s="9">
        <v>31</v>
      </c>
      <c r="G5318" s="9">
        <v>400</v>
      </c>
      <c r="H5318" s="5" t="s">
        <v>21</v>
      </c>
      <c r="I5318" s="5" t="s">
        <v>12107</v>
      </c>
      <c r="J5318" s="12" t="str">
        <f>HYPERLINK("https://www.boe.es/gazeta/dias/1801/04/17/pdfs/GMD-1801-31.pdf#page=4","Abrir facsímil")</f>
        <v>Abrir facsímil</v>
      </c>
      <c r="K5318" s="15" t="s">
        <v>23</v>
      </c>
    </row>
    <row r="5319" spans="1:11" ht="42" customHeight="1">
      <c r="A5319" s="4" t="s">
        <v>12106</v>
      </c>
      <c r="B5319" s="5" t="s">
        <v>12106</v>
      </c>
      <c r="C5319" s="5" t="s">
        <v>75</v>
      </c>
      <c r="D5319" s="5" t="s">
        <v>76</v>
      </c>
      <c r="E5319" s="5" t="s">
        <v>935</v>
      </c>
      <c r="F5319" s="9">
        <v>116</v>
      </c>
      <c r="G5319" s="9">
        <v>1261</v>
      </c>
      <c r="H5319" s="5" t="s">
        <v>21</v>
      </c>
      <c r="I5319" s="5" t="s">
        <v>12108</v>
      </c>
      <c r="J5319" s="12" t="str">
        <f>HYPERLINK("https://www.boe.es/gazeta/dias/1801/12/18/pdfs/GMD-1801-116.pdf#page=3","Abrir facsímil")</f>
        <v>Abrir facsímil</v>
      </c>
      <c r="K5319" s="15" t="s">
        <v>23</v>
      </c>
    </row>
    <row r="5320" spans="1:11" ht="42" customHeight="1">
      <c r="A5320" s="4" t="s">
        <v>12109</v>
      </c>
      <c r="B5320" s="5" t="s">
        <v>12109</v>
      </c>
      <c r="C5320" s="5" t="s">
        <v>75</v>
      </c>
      <c r="D5320" s="5" t="s">
        <v>76</v>
      </c>
      <c r="E5320" s="5" t="s">
        <v>1939</v>
      </c>
      <c r="F5320" s="9">
        <v>107</v>
      </c>
      <c r="G5320" s="9">
        <v>1173</v>
      </c>
      <c r="H5320" s="5" t="s">
        <v>21</v>
      </c>
      <c r="I5320" s="5" t="s">
        <v>12110</v>
      </c>
      <c r="J5320" s="12" t="str">
        <f>HYPERLINK("https://www.boe.es/gazeta/dias/1801/11/17/pdfs/GMD-1801-107.pdf#page=2","Abrir facsímil")</f>
        <v>Abrir facsímil</v>
      </c>
      <c r="K5320" s="15" t="s">
        <v>23</v>
      </c>
    </row>
    <row r="5321" spans="1:11" ht="42" customHeight="1">
      <c r="A5321" s="4" t="s">
        <v>12111</v>
      </c>
      <c r="B5321" s="5" t="s">
        <v>12111</v>
      </c>
      <c r="C5321" s="5" t="s">
        <v>75</v>
      </c>
      <c r="D5321" s="5" t="s">
        <v>76</v>
      </c>
      <c r="E5321" s="5" t="s">
        <v>70</v>
      </c>
      <c r="F5321" s="9">
        <v>2</v>
      </c>
      <c r="G5321" s="9">
        <v>16</v>
      </c>
      <c r="H5321" s="5" t="s">
        <v>21</v>
      </c>
      <c r="I5321" s="5" t="s">
        <v>12112</v>
      </c>
      <c r="J5321" s="12" t="str">
        <f>HYPERLINK("https://www.boe.es/gazeta/dias/1801/01/06/pdfs/GMD-1801-2.pdf#page=4","Abrir facsímil")</f>
        <v>Abrir facsímil</v>
      </c>
      <c r="K5321" s="15" t="s">
        <v>23</v>
      </c>
    </row>
    <row r="5322" spans="1:11" ht="42" customHeight="1">
      <c r="A5322" s="4" t="s">
        <v>12111</v>
      </c>
      <c r="B5322" s="5" t="s">
        <v>12111</v>
      </c>
      <c r="C5322" s="5" t="s">
        <v>38</v>
      </c>
      <c r="D5322" s="5" t="s">
        <v>39</v>
      </c>
      <c r="E5322" s="5" t="s">
        <v>143</v>
      </c>
      <c r="F5322" s="9">
        <v>34</v>
      </c>
      <c r="G5322" s="9">
        <v>433</v>
      </c>
      <c r="H5322" s="5" t="s">
        <v>21</v>
      </c>
      <c r="I5322" s="5" t="s">
        <v>12113</v>
      </c>
      <c r="J5322" s="12" t="str">
        <f>HYPERLINK("https://www.boe.es/gazeta/dias/1801/04/28/pdfs/GMD-1801-34.pdf#page=5","Abrir facsímil")</f>
        <v>Abrir facsímil</v>
      </c>
      <c r="K5322" s="15" t="s">
        <v>23</v>
      </c>
    </row>
    <row r="5323" spans="1:11" ht="42" customHeight="1">
      <c r="A5323" s="4" t="s">
        <v>12114</v>
      </c>
      <c r="B5323" s="5" t="s">
        <v>12114</v>
      </c>
      <c r="C5323" s="5" t="s">
        <v>32</v>
      </c>
      <c r="D5323" s="5" t="s">
        <v>33</v>
      </c>
      <c r="E5323" s="5" t="s">
        <v>194</v>
      </c>
      <c r="F5323" s="9">
        <v>92</v>
      </c>
      <c r="G5323" s="9">
        <v>1007</v>
      </c>
      <c r="H5323" s="5" t="s">
        <v>21</v>
      </c>
      <c r="I5323" s="5" t="s">
        <v>12115</v>
      </c>
      <c r="J5323" s="12" t="str">
        <f>HYPERLINK("https://www.boe.es/gazeta/dias/1801/09/25/pdfs/GMD-1801-92.pdf#page=2","Abrir facsímil")</f>
        <v>Abrir facsímil</v>
      </c>
      <c r="K5323" s="15" t="s">
        <v>23</v>
      </c>
    </row>
    <row r="5324" spans="1:11" ht="42" customHeight="1">
      <c r="A5324" s="4" t="s">
        <v>12116</v>
      </c>
      <c r="B5324" s="5" t="s">
        <v>12116</v>
      </c>
      <c r="C5324" s="5" t="s">
        <v>75</v>
      </c>
      <c r="D5324" s="5" t="s">
        <v>76</v>
      </c>
      <c r="E5324" s="5" t="s">
        <v>292</v>
      </c>
      <c r="F5324" s="9">
        <v>25</v>
      </c>
      <c r="G5324" s="9">
        <v>324</v>
      </c>
      <c r="H5324" s="5" t="s">
        <v>21</v>
      </c>
      <c r="I5324" s="5" t="s">
        <v>12117</v>
      </c>
      <c r="J5324" s="12" t="str">
        <f>HYPERLINK("https://www.boe.es/gazeta/dias/1801/03/27/pdfs/GMD-1801-25.pdf#page=3","Abrir facsímil")</f>
        <v>Abrir facsímil</v>
      </c>
      <c r="K5324" s="15" t="s">
        <v>23</v>
      </c>
    </row>
    <row r="5325" spans="1:11" ht="42" customHeight="1">
      <c r="A5325" s="4" t="s">
        <v>12118</v>
      </c>
      <c r="B5325" s="5" t="s">
        <v>12118</v>
      </c>
      <c r="C5325" s="5" t="s">
        <v>75</v>
      </c>
      <c r="D5325" s="5" t="s">
        <v>76</v>
      </c>
      <c r="E5325" s="5" t="s">
        <v>169</v>
      </c>
      <c r="F5325" s="9">
        <v>70</v>
      </c>
      <c r="G5325" s="9">
        <v>768</v>
      </c>
      <c r="H5325" s="5" t="s">
        <v>21</v>
      </c>
      <c r="I5325" s="5" t="s">
        <v>12119</v>
      </c>
      <c r="J5325" s="12" t="str">
        <f>HYPERLINK("https://www.boe.es/gazeta/dias/1801/07/17/pdfs/GMD-1801-70.pdf#page=1","Abrir facsímil")</f>
        <v>Abrir facsímil</v>
      </c>
      <c r="K5325" s="15" t="s">
        <v>23</v>
      </c>
    </row>
    <row r="5326" spans="1:11" ht="42" customHeight="1">
      <c r="A5326" s="4" t="s">
        <v>12120</v>
      </c>
      <c r="B5326" s="5" t="s">
        <v>12120</v>
      </c>
      <c r="C5326" s="5" t="s">
        <v>75</v>
      </c>
      <c r="D5326" s="5" t="s">
        <v>76</v>
      </c>
      <c r="E5326" s="5" t="s">
        <v>186</v>
      </c>
      <c r="F5326" s="9">
        <v>21</v>
      </c>
      <c r="G5326" s="9">
        <v>273</v>
      </c>
      <c r="H5326" s="5" t="s">
        <v>21</v>
      </c>
      <c r="I5326" s="5" t="s">
        <v>12121</v>
      </c>
      <c r="J5326" s="12" t="str">
        <f>HYPERLINK("https://www.boe.es/gazeta/dias/1801/03/13/pdfs/GMD-1801-21.pdf#page=2","Abrir facsímil")</f>
        <v>Abrir facsímil</v>
      </c>
      <c r="K5326" s="15" t="s">
        <v>23</v>
      </c>
    </row>
    <row r="5327" spans="1:11" ht="42" customHeight="1">
      <c r="A5327" s="4" t="s">
        <v>12122</v>
      </c>
      <c r="B5327" s="5" t="s">
        <v>12122</v>
      </c>
      <c r="C5327" s="5" t="s">
        <v>75</v>
      </c>
      <c r="D5327" s="5" t="s">
        <v>76</v>
      </c>
      <c r="E5327" s="5" t="s">
        <v>194</v>
      </c>
      <c r="F5327" s="9">
        <v>92</v>
      </c>
      <c r="G5327" s="9">
        <v>1007</v>
      </c>
      <c r="H5327" s="5" t="s">
        <v>21</v>
      </c>
      <c r="I5327" s="5" t="s">
        <v>12123</v>
      </c>
      <c r="J5327" s="12" t="str">
        <f>HYPERLINK("https://www.boe.es/gazeta/dias/1801/09/25/pdfs/GMD-1801-92.pdf#page=2","Abrir facsímil")</f>
        <v>Abrir facsímil</v>
      </c>
      <c r="K5327" s="15" t="s">
        <v>23</v>
      </c>
    </row>
    <row r="5328" spans="1:11" ht="42" customHeight="1">
      <c r="A5328" s="4" t="s">
        <v>12124</v>
      </c>
      <c r="B5328" s="5" t="s">
        <v>12124</v>
      </c>
      <c r="C5328" s="5" t="s">
        <v>75</v>
      </c>
      <c r="D5328" s="5" t="s">
        <v>76</v>
      </c>
      <c r="E5328" s="5" t="s">
        <v>120</v>
      </c>
      <c r="F5328" s="9">
        <v>7</v>
      </c>
      <c r="G5328" s="9">
        <v>78</v>
      </c>
      <c r="H5328" s="5" t="s">
        <v>21</v>
      </c>
      <c r="I5328" s="5" t="s">
        <v>12125</v>
      </c>
      <c r="J5328" s="12" t="str">
        <f>HYPERLINK("https://www.boe.es/gazeta/dias/1801/01/23/pdfs/GMD-1801-7.pdf#page=2","Abrir facsímil")</f>
        <v>Abrir facsímil</v>
      </c>
      <c r="K5328" s="15" t="s">
        <v>23</v>
      </c>
    </row>
    <row r="5329" spans="1:11" ht="42" customHeight="1">
      <c r="A5329" s="4" t="s">
        <v>12124</v>
      </c>
      <c r="B5329" s="5" t="s">
        <v>12124</v>
      </c>
      <c r="C5329" s="5" t="s">
        <v>75</v>
      </c>
      <c r="D5329" s="5" t="s">
        <v>76</v>
      </c>
      <c r="E5329" s="5" t="s">
        <v>1015</v>
      </c>
      <c r="F5329" s="9">
        <v>15</v>
      </c>
      <c r="G5329" s="9">
        <v>186</v>
      </c>
      <c r="H5329" s="5" t="s">
        <v>21</v>
      </c>
      <c r="I5329" s="5" t="s">
        <v>12126</v>
      </c>
      <c r="J5329" s="12" t="str">
        <f>HYPERLINK("https://www.boe.es/gazeta/dias/1801/02/20/pdfs/GMD-1801-15.pdf#page=5","Abrir facsímil")</f>
        <v>Abrir facsímil</v>
      </c>
      <c r="K5329" s="15" t="s">
        <v>23</v>
      </c>
    </row>
    <row r="5330" spans="1:11" ht="42" customHeight="1">
      <c r="A5330" s="4" t="s">
        <v>12124</v>
      </c>
      <c r="B5330" s="5" t="s">
        <v>12124</v>
      </c>
      <c r="C5330" s="5" t="s">
        <v>75</v>
      </c>
      <c r="D5330" s="5" t="s">
        <v>76</v>
      </c>
      <c r="E5330" s="5" t="s">
        <v>94</v>
      </c>
      <c r="F5330" s="9">
        <v>19</v>
      </c>
      <c r="G5330" s="9">
        <v>238</v>
      </c>
      <c r="H5330" s="5" t="s">
        <v>21</v>
      </c>
      <c r="I5330" s="5" t="s">
        <v>12127</v>
      </c>
      <c r="J5330" s="12" t="str">
        <f>HYPERLINK("https://www.boe.es/gazeta/dias/1801/03/06/pdfs/GMD-1801-19.pdf#page=3","Abrir facsímil")</f>
        <v>Abrir facsímil</v>
      </c>
      <c r="K5330" s="15" t="s">
        <v>23</v>
      </c>
    </row>
    <row r="5331" spans="1:11" ht="42" customHeight="1">
      <c r="A5331" s="4" t="s">
        <v>12124</v>
      </c>
      <c r="B5331" s="5" t="s">
        <v>12124</v>
      </c>
      <c r="C5331" s="5" t="s">
        <v>75</v>
      </c>
      <c r="D5331" s="5" t="s">
        <v>76</v>
      </c>
      <c r="E5331" s="5" t="s">
        <v>135</v>
      </c>
      <c r="F5331" s="9">
        <v>24</v>
      </c>
      <c r="G5331" s="9">
        <v>310</v>
      </c>
      <c r="H5331" s="5" t="s">
        <v>21</v>
      </c>
      <c r="I5331" s="5" t="s">
        <v>12128</v>
      </c>
      <c r="J5331" s="12" t="str">
        <f>HYPERLINK("https://www.boe.es/gazeta/dias/1801/03/24/pdfs/GMD-1801-24.pdf#page=1","Abrir facsímil")</f>
        <v>Abrir facsímil</v>
      </c>
      <c r="K5331" s="15" t="s">
        <v>23</v>
      </c>
    </row>
    <row r="5332" spans="1:11" ht="42" customHeight="1">
      <c r="A5332" s="4" t="s">
        <v>12124</v>
      </c>
      <c r="B5332" s="5" t="s">
        <v>12124</v>
      </c>
      <c r="C5332" s="5" t="s">
        <v>75</v>
      </c>
      <c r="D5332" s="5" t="s">
        <v>76</v>
      </c>
      <c r="E5332" s="5" t="s">
        <v>292</v>
      </c>
      <c r="F5332" s="9">
        <v>25</v>
      </c>
      <c r="G5332" s="9">
        <v>324</v>
      </c>
      <c r="H5332" s="5" t="s">
        <v>21</v>
      </c>
      <c r="I5332" s="5" t="s">
        <v>12129</v>
      </c>
      <c r="J5332" s="12" t="str">
        <f>HYPERLINK("https://www.boe.es/gazeta/dias/1801/03/27/pdfs/GMD-1801-25.pdf#page=3","Abrir facsímil")</f>
        <v>Abrir facsímil</v>
      </c>
      <c r="K5332" s="15" t="s">
        <v>23</v>
      </c>
    </row>
    <row r="5333" spans="1:11" ht="42" customHeight="1">
      <c r="A5333" s="4" t="s">
        <v>12130</v>
      </c>
      <c r="B5333" s="5" t="s">
        <v>12130</v>
      </c>
      <c r="C5333" s="5" t="s">
        <v>75</v>
      </c>
      <c r="D5333" s="5" t="s">
        <v>76</v>
      </c>
      <c r="E5333" s="5" t="s">
        <v>99</v>
      </c>
      <c r="F5333" s="9">
        <v>32</v>
      </c>
      <c r="G5333" s="9">
        <v>405</v>
      </c>
      <c r="H5333" s="5" t="s">
        <v>21</v>
      </c>
      <c r="I5333" s="5" t="s">
        <v>12131</v>
      </c>
      <c r="J5333" s="12" t="str">
        <f>HYPERLINK("https://www.boe.es/gazeta/dias/1801/04/21/pdfs/GMD-1801-32.pdf#page=1","Abrir facsímil")</f>
        <v>Abrir facsímil</v>
      </c>
      <c r="K5333" s="15" t="s">
        <v>23</v>
      </c>
    </row>
    <row r="5334" spans="1:11" ht="42" customHeight="1">
      <c r="A5334" s="4" t="s">
        <v>12132</v>
      </c>
      <c r="B5334" s="5" t="s">
        <v>12132</v>
      </c>
      <c r="C5334" s="5" t="s">
        <v>75</v>
      </c>
      <c r="D5334" s="5" t="s">
        <v>76</v>
      </c>
      <c r="E5334" s="5" t="s">
        <v>112</v>
      </c>
      <c r="F5334" s="9">
        <v>114</v>
      </c>
      <c r="G5334" s="9">
        <v>1241</v>
      </c>
      <c r="H5334" s="5" t="s">
        <v>21</v>
      </c>
      <c r="I5334" s="5" t="s">
        <v>12133</v>
      </c>
      <c r="J5334" s="12" t="str">
        <f>HYPERLINK("https://www.boe.es/gazeta/dias/1801/12/11/pdfs/GMD-1801-114.pdf#page=3","Abrir facsímil")</f>
        <v>Abrir facsímil</v>
      </c>
      <c r="K5334" s="15" t="s">
        <v>23</v>
      </c>
    </row>
    <row r="5335" spans="1:11" ht="42" customHeight="1">
      <c r="A5335" s="4" t="s">
        <v>12134</v>
      </c>
      <c r="B5335" s="5" t="s">
        <v>12134</v>
      </c>
      <c r="C5335" s="5" t="s">
        <v>32</v>
      </c>
      <c r="D5335" s="5" t="s">
        <v>33</v>
      </c>
      <c r="E5335" s="5" t="s">
        <v>141</v>
      </c>
      <c r="F5335" s="9">
        <v>33</v>
      </c>
      <c r="G5335" s="9">
        <v>422</v>
      </c>
      <c r="H5335" s="5" t="s">
        <v>21</v>
      </c>
      <c r="I5335" s="5" t="s">
        <v>12135</v>
      </c>
      <c r="J5335" s="12" t="str">
        <f>HYPERLINK("https://www.boe.es/gazeta/dias/1801/04/24/pdfs/GMD-1801-33.pdf#page=6","Abrir facsímil")</f>
        <v>Abrir facsímil</v>
      </c>
      <c r="K5335" s="15" t="s">
        <v>23</v>
      </c>
    </row>
    <row r="5336" spans="1:11" ht="42" customHeight="1">
      <c r="A5336" s="4" t="s">
        <v>12136</v>
      </c>
      <c r="B5336" s="5" t="s">
        <v>12136</v>
      </c>
      <c r="C5336" s="5" t="s">
        <v>75</v>
      </c>
      <c r="D5336" s="5" t="s">
        <v>76</v>
      </c>
      <c r="E5336" s="5" t="s">
        <v>145</v>
      </c>
      <c r="F5336" s="9">
        <v>36</v>
      </c>
      <c r="G5336" s="9">
        <v>460</v>
      </c>
      <c r="H5336" s="5" t="s">
        <v>21</v>
      </c>
      <c r="I5336" s="5" t="s">
        <v>12137</v>
      </c>
      <c r="J5336" s="12" t="str">
        <f>HYPERLINK("https://www.boe.es/gazeta/dias/1801/05/05/pdfs/GMD-1801-36.pdf#page=4","Abrir facsímil")</f>
        <v>Abrir facsímil</v>
      </c>
      <c r="K5336" s="15" t="s">
        <v>23</v>
      </c>
    </row>
    <row r="5337" spans="1:11" ht="42" customHeight="1">
      <c r="A5337" s="4" t="s">
        <v>12138</v>
      </c>
      <c r="B5337" s="5" t="s">
        <v>12138</v>
      </c>
      <c r="C5337" s="5" t="s">
        <v>75</v>
      </c>
      <c r="D5337" s="5" t="s">
        <v>76</v>
      </c>
      <c r="E5337" s="5" t="s">
        <v>292</v>
      </c>
      <c r="F5337" s="9">
        <v>25</v>
      </c>
      <c r="G5337" s="9">
        <v>323</v>
      </c>
      <c r="H5337" s="5" t="s">
        <v>21</v>
      </c>
      <c r="I5337" s="5" t="s">
        <v>12139</v>
      </c>
      <c r="J5337" s="12" t="str">
        <f>HYPERLINK("https://www.boe.es/gazeta/dias/1801/03/27/pdfs/GMD-1801-25.pdf#page=2","Abrir facsímil")</f>
        <v>Abrir facsímil</v>
      </c>
      <c r="K5337" s="15" t="s">
        <v>23</v>
      </c>
    </row>
    <row r="5338" spans="1:11" ht="42" customHeight="1">
      <c r="A5338" s="4" t="s">
        <v>12140</v>
      </c>
      <c r="B5338" s="5" t="s">
        <v>12140</v>
      </c>
      <c r="C5338" s="5" t="s">
        <v>75</v>
      </c>
      <c r="D5338" s="5" t="s">
        <v>76</v>
      </c>
      <c r="E5338" s="5" t="s">
        <v>313</v>
      </c>
      <c r="F5338" s="9">
        <v>39</v>
      </c>
      <c r="G5338" s="9">
        <v>502</v>
      </c>
      <c r="H5338" s="5" t="s">
        <v>21</v>
      </c>
      <c r="I5338" s="5" t="s">
        <v>12141</v>
      </c>
      <c r="J5338" s="12" t="str">
        <f>HYPERLINK("https://www.boe.es/gazeta/dias/1801/05/15/pdfs/GMD-1801-39.pdf#page=6","Abrir facsímil")</f>
        <v>Abrir facsímil</v>
      </c>
      <c r="K5338" s="15" t="s">
        <v>23</v>
      </c>
    </row>
    <row r="5339" spans="1:11" ht="42" customHeight="1">
      <c r="A5339" s="4" t="s">
        <v>12142</v>
      </c>
      <c r="B5339" s="5" t="s">
        <v>12142</v>
      </c>
      <c r="C5339" s="5" t="s">
        <v>32</v>
      </c>
      <c r="D5339" s="5" t="s">
        <v>33</v>
      </c>
      <c r="E5339" s="5" t="s">
        <v>751</v>
      </c>
      <c r="F5339" s="9">
        <v>106</v>
      </c>
      <c r="G5339" s="9">
        <v>1161</v>
      </c>
      <c r="H5339" s="5" t="s">
        <v>21</v>
      </c>
      <c r="I5339" s="5" t="s">
        <v>12143</v>
      </c>
      <c r="J5339" s="12" t="str">
        <f>HYPERLINK("https://www.boe.es/gazeta/dias/1801/11/13/pdfs/GMD-1801-106.pdf#page=2","Abrir facsímil")</f>
        <v>Abrir facsímil</v>
      </c>
      <c r="K5339" s="15" t="s">
        <v>23</v>
      </c>
    </row>
    <row r="5340" spans="1:11" ht="42" customHeight="1">
      <c r="A5340" s="4" t="s">
        <v>12144</v>
      </c>
      <c r="B5340" s="5" t="s">
        <v>12144</v>
      </c>
      <c r="C5340" s="5" t="s">
        <v>75</v>
      </c>
      <c r="D5340" s="5" t="s">
        <v>76</v>
      </c>
      <c r="E5340" s="5" t="s">
        <v>764</v>
      </c>
      <c r="F5340" s="9">
        <v>80</v>
      </c>
      <c r="G5340" s="9">
        <v>895</v>
      </c>
      <c r="H5340" s="5" t="s">
        <v>21</v>
      </c>
      <c r="I5340" s="5" t="s">
        <v>12145</v>
      </c>
      <c r="J5340" s="12" t="str">
        <f>HYPERLINK("https://www.boe.es/gazeta/dias/1801/08/21/pdfs/GMD-1801-80.pdf#page=4","Abrir facsímil")</f>
        <v>Abrir facsímil</v>
      </c>
      <c r="K5340" s="15" t="s">
        <v>23</v>
      </c>
    </row>
    <row r="5341" spans="1:11" ht="42" customHeight="1">
      <c r="A5341" s="4" t="s">
        <v>12146</v>
      </c>
      <c r="B5341" s="5" t="s">
        <v>12146</v>
      </c>
      <c r="C5341" s="5" t="s">
        <v>75</v>
      </c>
      <c r="D5341" s="5" t="s">
        <v>76</v>
      </c>
      <c r="E5341" s="5" t="s">
        <v>77</v>
      </c>
      <c r="F5341" s="9">
        <v>93</v>
      </c>
      <c r="G5341" s="9">
        <v>1015</v>
      </c>
      <c r="H5341" s="5" t="s">
        <v>21</v>
      </c>
      <c r="I5341" s="5" t="s">
        <v>12147</v>
      </c>
      <c r="J5341" s="12" t="str">
        <f>HYPERLINK("https://www.boe.es/gazeta/dias/1801/09/29/pdfs/GMD-1801-93.pdf#page=2","Abrir facsímil")</f>
        <v>Abrir facsímil</v>
      </c>
      <c r="K5341" s="15" t="s">
        <v>23</v>
      </c>
    </row>
    <row r="5342" spans="1:11" ht="42" customHeight="1">
      <c r="A5342" s="4" t="s">
        <v>12148</v>
      </c>
      <c r="B5342" s="5" t="s">
        <v>12148</v>
      </c>
      <c r="C5342" s="5" t="s">
        <v>32</v>
      </c>
      <c r="D5342" s="5" t="s">
        <v>33</v>
      </c>
      <c r="E5342" s="5" t="s">
        <v>186</v>
      </c>
      <c r="F5342" s="9">
        <v>21</v>
      </c>
      <c r="G5342" s="9">
        <v>275</v>
      </c>
      <c r="H5342" s="5" t="s">
        <v>21</v>
      </c>
      <c r="I5342" s="5" t="s">
        <v>12149</v>
      </c>
      <c r="J5342" s="12" t="str">
        <f>HYPERLINK("https://www.boe.es/gazeta/dias/1801/03/13/pdfs/GMD-1801-21.pdf#page=4","Abrir facsímil")</f>
        <v>Abrir facsímil</v>
      </c>
      <c r="K5342" s="15" t="s">
        <v>23</v>
      </c>
    </row>
    <row r="5343" spans="1:11" ht="42" customHeight="1">
      <c r="A5343" s="4" t="s">
        <v>12150</v>
      </c>
      <c r="B5343" s="5" t="s">
        <v>12150</v>
      </c>
      <c r="C5343" s="5" t="s">
        <v>75</v>
      </c>
      <c r="D5343" s="5" t="s">
        <v>76</v>
      </c>
      <c r="E5343" s="5" t="s">
        <v>194</v>
      </c>
      <c r="F5343" s="9">
        <v>92</v>
      </c>
      <c r="G5343" s="9">
        <v>1007</v>
      </c>
      <c r="H5343" s="5" t="s">
        <v>21</v>
      </c>
      <c r="I5343" s="5" t="s">
        <v>12123</v>
      </c>
      <c r="J5343" s="12" t="str">
        <f>HYPERLINK("https://www.boe.es/gazeta/dias/1801/09/25/pdfs/GMD-1801-92.pdf#page=2","Abrir facsímil")</f>
        <v>Abrir facsímil</v>
      </c>
      <c r="K5343" s="15" t="s">
        <v>23</v>
      </c>
    </row>
    <row r="5344" spans="1:11" ht="42" customHeight="1">
      <c r="A5344" s="4" t="s">
        <v>12151</v>
      </c>
      <c r="B5344" s="5" t="s">
        <v>12151</v>
      </c>
      <c r="C5344" s="5" t="s">
        <v>75</v>
      </c>
      <c r="D5344" s="5" t="s">
        <v>76</v>
      </c>
      <c r="E5344" s="5" t="s">
        <v>292</v>
      </c>
      <c r="F5344" s="9">
        <v>25</v>
      </c>
      <c r="G5344" s="9">
        <v>326</v>
      </c>
      <c r="H5344" s="5" t="s">
        <v>21</v>
      </c>
      <c r="I5344" s="5" t="s">
        <v>12152</v>
      </c>
      <c r="J5344" s="12" t="str">
        <f>HYPERLINK("https://www.boe.es/gazeta/dias/1801/03/27/pdfs/GMD-1801-25.pdf#page=5","Abrir facsímil")</f>
        <v>Abrir facsímil</v>
      </c>
      <c r="K5344" s="15" t="s">
        <v>23</v>
      </c>
    </row>
    <row r="5345" spans="1:11" ht="42" customHeight="1">
      <c r="A5345" s="4" t="s">
        <v>12153</v>
      </c>
      <c r="B5345" s="5" t="s">
        <v>12153</v>
      </c>
      <c r="C5345" s="5" t="s">
        <v>75</v>
      </c>
      <c r="D5345" s="5" t="s">
        <v>76</v>
      </c>
      <c r="E5345" s="5" t="s">
        <v>292</v>
      </c>
      <c r="F5345" s="9">
        <v>25</v>
      </c>
      <c r="G5345" s="9">
        <v>326</v>
      </c>
      <c r="H5345" s="5" t="s">
        <v>21</v>
      </c>
      <c r="I5345" s="5" t="s">
        <v>12154</v>
      </c>
      <c r="J5345" s="12" t="str">
        <f>HYPERLINK("https://www.boe.es/gazeta/dias/1801/03/27/pdfs/GMD-1801-25.pdf#page=5","Abrir facsímil")</f>
        <v>Abrir facsímil</v>
      </c>
      <c r="K5345" s="15" t="s">
        <v>23</v>
      </c>
    </row>
    <row r="5346" spans="1:11" ht="42" customHeight="1">
      <c r="A5346" s="4" t="s">
        <v>12155</v>
      </c>
      <c r="B5346" s="5" t="s">
        <v>12155</v>
      </c>
      <c r="C5346" s="5" t="s">
        <v>32</v>
      </c>
      <c r="D5346" s="5" t="s">
        <v>33</v>
      </c>
      <c r="E5346" s="5" t="s">
        <v>161</v>
      </c>
      <c r="F5346" s="9">
        <v>58</v>
      </c>
      <c r="G5346" s="9">
        <v>657</v>
      </c>
      <c r="H5346" s="5" t="s">
        <v>21</v>
      </c>
      <c r="I5346" s="5" t="s">
        <v>12156</v>
      </c>
      <c r="J5346" s="12" t="str">
        <f>HYPERLINK("https://www.boe.es/gazeta/dias/1801/06/19/pdfs/GMD-1801-58.pdf#page=2","Abrir facsímil")</f>
        <v>Abrir facsímil</v>
      </c>
      <c r="K5346" s="15" t="s">
        <v>23</v>
      </c>
    </row>
    <row r="5347" spans="1:11" ht="42" customHeight="1">
      <c r="A5347" s="4" t="s">
        <v>12157</v>
      </c>
      <c r="B5347" s="5" t="s">
        <v>12157</v>
      </c>
      <c r="C5347" s="5" t="s">
        <v>75</v>
      </c>
      <c r="D5347" s="5" t="s">
        <v>76</v>
      </c>
      <c r="E5347" s="5" t="s">
        <v>735</v>
      </c>
      <c r="F5347" s="9">
        <v>97</v>
      </c>
      <c r="G5347" s="9">
        <v>1057</v>
      </c>
      <c r="H5347" s="5" t="s">
        <v>21</v>
      </c>
      <c r="I5347" s="5" t="s">
        <v>12158</v>
      </c>
      <c r="J5347" s="12" t="str">
        <f>HYPERLINK("https://www.boe.es/gazeta/dias/1801/10/13/pdfs/GMD-1801-97.pdf#page=1","Abrir facsímil")</f>
        <v>Abrir facsímil</v>
      </c>
      <c r="K5347" s="15" t="s">
        <v>23</v>
      </c>
    </row>
    <row r="5348" spans="1:11" ht="42" customHeight="1">
      <c r="A5348" s="4" t="s">
        <v>12159</v>
      </c>
      <c r="B5348" s="5" t="s">
        <v>12159</v>
      </c>
      <c r="C5348" s="5" t="s">
        <v>38</v>
      </c>
      <c r="D5348" s="5" t="s">
        <v>39</v>
      </c>
      <c r="E5348" s="5" t="s">
        <v>82</v>
      </c>
      <c r="F5348" s="9">
        <v>75</v>
      </c>
      <c r="G5348" s="9">
        <v>832</v>
      </c>
      <c r="H5348" s="5" t="s">
        <v>21</v>
      </c>
      <c r="I5348" s="5" t="s">
        <v>12160</v>
      </c>
      <c r="J5348" s="12" t="str">
        <f>HYPERLINK("https://www.boe.es/gazeta/dias/1801/08/04/pdfs/GMD-1801-75.pdf#page=1","Abrir facsímil")</f>
        <v>Abrir facsímil</v>
      </c>
      <c r="K5348" s="15" t="s">
        <v>23</v>
      </c>
    </row>
    <row r="5349" spans="1:11" ht="42" customHeight="1">
      <c r="A5349" s="4" t="s">
        <v>12161</v>
      </c>
      <c r="B5349" s="5" t="s">
        <v>12161</v>
      </c>
      <c r="C5349" s="5" t="s">
        <v>32</v>
      </c>
      <c r="D5349" s="5" t="s">
        <v>33</v>
      </c>
      <c r="E5349" s="5" t="s">
        <v>313</v>
      </c>
      <c r="F5349" s="9">
        <v>39</v>
      </c>
      <c r="G5349" s="9">
        <v>506</v>
      </c>
      <c r="H5349" s="5" t="s">
        <v>21</v>
      </c>
      <c r="I5349" s="5" t="s">
        <v>12162</v>
      </c>
      <c r="J5349" s="12" t="str">
        <f>HYPERLINK("https://www.boe.es/gazeta/dias/1801/05/15/pdfs/GMD-1801-39.pdf#page=10","Abrir facsímil")</f>
        <v>Abrir facsímil</v>
      </c>
      <c r="K5349" s="15" t="s">
        <v>23</v>
      </c>
    </row>
    <row r="5350" spans="1:11" ht="42" customHeight="1">
      <c r="A5350" s="4" t="s">
        <v>12163</v>
      </c>
      <c r="B5350" s="5" t="s">
        <v>12163</v>
      </c>
      <c r="C5350" s="5" t="s">
        <v>75</v>
      </c>
      <c r="D5350" s="5" t="s">
        <v>76</v>
      </c>
      <c r="E5350" s="5" t="s">
        <v>505</v>
      </c>
      <c r="F5350" s="9">
        <v>94</v>
      </c>
      <c r="G5350" s="9">
        <v>1025</v>
      </c>
      <c r="H5350" s="5" t="s">
        <v>21</v>
      </c>
      <c r="I5350" s="5" t="s">
        <v>12164</v>
      </c>
      <c r="J5350" s="12" t="str">
        <f>HYPERLINK("https://www.boe.es/gazeta/dias/1801/10/02/pdfs/GMD-1801-94.pdf#page=1","Abrir facsímil")</f>
        <v>Abrir facsímil</v>
      </c>
      <c r="K5350" s="15" t="s">
        <v>23</v>
      </c>
    </row>
    <row r="5351" spans="1:11" ht="42" customHeight="1">
      <c r="A5351" s="4" t="s">
        <v>12165</v>
      </c>
      <c r="B5351" s="5" t="s">
        <v>12165</v>
      </c>
      <c r="C5351" s="5" t="s">
        <v>75</v>
      </c>
      <c r="D5351" s="5" t="s">
        <v>76</v>
      </c>
      <c r="E5351" s="5" t="s">
        <v>211</v>
      </c>
      <c r="F5351" s="9">
        <v>87</v>
      </c>
      <c r="G5351" s="9">
        <v>961</v>
      </c>
      <c r="H5351" s="5" t="s">
        <v>21</v>
      </c>
      <c r="I5351" s="5" t="s">
        <v>12166</v>
      </c>
      <c r="J5351" s="12" t="str">
        <f>HYPERLINK("https://www.boe.es/gazeta/dias/1801/09/11/pdfs/GMD-1801-87.pdf#page=4","Abrir facsímil")</f>
        <v>Abrir facsímil</v>
      </c>
      <c r="K5351" s="15" t="s">
        <v>23</v>
      </c>
    </row>
    <row r="5352" spans="1:11" ht="42" customHeight="1">
      <c r="A5352" s="4" t="s">
        <v>12167</v>
      </c>
      <c r="B5352" s="5" t="s">
        <v>12167</v>
      </c>
      <c r="C5352" s="5" t="s">
        <v>75</v>
      </c>
      <c r="D5352" s="5" t="s">
        <v>76</v>
      </c>
      <c r="E5352" s="5" t="s">
        <v>62</v>
      </c>
      <c r="F5352" s="9">
        <v>6</v>
      </c>
      <c r="G5352" s="9">
        <v>68</v>
      </c>
      <c r="H5352" s="5" t="s">
        <v>21</v>
      </c>
      <c r="I5352" s="5" t="s">
        <v>12168</v>
      </c>
      <c r="J5352" s="12" t="str">
        <f>HYPERLINK("https://www.boe.es/gazeta/dias/1801/01/20/pdfs/GMD-1801-6.pdf#page=4","Abrir facsímil")</f>
        <v>Abrir facsímil</v>
      </c>
      <c r="K5352" s="15" t="s">
        <v>23</v>
      </c>
    </row>
    <row r="5353" spans="1:11" ht="42" customHeight="1">
      <c r="A5353" s="4" t="s">
        <v>12167</v>
      </c>
      <c r="B5353" s="5" t="s">
        <v>12167</v>
      </c>
      <c r="C5353" s="5" t="s">
        <v>75</v>
      </c>
      <c r="D5353" s="5" t="s">
        <v>76</v>
      </c>
      <c r="E5353" s="5" t="s">
        <v>122</v>
      </c>
      <c r="F5353" s="9">
        <v>8</v>
      </c>
      <c r="G5353" s="9">
        <v>96</v>
      </c>
      <c r="H5353" s="5" t="s">
        <v>21</v>
      </c>
      <c r="I5353" s="5" t="s">
        <v>12169</v>
      </c>
      <c r="J5353" s="12" t="str">
        <f>HYPERLINK("https://www.boe.es/gazeta/dias/1801/01/27/pdfs/GMD-1801-8.pdf#page=8","Abrir facsímil")</f>
        <v>Abrir facsímil</v>
      </c>
      <c r="K5353" s="15" t="s">
        <v>23</v>
      </c>
    </row>
    <row r="5354" spans="1:11" ht="42" customHeight="1">
      <c r="A5354" s="4" t="s">
        <v>12167</v>
      </c>
      <c r="B5354" s="5" t="s">
        <v>12167</v>
      </c>
      <c r="C5354" s="5" t="s">
        <v>75</v>
      </c>
      <c r="D5354" s="5" t="s">
        <v>76</v>
      </c>
      <c r="E5354" s="5" t="s">
        <v>275</v>
      </c>
      <c r="F5354" s="9">
        <v>9</v>
      </c>
      <c r="G5354" s="9">
        <v>106</v>
      </c>
      <c r="H5354" s="5" t="s">
        <v>21</v>
      </c>
      <c r="I5354" s="5" t="s">
        <v>12170</v>
      </c>
      <c r="J5354" s="12" t="str">
        <f>HYPERLINK("https://www.boe.es/gazeta/dias/1801/01/30/pdfs/GMD-1801-9.pdf#page=3","Abrir facsímil")</f>
        <v>Abrir facsímil</v>
      </c>
      <c r="K5354" s="15" t="s">
        <v>23</v>
      </c>
    </row>
    <row r="5355" spans="1:11" ht="42" customHeight="1">
      <c r="A5355" s="4" t="s">
        <v>12167</v>
      </c>
      <c r="B5355" s="5" t="s">
        <v>12167</v>
      </c>
      <c r="C5355" s="5" t="s">
        <v>38</v>
      </c>
      <c r="D5355" s="5" t="s">
        <v>39</v>
      </c>
      <c r="E5355" s="5" t="s">
        <v>378</v>
      </c>
      <c r="F5355" s="9">
        <v>23</v>
      </c>
      <c r="G5355" s="9">
        <v>303</v>
      </c>
      <c r="H5355" s="5" t="s">
        <v>21</v>
      </c>
      <c r="I5355" s="5" t="s">
        <v>12171</v>
      </c>
      <c r="J5355" s="12" t="str">
        <f>HYPERLINK("https://www.boe.es/gazeta/dias/1801/03/20/pdfs/GMD-1801-23.pdf#page=6","Abrir facsímil")</f>
        <v>Abrir facsímil</v>
      </c>
      <c r="K5355" s="15" t="s">
        <v>23</v>
      </c>
    </row>
    <row r="5356" spans="1:11" ht="42" customHeight="1">
      <c r="A5356" s="4" t="s">
        <v>12167</v>
      </c>
      <c r="B5356" s="5" t="s">
        <v>12167</v>
      </c>
      <c r="C5356" s="5" t="s">
        <v>69</v>
      </c>
      <c r="D5356" s="5" t="s">
        <v>19</v>
      </c>
      <c r="E5356" s="5" t="s">
        <v>44</v>
      </c>
      <c r="F5356" s="9">
        <v>117</v>
      </c>
      <c r="G5356" s="9">
        <v>1276</v>
      </c>
      <c r="H5356" s="5" t="s">
        <v>21</v>
      </c>
      <c r="I5356" s="5" t="s">
        <v>12172</v>
      </c>
      <c r="J5356" s="12" t="str">
        <f>HYPERLINK("https://www.boe.es/gazeta/dias/1801/12/22/pdfs/GMD-1801-117.pdf#page=3","Abrir facsímil")</f>
        <v>Abrir facsímil</v>
      </c>
      <c r="K5356" s="15" t="s">
        <v>23</v>
      </c>
    </row>
    <row r="5357" spans="1:11" ht="42" customHeight="1">
      <c r="A5357" s="4" t="s">
        <v>12173</v>
      </c>
      <c r="B5357" s="5" t="s">
        <v>12173</v>
      </c>
      <c r="C5357" s="5" t="s">
        <v>75</v>
      </c>
      <c r="D5357" s="5" t="s">
        <v>76</v>
      </c>
      <c r="E5357" s="5" t="s">
        <v>211</v>
      </c>
      <c r="F5357" s="9">
        <v>87</v>
      </c>
      <c r="G5357" s="9">
        <v>961</v>
      </c>
      <c r="H5357" s="5" t="s">
        <v>21</v>
      </c>
      <c r="I5357" s="5" t="s">
        <v>12174</v>
      </c>
      <c r="J5357" s="12" t="str">
        <f>HYPERLINK("https://www.boe.es/gazeta/dias/1801/09/11/pdfs/GMD-1801-87.pdf#page=4","Abrir facsímil")</f>
        <v>Abrir facsímil</v>
      </c>
      <c r="K5357" s="15" t="s">
        <v>23</v>
      </c>
    </row>
    <row r="5358" spans="1:11" ht="42" customHeight="1">
      <c r="A5358" s="4" t="s">
        <v>12175</v>
      </c>
      <c r="B5358" s="5" t="s">
        <v>12175</v>
      </c>
      <c r="C5358" s="5" t="s">
        <v>75</v>
      </c>
      <c r="D5358" s="5" t="s">
        <v>76</v>
      </c>
      <c r="E5358" s="5" t="s">
        <v>105</v>
      </c>
      <c r="F5358" s="9">
        <v>44</v>
      </c>
      <c r="G5358" s="9">
        <v>542</v>
      </c>
      <c r="H5358" s="5" t="s">
        <v>21</v>
      </c>
      <c r="I5358" s="5" t="s">
        <v>12176</v>
      </c>
      <c r="J5358" s="12" t="str">
        <f>HYPERLINK("https://www.boe.es/gazeta/dias/1801/05/29/pdfs/GMD-1801-44.pdf#page=2","Abrir facsímil")</f>
        <v>Abrir facsímil</v>
      </c>
      <c r="K5358" s="15" t="s">
        <v>23</v>
      </c>
    </row>
    <row r="5359" spans="1:11" ht="42" customHeight="1">
      <c r="A5359" s="4" t="s">
        <v>12177</v>
      </c>
      <c r="B5359" s="5" t="s">
        <v>12177</v>
      </c>
      <c r="C5359" s="5" t="s">
        <v>75</v>
      </c>
      <c r="D5359" s="5" t="s">
        <v>76</v>
      </c>
      <c r="E5359" s="5" t="s">
        <v>702</v>
      </c>
      <c r="F5359" s="9">
        <v>69</v>
      </c>
      <c r="G5359" s="9">
        <v>761</v>
      </c>
      <c r="H5359" s="5" t="s">
        <v>21</v>
      </c>
      <c r="I5359" s="5" t="s">
        <v>12178</v>
      </c>
      <c r="J5359" s="12" t="str">
        <f>HYPERLINK("https://www.boe.es/gazeta/dias/1801/07/14/pdfs/GMD-1801-69.pdf#page=6","Abrir facsímil")</f>
        <v>Abrir facsímil</v>
      </c>
      <c r="K5359" s="15" t="s">
        <v>23</v>
      </c>
    </row>
    <row r="5360" spans="1:11" ht="42" customHeight="1">
      <c r="A5360" s="4" t="s">
        <v>12179</v>
      </c>
      <c r="B5360" s="5" t="s">
        <v>12179</v>
      </c>
      <c r="C5360" s="5" t="s">
        <v>75</v>
      </c>
      <c r="D5360" s="5" t="s">
        <v>76</v>
      </c>
      <c r="E5360" s="5" t="s">
        <v>935</v>
      </c>
      <c r="F5360" s="9">
        <v>116</v>
      </c>
      <c r="G5360" s="9">
        <v>1264</v>
      </c>
      <c r="H5360" s="5" t="s">
        <v>21</v>
      </c>
      <c r="I5360" s="5" t="s">
        <v>12180</v>
      </c>
      <c r="J5360" s="12" t="str">
        <f>HYPERLINK("https://www.boe.es/gazeta/dias/1801/12/18/pdfs/GMD-1801-116.pdf#page=6","Abrir facsímil")</f>
        <v>Abrir facsímil</v>
      </c>
      <c r="K5360" s="15" t="s">
        <v>23</v>
      </c>
    </row>
    <row r="5361" spans="1:11" ht="42" customHeight="1">
      <c r="A5361" s="4" t="s">
        <v>12181</v>
      </c>
      <c r="B5361" s="5" t="s">
        <v>12181</v>
      </c>
      <c r="C5361" s="5" t="s">
        <v>75</v>
      </c>
      <c r="D5361" s="5" t="s">
        <v>76</v>
      </c>
      <c r="E5361" s="5" t="s">
        <v>34</v>
      </c>
      <c r="F5361" s="9">
        <v>38</v>
      </c>
      <c r="G5361" s="9">
        <v>488</v>
      </c>
      <c r="H5361" s="5" t="s">
        <v>21</v>
      </c>
      <c r="I5361" s="5" t="s">
        <v>12182</v>
      </c>
      <c r="J5361" s="12" t="str">
        <f>HYPERLINK("https://www.boe.es/gazeta/dias/1801/05/12/pdfs/GMD-1801-38.pdf#page=4","Abrir facsímil")</f>
        <v>Abrir facsímil</v>
      </c>
      <c r="K5361" s="15" t="s">
        <v>23</v>
      </c>
    </row>
    <row r="5362" spans="1:11" ht="42" customHeight="1">
      <c r="A5362" s="4" t="s">
        <v>12181</v>
      </c>
      <c r="B5362" s="5" t="s">
        <v>12181</v>
      </c>
      <c r="C5362" s="5" t="s">
        <v>75</v>
      </c>
      <c r="D5362" s="5" t="s">
        <v>76</v>
      </c>
      <c r="E5362" s="5" t="s">
        <v>44</v>
      </c>
      <c r="F5362" s="9">
        <v>117</v>
      </c>
      <c r="G5362" s="9">
        <v>1277</v>
      </c>
      <c r="H5362" s="5" t="s">
        <v>21</v>
      </c>
      <c r="I5362" s="5" t="s">
        <v>12183</v>
      </c>
      <c r="J5362" s="12" t="str">
        <f>HYPERLINK("https://www.boe.es/gazeta/dias/1801/12/22/pdfs/GMD-1801-117.pdf#page=4","Abrir facsímil")</f>
        <v>Abrir facsímil</v>
      </c>
      <c r="K5362" s="15" t="s">
        <v>23</v>
      </c>
    </row>
    <row r="5363" spans="1:11" ht="42" customHeight="1">
      <c r="A5363" s="4" t="s">
        <v>12181</v>
      </c>
      <c r="B5363" s="5" t="s">
        <v>12181</v>
      </c>
      <c r="C5363" s="5" t="s">
        <v>75</v>
      </c>
      <c r="D5363" s="5" t="s">
        <v>76</v>
      </c>
      <c r="E5363" s="5" t="s">
        <v>266</v>
      </c>
      <c r="F5363" s="9">
        <v>119</v>
      </c>
      <c r="G5363" s="9">
        <v>1297</v>
      </c>
      <c r="H5363" s="5" t="s">
        <v>21</v>
      </c>
      <c r="I5363" s="5" t="s">
        <v>12184</v>
      </c>
      <c r="J5363" s="12" t="str">
        <f>HYPERLINK("https://www.boe.es/gazeta/dias/1801/12/29/pdfs/GMD-1801-119.pdf#page=1","Abrir facsímil")</f>
        <v>Abrir facsímil</v>
      </c>
      <c r="K5363" s="15" t="s">
        <v>23</v>
      </c>
    </row>
    <row r="5364" spans="1:11" ht="42" customHeight="1">
      <c r="A5364" s="4" t="s">
        <v>12181</v>
      </c>
      <c r="B5364" s="5" t="s">
        <v>12181</v>
      </c>
      <c r="C5364" s="5" t="s">
        <v>75</v>
      </c>
      <c r="D5364" s="5" t="s">
        <v>76</v>
      </c>
      <c r="E5364" s="5" t="s">
        <v>266</v>
      </c>
      <c r="F5364" s="9">
        <v>119</v>
      </c>
      <c r="G5364" s="9">
        <v>1298</v>
      </c>
      <c r="H5364" s="5" t="s">
        <v>21</v>
      </c>
      <c r="I5364" s="5" t="s">
        <v>12185</v>
      </c>
      <c r="J5364" s="12" t="str">
        <f>HYPERLINK("https://www.boe.es/gazeta/dias/1801/12/29/pdfs/GMD-1801-119.pdf#page=2","Abrir facsímil")</f>
        <v>Abrir facsímil</v>
      </c>
      <c r="K5364" s="15" t="s">
        <v>23</v>
      </c>
    </row>
    <row r="5365" spans="1:11" ht="42" customHeight="1">
      <c r="A5365" s="4" t="s">
        <v>12186</v>
      </c>
      <c r="B5365" s="5" t="s">
        <v>12186</v>
      </c>
      <c r="C5365" s="5" t="s">
        <v>69</v>
      </c>
      <c r="D5365" s="5" t="s">
        <v>19</v>
      </c>
      <c r="E5365" s="5" t="s">
        <v>34</v>
      </c>
      <c r="F5365" s="9">
        <v>38</v>
      </c>
      <c r="G5365" s="9">
        <v>488</v>
      </c>
      <c r="H5365" s="5" t="s">
        <v>21</v>
      </c>
      <c r="I5365" s="5" t="s">
        <v>12187</v>
      </c>
      <c r="J5365" s="12" t="str">
        <f>HYPERLINK("https://www.boe.es/gazeta/dias/1801/05/12/pdfs/GMD-1801-38.pdf#page=4","Abrir facsímil")</f>
        <v>Abrir facsímil</v>
      </c>
      <c r="K5365" s="15" t="s">
        <v>23</v>
      </c>
    </row>
    <row r="5366" spans="1:11" ht="42" customHeight="1">
      <c r="A5366" s="4" t="s">
        <v>12186</v>
      </c>
      <c r="B5366" s="5" t="s">
        <v>12186</v>
      </c>
      <c r="C5366" s="5" t="s">
        <v>75</v>
      </c>
      <c r="D5366" s="5" t="s">
        <v>76</v>
      </c>
      <c r="E5366" s="5" t="s">
        <v>165</v>
      </c>
      <c r="F5366" s="9">
        <v>59</v>
      </c>
      <c r="G5366" s="9">
        <v>670</v>
      </c>
      <c r="H5366" s="5" t="s">
        <v>21</v>
      </c>
      <c r="I5366" s="5" t="s">
        <v>12188</v>
      </c>
      <c r="J5366" s="12" t="str">
        <f>HYPERLINK("https://www.boe.es/gazeta/dias/1801/06/23/pdfs/GMD-1801-59.pdf#page=3","Abrir facsímil")</f>
        <v>Abrir facsímil</v>
      </c>
      <c r="K5366" s="15" t="s">
        <v>23</v>
      </c>
    </row>
    <row r="5367" spans="1:11" ht="42" customHeight="1">
      <c r="A5367" s="4" t="s">
        <v>12189</v>
      </c>
      <c r="B5367" s="5" t="s">
        <v>12189</v>
      </c>
      <c r="C5367" s="5" t="s">
        <v>38</v>
      </c>
      <c r="D5367" s="5" t="s">
        <v>39</v>
      </c>
      <c r="E5367" s="5" t="s">
        <v>453</v>
      </c>
      <c r="F5367" s="9">
        <v>100</v>
      </c>
      <c r="G5367" s="9">
        <v>1094</v>
      </c>
      <c r="H5367" s="5" t="s">
        <v>21</v>
      </c>
      <c r="I5367" s="5" t="s">
        <v>12190</v>
      </c>
      <c r="J5367" s="12" t="str">
        <f>HYPERLINK("https://www.boe.es/gazeta/dias/1801/10/23/pdfs/GMD-1801-100.pdf#page=3","Abrir facsímil")</f>
        <v>Abrir facsímil</v>
      </c>
      <c r="K5367" s="15" t="s">
        <v>23</v>
      </c>
    </row>
    <row r="5368" spans="1:11" ht="42" customHeight="1">
      <c r="A5368" s="4" t="s">
        <v>12191</v>
      </c>
      <c r="B5368" s="5" t="s">
        <v>12191</v>
      </c>
      <c r="C5368" s="5" t="s">
        <v>75</v>
      </c>
      <c r="D5368" s="5" t="s">
        <v>76</v>
      </c>
      <c r="E5368" s="5" t="s">
        <v>137</v>
      </c>
      <c r="F5368" s="9">
        <v>30</v>
      </c>
      <c r="G5368" s="9">
        <v>388</v>
      </c>
      <c r="H5368" s="5" t="s">
        <v>21</v>
      </c>
      <c r="I5368" s="5" t="s">
        <v>12192</v>
      </c>
      <c r="J5368" s="12" t="str">
        <f>HYPERLINK("https://www.boe.es/gazeta/dias/1801/04/14/pdfs/GMD-1801-30.pdf#page=4","Abrir facsímil")</f>
        <v>Abrir facsímil</v>
      </c>
      <c r="K5368" s="15" t="s">
        <v>23</v>
      </c>
    </row>
    <row r="5369" spans="1:11" ht="42" customHeight="1">
      <c r="A5369" s="4" t="s">
        <v>12191</v>
      </c>
      <c r="B5369" s="5" t="s">
        <v>12191</v>
      </c>
      <c r="C5369" s="5" t="s">
        <v>75</v>
      </c>
      <c r="D5369" s="5" t="s">
        <v>76</v>
      </c>
      <c r="E5369" s="5" t="s">
        <v>1939</v>
      </c>
      <c r="F5369" s="9">
        <v>107</v>
      </c>
      <c r="G5369" s="9">
        <v>1173</v>
      </c>
      <c r="H5369" s="5" t="s">
        <v>21</v>
      </c>
      <c r="I5369" s="5" t="s">
        <v>12110</v>
      </c>
      <c r="J5369" s="12" t="str">
        <f>HYPERLINK("https://www.boe.es/gazeta/dias/1801/11/17/pdfs/GMD-1801-107.pdf#page=2","Abrir facsímil")</f>
        <v>Abrir facsímil</v>
      </c>
      <c r="K5369" s="15" t="s">
        <v>23</v>
      </c>
    </row>
    <row r="5370" spans="1:11" ht="42" customHeight="1">
      <c r="A5370" s="4" t="s">
        <v>12193</v>
      </c>
      <c r="B5370" s="5" t="s">
        <v>12193</v>
      </c>
      <c r="C5370" s="5" t="s">
        <v>75</v>
      </c>
      <c r="D5370" s="5" t="s">
        <v>76</v>
      </c>
      <c r="E5370" s="5" t="s">
        <v>20</v>
      </c>
      <c r="F5370" s="9">
        <v>37</v>
      </c>
      <c r="G5370" s="9">
        <v>478</v>
      </c>
      <c r="H5370" s="5" t="s">
        <v>21</v>
      </c>
      <c r="I5370" s="5" t="s">
        <v>12194</v>
      </c>
      <c r="J5370" s="12" t="str">
        <f>HYPERLINK("https://www.boe.es/gazeta/dias/1801/05/08/pdfs/GMD-1801-37.pdf#page=6","Abrir facsímil")</f>
        <v>Abrir facsímil</v>
      </c>
      <c r="K5370" s="15" t="s">
        <v>23</v>
      </c>
    </row>
    <row r="5371" spans="1:11" ht="42" customHeight="1">
      <c r="A5371" s="4" t="s">
        <v>12195</v>
      </c>
      <c r="B5371" s="5" t="s">
        <v>12195</v>
      </c>
      <c r="C5371" s="5" t="s">
        <v>75</v>
      </c>
      <c r="D5371" s="5" t="s">
        <v>76</v>
      </c>
      <c r="E5371" s="5" t="s">
        <v>151</v>
      </c>
      <c r="F5371" s="9">
        <v>45</v>
      </c>
      <c r="G5371" s="9">
        <v>559</v>
      </c>
      <c r="H5371" s="5" t="s">
        <v>21</v>
      </c>
      <c r="I5371" s="5" t="s">
        <v>12196</v>
      </c>
      <c r="J5371" s="12" t="str">
        <f>HYPERLINK("https://www.boe.es/gazeta/dias/1801/06/02/pdfs/GMD-1801-45.pdf#page=7","Abrir facsímil")</f>
        <v>Abrir facsímil</v>
      </c>
      <c r="K5371" s="15" t="s">
        <v>23</v>
      </c>
    </row>
    <row r="5372" spans="1:11" ht="42" customHeight="1">
      <c r="A5372" s="4" t="s">
        <v>12197</v>
      </c>
      <c r="B5372" s="5" t="s">
        <v>12197</v>
      </c>
      <c r="C5372" s="5" t="s">
        <v>75</v>
      </c>
      <c r="D5372" s="5" t="s">
        <v>76</v>
      </c>
      <c r="E5372" s="5" t="s">
        <v>77</v>
      </c>
      <c r="F5372" s="9">
        <v>93</v>
      </c>
      <c r="G5372" s="9">
        <v>1016</v>
      </c>
      <c r="H5372" s="5" t="s">
        <v>21</v>
      </c>
      <c r="I5372" s="5" t="s">
        <v>12198</v>
      </c>
      <c r="J5372" s="12" t="str">
        <f>HYPERLINK("https://www.boe.es/gazeta/dias/1801/09/29/pdfs/GMD-1801-93.pdf#page=3","Abrir facsímil")</f>
        <v>Abrir facsímil</v>
      </c>
      <c r="K5372" s="15" t="s">
        <v>23</v>
      </c>
    </row>
    <row r="5373" spans="1:11" ht="42" customHeight="1">
      <c r="A5373" s="4" t="s">
        <v>12199</v>
      </c>
      <c r="B5373" s="5" t="s">
        <v>12199</v>
      </c>
      <c r="C5373" s="5" t="s">
        <v>75</v>
      </c>
      <c r="D5373" s="5" t="s">
        <v>76</v>
      </c>
      <c r="E5373" s="5" t="s">
        <v>137</v>
      </c>
      <c r="F5373" s="9">
        <v>30</v>
      </c>
      <c r="G5373" s="9">
        <v>388</v>
      </c>
      <c r="H5373" s="5" t="s">
        <v>21</v>
      </c>
      <c r="I5373" s="5" t="s">
        <v>12200</v>
      </c>
      <c r="J5373" s="12" t="str">
        <f>HYPERLINK("https://www.boe.es/gazeta/dias/1801/04/14/pdfs/GMD-1801-30.pdf#page=4","Abrir facsímil")</f>
        <v>Abrir facsímil</v>
      </c>
      <c r="K5373" s="15" t="s">
        <v>23</v>
      </c>
    </row>
    <row r="5374" spans="1:11" ht="42" customHeight="1">
      <c r="A5374" s="4" t="s">
        <v>12201</v>
      </c>
      <c r="B5374" s="5" t="s">
        <v>12201</v>
      </c>
      <c r="C5374" s="5" t="s">
        <v>69</v>
      </c>
      <c r="D5374" s="5" t="s">
        <v>19</v>
      </c>
      <c r="E5374" s="5" t="s">
        <v>275</v>
      </c>
      <c r="F5374" s="9">
        <v>9</v>
      </c>
      <c r="G5374" s="9">
        <v>113</v>
      </c>
      <c r="H5374" s="5" t="s">
        <v>21</v>
      </c>
      <c r="I5374" s="5" t="s">
        <v>12202</v>
      </c>
      <c r="J5374" s="12" t="str">
        <f>HYPERLINK("https://www.boe.es/gazeta/dias/1801/01/30/pdfs/GMD-1801-9.pdf#page=10","Abrir facsímil")</f>
        <v>Abrir facsímil</v>
      </c>
      <c r="K5374" s="15" t="s">
        <v>23</v>
      </c>
    </row>
    <row r="5375" spans="1:11" ht="42" customHeight="1">
      <c r="A5375" s="4" t="s">
        <v>12203</v>
      </c>
      <c r="B5375" s="5" t="s">
        <v>12203</v>
      </c>
      <c r="C5375" s="5" t="s">
        <v>75</v>
      </c>
      <c r="D5375" s="5" t="s">
        <v>76</v>
      </c>
      <c r="E5375" s="5" t="s">
        <v>20</v>
      </c>
      <c r="F5375" s="9">
        <v>37</v>
      </c>
      <c r="G5375" s="9">
        <v>478</v>
      </c>
      <c r="H5375" s="5" t="s">
        <v>21</v>
      </c>
      <c r="I5375" s="5" t="s">
        <v>12204</v>
      </c>
      <c r="J5375" s="12" t="str">
        <f>HYPERLINK("https://www.boe.es/gazeta/dias/1801/05/08/pdfs/GMD-1801-37.pdf#page=6","Abrir facsímil")</f>
        <v>Abrir facsímil</v>
      </c>
      <c r="K5375" s="15" t="s">
        <v>23</v>
      </c>
    </row>
    <row r="5376" spans="1:11" ht="42" customHeight="1">
      <c r="A5376" s="4" t="s">
        <v>12205</v>
      </c>
      <c r="B5376" s="5" t="s">
        <v>12205</v>
      </c>
      <c r="C5376" s="5" t="s">
        <v>32</v>
      </c>
      <c r="D5376" s="5" t="s">
        <v>33</v>
      </c>
      <c r="E5376" s="5" t="s">
        <v>165</v>
      </c>
      <c r="F5376" s="9">
        <v>59</v>
      </c>
      <c r="G5376" s="9">
        <v>668</v>
      </c>
      <c r="H5376" s="5" t="s">
        <v>21</v>
      </c>
      <c r="I5376" s="5" t="s">
        <v>12206</v>
      </c>
      <c r="J5376" s="12" t="str">
        <f>HYPERLINK("https://www.boe.es/gazeta/dias/1801/06/23/pdfs/GMD-1801-59.pdf#page=1","Abrir facsímil")</f>
        <v>Abrir facsímil</v>
      </c>
      <c r="K5376" s="15" t="s">
        <v>23</v>
      </c>
    </row>
    <row r="5377" spans="1:11" ht="42" customHeight="1">
      <c r="A5377" s="4" t="s">
        <v>12207</v>
      </c>
      <c r="B5377" s="5" t="s">
        <v>12207</v>
      </c>
      <c r="C5377" s="5" t="s">
        <v>32</v>
      </c>
      <c r="D5377" s="5" t="s">
        <v>33</v>
      </c>
      <c r="E5377" s="5" t="s">
        <v>128</v>
      </c>
      <c r="F5377" s="9">
        <v>17</v>
      </c>
      <c r="G5377" s="9">
        <v>210</v>
      </c>
      <c r="H5377" s="5" t="s">
        <v>21</v>
      </c>
      <c r="I5377" s="5" t="s">
        <v>12208</v>
      </c>
      <c r="J5377" s="12" t="str">
        <f>HYPERLINK("https://www.boe.es/gazeta/dias/1801/02/27/pdfs/GMD-1801-17.pdf#page=5","Abrir facsímil")</f>
        <v>Abrir facsímil</v>
      </c>
      <c r="K5377" s="15" t="s">
        <v>23</v>
      </c>
    </row>
    <row r="5378" spans="1:11" ht="42" customHeight="1">
      <c r="A5378" s="4" t="s">
        <v>12209</v>
      </c>
      <c r="B5378" s="5" t="s">
        <v>12209</v>
      </c>
      <c r="C5378" s="5" t="s">
        <v>38</v>
      </c>
      <c r="D5378" s="5" t="s">
        <v>39</v>
      </c>
      <c r="E5378" s="5" t="s">
        <v>131</v>
      </c>
      <c r="F5378" s="9">
        <v>22</v>
      </c>
      <c r="G5378" s="9">
        <v>286</v>
      </c>
      <c r="H5378" s="5" t="s">
        <v>21</v>
      </c>
      <c r="I5378" s="5" t="s">
        <v>12210</v>
      </c>
      <c r="J5378" s="12" t="str">
        <f>HYPERLINK("https://www.boe.es/gazeta/dias/1801/03/17/pdfs/GMD-1801-22.pdf#page=3","Abrir facsímil")</f>
        <v>Abrir facsímil</v>
      </c>
      <c r="K5378" s="15" t="s">
        <v>23</v>
      </c>
    </row>
    <row r="5379" spans="1:11" ht="42" customHeight="1">
      <c r="A5379" s="4" t="s">
        <v>12211</v>
      </c>
      <c r="B5379" s="5" t="s">
        <v>12211</v>
      </c>
      <c r="C5379" s="5" t="s">
        <v>75</v>
      </c>
      <c r="D5379" s="5" t="s">
        <v>76</v>
      </c>
      <c r="E5379" s="5" t="s">
        <v>94</v>
      </c>
      <c r="F5379" s="9">
        <v>19</v>
      </c>
      <c r="G5379" s="9">
        <v>237</v>
      </c>
      <c r="H5379" s="5" t="s">
        <v>21</v>
      </c>
      <c r="I5379" s="5" t="s">
        <v>12212</v>
      </c>
      <c r="J5379" s="12" t="str">
        <f>HYPERLINK("https://www.boe.es/gazeta/dias/1801/03/06/pdfs/GMD-1801-19.pdf#page=2","Abrir facsímil")</f>
        <v>Abrir facsímil</v>
      </c>
      <c r="K5379" s="15" t="s">
        <v>23</v>
      </c>
    </row>
    <row r="5380" spans="1:11" ht="42" customHeight="1">
      <c r="A5380" s="4" t="s">
        <v>12211</v>
      </c>
      <c r="B5380" s="5" t="s">
        <v>12211</v>
      </c>
      <c r="C5380" s="5" t="s">
        <v>38</v>
      </c>
      <c r="D5380" s="5" t="s">
        <v>39</v>
      </c>
      <c r="E5380" s="5" t="s">
        <v>505</v>
      </c>
      <c r="F5380" s="9">
        <v>94</v>
      </c>
      <c r="G5380" s="9">
        <v>1028</v>
      </c>
      <c r="H5380" s="5" t="s">
        <v>21</v>
      </c>
      <c r="I5380" s="5" t="s">
        <v>12213</v>
      </c>
      <c r="J5380" s="12" t="str">
        <f>HYPERLINK("https://www.boe.es/gazeta/dias/1801/10/02/pdfs/GMD-1801-94.pdf#page=4","Abrir facsímil")</f>
        <v>Abrir facsímil</v>
      </c>
      <c r="K5380" s="15" t="s">
        <v>23</v>
      </c>
    </row>
    <row r="5381" spans="1:11" ht="42" customHeight="1">
      <c r="A5381" s="4" t="s">
        <v>12214</v>
      </c>
      <c r="B5381" s="5" t="s">
        <v>12214</v>
      </c>
      <c r="C5381" s="5" t="s">
        <v>38</v>
      </c>
      <c r="D5381" s="5" t="s">
        <v>39</v>
      </c>
      <c r="E5381" s="5" t="s">
        <v>131</v>
      </c>
      <c r="F5381" s="9">
        <v>22</v>
      </c>
      <c r="G5381" s="9">
        <v>286</v>
      </c>
      <c r="H5381" s="5" t="s">
        <v>21</v>
      </c>
      <c r="I5381" s="5" t="s">
        <v>12215</v>
      </c>
      <c r="J5381" s="12" t="str">
        <f>HYPERLINK("https://www.boe.es/gazeta/dias/1801/03/17/pdfs/GMD-1801-22.pdf#page=3","Abrir facsímil")</f>
        <v>Abrir facsímil</v>
      </c>
      <c r="K5381" s="15" t="s">
        <v>23</v>
      </c>
    </row>
    <row r="5382" spans="1:11" ht="42" customHeight="1">
      <c r="A5382" s="4" t="s">
        <v>12216</v>
      </c>
      <c r="B5382" s="5" t="s">
        <v>12216</v>
      </c>
      <c r="C5382" s="5" t="s">
        <v>75</v>
      </c>
      <c r="D5382" s="5" t="s">
        <v>76</v>
      </c>
      <c r="E5382" s="5" t="s">
        <v>20</v>
      </c>
      <c r="F5382" s="9">
        <v>37</v>
      </c>
      <c r="G5382" s="9">
        <v>475</v>
      </c>
      <c r="H5382" s="5" t="s">
        <v>21</v>
      </c>
      <c r="I5382" s="5" t="s">
        <v>12217</v>
      </c>
      <c r="J5382" s="12" t="str">
        <f>HYPERLINK("https://www.boe.es/gazeta/dias/1801/05/08/pdfs/GMD-1801-37.pdf#page=3","Abrir facsímil")</f>
        <v>Abrir facsímil</v>
      </c>
      <c r="K5382" s="15" t="s">
        <v>23</v>
      </c>
    </row>
    <row r="5383" spans="1:11" ht="42" customHeight="1">
      <c r="A5383" s="4" t="s">
        <v>12218</v>
      </c>
      <c r="B5383" s="5" t="s">
        <v>12218</v>
      </c>
      <c r="C5383" s="5" t="s">
        <v>32</v>
      </c>
      <c r="D5383" s="5" t="s">
        <v>33</v>
      </c>
      <c r="E5383" s="5" t="s">
        <v>97</v>
      </c>
      <c r="F5383" s="9">
        <v>31</v>
      </c>
      <c r="G5383" s="9">
        <v>400</v>
      </c>
      <c r="H5383" s="5" t="s">
        <v>21</v>
      </c>
      <c r="I5383" s="5" t="s">
        <v>12107</v>
      </c>
      <c r="J5383" s="12" t="str">
        <f>HYPERLINK("https://www.boe.es/gazeta/dias/1801/04/17/pdfs/GMD-1801-31.pdf#page=4","Abrir facsímil")</f>
        <v>Abrir facsímil</v>
      </c>
      <c r="K5383" s="15" t="s">
        <v>23</v>
      </c>
    </row>
    <row r="5384" spans="1:11" ht="42" customHeight="1">
      <c r="A5384" s="4" t="s">
        <v>12218</v>
      </c>
      <c r="B5384" s="5" t="s">
        <v>12218</v>
      </c>
      <c r="C5384" s="5" t="s">
        <v>38</v>
      </c>
      <c r="D5384" s="5" t="s">
        <v>39</v>
      </c>
      <c r="E5384" s="5" t="s">
        <v>82</v>
      </c>
      <c r="F5384" s="9">
        <v>75</v>
      </c>
      <c r="G5384" s="9">
        <v>832</v>
      </c>
      <c r="H5384" s="5" t="s">
        <v>21</v>
      </c>
      <c r="I5384" s="5" t="s">
        <v>12219</v>
      </c>
      <c r="J5384" s="12" t="str">
        <f>HYPERLINK("https://www.boe.es/gazeta/dias/1801/08/04/pdfs/GMD-1801-75.pdf#page=1","Abrir facsímil")</f>
        <v>Abrir facsímil</v>
      </c>
      <c r="K5384" s="15" t="s">
        <v>23</v>
      </c>
    </row>
    <row r="5385" spans="1:11" ht="42" customHeight="1">
      <c r="A5385" s="4" t="s">
        <v>12218</v>
      </c>
      <c r="B5385" s="5" t="s">
        <v>12218</v>
      </c>
      <c r="C5385" s="5" t="s">
        <v>38</v>
      </c>
      <c r="D5385" s="5" t="s">
        <v>39</v>
      </c>
      <c r="E5385" s="5" t="s">
        <v>1058</v>
      </c>
      <c r="F5385" s="9">
        <v>108</v>
      </c>
      <c r="G5385" s="9">
        <v>1186</v>
      </c>
      <c r="H5385" s="5" t="s">
        <v>21</v>
      </c>
      <c r="I5385" s="5" t="s">
        <v>12220</v>
      </c>
      <c r="J5385" s="12" t="str">
        <f>HYPERLINK("https://www.boe.es/gazeta/dias/1801/11/20/pdfs/GMD-1801-108.pdf#page=3","Abrir facsímil")</f>
        <v>Abrir facsímil</v>
      </c>
      <c r="K5385" s="15" t="s">
        <v>23</v>
      </c>
    </row>
    <row r="5386" spans="1:11" ht="42" customHeight="1">
      <c r="A5386" s="4" t="s">
        <v>12218</v>
      </c>
      <c r="B5386" s="5" t="s">
        <v>12218</v>
      </c>
      <c r="C5386" s="5" t="s">
        <v>38</v>
      </c>
      <c r="D5386" s="5" t="s">
        <v>39</v>
      </c>
      <c r="E5386" s="5" t="s">
        <v>1058</v>
      </c>
      <c r="F5386" s="9">
        <v>108</v>
      </c>
      <c r="G5386" s="9">
        <v>1187</v>
      </c>
      <c r="H5386" s="5" t="s">
        <v>21</v>
      </c>
      <c r="I5386" s="5" t="s">
        <v>12221</v>
      </c>
      <c r="J5386" s="12" t="str">
        <f>HYPERLINK("https://www.boe.es/gazeta/dias/1801/11/20/pdfs/GMD-1801-108.pdf#page=4","Abrir facsímil")</f>
        <v>Abrir facsímil</v>
      </c>
      <c r="K5386" s="15" t="s">
        <v>23</v>
      </c>
    </row>
    <row r="5387" spans="1:11" ht="42" customHeight="1">
      <c r="A5387" s="4" t="s">
        <v>12222</v>
      </c>
      <c r="B5387" s="5" t="s">
        <v>12222</v>
      </c>
      <c r="C5387" s="5" t="s">
        <v>69</v>
      </c>
      <c r="D5387" s="5" t="s">
        <v>19</v>
      </c>
      <c r="E5387" s="5" t="s">
        <v>505</v>
      </c>
      <c r="F5387" s="9">
        <v>94</v>
      </c>
      <c r="G5387" s="9">
        <v>1028</v>
      </c>
      <c r="H5387" s="5" t="s">
        <v>21</v>
      </c>
      <c r="I5387" s="5" t="s">
        <v>12223</v>
      </c>
      <c r="J5387" s="12" t="str">
        <f>HYPERLINK("https://www.boe.es/gazeta/dias/1801/10/02/pdfs/GMD-1801-94.pdf#page=4","Abrir facsímil")</f>
        <v>Abrir facsímil</v>
      </c>
      <c r="K5387" s="15" t="s">
        <v>23</v>
      </c>
    </row>
    <row r="5388" spans="1:11" ht="42" customHeight="1">
      <c r="A5388" s="4" t="s">
        <v>12224</v>
      </c>
      <c r="B5388" s="5" t="s">
        <v>12224</v>
      </c>
      <c r="C5388" s="5" t="s">
        <v>32</v>
      </c>
      <c r="D5388" s="5" t="s">
        <v>33</v>
      </c>
      <c r="E5388" s="5" t="s">
        <v>505</v>
      </c>
      <c r="F5388" s="9">
        <v>94</v>
      </c>
      <c r="G5388" s="9">
        <v>1025</v>
      </c>
      <c r="H5388" s="5" t="s">
        <v>21</v>
      </c>
      <c r="I5388" s="5" t="s">
        <v>12225</v>
      </c>
      <c r="J5388" s="12" t="str">
        <f>HYPERLINK("https://www.boe.es/gazeta/dias/1801/10/02/pdfs/GMD-1801-94.pdf#page=1","Abrir facsímil")</f>
        <v>Abrir facsímil</v>
      </c>
      <c r="K5388" s="15" t="s">
        <v>23</v>
      </c>
    </row>
    <row r="5389" spans="1:11" ht="42" customHeight="1">
      <c r="A5389" s="4" t="s">
        <v>12226</v>
      </c>
      <c r="B5389" s="5" t="s">
        <v>12226</v>
      </c>
      <c r="C5389" s="5" t="s">
        <v>75</v>
      </c>
      <c r="D5389" s="5" t="s">
        <v>76</v>
      </c>
      <c r="E5389" s="5" t="s">
        <v>1015</v>
      </c>
      <c r="F5389" s="9">
        <v>15</v>
      </c>
      <c r="G5389" s="9">
        <v>183</v>
      </c>
      <c r="H5389" s="5" t="s">
        <v>21</v>
      </c>
      <c r="I5389" s="5" t="s">
        <v>12227</v>
      </c>
      <c r="J5389" s="12" t="str">
        <f>HYPERLINK("https://www.boe.es/gazeta/dias/1801/02/20/pdfs/GMD-1801-15.pdf#page=2","Abrir facsímil")</f>
        <v>Abrir facsímil</v>
      </c>
      <c r="K5389" s="15" t="s">
        <v>23</v>
      </c>
    </row>
    <row r="5390" spans="1:11" ht="42" customHeight="1">
      <c r="A5390" s="4" t="s">
        <v>12226</v>
      </c>
      <c r="B5390" s="5" t="s">
        <v>12226</v>
      </c>
      <c r="C5390" s="5" t="s">
        <v>32</v>
      </c>
      <c r="D5390" s="5" t="s">
        <v>33</v>
      </c>
      <c r="E5390" s="5" t="s">
        <v>186</v>
      </c>
      <c r="F5390" s="9">
        <v>21</v>
      </c>
      <c r="G5390" s="9">
        <v>273</v>
      </c>
      <c r="H5390" s="5" t="s">
        <v>21</v>
      </c>
      <c r="I5390" s="5" t="s">
        <v>12228</v>
      </c>
      <c r="J5390" s="12" t="str">
        <f>HYPERLINK("https://www.boe.es/gazeta/dias/1801/03/13/pdfs/GMD-1801-21.pdf#page=2","Abrir facsímil")</f>
        <v>Abrir facsímil</v>
      </c>
      <c r="K5390" s="15" t="s">
        <v>23</v>
      </c>
    </row>
    <row r="5391" spans="1:11" ht="42" customHeight="1">
      <c r="A5391" s="4" t="s">
        <v>12226</v>
      </c>
      <c r="B5391" s="5" t="s">
        <v>12226</v>
      </c>
      <c r="C5391" s="5" t="s">
        <v>38</v>
      </c>
      <c r="D5391" s="5" t="s">
        <v>39</v>
      </c>
      <c r="E5391" s="5" t="s">
        <v>352</v>
      </c>
      <c r="F5391" s="9">
        <v>43</v>
      </c>
      <c r="G5391" s="9">
        <v>533</v>
      </c>
      <c r="H5391" s="5" t="s">
        <v>21</v>
      </c>
      <c r="I5391" s="5" t="s">
        <v>12229</v>
      </c>
      <c r="J5391" s="12" t="str">
        <f>HYPERLINK("https://www.boe.es/gazeta/dias/1801/05/26/pdfs/GMD-1801-43.pdf#page=5","Abrir facsímil")</f>
        <v>Abrir facsímil</v>
      </c>
      <c r="K5391" s="15" t="s">
        <v>23</v>
      </c>
    </row>
    <row r="5392" spans="1:11" ht="42" customHeight="1">
      <c r="A5392" s="4" t="s">
        <v>12226</v>
      </c>
      <c r="B5392" s="5" t="s">
        <v>12226</v>
      </c>
      <c r="C5392" s="5" t="s">
        <v>75</v>
      </c>
      <c r="D5392" s="5" t="s">
        <v>76</v>
      </c>
      <c r="E5392" s="5" t="s">
        <v>105</v>
      </c>
      <c r="F5392" s="9">
        <v>44</v>
      </c>
      <c r="G5392" s="9">
        <v>544</v>
      </c>
      <c r="H5392" s="5" t="s">
        <v>21</v>
      </c>
      <c r="I5392" s="5" t="s">
        <v>12230</v>
      </c>
      <c r="J5392" s="12" t="str">
        <f>HYPERLINK("https://www.boe.es/gazeta/dias/1801/05/29/pdfs/GMD-1801-44.pdf#page=4","Abrir facsímil")</f>
        <v>Abrir facsímil</v>
      </c>
      <c r="K5392" s="15" t="s">
        <v>23</v>
      </c>
    </row>
    <row r="5393" spans="1:11" ht="42" customHeight="1">
      <c r="A5393" s="4" t="s">
        <v>12226</v>
      </c>
      <c r="B5393" s="5" t="s">
        <v>12226</v>
      </c>
      <c r="C5393" s="5" t="s">
        <v>32</v>
      </c>
      <c r="D5393" s="5" t="s">
        <v>33</v>
      </c>
      <c r="E5393" s="5" t="s">
        <v>453</v>
      </c>
      <c r="F5393" s="9">
        <v>100</v>
      </c>
      <c r="G5393" s="9">
        <v>1098</v>
      </c>
      <c r="H5393" s="5" t="s">
        <v>21</v>
      </c>
      <c r="I5393" s="5" t="s">
        <v>12231</v>
      </c>
      <c r="J5393" s="12" t="str">
        <f>HYPERLINK("https://www.boe.es/gazeta/dias/1801/10/23/pdfs/GMD-1801-100.pdf#page=7","Abrir facsímil")</f>
        <v>Abrir facsímil</v>
      </c>
      <c r="K5393" s="15" t="s">
        <v>23</v>
      </c>
    </row>
    <row r="5394" spans="1:11" ht="42" customHeight="1">
      <c r="A5394" s="4" t="s">
        <v>12232</v>
      </c>
      <c r="B5394" s="5" t="s">
        <v>12232</v>
      </c>
      <c r="C5394" s="5" t="s">
        <v>32</v>
      </c>
      <c r="D5394" s="5" t="s">
        <v>33</v>
      </c>
      <c r="E5394" s="5" t="s">
        <v>141</v>
      </c>
      <c r="F5394" s="9">
        <v>33</v>
      </c>
      <c r="G5394" s="9">
        <v>422</v>
      </c>
      <c r="H5394" s="5" t="s">
        <v>21</v>
      </c>
      <c r="I5394" s="5" t="s">
        <v>12233</v>
      </c>
      <c r="J5394" s="12" t="str">
        <f>HYPERLINK("https://www.boe.es/gazeta/dias/1801/04/24/pdfs/GMD-1801-33.pdf#page=6","Abrir facsímil")</f>
        <v>Abrir facsímil</v>
      </c>
      <c r="K5394" s="15" t="s">
        <v>23</v>
      </c>
    </row>
    <row r="5395" spans="1:11" ht="42" customHeight="1">
      <c r="A5395" s="4" t="s">
        <v>12234</v>
      </c>
      <c r="B5395" s="5" t="s">
        <v>12234</v>
      </c>
      <c r="C5395" s="5" t="s">
        <v>32</v>
      </c>
      <c r="D5395" s="5" t="s">
        <v>33</v>
      </c>
      <c r="E5395" s="5" t="s">
        <v>108</v>
      </c>
      <c r="F5395" s="9">
        <v>61</v>
      </c>
      <c r="G5395" s="9">
        <v>692</v>
      </c>
      <c r="H5395" s="5" t="s">
        <v>21</v>
      </c>
      <c r="I5395" s="5" t="s">
        <v>12235</v>
      </c>
      <c r="J5395" s="12" t="str">
        <f>HYPERLINK("https://www.boe.es/gazeta/dias/1801/06/30/pdfs/GMD-1801-61.pdf#page=1","Abrir facsímil")</f>
        <v>Abrir facsímil</v>
      </c>
      <c r="K5395" s="15" t="s">
        <v>23</v>
      </c>
    </row>
    <row r="5396" spans="1:11" ht="42" customHeight="1">
      <c r="A5396" s="4" t="s">
        <v>12236</v>
      </c>
      <c r="B5396" s="5" t="s">
        <v>12236</v>
      </c>
      <c r="C5396" s="5" t="s">
        <v>32</v>
      </c>
      <c r="D5396" s="5" t="s">
        <v>33</v>
      </c>
      <c r="E5396" s="5" t="s">
        <v>735</v>
      </c>
      <c r="F5396" s="9">
        <v>97</v>
      </c>
      <c r="G5396" s="9">
        <v>1061</v>
      </c>
      <c r="H5396" s="5" t="s">
        <v>21</v>
      </c>
      <c r="I5396" s="5" t="s">
        <v>12237</v>
      </c>
      <c r="J5396" s="12" t="str">
        <f>HYPERLINK("https://www.boe.es/gazeta/dias/1801/10/13/pdfs/GMD-1801-97.pdf#page=5","Abrir facsímil")</f>
        <v>Abrir facsímil</v>
      </c>
      <c r="K5396" s="15" t="s">
        <v>23</v>
      </c>
    </row>
    <row r="5397" spans="1:11" ht="42" customHeight="1">
      <c r="A5397" s="4" t="s">
        <v>12238</v>
      </c>
      <c r="B5397" s="5" t="s">
        <v>12238</v>
      </c>
      <c r="C5397" s="5" t="s">
        <v>75</v>
      </c>
      <c r="D5397" s="5" t="s">
        <v>76</v>
      </c>
      <c r="E5397" s="5" t="s">
        <v>145</v>
      </c>
      <c r="F5397" s="9">
        <v>36</v>
      </c>
      <c r="G5397" s="9">
        <v>457</v>
      </c>
      <c r="H5397" s="5" t="s">
        <v>21</v>
      </c>
      <c r="I5397" s="5" t="s">
        <v>12239</v>
      </c>
      <c r="J5397" s="12" t="str">
        <f>HYPERLINK("https://www.boe.es/gazeta/dias/1801/05/05/pdfs/GMD-1801-36.pdf#page=1","Abrir facsímil")</f>
        <v>Abrir facsímil</v>
      </c>
      <c r="K5397" s="15" t="s">
        <v>23</v>
      </c>
    </row>
    <row r="5398" spans="1:11" ht="42" customHeight="1">
      <c r="A5398" s="4" t="s">
        <v>12240</v>
      </c>
      <c r="B5398" s="5" t="s">
        <v>12240</v>
      </c>
      <c r="C5398" s="5" t="s">
        <v>38</v>
      </c>
      <c r="D5398" s="5" t="s">
        <v>39</v>
      </c>
      <c r="E5398" s="5" t="s">
        <v>505</v>
      </c>
      <c r="F5398" s="9">
        <v>94</v>
      </c>
      <c r="G5398" s="9">
        <v>1028</v>
      </c>
      <c r="H5398" s="5" t="s">
        <v>21</v>
      </c>
      <c r="I5398" s="5" t="s">
        <v>12241</v>
      </c>
      <c r="J5398" s="12" t="str">
        <f>HYPERLINK("https://www.boe.es/gazeta/dias/1801/10/02/pdfs/GMD-1801-94.pdf#page=4","Abrir facsímil")</f>
        <v>Abrir facsímil</v>
      </c>
      <c r="K5398" s="15" t="s">
        <v>23</v>
      </c>
    </row>
    <row r="5399" spans="1:11" ht="42" customHeight="1">
      <c r="A5399" s="4" t="s">
        <v>12242</v>
      </c>
      <c r="B5399" s="5" t="s">
        <v>12242</v>
      </c>
      <c r="C5399" s="5" t="s">
        <v>32</v>
      </c>
      <c r="D5399" s="5" t="s">
        <v>33</v>
      </c>
      <c r="E5399" s="5" t="s">
        <v>143</v>
      </c>
      <c r="F5399" s="9">
        <v>34</v>
      </c>
      <c r="G5399" s="9">
        <v>430</v>
      </c>
      <c r="H5399" s="5" t="s">
        <v>21</v>
      </c>
      <c r="I5399" s="5" t="s">
        <v>12243</v>
      </c>
      <c r="J5399" s="12" t="str">
        <f>HYPERLINK("https://www.boe.es/gazeta/dias/1801/04/28/pdfs/GMD-1801-34.pdf#page=2","Abrir facsímil")</f>
        <v>Abrir facsímil</v>
      </c>
      <c r="K5399" s="15" t="s">
        <v>23</v>
      </c>
    </row>
    <row r="5400" spans="1:11" ht="42" customHeight="1">
      <c r="A5400" s="4" t="s">
        <v>12244</v>
      </c>
      <c r="B5400" s="5" t="s">
        <v>12244</v>
      </c>
      <c r="C5400" s="5" t="s">
        <v>18</v>
      </c>
      <c r="D5400" s="5" t="s">
        <v>19</v>
      </c>
      <c r="E5400" s="5" t="s">
        <v>292</v>
      </c>
      <c r="F5400" s="9">
        <v>25</v>
      </c>
      <c r="G5400" s="9">
        <v>322</v>
      </c>
      <c r="H5400" s="5" t="s">
        <v>21</v>
      </c>
      <c r="I5400" s="5" t="s">
        <v>12245</v>
      </c>
      <c r="J5400" s="12" t="str">
        <f>HYPERLINK("https://www.boe.es/gazeta/dias/1801/03/27/pdfs/GMD-1801-25.pdf#page=1","Abrir facsímil")</f>
        <v>Abrir facsímil</v>
      </c>
      <c r="K5400" s="15" t="s">
        <v>23</v>
      </c>
    </row>
    <row r="5401" spans="1:11" ht="42" customHeight="1">
      <c r="A5401" s="4" t="s">
        <v>12246</v>
      </c>
      <c r="B5401" s="5" t="s">
        <v>12246</v>
      </c>
      <c r="C5401" s="5" t="s">
        <v>75</v>
      </c>
      <c r="D5401" s="5" t="s">
        <v>76</v>
      </c>
      <c r="E5401" s="5" t="s">
        <v>128</v>
      </c>
      <c r="F5401" s="9">
        <v>17</v>
      </c>
      <c r="G5401" s="9">
        <v>206</v>
      </c>
      <c r="H5401" s="5" t="s">
        <v>21</v>
      </c>
      <c r="I5401" s="5" t="s">
        <v>12247</v>
      </c>
      <c r="J5401" s="12" t="str">
        <f>HYPERLINK("https://www.boe.es/gazeta/dias/1801/02/27/pdfs/GMD-1801-17.pdf#page=1","Abrir facsímil")</f>
        <v>Abrir facsímil</v>
      </c>
      <c r="K5401" s="15" t="s">
        <v>23</v>
      </c>
    </row>
    <row r="5402" spans="1:11" ht="42" customHeight="1">
      <c r="A5402" s="4" t="s">
        <v>12248</v>
      </c>
      <c r="B5402" s="5" t="s">
        <v>12248</v>
      </c>
      <c r="C5402" s="5" t="s">
        <v>32</v>
      </c>
      <c r="D5402" s="5" t="s">
        <v>33</v>
      </c>
      <c r="E5402" s="5" t="s">
        <v>190</v>
      </c>
      <c r="F5402" s="9">
        <v>16</v>
      </c>
      <c r="G5402" s="9">
        <v>194</v>
      </c>
      <c r="H5402" s="5" t="s">
        <v>21</v>
      </c>
      <c r="I5402" s="5" t="s">
        <v>12249</v>
      </c>
      <c r="J5402" s="12" t="str">
        <f>HYPERLINK("https://www.boe.es/gazeta/dias/1801/02/24/pdfs/GMD-1801-16.pdf#page=1","Abrir facsímil")</f>
        <v>Abrir facsímil</v>
      </c>
      <c r="K5402" s="15" t="s">
        <v>23</v>
      </c>
    </row>
    <row r="5403" spans="1:11" ht="42" customHeight="1">
      <c r="A5403" s="4" t="s">
        <v>12250</v>
      </c>
      <c r="B5403" s="5" t="s">
        <v>12250</v>
      </c>
      <c r="C5403" s="5" t="s">
        <v>75</v>
      </c>
      <c r="D5403" s="5" t="s">
        <v>76</v>
      </c>
      <c r="E5403" s="5" t="s">
        <v>105</v>
      </c>
      <c r="F5403" s="9">
        <v>44</v>
      </c>
      <c r="G5403" s="9">
        <v>543</v>
      </c>
      <c r="H5403" s="5" t="s">
        <v>21</v>
      </c>
      <c r="I5403" s="5" t="s">
        <v>12251</v>
      </c>
      <c r="J5403" s="12" t="str">
        <f>HYPERLINK("https://www.boe.es/gazeta/dias/1801/05/29/pdfs/GMD-1801-44.pdf#page=3","Abrir facsímil")</f>
        <v>Abrir facsímil</v>
      </c>
      <c r="K5403" s="15" t="s">
        <v>23</v>
      </c>
    </row>
    <row r="5404" spans="1:11" ht="42" customHeight="1">
      <c r="A5404" s="4" t="s">
        <v>12252</v>
      </c>
      <c r="B5404" s="5" t="s">
        <v>12252</v>
      </c>
      <c r="C5404" s="5" t="s">
        <v>75</v>
      </c>
      <c r="D5404" s="5" t="s">
        <v>76</v>
      </c>
      <c r="E5404" s="5" t="s">
        <v>1015</v>
      </c>
      <c r="F5404" s="9">
        <v>15</v>
      </c>
      <c r="G5404" s="9">
        <v>186</v>
      </c>
      <c r="H5404" s="5" t="s">
        <v>21</v>
      </c>
      <c r="I5404" s="5" t="s">
        <v>12253</v>
      </c>
      <c r="J5404" s="12" t="str">
        <f>HYPERLINK("https://www.boe.es/gazeta/dias/1801/02/20/pdfs/GMD-1801-15.pdf#page=5","Abrir facsímil")</f>
        <v>Abrir facsímil</v>
      </c>
      <c r="K5404" s="15" t="s">
        <v>23</v>
      </c>
    </row>
    <row r="5405" spans="1:11" ht="42" customHeight="1">
      <c r="A5405" s="4" t="s">
        <v>12254</v>
      </c>
      <c r="B5405" s="5" t="s">
        <v>12254</v>
      </c>
      <c r="C5405" s="5" t="s">
        <v>32</v>
      </c>
      <c r="D5405" s="5" t="s">
        <v>33</v>
      </c>
      <c r="E5405" s="5" t="s">
        <v>735</v>
      </c>
      <c r="F5405" s="9">
        <v>97</v>
      </c>
      <c r="G5405" s="9">
        <v>1061</v>
      </c>
      <c r="H5405" s="5" t="s">
        <v>21</v>
      </c>
      <c r="I5405" s="5" t="s">
        <v>12255</v>
      </c>
      <c r="J5405" s="12" t="str">
        <f>HYPERLINK("https://www.boe.es/gazeta/dias/1801/10/13/pdfs/GMD-1801-97.pdf#page=5","Abrir facsímil")</f>
        <v>Abrir facsímil</v>
      </c>
      <c r="K5405" s="15" t="s">
        <v>23</v>
      </c>
    </row>
    <row r="5406" spans="1:11" ht="42" customHeight="1">
      <c r="A5406" s="4" t="s">
        <v>12256</v>
      </c>
      <c r="B5406" s="5" t="s">
        <v>12256</v>
      </c>
      <c r="C5406" s="5" t="s">
        <v>32</v>
      </c>
      <c r="D5406" s="5" t="s">
        <v>33</v>
      </c>
      <c r="E5406" s="5" t="s">
        <v>262</v>
      </c>
      <c r="F5406" s="9">
        <v>109</v>
      </c>
      <c r="G5406" s="9">
        <v>1197</v>
      </c>
      <c r="H5406" s="5" t="s">
        <v>21</v>
      </c>
      <c r="I5406" s="5" t="s">
        <v>12257</v>
      </c>
      <c r="J5406" s="12" t="str">
        <f>HYPERLINK("https://www.boe.es/gazeta/dias/1801/11/24/pdfs/GMD-1801-109.pdf#page=2","Abrir facsímil")</f>
        <v>Abrir facsímil</v>
      </c>
      <c r="K5406" s="15" t="s">
        <v>23</v>
      </c>
    </row>
    <row r="5407" spans="1:11" ht="42" customHeight="1">
      <c r="A5407" s="4" t="s">
        <v>12258</v>
      </c>
      <c r="B5407" s="5" t="s">
        <v>12258</v>
      </c>
      <c r="C5407" s="5" t="s">
        <v>32</v>
      </c>
      <c r="D5407" s="5" t="s">
        <v>33</v>
      </c>
      <c r="E5407" s="5" t="s">
        <v>2185</v>
      </c>
      <c r="F5407" s="9">
        <v>84</v>
      </c>
      <c r="G5407" s="9">
        <v>938</v>
      </c>
      <c r="H5407" s="5" t="s">
        <v>21</v>
      </c>
      <c r="I5407" s="5" t="s">
        <v>12259</v>
      </c>
      <c r="J5407" s="12" t="str">
        <f>HYPERLINK("https://www.boe.es/gazeta/dias/1801/09/04/pdfs/GMD-1801-84.pdf#page=1","Abrir facsímil")</f>
        <v>Abrir facsímil</v>
      </c>
      <c r="K5407" s="15" t="s">
        <v>23</v>
      </c>
    </row>
    <row r="5408" spans="1:11" ht="42" customHeight="1">
      <c r="A5408" s="4" t="s">
        <v>12260</v>
      </c>
      <c r="B5408" s="5" t="s">
        <v>12260</v>
      </c>
      <c r="C5408" s="5" t="s">
        <v>32</v>
      </c>
      <c r="D5408" s="5" t="s">
        <v>33</v>
      </c>
      <c r="E5408" s="5" t="s">
        <v>640</v>
      </c>
      <c r="F5408" s="9">
        <v>81</v>
      </c>
      <c r="G5408" s="9">
        <v>905</v>
      </c>
      <c r="H5408" s="5" t="s">
        <v>21</v>
      </c>
      <c r="I5408" s="5" t="s">
        <v>12261</v>
      </c>
      <c r="J5408" s="12" t="str">
        <f>HYPERLINK("https://www.boe.es/gazeta/dias/1801/08/25/pdfs/GMD-1801-81.pdf#page=2","Abrir facsímil")</f>
        <v>Abrir facsímil</v>
      </c>
      <c r="K5408" s="15" t="s">
        <v>23</v>
      </c>
    </row>
    <row r="5409" spans="1:11" ht="42" customHeight="1">
      <c r="A5409" s="4" t="s">
        <v>12262</v>
      </c>
      <c r="B5409" s="5" t="s">
        <v>12262</v>
      </c>
      <c r="C5409" s="5" t="s">
        <v>75</v>
      </c>
      <c r="D5409" s="5" t="s">
        <v>76</v>
      </c>
      <c r="E5409" s="5" t="s">
        <v>1085</v>
      </c>
      <c r="F5409" s="9">
        <v>99</v>
      </c>
      <c r="G5409" s="9">
        <v>1085</v>
      </c>
      <c r="H5409" s="5" t="s">
        <v>21</v>
      </c>
      <c r="I5409" s="5" t="s">
        <v>12263</v>
      </c>
      <c r="J5409" s="12" t="str">
        <f>HYPERLINK("https://www.boe.es/gazeta/dias/1801/10/20/pdfs/GMD-1801-99.pdf#page=2","Abrir facsímil")</f>
        <v>Abrir facsímil</v>
      </c>
      <c r="K5409" s="15" t="s">
        <v>23</v>
      </c>
    </row>
    <row r="5410" spans="1:11" ht="42" customHeight="1">
      <c r="A5410" s="4" t="s">
        <v>12264</v>
      </c>
      <c r="B5410" s="5" t="s">
        <v>12264</v>
      </c>
      <c r="C5410" s="5" t="s">
        <v>32</v>
      </c>
      <c r="D5410" s="5" t="s">
        <v>33</v>
      </c>
      <c r="E5410" s="5" t="s">
        <v>97</v>
      </c>
      <c r="F5410" s="9">
        <v>31</v>
      </c>
      <c r="G5410" s="9">
        <v>398</v>
      </c>
      <c r="H5410" s="5" t="s">
        <v>21</v>
      </c>
      <c r="I5410" s="5" t="s">
        <v>12265</v>
      </c>
      <c r="J5410" s="12" t="str">
        <f>HYPERLINK("https://www.boe.es/gazeta/dias/1801/04/17/pdfs/GMD-1801-31.pdf#page=2","Abrir facsímil")</f>
        <v>Abrir facsímil</v>
      </c>
      <c r="K5410" s="15" t="s">
        <v>23</v>
      </c>
    </row>
    <row r="5411" spans="1:11" ht="42" customHeight="1">
      <c r="A5411" s="4" t="s">
        <v>12264</v>
      </c>
      <c r="B5411" s="5" t="s">
        <v>12264</v>
      </c>
      <c r="C5411" s="5" t="s">
        <v>75</v>
      </c>
      <c r="D5411" s="5" t="s">
        <v>76</v>
      </c>
      <c r="E5411" s="5" t="s">
        <v>101</v>
      </c>
      <c r="F5411" s="9">
        <v>41</v>
      </c>
      <c r="G5411" s="9">
        <v>520</v>
      </c>
      <c r="H5411" s="5" t="s">
        <v>21</v>
      </c>
      <c r="I5411" s="5" t="s">
        <v>12266</v>
      </c>
      <c r="J5411" s="12" t="str">
        <f>HYPERLINK("https://www.boe.es/gazeta/dias/1801/05/22/pdfs/GMD-1801-41.pdf#page=4","Abrir facsímil")</f>
        <v>Abrir facsímil</v>
      </c>
      <c r="K5411" s="15" t="s">
        <v>23</v>
      </c>
    </row>
    <row r="5412" spans="1:11" ht="42" customHeight="1">
      <c r="A5412" s="4" t="s">
        <v>12264</v>
      </c>
      <c r="B5412" s="5" t="s">
        <v>12264</v>
      </c>
      <c r="C5412" s="5" t="s">
        <v>75</v>
      </c>
      <c r="D5412" s="5" t="s">
        <v>76</v>
      </c>
      <c r="E5412" s="5" t="s">
        <v>161</v>
      </c>
      <c r="F5412" s="9">
        <v>58</v>
      </c>
      <c r="G5412" s="9">
        <v>658</v>
      </c>
      <c r="H5412" s="5" t="s">
        <v>21</v>
      </c>
      <c r="I5412" s="5" t="s">
        <v>12267</v>
      </c>
      <c r="J5412" s="12" t="str">
        <f>HYPERLINK("https://www.boe.es/gazeta/dias/1801/06/19/pdfs/GMD-1801-58.pdf#page=3","Abrir facsímil")</f>
        <v>Abrir facsímil</v>
      </c>
      <c r="K5412" s="15" t="s">
        <v>23</v>
      </c>
    </row>
    <row r="5413" spans="1:11" ht="42" customHeight="1">
      <c r="A5413" s="4" t="s">
        <v>12264</v>
      </c>
      <c r="B5413" s="5" t="s">
        <v>12264</v>
      </c>
      <c r="C5413" s="5" t="s">
        <v>38</v>
      </c>
      <c r="D5413" s="5" t="s">
        <v>39</v>
      </c>
      <c r="E5413" s="5" t="s">
        <v>417</v>
      </c>
      <c r="F5413" s="9">
        <v>64</v>
      </c>
      <c r="G5413" s="9">
        <v>725</v>
      </c>
      <c r="H5413" s="5" t="s">
        <v>21</v>
      </c>
      <c r="I5413" s="5" t="s">
        <v>12268</v>
      </c>
      <c r="J5413" s="12" t="str">
        <f>HYPERLINK("https://www.boe.es/gazeta/dias/1801/07/07/pdfs/GMD-1801-64.pdf#page=6","Abrir facsímil")</f>
        <v>Abrir facsímil</v>
      </c>
      <c r="K5413" s="15" t="s">
        <v>23</v>
      </c>
    </row>
    <row r="5414" spans="1:11" ht="42" customHeight="1">
      <c r="A5414" s="4" t="s">
        <v>12264</v>
      </c>
      <c r="B5414" s="5" t="s">
        <v>12264</v>
      </c>
      <c r="C5414" s="5" t="s">
        <v>32</v>
      </c>
      <c r="D5414" s="5" t="s">
        <v>33</v>
      </c>
      <c r="E5414" s="5" t="s">
        <v>764</v>
      </c>
      <c r="F5414" s="9">
        <v>80</v>
      </c>
      <c r="G5414" s="9">
        <v>895</v>
      </c>
      <c r="H5414" s="5" t="s">
        <v>21</v>
      </c>
      <c r="I5414" s="5" t="s">
        <v>12269</v>
      </c>
      <c r="J5414" s="12" t="str">
        <f>HYPERLINK("https://www.boe.es/gazeta/dias/1801/08/21/pdfs/GMD-1801-80.pdf#page=4","Abrir facsímil")</f>
        <v>Abrir facsímil</v>
      </c>
      <c r="K5414" s="15" t="s">
        <v>23</v>
      </c>
    </row>
    <row r="5415" spans="1:11" ht="42" customHeight="1">
      <c r="A5415" s="4" t="s">
        <v>12264</v>
      </c>
      <c r="B5415" s="5" t="s">
        <v>12264</v>
      </c>
      <c r="C5415" s="5" t="s">
        <v>32</v>
      </c>
      <c r="D5415" s="5" t="s">
        <v>33</v>
      </c>
      <c r="E5415" s="5" t="s">
        <v>505</v>
      </c>
      <c r="F5415" s="9">
        <v>94</v>
      </c>
      <c r="G5415" s="9">
        <v>1031</v>
      </c>
      <c r="H5415" s="5" t="s">
        <v>21</v>
      </c>
      <c r="I5415" s="5" t="s">
        <v>12270</v>
      </c>
      <c r="J5415" s="12" t="str">
        <f>HYPERLINK("https://www.boe.es/gazeta/dias/1801/10/02/pdfs/GMD-1801-94.pdf#page=7","Abrir facsímil")</f>
        <v>Abrir facsímil</v>
      </c>
      <c r="K5415" s="15" t="s">
        <v>23</v>
      </c>
    </row>
    <row r="5416" spans="1:11" ht="42" customHeight="1">
      <c r="A5416" s="4" t="s">
        <v>12264</v>
      </c>
      <c r="B5416" s="5" t="s">
        <v>12264</v>
      </c>
      <c r="C5416" s="5" t="s">
        <v>75</v>
      </c>
      <c r="D5416" s="5" t="s">
        <v>76</v>
      </c>
      <c r="E5416" s="5" t="s">
        <v>1939</v>
      </c>
      <c r="F5416" s="9">
        <v>107</v>
      </c>
      <c r="G5416" s="9">
        <v>1173</v>
      </c>
      <c r="H5416" s="5" t="s">
        <v>21</v>
      </c>
      <c r="I5416" s="5" t="s">
        <v>12271</v>
      </c>
      <c r="J5416" s="12" t="str">
        <f>HYPERLINK("https://www.boe.es/gazeta/dias/1801/11/17/pdfs/GMD-1801-107.pdf#page=2","Abrir facsímil")</f>
        <v>Abrir facsímil</v>
      </c>
      <c r="K5416" s="15" t="s">
        <v>23</v>
      </c>
    </row>
    <row r="5417" spans="1:11" ht="42" customHeight="1">
      <c r="A5417" s="4" t="s">
        <v>12264</v>
      </c>
      <c r="B5417" s="5" t="s">
        <v>12264</v>
      </c>
      <c r="C5417" s="5" t="s">
        <v>38</v>
      </c>
      <c r="D5417" s="5" t="s">
        <v>39</v>
      </c>
      <c r="E5417" s="5" t="s">
        <v>1058</v>
      </c>
      <c r="F5417" s="9">
        <v>108</v>
      </c>
      <c r="G5417" s="9">
        <v>1187</v>
      </c>
      <c r="H5417" s="5" t="s">
        <v>21</v>
      </c>
      <c r="I5417" s="5" t="s">
        <v>12272</v>
      </c>
      <c r="J5417" s="12" t="str">
        <f>HYPERLINK("https://www.boe.es/gazeta/dias/1801/11/20/pdfs/GMD-1801-108.pdf#page=4","Abrir facsímil")</f>
        <v>Abrir facsímil</v>
      </c>
      <c r="K5417" s="15" t="s">
        <v>23</v>
      </c>
    </row>
    <row r="5418" spans="1:11" ht="42" customHeight="1">
      <c r="A5418" s="4" t="s">
        <v>12264</v>
      </c>
      <c r="B5418" s="5" t="s">
        <v>12264</v>
      </c>
      <c r="C5418" s="5" t="s">
        <v>75</v>
      </c>
      <c r="D5418" s="5" t="s">
        <v>76</v>
      </c>
      <c r="E5418" s="5" t="s">
        <v>262</v>
      </c>
      <c r="F5418" s="9">
        <v>109</v>
      </c>
      <c r="G5418" s="9">
        <v>1197</v>
      </c>
      <c r="H5418" s="5" t="s">
        <v>21</v>
      </c>
      <c r="I5418" s="5" t="s">
        <v>12273</v>
      </c>
      <c r="J5418" s="12" t="str">
        <f>HYPERLINK("https://www.boe.es/gazeta/dias/1801/11/24/pdfs/GMD-1801-109.pdf#page=2","Abrir facsímil")</f>
        <v>Abrir facsímil</v>
      </c>
      <c r="K5418" s="15" t="s">
        <v>23</v>
      </c>
    </row>
    <row r="5419" spans="1:11" ht="42" customHeight="1">
      <c r="A5419" s="4" t="s">
        <v>12264</v>
      </c>
      <c r="B5419" s="5" t="s">
        <v>12264</v>
      </c>
      <c r="C5419" s="5" t="s">
        <v>75</v>
      </c>
      <c r="D5419" s="5" t="s">
        <v>76</v>
      </c>
      <c r="E5419" s="5" t="s">
        <v>266</v>
      </c>
      <c r="F5419" s="9">
        <v>119</v>
      </c>
      <c r="G5419" s="9">
        <v>1297</v>
      </c>
      <c r="H5419" s="5" t="s">
        <v>21</v>
      </c>
      <c r="I5419" s="5" t="s">
        <v>12274</v>
      </c>
      <c r="J5419" s="12" t="str">
        <f>HYPERLINK("https://www.boe.es/gazeta/dias/1801/12/29/pdfs/GMD-1801-119.pdf#page=1","Abrir facsímil")</f>
        <v>Abrir facsímil</v>
      </c>
      <c r="K5419" s="15" t="s">
        <v>23</v>
      </c>
    </row>
    <row r="5420" spans="1:11" ht="42" customHeight="1">
      <c r="A5420" s="4" t="s">
        <v>12275</v>
      </c>
      <c r="B5420" s="5" t="s">
        <v>12275</v>
      </c>
      <c r="C5420" s="5" t="s">
        <v>32</v>
      </c>
      <c r="D5420" s="5" t="s">
        <v>33</v>
      </c>
      <c r="E5420" s="5" t="s">
        <v>256</v>
      </c>
      <c r="F5420" s="9">
        <v>78</v>
      </c>
      <c r="G5420" s="9">
        <v>878</v>
      </c>
      <c r="H5420" s="5" t="s">
        <v>21</v>
      </c>
      <c r="I5420" s="5" t="s">
        <v>12276</v>
      </c>
      <c r="J5420" s="12" t="str">
        <f>HYPERLINK("https://www.boe.es/gazeta/dias/1801/08/14/pdfs/GMD-1801-78.pdf#page=7","Abrir facsímil")</f>
        <v>Abrir facsímil</v>
      </c>
      <c r="K5420" s="15" t="s">
        <v>23</v>
      </c>
    </row>
    <row r="5421" spans="1:11" ht="42" customHeight="1">
      <c r="A5421" s="4" t="s">
        <v>12277</v>
      </c>
      <c r="B5421" s="5" t="s">
        <v>12277</v>
      </c>
      <c r="C5421" s="5" t="s">
        <v>32</v>
      </c>
      <c r="D5421" s="5" t="s">
        <v>33</v>
      </c>
      <c r="E5421" s="5" t="s">
        <v>712</v>
      </c>
      <c r="F5421" s="9">
        <v>105</v>
      </c>
      <c r="G5421" s="9">
        <v>1150</v>
      </c>
      <c r="H5421" s="5" t="s">
        <v>21</v>
      </c>
      <c r="I5421" s="5" t="s">
        <v>12278</v>
      </c>
      <c r="J5421" s="12" t="str">
        <f>HYPERLINK("https://www.boe.es/gazeta/dias/1801/11/10/pdfs/GMD-1801-105.pdf#page=3","Abrir facsímil")</f>
        <v>Abrir facsímil</v>
      </c>
      <c r="K5421" s="15" t="s">
        <v>23</v>
      </c>
    </row>
    <row r="5422" spans="1:11" ht="42" customHeight="1">
      <c r="A5422" s="4" t="s">
        <v>12279</v>
      </c>
      <c r="B5422" s="5" t="s">
        <v>12279</v>
      </c>
      <c r="C5422" s="5" t="s">
        <v>75</v>
      </c>
      <c r="D5422" s="5" t="s">
        <v>76</v>
      </c>
      <c r="E5422" s="5" t="s">
        <v>165</v>
      </c>
      <c r="F5422" s="9">
        <v>59</v>
      </c>
      <c r="G5422" s="9">
        <v>671</v>
      </c>
      <c r="H5422" s="5" t="s">
        <v>21</v>
      </c>
      <c r="I5422" s="5" t="s">
        <v>12280</v>
      </c>
      <c r="J5422" s="12" t="str">
        <f>HYPERLINK("https://www.boe.es/gazeta/dias/1801/06/23/pdfs/GMD-1801-59.pdf#page=4","Abrir facsímil")</f>
        <v>Abrir facsímil</v>
      </c>
      <c r="K5422" s="15" t="s">
        <v>23</v>
      </c>
    </row>
    <row r="5423" spans="1:11" ht="42" customHeight="1">
      <c r="A5423" s="4" t="s">
        <v>12281</v>
      </c>
      <c r="B5423" s="5" t="s">
        <v>12281</v>
      </c>
      <c r="C5423" s="5" t="s">
        <v>18</v>
      </c>
      <c r="D5423" s="5" t="s">
        <v>19</v>
      </c>
      <c r="E5423" s="5" t="s">
        <v>186</v>
      </c>
      <c r="F5423" s="9">
        <v>21</v>
      </c>
      <c r="G5423" s="9">
        <v>273</v>
      </c>
      <c r="H5423" s="5" t="s">
        <v>21</v>
      </c>
      <c r="I5423" s="5" t="s">
        <v>12282</v>
      </c>
      <c r="J5423" s="12" t="str">
        <f>HYPERLINK("https://www.boe.es/gazeta/dias/1801/03/13/pdfs/GMD-1801-21.pdf#page=2","Abrir facsímil")</f>
        <v>Abrir facsímil</v>
      </c>
      <c r="K5423" s="15" t="s">
        <v>23</v>
      </c>
    </row>
    <row r="5424" spans="1:11" ht="42" customHeight="1">
      <c r="A5424" s="4" t="s">
        <v>12283</v>
      </c>
      <c r="B5424" s="5" t="s">
        <v>12283</v>
      </c>
      <c r="C5424" s="5" t="s">
        <v>38</v>
      </c>
      <c r="D5424" s="5" t="s">
        <v>39</v>
      </c>
      <c r="E5424" s="5" t="s">
        <v>417</v>
      </c>
      <c r="F5424" s="9">
        <v>64</v>
      </c>
      <c r="G5424" s="9">
        <v>726</v>
      </c>
      <c r="H5424" s="5" t="s">
        <v>21</v>
      </c>
      <c r="I5424" s="5" t="s">
        <v>12284</v>
      </c>
      <c r="J5424" s="12" t="str">
        <f>HYPERLINK("https://www.boe.es/gazeta/dias/1801/07/07/pdfs/GMD-1801-64.pdf#page=7","Abrir facsímil")</f>
        <v>Abrir facsímil</v>
      </c>
      <c r="K5424" s="15" t="s">
        <v>23</v>
      </c>
    </row>
    <row r="5425" spans="1:11" ht="42" customHeight="1">
      <c r="A5425" s="4" t="s">
        <v>12285</v>
      </c>
      <c r="B5425" s="5" t="s">
        <v>12285</v>
      </c>
      <c r="C5425" s="5" t="s">
        <v>32</v>
      </c>
      <c r="D5425" s="5" t="s">
        <v>33</v>
      </c>
      <c r="E5425" s="5" t="s">
        <v>105</v>
      </c>
      <c r="F5425" s="9">
        <v>44</v>
      </c>
      <c r="G5425" s="9">
        <v>543</v>
      </c>
      <c r="H5425" s="5" t="s">
        <v>21</v>
      </c>
      <c r="I5425" s="5" t="s">
        <v>12286</v>
      </c>
      <c r="J5425" s="12" t="str">
        <f>HYPERLINK("https://www.boe.es/gazeta/dias/1801/05/29/pdfs/GMD-1801-44.pdf#page=3","Abrir facsímil")</f>
        <v>Abrir facsímil</v>
      </c>
      <c r="K5425" s="15" t="s">
        <v>23</v>
      </c>
    </row>
    <row r="5426" spans="1:11" ht="42" customHeight="1">
      <c r="A5426" s="4" t="s">
        <v>12287</v>
      </c>
      <c r="B5426" s="5" t="s">
        <v>12287</v>
      </c>
      <c r="C5426" s="5" t="s">
        <v>75</v>
      </c>
      <c r="D5426" s="5" t="s">
        <v>76</v>
      </c>
      <c r="E5426" s="5" t="s">
        <v>292</v>
      </c>
      <c r="F5426" s="9">
        <v>25</v>
      </c>
      <c r="G5426" s="9">
        <v>324</v>
      </c>
      <c r="H5426" s="5" t="s">
        <v>21</v>
      </c>
      <c r="I5426" s="5" t="s">
        <v>12288</v>
      </c>
      <c r="J5426" s="12" t="str">
        <f>HYPERLINK("https://www.boe.es/gazeta/dias/1801/03/27/pdfs/GMD-1801-25.pdf#page=3","Abrir facsímil")</f>
        <v>Abrir facsímil</v>
      </c>
      <c r="K5426" s="15" t="s">
        <v>23</v>
      </c>
    </row>
    <row r="5427" spans="1:11" ht="42" customHeight="1">
      <c r="A5427" s="4" t="s">
        <v>12289</v>
      </c>
      <c r="B5427" s="5" t="s">
        <v>12289</v>
      </c>
      <c r="C5427" s="5" t="s">
        <v>75</v>
      </c>
      <c r="D5427" s="5" t="s">
        <v>76</v>
      </c>
      <c r="E5427" s="5" t="s">
        <v>1085</v>
      </c>
      <c r="F5427" s="9">
        <v>99</v>
      </c>
      <c r="G5427" s="9">
        <v>1086</v>
      </c>
      <c r="H5427" s="5" t="s">
        <v>21</v>
      </c>
      <c r="I5427" s="5" t="s">
        <v>12290</v>
      </c>
      <c r="J5427" s="12" t="str">
        <f>HYPERLINK("https://www.boe.es/gazeta/dias/1801/10/20/pdfs/GMD-1801-99.pdf#page=3","Abrir facsímil")</f>
        <v>Abrir facsímil</v>
      </c>
      <c r="K5427" s="15" t="s">
        <v>23</v>
      </c>
    </row>
    <row r="5428" spans="1:11" ht="42" customHeight="1">
      <c r="A5428" s="4" t="s">
        <v>12289</v>
      </c>
      <c r="B5428" s="5" t="s">
        <v>12289</v>
      </c>
      <c r="C5428" s="5" t="s">
        <v>75</v>
      </c>
      <c r="D5428" s="5" t="s">
        <v>76</v>
      </c>
      <c r="E5428" s="5" t="s">
        <v>266</v>
      </c>
      <c r="F5428" s="9">
        <v>119</v>
      </c>
      <c r="G5428" s="9">
        <v>1298</v>
      </c>
      <c r="H5428" s="5" t="s">
        <v>21</v>
      </c>
      <c r="I5428" s="5" t="s">
        <v>12291</v>
      </c>
      <c r="J5428" s="12" t="str">
        <f>HYPERLINK("https://www.boe.es/gazeta/dias/1801/12/29/pdfs/GMD-1801-119.pdf#page=2","Abrir facsímil")</f>
        <v>Abrir facsímil</v>
      </c>
      <c r="K5428" s="15" t="s">
        <v>23</v>
      </c>
    </row>
    <row r="5429" spans="1:11" ht="42" customHeight="1">
      <c r="A5429" s="4" t="s">
        <v>12292</v>
      </c>
      <c r="B5429" s="5" t="s">
        <v>12292</v>
      </c>
      <c r="C5429" s="5" t="s">
        <v>32</v>
      </c>
      <c r="D5429" s="5" t="s">
        <v>33</v>
      </c>
      <c r="E5429" s="5" t="s">
        <v>158</v>
      </c>
      <c r="F5429" s="9">
        <v>55</v>
      </c>
      <c r="G5429" s="9">
        <v>626</v>
      </c>
      <c r="H5429" s="5" t="s">
        <v>21</v>
      </c>
      <c r="I5429" s="5" t="s">
        <v>12293</v>
      </c>
      <c r="J5429" s="12" t="str">
        <f>HYPERLINK("https://www.boe.es/gazeta/dias/1801/06/16/pdfs/GMD-1801-55.pdf#page=2","Abrir facsímil")</f>
        <v>Abrir facsímil</v>
      </c>
      <c r="K5429" s="15" t="s">
        <v>23</v>
      </c>
    </row>
    <row r="5430" spans="1:11" ht="42" customHeight="1">
      <c r="A5430" s="4" t="s">
        <v>12294</v>
      </c>
      <c r="B5430" s="5" t="s">
        <v>12294</v>
      </c>
      <c r="C5430" s="5" t="s">
        <v>75</v>
      </c>
      <c r="D5430" s="5" t="s">
        <v>76</v>
      </c>
      <c r="E5430" s="5" t="s">
        <v>90</v>
      </c>
      <c r="F5430" s="9">
        <v>1</v>
      </c>
      <c r="G5430" s="9">
        <v>2</v>
      </c>
      <c r="H5430" s="5" t="s">
        <v>21</v>
      </c>
      <c r="I5430" s="5" t="s">
        <v>12295</v>
      </c>
      <c r="J5430" s="12" t="str">
        <f>HYPERLINK("https://www.boe.es/gazeta/dias/1801/01/02/pdfs/GMD-1801-1.pdf#page=2","Abrir facsímil")</f>
        <v>Abrir facsímil</v>
      </c>
      <c r="K5430" s="15" t="s">
        <v>23</v>
      </c>
    </row>
    <row r="5431" spans="1:11" ht="42" customHeight="1">
      <c r="A5431" s="4" t="s">
        <v>12296</v>
      </c>
      <c r="B5431" s="5" t="s">
        <v>12296</v>
      </c>
      <c r="C5431" s="5" t="s">
        <v>75</v>
      </c>
      <c r="D5431" s="5" t="s">
        <v>76</v>
      </c>
      <c r="E5431" s="5" t="s">
        <v>480</v>
      </c>
      <c r="F5431" s="9">
        <v>10</v>
      </c>
      <c r="G5431" s="9">
        <v>120</v>
      </c>
      <c r="H5431" s="5" t="s">
        <v>21</v>
      </c>
      <c r="I5431" s="5" t="s">
        <v>12297</v>
      </c>
      <c r="J5431" s="12" t="str">
        <f>HYPERLINK("https://www.boe.es/gazeta/dias/1801/02/03/pdfs/GMD-1801-10.pdf#page=5","Abrir facsímil")</f>
        <v>Abrir facsímil</v>
      </c>
      <c r="K5431" s="15" t="s">
        <v>23</v>
      </c>
    </row>
    <row r="5432" spans="1:11" ht="42" customHeight="1">
      <c r="A5432" s="4" t="s">
        <v>12296</v>
      </c>
      <c r="B5432" s="5" t="s">
        <v>12296</v>
      </c>
      <c r="C5432" s="5" t="s">
        <v>75</v>
      </c>
      <c r="D5432" s="5" t="s">
        <v>76</v>
      </c>
      <c r="E5432" s="5" t="s">
        <v>480</v>
      </c>
      <c r="F5432" s="9">
        <v>10</v>
      </c>
      <c r="G5432" s="9">
        <v>121</v>
      </c>
      <c r="H5432" s="5" t="s">
        <v>21</v>
      </c>
      <c r="I5432" s="5" t="s">
        <v>12298</v>
      </c>
      <c r="J5432" s="12" t="str">
        <f>HYPERLINK("https://www.boe.es/gazeta/dias/1801/02/03/pdfs/GMD-1801-10.pdf#page=6","Abrir facsímil")</f>
        <v>Abrir facsímil</v>
      </c>
      <c r="K5432" s="15" t="s">
        <v>23</v>
      </c>
    </row>
    <row r="5433" spans="1:11" ht="42" customHeight="1">
      <c r="A5433" s="4" t="s">
        <v>12296</v>
      </c>
      <c r="B5433" s="5" t="s">
        <v>12296</v>
      </c>
      <c r="C5433" s="5" t="s">
        <v>18</v>
      </c>
      <c r="D5433" s="5" t="s">
        <v>19</v>
      </c>
      <c r="E5433" s="5" t="s">
        <v>781</v>
      </c>
      <c r="F5433" s="9">
        <v>14</v>
      </c>
      <c r="G5433" s="9">
        <v>171</v>
      </c>
      <c r="H5433" s="5" t="s">
        <v>21</v>
      </c>
      <c r="I5433" s="5" t="s">
        <v>12299</v>
      </c>
      <c r="J5433" s="12" t="str">
        <f>HYPERLINK("https://www.boe.es/gazeta/dias/1801/02/17/pdfs/GMD-1801-14.pdf#page=6","Abrir facsímil")</f>
        <v>Abrir facsímil</v>
      </c>
      <c r="K5433" s="15" t="s">
        <v>23</v>
      </c>
    </row>
    <row r="5434" spans="1:11" ht="42" customHeight="1">
      <c r="A5434" s="4" t="s">
        <v>12296</v>
      </c>
      <c r="B5434" s="5" t="s">
        <v>12296</v>
      </c>
      <c r="C5434" s="5" t="s">
        <v>32</v>
      </c>
      <c r="D5434" s="5" t="s">
        <v>33</v>
      </c>
      <c r="E5434" s="5" t="s">
        <v>94</v>
      </c>
      <c r="F5434" s="9">
        <v>19</v>
      </c>
      <c r="G5434" s="9">
        <v>242</v>
      </c>
      <c r="H5434" s="5" t="s">
        <v>21</v>
      </c>
      <c r="I5434" s="5" t="s">
        <v>12300</v>
      </c>
      <c r="J5434" s="12" t="str">
        <f>HYPERLINK("https://www.boe.es/gazeta/dias/1801/03/06/pdfs/GMD-1801-19.pdf#page=7","Abrir facsímil")</f>
        <v>Abrir facsímil</v>
      </c>
      <c r="K5434" s="15" t="s">
        <v>23</v>
      </c>
    </row>
    <row r="5435" spans="1:11" ht="42" customHeight="1">
      <c r="A5435" s="4" t="s">
        <v>12296</v>
      </c>
      <c r="B5435" s="5" t="s">
        <v>12296</v>
      </c>
      <c r="C5435" s="5" t="s">
        <v>38</v>
      </c>
      <c r="D5435" s="5" t="s">
        <v>39</v>
      </c>
      <c r="E5435" s="5" t="s">
        <v>48</v>
      </c>
      <c r="F5435" s="9">
        <v>20</v>
      </c>
      <c r="G5435" s="9">
        <v>264</v>
      </c>
      <c r="H5435" s="5" t="s">
        <v>21</v>
      </c>
      <c r="I5435" s="5" t="s">
        <v>12301</v>
      </c>
      <c r="J5435" s="12" t="str">
        <f>HYPERLINK("https://www.boe.es/gazeta/dias/1801/03/10/pdfs/GMD-1801-20.pdf#page=9","Abrir facsímil")</f>
        <v>Abrir facsímil</v>
      </c>
      <c r="K5435" s="15" t="s">
        <v>23</v>
      </c>
    </row>
    <row r="5436" spans="1:11" ht="42" customHeight="1">
      <c r="A5436" s="4" t="s">
        <v>12302</v>
      </c>
      <c r="B5436" s="5" t="s">
        <v>12302</v>
      </c>
      <c r="C5436" s="5" t="s">
        <v>38</v>
      </c>
      <c r="D5436" s="5" t="s">
        <v>39</v>
      </c>
      <c r="E5436" s="5" t="s">
        <v>378</v>
      </c>
      <c r="F5436" s="9">
        <v>23</v>
      </c>
      <c r="G5436" s="9">
        <v>303</v>
      </c>
      <c r="H5436" s="5" t="s">
        <v>21</v>
      </c>
      <c r="I5436" s="5" t="s">
        <v>12303</v>
      </c>
      <c r="J5436" s="12" t="str">
        <f>HYPERLINK("https://www.boe.es/gazeta/dias/1801/03/20/pdfs/GMD-1801-23.pdf#page=6","Abrir facsímil")</f>
        <v>Abrir facsímil</v>
      </c>
      <c r="K5436" s="15" t="s">
        <v>23</v>
      </c>
    </row>
    <row r="5437" spans="1:11" ht="42" customHeight="1">
      <c r="A5437" s="4" t="s">
        <v>12296</v>
      </c>
      <c r="B5437" s="5" t="s">
        <v>12296</v>
      </c>
      <c r="C5437" s="5" t="s">
        <v>32</v>
      </c>
      <c r="D5437" s="5" t="s">
        <v>33</v>
      </c>
      <c r="E5437" s="5" t="s">
        <v>137</v>
      </c>
      <c r="F5437" s="9">
        <v>30</v>
      </c>
      <c r="G5437" s="9">
        <v>391</v>
      </c>
      <c r="H5437" s="5" t="s">
        <v>21</v>
      </c>
      <c r="I5437" s="5" t="s">
        <v>12304</v>
      </c>
      <c r="J5437" s="12" t="str">
        <f>HYPERLINK("https://www.boe.es/gazeta/dias/1801/04/14/pdfs/GMD-1801-30.pdf#page=7","Abrir facsímil")</f>
        <v>Abrir facsímil</v>
      </c>
      <c r="K5437" s="15" t="s">
        <v>23</v>
      </c>
    </row>
    <row r="5438" spans="1:11" ht="42" customHeight="1">
      <c r="A5438" s="4" t="s">
        <v>12296</v>
      </c>
      <c r="B5438" s="5" t="s">
        <v>12296</v>
      </c>
      <c r="C5438" s="5" t="s">
        <v>75</v>
      </c>
      <c r="D5438" s="5" t="s">
        <v>76</v>
      </c>
      <c r="E5438" s="5" t="s">
        <v>20</v>
      </c>
      <c r="F5438" s="9">
        <v>37</v>
      </c>
      <c r="G5438" s="9">
        <v>480</v>
      </c>
      <c r="H5438" s="5" t="s">
        <v>21</v>
      </c>
      <c r="I5438" s="5" t="s">
        <v>12305</v>
      </c>
      <c r="J5438" s="12" t="str">
        <f>HYPERLINK("https://www.boe.es/gazeta/dias/1801/05/08/pdfs/GMD-1801-37.pdf#page=8","Abrir facsímil")</f>
        <v>Abrir facsímil</v>
      </c>
      <c r="K5438" s="15" t="s">
        <v>23</v>
      </c>
    </row>
    <row r="5439" spans="1:11" ht="42" customHeight="1">
      <c r="A5439" s="4" t="s">
        <v>12296</v>
      </c>
      <c r="B5439" s="5" t="s">
        <v>12296</v>
      </c>
      <c r="C5439" s="5" t="s">
        <v>38</v>
      </c>
      <c r="D5439" s="5" t="s">
        <v>39</v>
      </c>
      <c r="E5439" s="5" t="s">
        <v>155</v>
      </c>
      <c r="F5439" s="9">
        <v>50</v>
      </c>
      <c r="G5439" s="9">
        <v>595</v>
      </c>
      <c r="H5439" s="5" t="s">
        <v>21</v>
      </c>
      <c r="I5439" s="5" t="s">
        <v>12306</v>
      </c>
      <c r="J5439" s="12" t="str">
        <f>HYPERLINK("https://www.boe.es/gazeta/dias/1801/06/09/pdfs/GMD-1801-50.pdf#page=7","Abrir facsímil")</f>
        <v>Abrir facsímil</v>
      </c>
      <c r="K5439" s="15" t="s">
        <v>23</v>
      </c>
    </row>
    <row r="5440" spans="1:11" ht="42" customHeight="1">
      <c r="A5440" s="4" t="s">
        <v>12296</v>
      </c>
      <c r="B5440" s="5" t="s">
        <v>12296</v>
      </c>
      <c r="C5440" s="5" t="s">
        <v>32</v>
      </c>
      <c r="D5440" s="5" t="s">
        <v>33</v>
      </c>
      <c r="E5440" s="5" t="s">
        <v>108</v>
      </c>
      <c r="F5440" s="9">
        <v>61</v>
      </c>
      <c r="G5440" s="9">
        <v>696</v>
      </c>
      <c r="H5440" s="5" t="s">
        <v>21</v>
      </c>
      <c r="I5440" s="5" t="s">
        <v>12307</v>
      </c>
      <c r="J5440" s="12" t="str">
        <f>HYPERLINK("https://www.boe.es/gazeta/dias/1801/06/30/pdfs/GMD-1801-61.pdf#page=5","Abrir facsímil")</f>
        <v>Abrir facsímil</v>
      </c>
      <c r="K5440" s="15" t="s">
        <v>23</v>
      </c>
    </row>
    <row r="5441" spans="1:11" ht="42" customHeight="1">
      <c r="A5441" s="4" t="s">
        <v>12296</v>
      </c>
      <c r="B5441" s="5" t="s">
        <v>12296</v>
      </c>
      <c r="C5441" s="5" t="s">
        <v>38</v>
      </c>
      <c r="D5441" s="5" t="s">
        <v>39</v>
      </c>
      <c r="E5441" s="5" t="s">
        <v>751</v>
      </c>
      <c r="F5441" s="9">
        <v>106</v>
      </c>
      <c r="G5441" s="9">
        <v>1164</v>
      </c>
      <c r="H5441" s="5" t="s">
        <v>21</v>
      </c>
      <c r="I5441" s="5" t="s">
        <v>12308</v>
      </c>
      <c r="J5441" s="12" t="str">
        <f>HYPERLINK("https://www.boe.es/gazeta/dias/1801/11/13/pdfs/GMD-1801-106.pdf#page=5","Abrir facsímil")</f>
        <v>Abrir facsímil</v>
      </c>
      <c r="K5441" s="15" t="s">
        <v>23</v>
      </c>
    </row>
    <row r="5442" spans="1:11" ht="42" customHeight="1">
      <c r="A5442" s="4" t="s">
        <v>12296</v>
      </c>
      <c r="B5442" s="5" t="s">
        <v>12296</v>
      </c>
      <c r="C5442" s="5" t="s">
        <v>32</v>
      </c>
      <c r="D5442" s="5" t="s">
        <v>33</v>
      </c>
      <c r="E5442" s="5" t="s">
        <v>112</v>
      </c>
      <c r="F5442" s="9">
        <v>114</v>
      </c>
      <c r="G5442" s="9">
        <v>1244</v>
      </c>
      <c r="H5442" s="5" t="s">
        <v>21</v>
      </c>
      <c r="I5442" s="5" t="s">
        <v>12309</v>
      </c>
      <c r="J5442" s="12" t="str">
        <f>HYPERLINK("https://www.boe.es/gazeta/dias/1801/12/11/pdfs/GMD-1801-114.pdf#page=6","Abrir facsímil")</f>
        <v>Abrir facsímil</v>
      </c>
      <c r="K5442" s="15" t="s">
        <v>23</v>
      </c>
    </row>
    <row r="5443" spans="1:11" ht="42" customHeight="1">
      <c r="A5443" s="4" t="s">
        <v>12310</v>
      </c>
      <c r="B5443" s="5" t="s">
        <v>12310</v>
      </c>
      <c r="C5443" s="5" t="s">
        <v>38</v>
      </c>
      <c r="D5443" s="5" t="s">
        <v>39</v>
      </c>
      <c r="E5443" s="5" t="s">
        <v>453</v>
      </c>
      <c r="F5443" s="9">
        <v>100</v>
      </c>
      <c r="G5443" s="9">
        <v>1098</v>
      </c>
      <c r="H5443" s="5" t="s">
        <v>21</v>
      </c>
      <c r="I5443" s="5" t="s">
        <v>12311</v>
      </c>
      <c r="J5443" s="12" t="str">
        <f>HYPERLINK("https://www.boe.es/gazeta/dias/1801/10/23/pdfs/GMD-1801-100.pdf#page=7","Abrir facsímil")</f>
        <v>Abrir facsímil</v>
      </c>
      <c r="K5443" s="15" t="s">
        <v>23</v>
      </c>
    </row>
    <row r="5444" spans="1:11" ht="42" customHeight="1">
      <c r="A5444" s="4" t="s">
        <v>12312</v>
      </c>
      <c r="B5444" s="5" t="s">
        <v>12312</v>
      </c>
      <c r="C5444" s="5" t="s">
        <v>75</v>
      </c>
      <c r="D5444" s="5" t="s">
        <v>76</v>
      </c>
      <c r="E5444" s="5" t="s">
        <v>165</v>
      </c>
      <c r="F5444" s="9">
        <v>59</v>
      </c>
      <c r="G5444" s="9">
        <v>673</v>
      </c>
      <c r="H5444" s="5" t="s">
        <v>21</v>
      </c>
      <c r="I5444" s="5" t="s">
        <v>12313</v>
      </c>
      <c r="J5444" s="12" t="str">
        <f>HYPERLINK("https://www.boe.es/gazeta/dias/1801/06/23/pdfs/GMD-1801-59.pdf#page=6","Abrir facsímil")</f>
        <v>Abrir facsímil</v>
      </c>
      <c r="K5444" s="15" t="s">
        <v>23</v>
      </c>
    </row>
    <row r="5445" spans="1:11" ht="42" customHeight="1">
      <c r="A5445" s="4" t="s">
        <v>12314</v>
      </c>
      <c r="B5445" s="5" t="s">
        <v>12314</v>
      </c>
      <c r="C5445" s="5" t="s">
        <v>75</v>
      </c>
      <c r="D5445" s="5" t="s">
        <v>76</v>
      </c>
      <c r="E5445" s="5" t="s">
        <v>186</v>
      </c>
      <c r="F5445" s="9">
        <v>21</v>
      </c>
      <c r="G5445" s="9">
        <v>276</v>
      </c>
      <c r="H5445" s="5" t="s">
        <v>21</v>
      </c>
      <c r="I5445" s="5" t="s">
        <v>12315</v>
      </c>
      <c r="J5445" s="12" t="str">
        <f>HYPERLINK("https://www.boe.es/gazeta/dias/1801/03/13/pdfs/GMD-1801-21.pdf#page=5","Abrir facsímil")</f>
        <v>Abrir facsímil</v>
      </c>
      <c r="K5445" s="15" t="s">
        <v>23</v>
      </c>
    </row>
    <row r="5446" spans="1:11" ht="42" customHeight="1">
      <c r="A5446" s="4" t="s">
        <v>12316</v>
      </c>
      <c r="B5446" s="5" t="s">
        <v>12316</v>
      </c>
      <c r="C5446" s="5" t="s">
        <v>75</v>
      </c>
      <c r="D5446" s="5" t="s">
        <v>76</v>
      </c>
      <c r="E5446" s="5" t="s">
        <v>256</v>
      </c>
      <c r="F5446" s="9">
        <v>78</v>
      </c>
      <c r="G5446" s="9">
        <v>878</v>
      </c>
      <c r="H5446" s="5" t="s">
        <v>21</v>
      </c>
      <c r="I5446" s="5" t="s">
        <v>12317</v>
      </c>
      <c r="J5446" s="12" t="str">
        <f>HYPERLINK("https://www.boe.es/gazeta/dias/1801/08/14/pdfs/GMD-1801-78.pdf#page=7","Abrir facsímil")</f>
        <v>Abrir facsímil</v>
      </c>
      <c r="K5446" s="15" t="s">
        <v>23</v>
      </c>
    </row>
    <row r="5447" spans="1:11" ht="42" customHeight="1">
      <c r="A5447" s="4" t="s">
        <v>12318</v>
      </c>
      <c r="B5447" s="5" t="s">
        <v>12318</v>
      </c>
      <c r="C5447" s="5" t="s">
        <v>75</v>
      </c>
      <c r="D5447" s="5" t="s">
        <v>76</v>
      </c>
      <c r="E5447" s="5" t="s">
        <v>462</v>
      </c>
      <c r="F5447" s="9">
        <v>5</v>
      </c>
      <c r="G5447" s="9">
        <v>53</v>
      </c>
      <c r="H5447" s="5" t="s">
        <v>21</v>
      </c>
      <c r="I5447" s="5" t="s">
        <v>12319</v>
      </c>
      <c r="J5447" s="12" t="str">
        <f>HYPERLINK("https://www.boe.es/gazeta/dias/1801/01/16/pdfs/GMD-1801-5.pdf#page=5","Abrir facsímil")</f>
        <v>Abrir facsímil</v>
      </c>
      <c r="K5447" s="15" t="s">
        <v>23</v>
      </c>
    </row>
    <row r="5448" spans="1:11" ht="42" customHeight="1">
      <c r="A5448" s="4" t="s">
        <v>12320</v>
      </c>
      <c r="B5448" s="5" t="s">
        <v>12320</v>
      </c>
      <c r="C5448" s="5" t="s">
        <v>75</v>
      </c>
      <c r="D5448" s="5" t="s">
        <v>76</v>
      </c>
      <c r="E5448" s="5" t="s">
        <v>292</v>
      </c>
      <c r="F5448" s="9">
        <v>25</v>
      </c>
      <c r="G5448" s="9">
        <v>329</v>
      </c>
      <c r="H5448" s="5" t="s">
        <v>21</v>
      </c>
      <c r="I5448" s="5" t="s">
        <v>12321</v>
      </c>
      <c r="J5448" s="12" t="str">
        <f>HYPERLINK("https://www.boe.es/gazeta/dias/1801/03/27/pdfs/GMD-1801-25.pdf#page=8","Abrir facsímil")</f>
        <v>Abrir facsímil</v>
      </c>
      <c r="K5448" s="15" t="s">
        <v>23</v>
      </c>
    </row>
    <row r="5449" spans="1:11" ht="42" customHeight="1">
      <c r="A5449" s="4" t="s">
        <v>12322</v>
      </c>
      <c r="B5449" s="5" t="s">
        <v>12322</v>
      </c>
      <c r="C5449" s="5" t="s">
        <v>32</v>
      </c>
      <c r="D5449" s="5" t="s">
        <v>33</v>
      </c>
      <c r="E5449" s="5" t="s">
        <v>155</v>
      </c>
      <c r="F5449" s="9">
        <v>50</v>
      </c>
      <c r="G5449" s="9">
        <v>594</v>
      </c>
      <c r="H5449" s="5" t="s">
        <v>21</v>
      </c>
      <c r="I5449" s="5" t="s">
        <v>12323</v>
      </c>
      <c r="J5449" s="12" t="str">
        <f>HYPERLINK("https://www.boe.es/gazeta/dias/1801/06/09/pdfs/GMD-1801-50.pdf#page=6","Abrir facsímil")</f>
        <v>Abrir facsímil</v>
      </c>
      <c r="K5449" s="15" t="s">
        <v>23</v>
      </c>
    </row>
    <row r="5450" spans="1:11" ht="42" customHeight="1">
      <c r="A5450" s="4" t="s">
        <v>12324</v>
      </c>
      <c r="B5450" s="5" t="s">
        <v>12324</v>
      </c>
      <c r="C5450" s="5" t="s">
        <v>32</v>
      </c>
      <c r="D5450" s="5" t="s">
        <v>33</v>
      </c>
      <c r="E5450" s="5" t="s">
        <v>215</v>
      </c>
      <c r="F5450" s="9">
        <v>71</v>
      </c>
      <c r="G5450" s="9">
        <v>785</v>
      </c>
      <c r="H5450" s="5" t="s">
        <v>21</v>
      </c>
      <c r="I5450" s="5" t="s">
        <v>12325</v>
      </c>
      <c r="J5450" s="12" t="str">
        <f>HYPERLINK("https://www.boe.es/gazeta/dias/1801/07/21/pdfs/GMD-1801-71.pdf#page=6","Abrir facsímil")</f>
        <v>Abrir facsímil</v>
      </c>
      <c r="K5450" s="15" t="s">
        <v>23</v>
      </c>
    </row>
    <row r="5451" spans="1:11" ht="42" customHeight="1">
      <c r="A5451" s="4" t="s">
        <v>12326</v>
      </c>
      <c r="B5451" s="5" t="s">
        <v>12326</v>
      </c>
      <c r="C5451" s="5" t="s">
        <v>75</v>
      </c>
      <c r="D5451" s="5" t="s">
        <v>76</v>
      </c>
      <c r="E5451" s="5" t="s">
        <v>90</v>
      </c>
      <c r="F5451" s="9">
        <v>1</v>
      </c>
      <c r="G5451" s="9">
        <v>7</v>
      </c>
      <c r="H5451" s="5" t="s">
        <v>21</v>
      </c>
      <c r="I5451" s="5" t="s">
        <v>12327</v>
      </c>
      <c r="J5451" s="12" t="str">
        <f>HYPERLINK("https://www.boe.es/gazeta/dias/1801/01/02/pdfs/GMD-1801-1.pdf#page=7","Abrir facsímil")</f>
        <v>Abrir facsímil</v>
      </c>
      <c r="K5451" s="15" t="s">
        <v>23</v>
      </c>
    </row>
    <row r="5452" spans="1:11" ht="42" customHeight="1">
      <c r="A5452" s="4" t="s">
        <v>12328</v>
      </c>
      <c r="B5452" s="5" t="s">
        <v>12328</v>
      </c>
      <c r="C5452" s="5" t="s">
        <v>32</v>
      </c>
      <c r="D5452" s="5" t="s">
        <v>33</v>
      </c>
      <c r="E5452" s="5" t="s">
        <v>126</v>
      </c>
      <c r="F5452" s="9">
        <v>13</v>
      </c>
      <c r="G5452" s="9">
        <v>159</v>
      </c>
      <c r="H5452" s="5" t="s">
        <v>21</v>
      </c>
      <c r="I5452" s="5" t="s">
        <v>12329</v>
      </c>
      <c r="J5452" s="12" t="str">
        <f>HYPERLINK("https://www.boe.es/gazeta/dias/1801/02/13/pdfs/GMD-1801-13.pdf#page=6","Abrir facsímil")</f>
        <v>Abrir facsímil</v>
      </c>
      <c r="K5452" s="15" t="s">
        <v>23</v>
      </c>
    </row>
    <row r="5453" spans="1:11" ht="42" customHeight="1">
      <c r="A5453" s="4" t="s">
        <v>12328</v>
      </c>
      <c r="B5453" s="5" t="s">
        <v>12328</v>
      </c>
      <c r="C5453" s="5" t="s">
        <v>75</v>
      </c>
      <c r="D5453" s="5" t="s">
        <v>76</v>
      </c>
      <c r="E5453" s="5" t="s">
        <v>781</v>
      </c>
      <c r="F5453" s="9">
        <v>14</v>
      </c>
      <c r="G5453" s="9">
        <v>171</v>
      </c>
      <c r="H5453" s="5" t="s">
        <v>21</v>
      </c>
      <c r="I5453" s="5" t="s">
        <v>12330</v>
      </c>
      <c r="J5453" s="12" t="str">
        <f>HYPERLINK("https://www.boe.es/gazeta/dias/1801/02/17/pdfs/GMD-1801-14.pdf#page=6","Abrir facsímil")</f>
        <v>Abrir facsímil</v>
      </c>
      <c r="K5453" s="15" t="s">
        <v>23</v>
      </c>
    </row>
    <row r="5454" spans="1:11" ht="42" customHeight="1">
      <c r="A5454" s="4" t="s">
        <v>12331</v>
      </c>
      <c r="B5454" s="5" t="s">
        <v>12331</v>
      </c>
      <c r="C5454" s="5" t="s">
        <v>18</v>
      </c>
      <c r="D5454" s="5" t="s">
        <v>19</v>
      </c>
      <c r="E5454" s="5" t="s">
        <v>120</v>
      </c>
      <c r="F5454" s="9">
        <v>7</v>
      </c>
      <c r="G5454" s="9">
        <v>81</v>
      </c>
      <c r="H5454" s="5" t="s">
        <v>21</v>
      </c>
      <c r="I5454" s="5" t="s">
        <v>12332</v>
      </c>
      <c r="J5454" s="12" t="str">
        <f>HYPERLINK("https://www.boe.es/gazeta/dias/1801/01/23/pdfs/GMD-1801-7.pdf#page=5","Abrir facsímil")</f>
        <v>Abrir facsímil</v>
      </c>
      <c r="K5454" s="15" t="s">
        <v>23</v>
      </c>
    </row>
    <row r="5455" spans="1:11" ht="42" customHeight="1">
      <c r="A5455" s="4" t="s">
        <v>12331</v>
      </c>
      <c r="B5455" s="5" t="s">
        <v>12331</v>
      </c>
      <c r="C5455" s="5" t="s">
        <v>75</v>
      </c>
      <c r="D5455" s="5" t="s">
        <v>76</v>
      </c>
      <c r="E5455" s="5" t="s">
        <v>182</v>
      </c>
      <c r="F5455" s="9">
        <v>18</v>
      </c>
      <c r="G5455" s="9">
        <v>224</v>
      </c>
      <c r="H5455" s="5" t="s">
        <v>21</v>
      </c>
      <c r="I5455" s="5" t="s">
        <v>12333</v>
      </c>
      <c r="J5455" s="12" t="str">
        <f>HYPERLINK("https://www.boe.es/gazeta/dias/1801/03/03/pdfs/GMD-1801-18.pdf#page=5","Abrir facsímil")</f>
        <v>Abrir facsímil</v>
      </c>
      <c r="K5455" s="15" t="s">
        <v>23</v>
      </c>
    </row>
    <row r="5456" spans="1:11" ht="42" customHeight="1">
      <c r="A5456" s="4" t="s">
        <v>12334</v>
      </c>
      <c r="B5456" s="5" t="s">
        <v>12334</v>
      </c>
      <c r="C5456" s="5" t="s">
        <v>75</v>
      </c>
      <c r="D5456" s="5" t="s">
        <v>76</v>
      </c>
      <c r="E5456" s="5" t="s">
        <v>1015</v>
      </c>
      <c r="F5456" s="9">
        <v>15</v>
      </c>
      <c r="G5456" s="9">
        <v>188</v>
      </c>
      <c r="H5456" s="5" t="s">
        <v>21</v>
      </c>
      <c r="I5456" s="5" t="s">
        <v>12335</v>
      </c>
      <c r="J5456" s="12" t="str">
        <f>HYPERLINK("https://www.boe.es/gazeta/dias/1801/02/20/pdfs/GMD-1801-15.pdf#page=7","Abrir facsímil")</f>
        <v>Abrir facsímil</v>
      </c>
      <c r="K5456" s="15" t="s">
        <v>23</v>
      </c>
    </row>
    <row r="5457" spans="1:11" ht="42" customHeight="1">
      <c r="A5457" s="4" t="s">
        <v>12336</v>
      </c>
      <c r="B5457" s="5" t="s">
        <v>12336</v>
      </c>
      <c r="C5457" s="5" t="s">
        <v>75</v>
      </c>
      <c r="D5457" s="5" t="s">
        <v>76</v>
      </c>
      <c r="E5457" s="5" t="s">
        <v>122</v>
      </c>
      <c r="F5457" s="9">
        <v>8</v>
      </c>
      <c r="G5457" s="9">
        <v>92</v>
      </c>
      <c r="H5457" s="5" t="s">
        <v>21</v>
      </c>
      <c r="I5457" s="5" t="s">
        <v>12337</v>
      </c>
      <c r="J5457" s="12" t="str">
        <f>HYPERLINK("https://www.boe.es/gazeta/dias/1801/01/27/pdfs/GMD-1801-8.pdf#page=4","Abrir facsímil")</f>
        <v>Abrir facsímil</v>
      </c>
      <c r="K5457" s="15" t="s">
        <v>23</v>
      </c>
    </row>
    <row r="5458" spans="1:11" ht="42" customHeight="1">
      <c r="A5458" s="4" t="s">
        <v>12338</v>
      </c>
      <c r="B5458" s="5" t="s">
        <v>12338</v>
      </c>
      <c r="C5458" s="5" t="s">
        <v>75</v>
      </c>
      <c r="D5458" s="5" t="s">
        <v>76</v>
      </c>
      <c r="E5458" s="5" t="s">
        <v>62</v>
      </c>
      <c r="F5458" s="9">
        <v>6</v>
      </c>
      <c r="G5458" s="9">
        <v>70</v>
      </c>
      <c r="H5458" s="5" t="s">
        <v>21</v>
      </c>
      <c r="I5458" s="5" t="s">
        <v>12339</v>
      </c>
      <c r="J5458" s="12" t="str">
        <f>HYPERLINK("https://www.boe.es/gazeta/dias/1801/01/20/pdfs/GMD-1801-6.pdf#page=6","Abrir facsímil")</f>
        <v>Abrir facsímil</v>
      </c>
      <c r="K5458" s="15" t="s">
        <v>23</v>
      </c>
    </row>
    <row r="5459" spans="1:11" ht="42" customHeight="1">
      <c r="A5459" s="4" t="s">
        <v>12340</v>
      </c>
      <c r="B5459" s="5" t="s">
        <v>12340</v>
      </c>
      <c r="C5459" s="5" t="s">
        <v>75</v>
      </c>
      <c r="D5459" s="5" t="s">
        <v>76</v>
      </c>
      <c r="E5459" s="5" t="s">
        <v>70</v>
      </c>
      <c r="F5459" s="9">
        <v>2</v>
      </c>
      <c r="G5459" s="9">
        <v>18</v>
      </c>
      <c r="H5459" s="5" t="s">
        <v>21</v>
      </c>
      <c r="I5459" s="5" t="s">
        <v>12341</v>
      </c>
      <c r="J5459" s="12" t="str">
        <f>HYPERLINK("https://www.boe.es/gazeta/dias/1801/01/06/pdfs/GMD-1801-2.pdf#page=6","Abrir facsímil")</f>
        <v>Abrir facsímil</v>
      </c>
      <c r="K5459" s="15" t="s">
        <v>23</v>
      </c>
    </row>
    <row r="5460" spans="1:11" ht="42" customHeight="1">
      <c r="A5460" s="4" t="s">
        <v>12342</v>
      </c>
      <c r="B5460" s="5" t="s">
        <v>12342</v>
      </c>
      <c r="C5460" s="5" t="s">
        <v>75</v>
      </c>
      <c r="D5460" s="5" t="s">
        <v>76</v>
      </c>
      <c r="E5460" s="5" t="s">
        <v>201</v>
      </c>
      <c r="F5460" s="9">
        <v>79</v>
      </c>
      <c r="G5460" s="9">
        <v>887</v>
      </c>
      <c r="H5460" s="5" t="s">
        <v>21</v>
      </c>
      <c r="I5460" s="5" t="s">
        <v>12343</v>
      </c>
      <c r="J5460" s="12" t="str">
        <f>HYPERLINK("https://www.boe.es/gazeta/dias/1801/08/18/pdfs/GMD-1801-79.pdf#page=4","Abrir facsímil")</f>
        <v>Abrir facsímil</v>
      </c>
      <c r="K5460" s="15" t="s">
        <v>23</v>
      </c>
    </row>
    <row r="5461" spans="1:11" ht="42" customHeight="1">
      <c r="A5461" s="4" t="s">
        <v>12344</v>
      </c>
      <c r="B5461" s="5" t="s">
        <v>12344</v>
      </c>
      <c r="C5461" s="5" t="s">
        <v>26</v>
      </c>
      <c r="D5461" s="5" t="s">
        <v>27</v>
      </c>
      <c r="E5461" s="5" t="s">
        <v>124</v>
      </c>
      <c r="F5461" s="9">
        <v>12</v>
      </c>
      <c r="G5461" s="9">
        <v>146</v>
      </c>
      <c r="H5461" s="5" t="s">
        <v>21</v>
      </c>
      <c r="I5461" s="5" t="s">
        <v>12345</v>
      </c>
      <c r="J5461" s="12" t="str">
        <f>HYPERLINK("https://www.boe.es/gazeta/dias/1801/02/10/pdfs/GMD-1801-12.pdf#page=7","Abrir facsímil")</f>
        <v>Abrir facsímil</v>
      </c>
      <c r="K5461" s="15" t="s">
        <v>23</v>
      </c>
    </row>
    <row r="5462" spans="1:11" ht="42" customHeight="1">
      <c r="A5462" s="4" t="s">
        <v>12344</v>
      </c>
      <c r="B5462" s="5" t="s">
        <v>12344</v>
      </c>
      <c r="C5462" s="5" t="s">
        <v>75</v>
      </c>
      <c r="D5462" s="5" t="s">
        <v>76</v>
      </c>
      <c r="E5462" s="5" t="s">
        <v>173</v>
      </c>
      <c r="F5462" s="9">
        <v>98</v>
      </c>
      <c r="G5462" s="9">
        <v>1071</v>
      </c>
      <c r="H5462" s="5" t="s">
        <v>21</v>
      </c>
      <c r="I5462" s="5" t="s">
        <v>12346</v>
      </c>
      <c r="J5462" s="12" t="str">
        <f>HYPERLINK("https://www.boe.es/gazeta/dias/1801/10/16/pdfs/GMD-1801-98.pdf#page=3","Abrir facsímil")</f>
        <v>Abrir facsímil</v>
      </c>
      <c r="K5462" s="15" t="s">
        <v>23</v>
      </c>
    </row>
    <row r="5463" spans="1:11" ht="42" customHeight="1">
      <c r="A5463" s="4" t="s">
        <v>12347</v>
      </c>
      <c r="B5463" s="5" t="s">
        <v>12347</v>
      </c>
      <c r="C5463" s="5" t="s">
        <v>38</v>
      </c>
      <c r="D5463" s="5" t="s">
        <v>39</v>
      </c>
      <c r="E5463" s="5" t="s">
        <v>126</v>
      </c>
      <c r="F5463" s="9">
        <v>13</v>
      </c>
      <c r="G5463" s="9">
        <v>164</v>
      </c>
      <c r="H5463" s="5" t="s">
        <v>21</v>
      </c>
      <c r="I5463" s="5" t="s">
        <v>12348</v>
      </c>
      <c r="J5463" s="12" t="str">
        <f>HYPERLINK("https://www.boe.es/gazeta/dias/1801/02/13/pdfs/GMD-1801-13.pdf#page=11","Abrir facsímil")</f>
        <v>Abrir facsímil</v>
      </c>
      <c r="K5463" s="15" t="s">
        <v>23</v>
      </c>
    </row>
    <row r="5464" spans="1:11" ht="42" customHeight="1">
      <c r="A5464" s="4" t="s">
        <v>12349</v>
      </c>
      <c r="B5464" s="5" t="s">
        <v>12349</v>
      </c>
      <c r="C5464" s="5" t="s">
        <v>75</v>
      </c>
      <c r="D5464" s="5" t="s">
        <v>76</v>
      </c>
      <c r="E5464" s="5" t="s">
        <v>264</v>
      </c>
      <c r="F5464" s="9">
        <v>111</v>
      </c>
      <c r="G5464" s="9">
        <v>1213</v>
      </c>
      <c r="H5464" s="5" t="s">
        <v>21</v>
      </c>
      <c r="I5464" s="5" t="s">
        <v>12350</v>
      </c>
      <c r="J5464" s="12" t="str">
        <f>HYPERLINK("https://www.boe.es/gazeta/dias/1801/12/01/pdfs/GMD-1801-111.pdf#page=2","Abrir facsímil")</f>
        <v>Abrir facsímil</v>
      </c>
      <c r="K5464" s="15" t="s">
        <v>23</v>
      </c>
    </row>
    <row r="5465" spans="1:11" ht="42" customHeight="1">
      <c r="A5465" s="4" t="s">
        <v>12351</v>
      </c>
      <c r="B5465" s="5" t="s">
        <v>12351</v>
      </c>
      <c r="C5465" s="5" t="s">
        <v>32</v>
      </c>
      <c r="D5465" s="5" t="s">
        <v>33</v>
      </c>
      <c r="E5465" s="5" t="s">
        <v>309</v>
      </c>
      <c r="F5465" s="9">
        <v>118</v>
      </c>
      <c r="G5465" s="9">
        <v>1287</v>
      </c>
      <c r="H5465" s="5" t="s">
        <v>21</v>
      </c>
      <c r="I5465" s="5" t="s">
        <v>12352</v>
      </c>
      <c r="J5465" s="12" t="str">
        <f>HYPERLINK("https://www.boe.es/gazeta/dias/1801/12/25/pdfs/GMD-1801-118.pdf#page=2","Abrir facsímil")</f>
        <v>Abrir facsímil</v>
      </c>
      <c r="K5465" s="15" t="s">
        <v>23</v>
      </c>
    </row>
    <row r="5466" spans="1:11" ht="42" customHeight="1">
      <c r="A5466" s="4" t="s">
        <v>12353</v>
      </c>
      <c r="B5466" s="5" t="s">
        <v>12353</v>
      </c>
      <c r="C5466" s="5" t="s">
        <v>75</v>
      </c>
      <c r="D5466" s="5" t="s">
        <v>76</v>
      </c>
      <c r="E5466" s="5" t="s">
        <v>1939</v>
      </c>
      <c r="F5466" s="9">
        <v>107</v>
      </c>
      <c r="G5466" s="9">
        <v>1173</v>
      </c>
      <c r="H5466" s="5" t="s">
        <v>21</v>
      </c>
      <c r="I5466" s="5" t="s">
        <v>12354</v>
      </c>
      <c r="J5466" s="12" t="str">
        <f>HYPERLINK("https://www.boe.es/gazeta/dias/1801/11/17/pdfs/GMD-1801-107.pdf#page=2","Abrir facsímil")</f>
        <v>Abrir facsímil</v>
      </c>
      <c r="K5466" s="15" t="s">
        <v>23</v>
      </c>
    </row>
    <row r="5467" spans="1:11" ht="42" customHeight="1">
      <c r="A5467" s="4" t="s">
        <v>12355</v>
      </c>
      <c r="B5467" s="5" t="s">
        <v>12355</v>
      </c>
      <c r="C5467" s="5" t="s">
        <v>32</v>
      </c>
      <c r="D5467" s="5" t="s">
        <v>33</v>
      </c>
      <c r="E5467" s="5" t="s">
        <v>505</v>
      </c>
      <c r="F5467" s="9">
        <v>94</v>
      </c>
      <c r="G5467" s="9">
        <v>1031</v>
      </c>
      <c r="H5467" s="5" t="s">
        <v>21</v>
      </c>
      <c r="I5467" s="5" t="s">
        <v>12356</v>
      </c>
      <c r="J5467" s="12" t="str">
        <f>HYPERLINK("https://www.boe.es/gazeta/dias/1801/10/02/pdfs/GMD-1801-94.pdf#page=7","Abrir facsímil")</f>
        <v>Abrir facsímil</v>
      </c>
      <c r="K5467" s="15" t="s">
        <v>23</v>
      </c>
    </row>
    <row r="5468" spans="1:11" ht="42" customHeight="1">
      <c r="A5468" s="4" t="s">
        <v>12357</v>
      </c>
      <c r="B5468" s="5" t="s">
        <v>12357</v>
      </c>
      <c r="C5468" s="5" t="s">
        <v>32</v>
      </c>
      <c r="D5468" s="5" t="s">
        <v>33</v>
      </c>
      <c r="E5468" s="5" t="s">
        <v>108</v>
      </c>
      <c r="F5468" s="9">
        <v>61</v>
      </c>
      <c r="G5468" s="9">
        <v>698</v>
      </c>
      <c r="H5468" s="5" t="s">
        <v>21</v>
      </c>
      <c r="I5468" s="5" t="s">
        <v>12358</v>
      </c>
      <c r="J5468" s="12" t="str">
        <f>HYPERLINK("https://www.boe.es/gazeta/dias/1801/06/30/pdfs/GMD-1801-61.pdf#page=7","Abrir facsímil")</f>
        <v>Abrir facsímil</v>
      </c>
      <c r="K5468" s="15" t="s">
        <v>23</v>
      </c>
    </row>
    <row r="5469" spans="1:11" ht="42" customHeight="1">
      <c r="A5469" s="4" t="s">
        <v>12359</v>
      </c>
      <c r="B5469" s="5" t="s">
        <v>12359</v>
      </c>
      <c r="C5469" s="5" t="s">
        <v>75</v>
      </c>
      <c r="D5469" s="5" t="s">
        <v>76</v>
      </c>
      <c r="E5469" s="5" t="s">
        <v>20</v>
      </c>
      <c r="F5469" s="9">
        <v>37</v>
      </c>
      <c r="G5469" s="9">
        <v>480</v>
      </c>
      <c r="H5469" s="5" t="s">
        <v>21</v>
      </c>
      <c r="I5469" s="5" t="s">
        <v>12360</v>
      </c>
      <c r="J5469" s="12" t="str">
        <f>HYPERLINK("https://www.boe.es/gazeta/dias/1801/05/08/pdfs/GMD-1801-37.pdf#page=8","Abrir facsímil")</f>
        <v>Abrir facsímil</v>
      </c>
      <c r="K5469" s="15" t="s">
        <v>23</v>
      </c>
    </row>
    <row r="5470" spans="1:11" ht="42" customHeight="1">
      <c r="A5470" s="4" t="s">
        <v>12361</v>
      </c>
      <c r="B5470" s="5" t="s">
        <v>12361</v>
      </c>
      <c r="C5470" s="5" t="s">
        <v>75</v>
      </c>
      <c r="D5470" s="5" t="s">
        <v>76</v>
      </c>
      <c r="E5470" s="5" t="s">
        <v>179</v>
      </c>
      <c r="F5470" s="9">
        <v>11</v>
      </c>
      <c r="G5470" s="9">
        <v>130</v>
      </c>
      <c r="H5470" s="5" t="s">
        <v>21</v>
      </c>
      <c r="I5470" s="5" t="s">
        <v>12362</v>
      </c>
      <c r="J5470" s="12" t="str">
        <f>HYPERLINK("https://www.boe.es/gazeta/dias/1801/02/06/pdfs/GMD-1801-11.pdf#page=3","Abrir facsímil")</f>
        <v>Abrir facsímil</v>
      </c>
      <c r="K5470" s="15" t="s">
        <v>23</v>
      </c>
    </row>
    <row r="5471" spans="1:11" ht="42" customHeight="1">
      <c r="A5471" s="4" t="s">
        <v>12361</v>
      </c>
      <c r="B5471" s="5" t="s">
        <v>12361</v>
      </c>
      <c r="C5471" s="5" t="s">
        <v>75</v>
      </c>
      <c r="D5471" s="5" t="s">
        <v>76</v>
      </c>
      <c r="E5471" s="5" t="s">
        <v>919</v>
      </c>
      <c r="F5471" s="9">
        <v>91</v>
      </c>
      <c r="G5471" s="9">
        <v>998</v>
      </c>
      <c r="H5471" s="5" t="s">
        <v>21</v>
      </c>
      <c r="I5471" s="5" t="s">
        <v>12363</v>
      </c>
      <c r="J5471" s="12" t="str">
        <f>HYPERLINK("https://www.boe.es/gazeta/dias/1801/09/22/pdfs/GMD-1801-91.pdf#page=1","Abrir facsímil")</f>
        <v>Abrir facsímil</v>
      </c>
      <c r="K5471" s="15" t="s">
        <v>23</v>
      </c>
    </row>
    <row r="5472" spans="1:11" ht="42" customHeight="1">
      <c r="A5472" s="4" t="s">
        <v>12361</v>
      </c>
      <c r="B5472" s="5" t="s">
        <v>12361</v>
      </c>
      <c r="C5472" s="5" t="s">
        <v>75</v>
      </c>
      <c r="D5472" s="5" t="s">
        <v>76</v>
      </c>
      <c r="E5472" s="5" t="s">
        <v>266</v>
      </c>
      <c r="F5472" s="9">
        <v>119</v>
      </c>
      <c r="G5472" s="9">
        <v>1298</v>
      </c>
      <c r="H5472" s="5" t="s">
        <v>21</v>
      </c>
      <c r="I5472" s="5" t="s">
        <v>12364</v>
      </c>
      <c r="J5472" s="12" t="str">
        <f>HYPERLINK("https://www.boe.es/gazeta/dias/1801/12/29/pdfs/GMD-1801-119.pdf#page=2","Abrir facsímil")</f>
        <v>Abrir facsímil</v>
      </c>
      <c r="K5472" s="15" t="s">
        <v>23</v>
      </c>
    </row>
    <row r="5473" spans="1:11" ht="42" customHeight="1">
      <c r="A5473" s="4" t="s">
        <v>12365</v>
      </c>
      <c r="B5473" s="5" t="s">
        <v>12365</v>
      </c>
      <c r="C5473" s="5" t="s">
        <v>18</v>
      </c>
      <c r="D5473" s="5" t="s">
        <v>19</v>
      </c>
      <c r="E5473" s="5" t="s">
        <v>141</v>
      </c>
      <c r="F5473" s="9">
        <v>33</v>
      </c>
      <c r="G5473" s="9">
        <v>419</v>
      </c>
      <c r="H5473" s="5" t="s">
        <v>21</v>
      </c>
      <c r="I5473" s="5" t="s">
        <v>12366</v>
      </c>
      <c r="J5473" s="12" t="str">
        <f>HYPERLINK("https://www.boe.es/gazeta/dias/1801/04/24/pdfs/GMD-1801-33.pdf#page=3","Abrir facsímil")</f>
        <v>Abrir facsímil</v>
      </c>
      <c r="K5473" s="15" t="s">
        <v>23</v>
      </c>
    </row>
    <row r="5474" spans="1:11" ht="42" customHeight="1">
      <c r="A5474" s="4" t="s">
        <v>12365</v>
      </c>
      <c r="B5474" s="5" t="s">
        <v>12365</v>
      </c>
      <c r="C5474" s="5" t="s">
        <v>75</v>
      </c>
      <c r="D5474" s="5" t="s">
        <v>76</v>
      </c>
      <c r="E5474" s="5" t="s">
        <v>151</v>
      </c>
      <c r="F5474" s="9">
        <v>45</v>
      </c>
      <c r="G5474" s="9">
        <v>555</v>
      </c>
      <c r="H5474" s="5" t="s">
        <v>21</v>
      </c>
      <c r="I5474" s="5" t="s">
        <v>12367</v>
      </c>
      <c r="J5474" s="12" t="str">
        <f>HYPERLINK("https://www.boe.es/gazeta/dias/1801/06/02/pdfs/GMD-1801-45.pdf#page=3","Abrir facsímil")</f>
        <v>Abrir facsímil</v>
      </c>
      <c r="K5474" s="15" t="s">
        <v>23</v>
      </c>
    </row>
    <row r="5475" spans="1:11" ht="42" customHeight="1">
      <c r="A5475" s="4" t="s">
        <v>12368</v>
      </c>
      <c r="B5475" s="5" t="s">
        <v>12368</v>
      </c>
      <c r="C5475" s="5" t="s">
        <v>75</v>
      </c>
      <c r="D5475" s="5" t="s">
        <v>76</v>
      </c>
      <c r="E5475" s="5" t="s">
        <v>313</v>
      </c>
      <c r="F5475" s="9">
        <v>39</v>
      </c>
      <c r="G5475" s="9">
        <v>499</v>
      </c>
      <c r="H5475" s="5" t="s">
        <v>21</v>
      </c>
      <c r="I5475" s="5" t="s">
        <v>12369</v>
      </c>
      <c r="J5475" s="12" t="str">
        <f>HYPERLINK("https://www.boe.es/gazeta/dias/1801/05/15/pdfs/GMD-1801-39.pdf#page=3","Abrir facsímil")</f>
        <v>Abrir facsímil</v>
      </c>
      <c r="K5475" s="15" t="s">
        <v>23</v>
      </c>
    </row>
    <row r="5476" spans="1:11" ht="42" customHeight="1">
      <c r="A5476" s="4" t="s">
        <v>12370</v>
      </c>
      <c r="B5476" s="5" t="s">
        <v>12370</v>
      </c>
      <c r="C5476" s="5" t="s">
        <v>38</v>
      </c>
      <c r="D5476" s="5" t="s">
        <v>39</v>
      </c>
      <c r="E5476" s="5" t="s">
        <v>251</v>
      </c>
      <c r="F5476" s="9">
        <v>66</v>
      </c>
      <c r="G5476" s="9">
        <v>741</v>
      </c>
      <c r="H5476" s="5" t="s">
        <v>21</v>
      </c>
      <c r="I5476" s="5" t="s">
        <v>12371</v>
      </c>
      <c r="J5476" s="12" t="str">
        <f>HYPERLINK("https://www.boe.es/gazeta/dias/1801/07/10/pdfs/GMD-1801-66.pdf#page=6","Abrir facsímil")</f>
        <v>Abrir facsímil</v>
      </c>
      <c r="K5476" s="15" t="s">
        <v>23</v>
      </c>
    </row>
    <row r="5477" spans="1:11" ht="42" customHeight="1">
      <c r="A5477" s="4" t="s">
        <v>12372</v>
      </c>
      <c r="B5477" s="5" t="s">
        <v>12372</v>
      </c>
      <c r="C5477" s="5" t="s">
        <v>38</v>
      </c>
      <c r="D5477" s="5" t="s">
        <v>39</v>
      </c>
      <c r="E5477" s="5" t="s">
        <v>292</v>
      </c>
      <c r="F5477" s="9">
        <v>25</v>
      </c>
      <c r="G5477" s="9">
        <v>330</v>
      </c>
      <c r="H5477" s="5" t="s">
        <v>21</v>
      </c>
      <c r="I5477" s="5" t="s">
        <v>12373</v>
      </c>
      <c r="J5477" s="12" t="str">
        <f>HYPERLINK("https://www.boe.es/gazeta/dias/1801/03/27/pdfs/GMD-1801-25.pdf#page=9","Abrir facsímil")</f>
        <v>Abrir facsímil</v>
      </c>
      <c r="K5477" s="15" t="s">
        <v>23</v>
      </c>
    </row>
    <row r="5478" spans="1:11" ht="42" customHeight="1">
      <c r="A5478" s="4" t="s">
        <v>12374</v>
      </c>
      <c r="B5478" s="5" t="s">
        <v>12374</v>
      </c>
      <c r="C5478" s="5" t="s">
        <v>32</v>
      </c>
      <c r="D5478" s="5" t="s">
        <v>33</v>
      </c>
      <c r="E5478" s="5" t="s">
        <v>2237</v>
      </c>
      <c r="F5478" s="9">
        <v>82</v>
      </c>
      <c r="G5478" s="9">
        <v>912</v>
      </c>
      <c r="H5478" s="5" t="s">
        <v>21</v>
      </c>
      <c r="I5478" s="5" t="s">
        <v>12375</v>
      </c>
      <c r="J5478" s="12" t="str">
        <f>HYPERLINK("https://www.boe.es/gazeta/dias/1801/08/28/pdfs/GMD-1801-82.pdf#page=1","Abrir facsímil")</f>
        <v>Abrir facsímil</v>
      </c>
      <c r="K5478" s="15" t="s">
        <v>23</v>
      </c>
    </row>
    <row r="5479" spans="1:11" ht="42" customHeight="1">
      <c r="A5479" s="4" t="s">
        <v>12376</v>
      </c>
      <c r="B5479" s="5" t="s">
        <v>12376</v>
      </c>
      <c r="C5479" s="5" t="s">
        <v>75</v>
      </c>
      <c r="D5479" s="5" t="s">
        <v>76</v>
      </c>
      <c r="E5479" s="5" t="s">
        <v>254</v>
      </c>
      <c r="F5479" s="9">
        <v>73</v>
      </c>
      <c r="G5479" s="9">
        <v>811</v>
      </c>
      <c r="H5479" s="5" t="s">
        <v>21</v>
      </c>
      <c r="I5479" s="5" t="s">
        <v>12377</v>
      </c>
      <c r="J5479" s="12" t="str">
        <f>HYPERLINK("https://www.boe.es/gazeta/dias/1801/07/28/pdfs/GMD-1801-73.pdf#page=4","Abrir facsímil")</f>
        <v>Abrir facsímil</v>
      </c>
      <c r="K5479" s="15" t="s">
        <v>23</v>
      </c>
    </row>
    <row r="5480" spans="1:11" ht="42" customHeight="1">
      <c r="A5480" s="4" t="s">
        <v>12376</v>
      </c>
      <c r="B5480" s="5" t="s">
        <v>12376</v>
      </c>
      <c r="C5480" s="5" t="s">
        <v>69</v>
      </c>
      <c r="D5480" s="5" t="s">
        <v>19</v>
      </c>
      <c r="E5480" s="5" t="s">
        <v>211</v>
      </c>
      <c r="F5480" s="9">
        <v>87</v>
      </c>
      <c r="G5480" s="9">
        <v>959</v>
      </c>
      <c r="H5480" s="5" t="s">
        <v>21</v>
      </c>
      <c r="I5480" s="5" t="s">
        <v>12378</v>
      </c>
      <c r="J5480" s="12" t="str">
        <f>HYPERLINK("https://www.boe.es/gazeta/dias/1801/09/11/pdfs/GMD-1801-87.pdf#page=2","Abrir facsímil")</f>
        <v>Abrir facsímil</v>
      </c>
      <c r="K5480" s="15" t="s">
        <v>23</v>
      </c>
    </row>
    <row r="5481" spans="1:11" ht="42" customHeight="1">
      <c r="A5481" s="4" t="s">
        <v>12379</v>
      </c>
      <c r="B5481" s="5" t="s">
        <v>12379</v>
      </c>
      <c r="C5481" s="5" t="s">
        <v>75</v>
      </c>
      <c r="D5481" s="5" t="s">
        <v>76</v>
      </c>
      <c r="E5481" s="5" t="s">
        <v>50</v>
      </c>
      <c r="F5481" s="9">
        <v>29</v>
      </c>
      <c r="G5481" s="9">
        <v>375</v>
      </c>
      <c r="H5481" s="5" t="s">
        <v>21</v>
      </c>
      <c r="I5481" s="5" t="s">
        <v>12380</v>
      </c>
      <c r="J5481" s="12" t="str">
        <f>HYPERLINK("https://www.boe.es/gazeta/dias/1801/04/10/pdfs/GMD-1801-29.pdf#page=3","Abrir facsímil")</f>
        <v>Abrir facsímil</v>
      </c>
      <c r="K5481" s="15" t="s">
        <v>23</v>
      </c>
    </row>
    <row r="5482" spans="1:11" ht="42" customHeight="1">
      <c r="A5482" s="4" t="s">
        <v>12381</v>
      </c>
      <c r="B5482" s="5" t="s">
        <v>12381</v>
      </c>
      <c r="C5482" s="5" t="s">
        <v>75</v>
      </c>
      <c r="D5482" s="5" t="s">
        <v>76</v>
      </c>
      <c r="E5482" s="5" t="s">
        <v>151</v>
      </c>
      <c r="F5482" s="9">
        <v>45</v>
      </c>
      <c r="G5482" s="9">
        <v>556</v>
      </c>
      <c r="H5482" s="5" t="s">
        <v>21</v>
      </c>
      <c r="I5482" s="5" t="s">
        <v>12382</v>
      </c>
      <c r="J5482" s="12" t="str">
        <f>HYPERLINK("https://www.boe.es/gazeta/dias/1801/06/02/pdfs/GMD-1801-45.pdf#page=4","Abrir facsímil")</f>
        <v>Abrir facsímil</v>
      </c>
      <c r="K5482" s="15" t="s">
        <v>23</v>
      </c>
    </row>
    <row r="5483" spans="1:11" ht="42" customHeight="1">
      <c r="A5483" s="4" t="s">
        <v>12383</v>
      </c>
      <c r="B5483" s="5" t="s">
        <v>12383</v>
      </c>
      <c r="C5483" s="5" t="s">
        <v>75</v>
      </c>
      <c r="D5483" s="5" t="s">
        <v>76</v>
      </c>
      <c r="E5483" s="5" t="s">
        <v>165</v>
      </c>
      <c r="F5483" s="9">
        <v>59</v>
      </c>
      <c r="G5483" s="9">
        <v>670</v>
      </c>
      <c r="H5483" s="5" t="s">
        <v>21</v>
      </c>
      <c r="I5483" s="5" t="s">
        <v>12384</v>
      </c>
      <c r="J5483" s="12" t="str">
        <f>HYPERLINK("https://www.boe.es/gazeta/dias/1801/06/23/pdfs/GMD-1801-59.pdf#page=3","Abrir facsímil")</f>
        <v>Abrir facsímil</v>
      </c>
      <c r="K5483" s="15" t="s">
        <v>23</v>
      </c>
    </row>
    <row r="5484" spans="1:11" ht="42" customHeight="1">
      <c r="A5484" s="4" t="s">
        <v>12385</v>
      </c>
      <c r="B5484" s="5" t="s">
        <v>12385</v>
      </c>
      <c r="C5484" s="5" t="s">
        <v>75</v>
      </c>
      <c r="D5484" s="5" t="s">
        <v>76</v>
      </c>
      <c r="E5484" s="5" t="s">
        <v>34</v>
      </c>
      <c r="F5484" s="9">
        <v>38</v>
      </c>
      <c r="G5484" s="9">
        <v>488</v>
      </c>
      <c r="H5484" s="5" t="s">
        <v>21</v>
      </c>
      <c r="I5484" s="5" t="s">
        <v>12386</v>
      </c>
      <c r="J5484" s="12" t="str">
        <f>HYPERLINK("https://www.boe.es/gazeta/dias/1801/05/12/pdfs/GMD-1801-38.pdf#page=4","Abrir facsímil")</f>
        <v>Abrir facsímil</v>
      </c>
      <c r="K5484" s="15" t="s">
        <v>23</v>
      </c>
    </row>
    <row r="5485" spans="1:11" ht="42" customHeight="1">
      <c r="A5485" s="4" t="s">
        <v>12387</v>
      </c>
      <c r="B5485" s="5" t="s">
        <v>12387</v>
      </c>
      <c r="C5485" s="5" t="s">
        <v>26</v>
      </c>
      <c r="D5485" s="5" t="s">
        <v>27</v>
      </c>
      <c r="E5485" s="5" t="s">
        <v>2185</v>
      </c>
      <c r="F5485" s="9">
        <v>84</v>
      </c>
      <c r="G5485" s="9">
        <v>945</v>
      </c>
      <c r="H5485" s="5" t="s">
        <v>21</v>
      </c>
      <c r="I5485" s="5" t="s">
        <v>12388</v>
      </c>
      <c r="J5485" s="12" t="str">
        <f>HYPERLINK("https://www.boe.es/gazeta/dias/1801/09/04/pdfs/GMD-1801-84.pdf#page=8","Abrir facsímil")</f>
        <v>Abrir facsímil</v>
      </c>
      <c r="K5485" s="15" t="s">
        <v>23</v>
      </c>
    </row>
    <row r="5486" spans="1:11" ht="42" customHeight="1">
      <c r="A5486" s="4" t="s">
        <v>12389</v>
      </c>
      <c r="B5486" s="5" t="s">
        <v>12389</v>
      </c>
      <c r="C5486" s="5" t="s">
        <v>38</v>
      </c>
      <c r="D5486" s="5" t="s">
        <v>39</v>
      </c>
      <c r="E5486" s="5" t="s">
        <v>251</v>
      </c>
      <c r="F5486" s="9">
        <v>66</v>
      </c>
      <c r="G5486" s="9">
        <v>741</v>
      </c>
      <c r="H5486" s="5" t="s">
        <v>21</v>
      </c>
      <c r="I5486" s="5" t="s">
        <v>12390</v>
      </c>
      <c r="J5486" s="12" t="str">
        <f>HYPERLINK("https://www.boe.es/gazeta/dias/1801/07/10/pdfs/GMD-1801-66.pdf#page=6","Abrir facsímil")</f>
        <v>Abrir facsímil</v>
      </c>
      <c r="K5486" s="15" t="s">
        <v>23</v>
      </c>
    </row>
    <row r="5487" spans="1:11" ht="42" customHeight="1">
      <c r="A5487" s="4" t="s">
        <v>12391</v>
      </c>
      <c r="B5487" s="5" t="s">
        <v>12391</v>
      </c>
      <c r="C5487" s="5" t="s">
        <v>38</v>
      </c>
      <c r="D5487" s="5" t="s">
        <v>39</v>
      </c>
      <c r="E5487" s="5" t="s">
        <v>349</v>
      </c>
      <c r="F5487" s="9">
        <v>112</v>
      </c>
      <c r="G5487" s="9">
        <v>1225</v>
      </c>
      <c r="H5487" s="5" t="s">
        <v>21</v>
      </c>
      <c r="I5487" s="5" t="s">
        <v>12392</v>
      </c>
      <c r="J5487" s="12" t="str">
        <f>HYPERLINK("https://www.boe.es/gazeta/dias/1801/12/04/pdfs/GMD-1801-112.pdf#page=6","Abrir facsímil")</f>
        <v>Abrir facsímil</v>
      </c>
      <c r="K5487" s="15" t="s">
        <v>23</v>
      </c>
    </row>
    <row r="5488" spans="1:11" ht="42" customHeight="1">
      <c r="A5488" s="4" t="s">
        <v>12393</v>
      </c>
      <c r="B5488" s="5" t="s">
        <v>12393</v>
      </c>
      <c r="C5488" s="5" t="s">
        <v>75</v>
      </c>
      <c r="D5488" s="5" t="s">
        <v>76</v>
      </c>
      <c r="E5488" s="5" t="s">
        <v>169</v>
      </c>
      <c r="F5488" s="9">
        <v>70</v>
      </c>
      <c r="G5488" s="9">
        <v>768</v>
      </c>
      <c r="H5488" s="5" t="s">
        <v>21</v>
      </c>
      <c r="I5488" s="5" t="s">
        <v>12394</v>
      </c>
      <c r="J5488" s="12" t="str">
        <f>HYPERLINK("https://www.boe.es/gazeta/dias/1801/07/17/pdfs/GMD-1801-70.pdf#page=1","Abrir facsímil")</f>
        <v>Abrir facsímil</v>
      </c>
      <c r="K5488" s="15" t="s">
        <v>23</v>
      </c>
    </row>
    <row r="5489" spans="1:11" ht="42" customHeight="1">
      <c r="A5489" s="4" t="s">
        <v>12395</v>
      </c>
      <c r="B5489" s="5" t="s">
        <v>12395</v>
      </c>
      <c r="C5489" s="5" t="s">
        <v>32</v>
      </c>
      <c r="D5489" s="5" t="s">
        <v>33</v>
      </c>
      <c r="E5489" s="5" t="s">
        <v>453</v>
      </c>
      <c r="F5489" s="9">
        <v>100</v>
      </c>
      <c r="G5489" s="9">
        <v>1098</v>
      </c>
      <c r="H5489" s="5" t="s">
        <v>21</v>
      </c>
      <c r="I5489" s="5" t="s">
        <v>12396</v>
      </c>
      <c r="J5489" s="12" t="str">
        <f>HYPERLINK("https://www.boe.es/gazeta/dias/1801/10/23/pdfs/GMD-1801-100.pdf#page=7","Abrir facsímil")</f>
        <v>Abrir facsímil</v>
      </c>
      <c r="K5489" s="15" t="s">
        <v>23</v>
      </c>
    </row>
    <row r="5490" spans="1:11" ht="42" customHeight="1">
      <c r="A5490" s="4" t="s">
        <v>12397</v>
      </c>
      <c r="B5490" s="5" t="s">
        <v>12397</v>
      </c>
      <c r="C5490" s="5" t="s">
        <v>38</v>
      </c>
      <c r="D5490" s="5" t="s">
        <v>39</v>
      </c>
      <c r="E5490" s="5" t="s">
        <v>328</v>
      </c>
      <c r="F5490" s="9">
        <v>89</v>
      </c>
      <c r="G5490" s="9">
        <v>981</v>
      </c>
      <c r="H5490" s="5" t="s">
        <v>21</v>
      </c>
      <c r="I5490" s="5" t="s">
        <v>12398</v>
      </c>
      <c r="J5490" s="12" t="str">
        <f>HYPERLINK("https://www.boe.es/gazeta/dias/1801/09/15/pdfs/GMD-1801-89.pdf#page=8","Abrir facsímil")</f>
        <v>Abrir facsímil</v>
      </c>
      <c r="K5490" s="15" t="s">
        <v>23</v>
      </c>
    </row>
    <row r="5491" spans="1:11" ht="42" customHeight="1">
      <c r="A5491" s="4" t="s">
        <v>12399</v>
      </c>
      <c r="B5491" s="5" t="s">
        <v>12399</v>
      </c>
      <c r="C5491" s="5" t="s">
        <v>32</v>
      </c>
      <c r="D5491" s="5" t="s">
        <v>33</v>
      </c>
      <c r="E5491" s="5" t="s">
        <v>97</v>
      </c>
      <c r="F5491" s="9">
        <v>31</v>
      </c>
      <c r="G5491" s="9">
        <v>400</v>
      </c>
      <c r="H5491" s="5" t="s">
        <v>21</v>
      </c>
      <c r="I5491" s="5" t="s">
        <v>12400</v>
      </c>
      <c r="J5491" s="12" t="str">
        <f>HYPERLINK("https://www.boe.es/gazeta/dias/1801/04/17/pdfs/GMD-1801-31.pdf#page=4","Abrir facsímil")</f>
        <v>Abrir facsímil</v>
      </c>
      <c r="K5491" s="15" t="s">
        <v>23</v>
      </c>
    </row>
    <row r="5492" spans="1:11" ht="42" customHeight="1">
      <c r="A5492" s="4" t="s">
        <v>12401</v>
      </c>
      <c r="B5492" s="5" t="s">
        <v>12401</v>
      </c>
      <c r="C5492" s="5" t="s">
        <v>38</v>
      </c>
      <c r="D5492" s="5" t="s">
        <v>39</v>
      </c>
      <c r="E5492" s="5" t="s">
        <v>55</v>
      </c>
      <c r="F5492" s="9">
        <v>104</v>
      </c>
      <c r="G5492" s="9">
        <v>1142</v>
      </c>
      <c r="H5492" s="5" t="s">
        <v>21</v>
      </c>
      <c r="I5492" s="5" t="s">
        <v>12402</v>
      </c>
      <c r="J5492" s="12" t="str">
        <f>HYPERLINK("https://www.boe.es/gazeta/dias/1801/11/06/pdfs/GMD-1801-104.pdf#page=3","Abrir facsímil")</f>
        <v>Abrir facsímil</v>
      </c>
      <c r="K5492" s="15" t="s">
        <v>23</v>
      </c>
    </row>
    <row r="5493" spans="1:11" ht="42" customHeight="1">
      <c r="A5493" s="4" t="s">
        <v>12403</v>
      </c>
      <c r="B5493" s="5" t="s">
        <v>12403</v>
      </c>
      <c r="C5493" s="5" t="s">
        <v>38</v>
      </c>
      <c r="D5493" s="5" t="s">
        <v>39</v>
      </c>
      <c r="E5493" s="5" t="s">
        <v>171</v>
      </c>
      <c r="F5493" s="9">
        <v>76</v>
      </c>
      <c r="G5493" s="9">
        <v>851</v>
      </c>
      <c r="H5493" s="5" t="s">
        <v>21</v>
      </c>
      <c r="I5493" s="5" t="s">
        <v>12404</v>
      </c>
      <c r="J5493" s="12" t="str">
        <f>HYPERLINK("https://www.boe.es/gazeta/dias/1801/08/07/pdfs/GMD-1801-76.pdf#page=8","Abrir facsímil")</f>
        <v>Abrir facsímil</v>
      </c>
      <c r="K5493" s="15" t="s">
        <v>23</v>
      </c>
    </row>
    <row r="5494" spans="1:11" ht="42" customHeight="1">
      <c r="A5494" s="4" t="s">
        <v>12405</v>
      </c>
      <c r="B5494" s="5" t="s">
        <v>12405</v>
      </c>
      <c r="C5494" s="5" t="s">
        <v>32</v>
      </c>
      <c r="D5494" s="5" t="s">
        <v>33</v>
      </c>
      <c r="E5494" s="5" t="s">
        <v>251</v>
      </c>
      <c r="F5494" s="9">
        <v>66</v>
      </c>
      <c r="G5494" s="9">
        <v>739</v>
      </c>
      <c r="H5494" s="5" t="s">
        <v>21</v>
      </c>
      <c r="I5494" s="5" t="s">
        <v>12406</v>
      </c>
      <c r="J5494" s="12" t="str">
        <f>HYPERLINK("https://www.boe.es/gazeta/dias/1801/07/10/pdfs/GMD-1801-66.pdf#page=4","Abrir facsímil")</f>
        <v>Abrir facsímil</v>
      </c>
      <c r="K5494" s="15" t="s">
        <v>23</v>
      </c>
    </row>
    <row r="5495" spans="1:11" ht="42" customHeight="1">
      <c r="A5495" s="4" t="s">
        <v>12407</v>
      </c>
      <c r="B5495" s="5" t="s">
        <v>12407</v>
      </c>
      <c r="C5495" s="5" t="s">
        <v>75</v>
      </c>
      <c r="D5495" s="5" t="s">
        <v>76</v>
      </c>
      <c r="E5495" s="5" t="s">
        <v>328</v>
      </c>
      <c r="F5495" s="9">
        <v>89</v>
      </c>
      <c r="G5495" s="9">
        <v>978</v>
      </c>
      <c r="H5495" s="5" t="s">
        <v>21</v>
      </c>
      <c r="I5495" s="5" t="s">
        <v>12408</v>
      </c>
      <c r="J5495" s="12" t="str">
        <f>HYPERLINK("https://www.boe.es/gazeta/dias/1801/09/15/pdfs/GMD-1801-89.pdf#page=5","Abrir facsímil")</f>
        <v>Abrir facsímil</v>
      </c>
      <c r="K5495" s="15" t="s">
        <v>23</v>
      </c>
    </row>
    <row r="5496" spans="1:11" ht="42" customHeight="1">
      <c r="A5496" s="4" t="s">
        <v>12409</v>
      </c>
      <c r="B5496" s="5" t="s">
        <v>12409</v>
      </c>
      <c r="C5496" s="5" t="s">
        <v>75</v>
      </c>
      <c r="D5496" s="5" t="s">
        <v>76</v>
      </c>
      <c r="E5496" s="5" t="s">
        <v>165</v>
      </c>
      <c r="F5496" s="9">
        <v>59</v>
      </c>
      <c r="G5496" s="9">
        <v>672</v>
      </c>
      <c r="H5496" s="5" t="s">
        <v>21</v>
      </c>
      <c r="I5496" s="5" t="s">
        <v>12410</v>
      </c>
      <c r="J5496" s="12" t="str">
        <f>HYPERLINK("https://www.boe.es/gazeta/dias/1801/06/23/pdfs/GMD-1801-59.pdf#page=5","Abrir facsímil")</f>
        <v>Abrir facsímil</v>
      </c>
      <c r="K5496" s="15" t="s">
        <v>23</v>
      </c>
    </row>
    <row r="5497" spans="1:11" ht="42" customHeight="1">
      <c r="A5497" s="4" t="s">
        <v>12409</v>
      </c>
      <c r="B5497" s="5" t="s">
        <v>12409</v>
      </c>
      <c r="C5497" s="5" t="s">
        <v>32</v>
      </c>
      <c r="D5497" s="5" t="s">
        <v>33</v>
      </c>
      <c r="E5497" s="5" t="s">
        <v>505</v>
      </c>
      <c r="F5497" s="9">
        <v>94</v>
      </c>
      <c r="G5497" s="9">
        <v>1025</v>
      </c>
      <c r="H5497" s="5" t="s">
        <v>21</v>
      </c>
      <c r="I5497" s="5" t="s">
        <v>12411</v>
      </c>
      <c r="J5497" s="12" t="str">
        <f>HYPERLINK("https://www.boe.es/gazeta/dias/1801/10/02/pdfs/GMD-1801-94.pdf#page=1","Abrir facsímil")</f>
        <v>Abrir facsímil</v>
      </c>
      <c r="K5497" s="15" t="s">
        <v>23</v>
      </c>
    </row>
    <row r="5498" spans="1:11" ht="42" customHeight="1">
      <c r="A5498" s="4" t="s">
        <v>12412</v>
      </c>
      <c r="B5498" s="5" t="s">
        <v>12412</v>
      </c>
      <c r="C5498" s="5" t="s">
        <v>32</v>
      </c>
      <c r="D5498" s="5" t="s">
        <v>33</v>
      </c>
      <c r="E5498" s="5" t="s">
        <v>40</v>
      </c>
      <c r="F5498" s="9">
        <v>63</v>
      </c>
      <c r="G5498" s="9">
        <v>705</v>
      </c>
      <c r="H5498" s="5" t="s">
        <v>21</v>
      </c>
      <c r="I5498" s="5" t="s">
        <v>12413</v>
      </c>
      <c r="J5498" s="12" t="str">
        <f>HYPERLINK("https://www.boe.es/gazeta/dias/1801/07/03/pdfs/GMD-1801-63.pdf#page=2","Abrir facsímil")</f>
        <v>Abrir facsímil</v>
      </c>
      <c r="K5498" s="15" t="s">
        <v>23</v>
      </c>
    </row>
    <row r="5499" spans="1:11" ht="42" customHeight="1">
      <c r="A5499" s="4" t="s">
        <v>12414</v>
      </c>
      <c r="B5499" s="5" t="s">
        <v>12414</v>
      </c>
      <c r="C5499" s="5" t="s">
        <v>75</v>
      </c>
      <c r="D5499" s="5" t="s">
        <v>76</v>
      </c>
      <c r="E5499" s="5" t="s">
        <v>169</v>
      </c>
      <c r="F5499" s="9">
        <v>70</v>
      </c>
      <c r="G5499" s="9">
        <v>773</v>
      </c>
      <c r="H5499" s="5" t="s">
        <v>21</v>
      </c>
      <c r="I5499" s="5" t="s">
        <v>12415</v>
      </c>
      <c r="J5499" s="12" t="str">
        <f>HYPERLINK("https://www.boe.es/gazeta/dias/1801/07/17/pdfs/GMD-1801-70.pdf#page=6","Abrir facsímil")</f>
        <v>Abrir facsímil</v>
      </c>
      <c r="K5499" s="15" t="s">
        <v>23</v>
      </c>
    </row>
    <row r="5500" spans="1:11" ht="42" customHeight="1">
      <c r="A5500" s="4" t="s">
        <v>12416</v>
      </c>
      <c r="B5500" s="5" t="s">
        <v>12416</v>
      </c>
      <c r="C5500" s="5" t="s">
        <v>75</v>
      </c>
      <c r="D5500" s="5" t="s">
        <v>76</v>
      </c>
      <c r="E5500" s="5" t="s">
        <v>50</v>
      </c>
      <c r="F5500" s="9">
        <v>29</v>
      </c>
      <c r="G5500" s="9">
        <v>373</v>
      </c>
      <c r="H5500" s="5" t="s">
        <v>21</v>
      </c>
      <c r="I5500" s="5" t="s">
        <v>12417</v>
      </c>
      <c r="J5500" s="12" t="str">
        <f>HYPERLINK("https://www.boe.es/gazeta/dias/1801/04/10/pdfs/GMD-1801-29.pdf#page=1","Abrir facsímil")</f>
        <v>Abrir facsímil</v>
      </c>
      <c r="K5500" s="15" t="s">
        <v>23</v>
      </c>
    </row>
    <row r="5501" spans="1:11" ht="42" customHeight="1">
      <c r="A5501" s="4" t="s">
        <v>12418</v>
      </c>
      <c r="B5501" s="5" t="s">
        <v>12418</v>
      </c>
      <c r="C5501" s="5" t="s">
        <v>75</v>
      </c>
      <c r="D5501" s="5" t="s">
        <v>76</v>
      </c>
      <c r="E5501" s="5" t="s">
        <v>48</v>
      </c>
      <c r="F5501" s="9">
        <v>20</v>
      </c>
      <c r="G5501" s="9">
        <v>258</v>
      </c>
      <c r="H5501" s="5" t="s">
        <v>21</v>
      </c>
      <c r="I5501" s="5" t="s">
        <v>12419</v>
      </c>
      <c r="J5501" s="12" t="str">
        <f>HYPERLINK("https://www.boe.es/gazeta/dias/1801/03/10/pdfs/GMD-1801-20.pdf#page=3","Abrir facsímil")</f>
        <v>Abrir facsímil</v>
      </c>
      <c r="K5501" s="15" t="s">
        <v>23</v>
      </c>
    </row>
    <row r="5502" spans="1:11" ht="42" customHeight="1">
      <c r="A5502" s="4" t="s">
        <v>12420</v>
      </c>
      <c r="B5502" s="5" t="s">
        <v>12420</v>
      </c>
      <c r="C5502" s="5" t="s">
        <v>75</v>
      </c>
      <c r="D5502" s="5" t="s">
        <v>76</v>
      </c>
      <c r="E5502" s="5" t="s">
        <v>137</v>
      </c>
      <c r="F5502" s="9">
        <v>30</v>
      </c>
      <c r="G5502" s="9">
        <v>388</v>
      </c>
      <c r="H5502" s="5" t="s">
        <v>21</v>
      </c>
      <c r="I5502" s="5" t="s">
        <v>12421</v>
      </c>
      <c r="J5502" s="12" t="str">
        <f>HYPERLINK("https://www.boe.es/gazeta/dias/1801/04/14/pdfs/GMD-1801-30.pdf#page=4","Abrir facsímil")</f>
        <v>Abrir facsímil</v>
      </c>
      <c r="K5502" s="15" t="s">
        <v>23</v>
      </c>
    </row>
    <row r="5503" spans="1:11" ht="42" customHeight="1">
      <c r="A5503" s="4" t="s">
        <v>12422</v>
      </c>
      <c r="B5503" s="5" t="s">
        <v>12422</v>
      </c>
      <c r="C5503" s="5" t="s">
        <v>38</v>
      </c>
      <c r="D5503" s="5" t="s">
        <v>39</v>
      </c>
      <c r="E5503" s="5" t="s">
        <v>141</v>
      </c>
      <c r="F5503" s="9">
        <v>33</v>
      </c>
      <c r="G5503" s="9">
        <v>426</v>
      </c>
      <c r="H5503" s="5" t="s">
        <v>21</v>
      </c>
      <c r="I5503" s="5" t="s">
        <v>12423</v>
      </c>
      <c r="J5503" s="12" t="str">
        <f>HYPERLINK("https://www.boe.es/gazeta/dias/1801/04/24/pdfs/GMD-1801-33.pdf#page=10","Abrir facsímil")</f>
        <v>Abrir facsímil</v>
      </c>
      <c r="K5503" s="15" t="s">
        <v>23</v>
      </c>
    </row>
    <row r="5504" spans="1:11" ht="42" customHeight="1">
      <c r="A5504" s="4" t="s">
        <v>12424</v>
      </c>
      <c r="B5504" s="5" t="s">
        <v>12424</v>
      </c>
      <c r="C5504" s="5" t="s">
        <v>75</v>
      </c>
      <c r="D5504" s="5" t="s">
        <v>76</v>
      </c>
      <c r="E5504" s="5" t="s">
        <v>223</v>
      </c>
      <c r="F5504" s="9">
        <v>74</v>
      </c>
      <c r="G5504" s="9">
        <v>821</v>
      </c>
      <c r="H5504" s="5" t="s">
        <v>21</v>
      </c>
      <c r="I5504" s="5" t="s">
        <v>12425</v>
      </c>
      <c r="J5504" s="12" t="str">
        <f>HYPERLINK("https://www.boe.es/gazeta/dias/1801/07/31/pdfs/GMD-1801-74.pdf#page=2","Abrir facsímil")</f>
        <v>Abrir facsímil</v>
      </c>
      <c r="K5504" s="15" t="s">
        <v>23</v>
      </c>
    </row>
    <row r="5505" spans="1:11" ht="42" customHeight="1">
      <c r="A5505" s="4" t="s">
        <v>12426</v>
      </c>
      <c r="B5505" s="5" t="s">
        <v>12426</v>
      </c>
      <c r="C5505" s="5" t="s">
        <v>32</v>
      </c>
      <c r="D5505" s="5" t="s">
        <v>33</v>
      </c>
      <c r="E5505" s="5" t="s">
        <v>141</v>
      </c>
      <c r="F5505" s="9">
        <v>33</v>
      </c>
      <c r="G5505" s="9">
        <v>426</v>
      </c>
      <c r="H5505" s="5" t="s">
        <v>21</v>
      </c>
      <c r="I5505" s="5" t="s">
        <v>12427</v>
      </c>
      <c r="J5505" s="12" t="str">
        <f>HYPERLINK("https://www.boe.es/gazeta/dias/1801/04/24/pdfs/GMD-1801-33.pdf#page=10","Abrir facsímil")</f>
        <v>Abrir facsímil</v>
      </c>
      <c r="K5505" s="15" t="s">
        <v>23</v>
      </c>
    </row>
    <row r="5506" spans="1:11" ht="42" customHeight="1">
      <c r="A5506" s="4" t="s">
        <v>12428</v>
      </c>
      <c r="B5506" s="5" t="s">
        <v>12428</v>
      </c>
      <c r="C5506" s="5" t="s">
        <v>18</v>
      </c>
      <c r="D5506" s="5" t="s">
        <v>19</v>
      </c>
      <c r="E5506" s="5" t="s">
        <v>158</v>
      </c>
      <c r="F5506" s="9">
        <v>55</v>
      </c>
      <c r="G5506" s="9">
        <v>630</v>
      </c>
      <c r="H5506" s="5" t="s">
        <v>21</v>
      </c>
      <c r="I5506" s="5" t="s">
        <v>12429</v>
      </c>
      <c r="J5506" s="12" t="str">
        <f>HYPERLINK("https://www.boe.es/gazeta/dias/1801/06/16/pdfs/GMD-1801-55.pdf#page=6","Abrir facsímil")</f>
        <v>Abrir facsímil</v>
      </c>
      <c r="K5506" s="15" t="s">
        <v>23</v>
      </c>
    </row>
    <row r="5507" spans="1:11" ht="42" customHeight="1">
      <c r="A5507" s="4" t="s">
        <v>12428</v>
      </c>
      <c r="B5507" s="5" t="s">
        <v>12428</v>
      </c>
      <c r="C5507" s="5" t="s">
        <v>38</v>
      </c>
      <c r="D5507" s="5" t="s">
        <v>39</v>
      </c>
      <c r="E5507" s="5" t="s">
        <v>417</v>
      </c>
      <c r="F5507" s="9">
        <v>64</v>
      </c>
      <c r="G5507" s="9">
        <v>725</v>
      </c>
      <c r="H5507" s="5" t="s">
        <v>21</v>
      </c>
      <c r="I5507" s="5" t="s">
        <v>12430</v>
      </c>
      <c r="J5507" s="12" t="str">
        <f>HYPERLINK("https://www.boe.es/gazeta/dias/1801/07/07/pdfs/GMD-1801-64.pdf#page=6","Abrir facsímil")</f>
        <v>Abrir facsímil</v>
      </c>
      <c r="K5507" s="15" t="s">
        <v>23</v>
      </c>
    </row>
    <row r="5508" spans="1:11" ht="42" customHeight="1">
      <c r="A5508" s="4" t="s">
        <v>12428</v>
      </c>
      <c r="B5508" s="5" t="s">
        <v>12428</v>
      </c>
      <c r="C5508" s="5" t="s">
        <v>38</v>
      </c>
      <c r="D5508" s="5" t="s">
        <v>39</v>
      </c>
      <c r="E5508" s="5" t="s">
        <v>251</v>
      </c>
      <c r="F5508" s="9">
        <v>66</v>
      </c>
      <c r="G5508" s="9">
        <v>741</v>
      </c>
      <c r="H5508" s="5" t="s">
        <v>21</v>
      </c>
      <c r="I5508" s="5" t="s">
        <v>12431</v>
      </c>
      <c r="J5508" s="12" t="str">
        <f>HYPERLINK("https://www.boe.es/gazeta/dias/1801/07/10/pdfs/GMD-1801-66.pdf#page=6","Abrir facsímil")</f>
        <v>Abrir facsímil</v>
      </c>
      <c r="K5508" s="15" t="s">
        <v>23</v>
      </c>
    </row>
    <row r="5509" spans="1:11" ht="42" customHeight="1">
      <c r="A5509" s="4" t="s">
        <v>12432</v>
      </c>
      <c r="B5509" s="5" t="s">
        <v>12432</v>
      </c>
      <c r="C5509" s="5" t="s">
        <v>75</v>
      </c>
      <c r="D5509" s="5" t="s">
        <v>76</v>
      </c>
      <c r="E5509" s="5" t="s">
        <v>1939</v>
      </c>
      <c r="F5509" s="9">
        <v>107</v>
      </c>
      <c r="G5509" s="9">
        <v>1177</v>
      </c>
      <c r="H5509" s="5" t="s">
        <v>21</v>
      </c>
      <c r="I5509" s="5" t="s">
        <v>12433</v>
      </c>
      <c r="J5509" s="12" t="str">
        <f>HYPERLINK("https://www.boe.es/gazeta/dias/1801/11/17/pdfs/GMD-1801-107.pdf#page=6","Abrir facsímil")</f>
        <v>Abrir facsímil</v>
      </c>
      <c r="K5509" s="15" t="s">
        <v>23</v>
      </c>
    </row>
    <row r="5510" spans="1:11" ht="42" customHeight="1">
      <c r="A5510" s="4" t="s">
        <v>12434</v>
      </c>
      <c r="B5510" s="5" t="s">
        <v>12434</v>
      </c>
      <c r="C5510" s="5" t="s">
        <v>38</v>
      </c>
      <c r="D5510" s="5" t="s">
        <v>39</v>
      </c>
      <c r="E5510" s="5" t="s">
        <v>317</v>
      </c>
      <c r="F5510" s="9">
        <v>102</v>
      </c>
      <c r="G5510" s="9">
        <v>1121</v>
      </c>
      <c r="H5510" s="5" t="s">
        <v>21</v>
      </c>
      <c r="I5510" s="5" t="s">
        <v>12435</v>
      </c>
      <c r="J5510" s="12" t="str">
        <f>HYPERLINK("https://www.boe.es/gazeta/dias/1801/10/30/pdfs/GMD-1801-102.pdf#page=6","Abrir facsímil")</f>
        <v>Abrir facsímil</v>
      </c>
      <c r="K5510" s="15" t="s">
        <v>23</v>
      </c>
    </row>
    <row r="5511" spans="1:11" ht="42" customHeight="1">
      <c r="A5511" s="4" t="s">
        <v>12436</v>
      </c>
      <c r="B5511" s="5" t="s">
        <v>12436</v>
      </c>
      <c r="C5511" s="5" t="s">
        <v>38</v>
      </c>
      <c r="D5511" s="5" t="s">
        <v>39</v>
      </c>
      <c r="E5511" s="5" t="s">
        <v>171</v>
      </c>
      <c r="F5511" s="9">
        <v>76</v>
      </c>
      <c r="G5511" s="9">
        <v>851</v>
      </c>
      <c r="H5511" s="5" t="s">
        <v>21</v>
      </c>
      <c r="I5511" s="5" t="s">
        <v>12437</v>
      </c>
      <c r="J5511" s="12" t="str">
        <f>HYPERLINK("https://www.boe.es/gazeta/dias/1801/08/07/pdfs/GMD-1801-76.pdf#page=8","Abrir facsímil")</f>
        <v>Abrir facsímil</v>
      </c>
      <c r="K5511" s="15" t="s">
        <v>23</v>
      </c>
    </row>
    <row r="5512" spans="1:11" ht="42" customHeight="1">
      <c r="A5512" s="4" t="s">
        <v>12438</v>
      </c>
      <c r="B5512" s="5" t="s">
        <v>12438</v>
      </c>
      <c r="C5512" s="5" t="s">
        <v>38</v>
      </c>
      <c r="D5512" s="5" t="s">
        <v>39</v>
      </c>
      <c r="E5512" s="5" t="s">
        <v>735</v>
      </c>
      <c r="F5512" s="9">
        <v>97</v>
      </c>
      <c r="G5512" s="9">
        <v>1062</v>
      </c>
      <c r="H5512" s="5" t="s">
        <v>21</v>
      </c>
      <c r="I5512" s="5" t="s">
        <v>12439</v>
      </c>
      <c r="J5512" s="12" t="str">
        <f>HYPERLINK("https://www.boe.es/gazeta/dias/1801/10/13/pdfs/GMD-1801-97.pdf#page=6","Abrir facsímil")</f>
        <v>Abrir facsímil</v>
      </c>
      <c r="K5512" s="15" t="s">
        <v>23</v>
      </c>
    </row>
    <row r="5513" spans="1:11" ht="42" customHeight="1">
      <c r="A5513" s="4" t="s">
        <v>12440</v>
      </c>
      <c r="B5513" s="5" t="s">
        <v>12440</v>
      </c>
      <c r="C5513" s="5" t="s">
        <v>18</v>
      </c>
      <c r="D5513" s="5" t="s">
        <v>19</v>
      </c>
      <c r="E5513" s="5" t="s">
        <v>505</v>
      </c>
      <c r="F5513" s="9">
        <v>94</v>
      </c>
      <c r="G5513" s="9">
        <v>1032</v>
      </c>
      <c r="H5513" s="5" t="s">
        <v>21</v>
      </c>
      <c r="I5513" s="5" t="s">
        <v>12441</v>
      </c>
      <c r="J5513" s="12" t="str">
        <f>HYPERLINK("https://www.boe.es/gazeta/dias/1801/10/02/pdfs/GMD-1801-94.pdf#page=8","Abrir facsímil")</f>
        <v>Abrir facsímil</v>
      </c>
      <c r="K5513" s="15" t="s">
        <v>23</v>
      </c>
    </row>
    <row r="5514" spans="1:11" ht="42" customHeight="1">
      <c r="A5514" s="4" t="s">
        <v>12442</v>
      </c>
      <c r="B5514" s="5" t="s">
        <v>12442</v>
      </c>
      <c r="C5514" s="5" t="s">
        <v>75</v>
      </c>
      <c r="D5514" s="5" t="s">
        <v>76</v>
      </c>
      <c r="E5514" s="5" t="s">
        <v>120</v>
      </c>
      <c r="F5514" s="9">
        <v>7</v>
      </c>
      <c r="G5514" s="9">
        <v>83</v>
      </c>
      <c r="H5514" s="5" t="s">
        <v>21</v>
      </c>
      <c r="I5514" s="5" t="s">
        <v>12443</v>
      </c>
      <c r="J5514" s="12" t="str">
        <f>HYPERLINK("https://www.boe.es/gazeta/dias/1801/01/23/pdfs/GMD-1801-7.pdf#page=7","Abrir facsímil")</f>
        <v>Abrir facsímil</v>
      </c>
      <c r="K5514" s="15" t="s">
        <v>23</v>
      </c>
    </row>
    <row r="5515" spans="1:11" ht="42" customHeight="1">
      <c r="A5515" s="4" t="s">
        <v>12444</v>
      </c>
      <c r="B5515" s="5" t="s">
        <v>12444</v>
      </c>
      <c r="C5515" s="5" t="s">
        <v>75</v>
      </c>
      <c r="D5515" s="5" t="s">
        <v>76</v>
      </c>
      <c r="E5515" s="5" t="s">
        <v>145</v>
      </c>
      <c r="F5515" s="9">
        <v>36</v>
      </c>
      <c r="G5515" s="9">
        <v>464</v>
      </c>
      <c r="H5515" s="5" t="s">
        <v>21</v>
      </c>
      <c r="I5515" s="5" t="s">
        <v>12445</v>
      </c>
      <c r="J5515" s="12" t="str">
        <f>HYPERLINK("https://www.boe.es/gazeta/dias/1801/05/05/pdfs/GMD-1801-36.pdf#page=8","Abrir facsímil")</f>
        <v>Abrir facsímil</v>
      </c>
      <c r="K5515" s="15" t="s">
        <v>23</v>
      </c>
    </row>
    <row r="5516" spans="1:11" ht="42" customHeight="1">
      <c r="A5516" s="4" t="s">
        <v>12446</v>
      </c>
      <c r="B5516" s="5" t="s">
        <v>12446</v>
      </c>
      <c r="C5516" s="5" t="s">
        <v>26</v>
      </c>
      <c r="D5516" s="5" t="s">
        <v>27</v>
      </c>
      <c r="E5516" s="5" t="s">
        <v>256</v>
      </c>
      <c r="F5516" s="9">
        <v>78</v>
      </c>
      <c r="G5516" s="9">
        <v>878</v>
      </c>
      <c r="H5516" s="5" t="s">
        <v>21</v>
      </c>
      <c r="I5516" s="5" t="s">
        <v>12447</v>
      </c>
      <c r="J5516" s="12" t="str">
        <f>HYPERLINK("https://www.boe.es/gazeta/dias/1801/08/14/pdfs/GMD-1801-78.pdf#page=7","Abrir facsímil")</f>
        <v>Abrir facsímil</v>
      </c>
      <c r="K5516" s="15" t="s">
        <v>23</v>
      </c>
    </row>
    <row r="5517" spans="1:11" ht="42" customHeight="1">
      <c r="A5517" s="4" t="s">
        <v>12448</v>
      </c>
      <c r="B5517" s="5" t="s">
        <v>12448</v>
      </c>
      <c r="C5517" s="5" t="s">
        <v>32</v>
      </c>
      <c r="D5517" s="5" t="s">
        <v>33</v>
      </c>
      <c r="E5517" s="5" t="s">
        <v>2430</v>
      </c>
      <c r="F5517" s="9">
        <v>27</v>
      </c>
      <c r="G5517" s="9">
        <v>354</v>
      </c>
      <c r="H5517" s="5" t="s">
        <v>21</v>
      </c>
      <c r="I5517" s="5" t="s">
        <v>12449</v>
      </c>
      <c r="J5517" s="12" t="str">
        <f>HYPERLINK("https://www.boe.es/gazeta/dias/1801/04/03/pdfs/GMD-1801-27.pdf#page=6","Abrir facsímil")</f>
        <v>Abrir facsímil</v>
      </c>
      <c r="K5517" s="15" t="s">
        <v>23</v>
      </c>
    </row>
    <row r="5518" spans="1:11" ht="42" customHeight="1">
      <c r="A5518" s="4" t="s">
        <v>12450</v>
      </c>
      <c r="B5518" s="5" t="s">
        <v>12450</v>
      </c>
      <c r="C5518" s="5" t="s">
        <v>26</v>
      </c>
      <c r="D5518" s="5" t="s">
        <v>27</v>
      </c>
      <c r="E5518" s="5" t="s">
        <v>179</v>
      </c>
      <c r="F5518" s="9">
        <v>11</v>
      </c>
      <c r="G5518" s="9">
        <v>135</v>
      </c>
      <c r="H5518" s="5" t="s">
        <v>21</v>
      </c>
      <c r="I5518" s="5" t="s">
        <v>12451</v>
      </c>
      <c r="J5518" s="12" t="str">
        <f>HYPERLINK("https://www.boe.es/gazeta/dias/1801/02/06/pdfs/GMD-1801-11.pdf#page=8","Abrir facsímil")</f>
        <v>Abrir facsímil</v>
      </c>
      <c r="K5518" s="15" t="s">
        <v>23</v>
      </c>
    </row>
    <row r="5519" spans="1:11" ht="42" customHeight="1">
      <c r="A5519" s="4" t="s">
        <v>12452</v>
      </c>
      <c r="B5519" s="5" t="s">
        <v>12452</v>
      </c>
      <c r="C5519" s="5" t="s">
        <v>75</v>
      </c>
      <c r="D5519" s="5" t="s">
        <v>76</v>
      </c>
      <c r="E5519" s="5" t="s">
        <v>640</v>
      </c>
      <c r="F5519" s="9">
        <v>81</v>
      </c>
      <c r="G5519" s="9">
        <v>908</v>
      </c>
      <c r="H5519" s="5" t="s">
        <v>21</v>
      </c>
      <c r="I5519" s="5" t="s">
        <v>12453</v>
      </c>
      <c r="J5519" s="12" t="str">
        <f>HYPERLINK("https://www.boe.es/gazeta/dias/1801/08/25/pdfs/GMD-1801-81.pdf#page=5","Abrir facsímil")</f>
        <v>Abrir facsímil</v>
      </c>
      <c r="K5519" s="15" t="s">
        <v>23</v>
      </c>
    </row>
    <row r="5520" spans="1:11" ht="42" customHeight="1">
      <c r="A5520" s="4" t="s">
        <v>12454</v>
      </c>
      <c r="B5520" s="5" t="s">
        <v>12454</v>
      </c>
      <c r="C5520" s="5" t="s">
        <v>32</v>
      </c>
      <c r="D5520" s="5" t="s">
        <v>33</v>
      </c>
      <c r="E5520" s="5" t="s">
        <v>72</v>
      </c>
      <c r="F5520" s="9">
        <v>60</v>
      </c>
      <c r="G5520" s="9">
        <v>688</v>
      </c>
      <c r="H5520" s="5" t="s">
        <v>21</v>
      </c>
      <c r="I5520" s="5" t="s">
        <v>12455</v>
      </c>
      <c r="J5520" s="12" t="str">
        <f>HYPERLINK("https://www.boe.es/gazeta/dias/1801/06/26/pdfs/GMD-1801-60.pdf#page=9","Abrir facsímil")</f>
        <v>Abrir facsímil</v>
      </c>
      <c r="K5520" s="15" t="s">
        <v>23</v>
      </c>
    </row>
    <row r="5521" spans="1:11" ht="42" customHeight="1">
      <c r="A5521" s="4" t="s">
        <v>12456</v>
      </c>
      <c r="B5521" s="5" t="s">
        <v>12456</v>
      </c>
      <c r="C5521" s="5" t="s">
        <v>75</v>
      </c>
      <c r="D5521" s="5" t="s">
        <v>76</v>
      </c>
      <c r="E5521" s="5" t="s">
        <v>2237</v>
      </c>
      <c r="F5521" s="9">
        <v>82</v>
      </c>
      <c r="G5521" s="9">
        <v>916</v>
      </c>
      <c r="H5521" s="5" t="s">
        <v>21</v>
      </c>
      <c r="I5521" s="5" t="s">
        <v>12457</v>
      </c>
      <c r="J5521" s="12" t="str">
        <f>HYPERLINK("https://www.boe.es/gazeta/dias/1801/08/28/pdfs/GMD-1801-82.pdf#page=5","Abrir facsímil")</f>
        <v>Abrir facsímil</v>
      </c>
      <c r="K5521" s="15" t="s">
        <v>23</v>
      </c>
    </row>
    <row r="5522" spans="1:11" ht="42" customHeight="1">
      <c r="A5522" s="4" t="s">
        <v>12458</v>
      </c>
      <c r="B5522" s="5" t="s">
        <v>12458</v>
      </c>
      <c r="C5522" s="5" t="s">
        <v>75</v>
      </c>
      <c r="D5522" s="5" t="s">
        <v>76</v>
      </c>
      <c r="E5522" s="5" t="s">
        <v>935</v>
      </c>
      <c r="F5522" s="9">
        <v>116</v>
      </c>
      <c r="G5522" s="9">
        <v>1266</v>
      </c>
      <c r="H5522" s="5" t="s">
        <v>21</v>
      </c>
      <c r="I5522" s="5" t="s">
        <v>12459</v>
      </c>
      <c r="J5522" s="12" t="str">
        <f>HYPERLINK("https://www.boe.es/gazeta/dias/1801/12/18/pdfs/GMD-1801-116.pdf#page=8","Abrir facsímil")</f>
        <v>Abrir facsímil</v>
      </c>
      <c r="K5522" s="15" t="s">
        <v>23</v>
      </c>
    </row>
    <row r="5523" spans="1:11" ht="42" customHeight="1">
      <c r="A5523" s="4" t="s">
        <v>12460</v>
      </c>
      <c r="B5523" s="5" t="s">
        <v>12460</v>
      </c>
      <c r="C5523" s="5" t="s">
        <v>38</v>
      </c>
      <c r="D5523" s="5" t="s">
        <v>39</v>
      </c>
      <c r="E5523" s="5" t="s">
        <v>505</v>
      </c>
      <c r="F5523" s="9">
        <v>94</v>
      </c>
      <c r="G5523" s="9">
        <v>1031</v>
      </c>
      <c r="H5523" s="5" t="s">
        <v>21</v>
      </c>
      <c r="I5523" s="5" t="s">
        <v>12461</v>
      </c>
      <c r="J5523" s="12" t="str">
        <f>HYPERLINK("https://www.boe.es/gazeta/dias/1801/10/02/pdfs/GMD-1801-94.pdf#page=7","Abrir facsímil")</f>
        <v>Abrir facsímil</v>
      </c>
      <c r="K5523" s="15" t="s">
        <v>23</v>
      </c>
    </row>
    <row r="5524" spans="1:11" ht="42" customHeight="1">
      <c r="A5524" s="4" t="s">
        <v>12462</v>
      </c>
      <c r="B5524" s="5" t="s">
        <v>12462</v>
      </c>
      <c r="C5524" s="5" t="s">
        <v>38</v>
      </c>
      <c r="D5524" s="5" t="s">
        <v>39</v>
      </c>
      <c r="E5524" s="5" t="s">
        <v>2185</v>
      </c>
      <c r="F5524" s="9">
        <v>84</v>
      </c>
      <c r="G5524" s="9">
        <v>942</v>
      </c>
      <c r="H5524" s="5" t="s">
        <v>21</v>
      </c>
      <c r="I5524" s="5" t="s">
        <v>12463</v>
      </c>
      <c r="J5524" s="12" t="str">
        <f>HYPERLINK("https://www.boe.es/gazeta/dias/1801/09/04/pdfs/GMD-1801-84.pdf#page=5","Abrir facsímil")</f>
        <v>Abrir facsímil</v>
      </c>
      <c r="K5524" s="15" t="s">
        <v>23</v>
      </c>
    </row>
    <row r="5525" spans="1:11" ht="42" customHeight="1">
      <c r="A5525" s="4" t="s">
        <v>12464</v>
      </c>
      <c r="B5525" s="5" t="s">
        <v>12464</v>
      </c>
      <c r="C5525" s="5" t="s">
        <v>75</v>
      </c>
      <c r="D5525" s="5" t="s">
        <v>76</v>
      </c>
      <c r="E5525" s="5" t="s">
        <v>153</v>
      </c>
      <c r="F5525" s="9">
        <v>48</v>
      </c>
      <c r="G5525" s="9">
        <v>583</v>
      </c>
      <c r="H5525" s="5" t="s">
        <v>21</v>
      </c>
      <c r="I5525" s="5" t="s">
        <v>12465</v>
      </c>
      <c r="J5525" s="12" t="str">
        <f>HYPERLINK("https://www.boe.es/gazeta/dias/1801/06/05/pdfs/GMD-1801-48.pdf#page=5","Abrir facsímil")</f>
        <v>Abrir facsímil</v>
      </c>
      <c r="K5525" s="15" t="s">
        <v>23</v>
      </c>
    </row>
    <row r="5526" spans="1:11" ht="42" customHeight="1">
      <c r="A5526" s="4" t="s">
        <v>12466</v>
      </c>
      <c r="B5526" s="5" t="s">
        <v>12466</v>
      </c>
      <c r="C5526" s="5" t="s">
        <v>32</v>
      </c>
      <c r="D5526" s="5" t="s">
        <v>33</v>
      </c>
      <c r="E5526" s="5" t="s">
        <v>317</v>
      </c>
      <c r="F5526" s="9">
        <v>102</v>
      </c>
      <c r="G5526" s="9">
        <v>1120</v>
      </c>
      <c r="H5526" s="5" t="s">
        <v>21</v>
      </c>
      <c r="I5526" s="5" t="s">
        <v>12467</v>
      </c>
      <c r="J5526" s="12" t="str">
        <f>HYPERLINK("https://www.boe.es/gazeta/dias/1801/10/30/pdfs/GMD-1801-102.pdf#page=5","Abrir facsímil")</f>
        <v>Abrir facsímil</v>
      </c>
      <c r="K5526" s="15" t="s">
        <v>23</v>
      </c>
    </row>
    <row r="5527" spans="1:11" ht="42" customHeight="1">
      <c r="A5527" s="4" t="s">
        <v>12468</v>
      </c>
      <c r="B5527" s="5" t="s">
        <v>12468</v>
      </c>
      <c r="C5527" s="5" t="s">
        <v>75</v>
      </c>
      <c r="D5527" s="5" t="s">
        <v>76</v>
      </c>
      <c r="E5527" s="5" t="s">
        <v>256</v>
      </c>
      <c r="F5527" s="9">
        <v>78</v>
      </c>
      <c r="G5527" s="9">
        <v>874</v>
      </c>
      <c r="H5527" s="5" t="s">
        <v>21</v>
      </c>
      <c r="I5527" s="5" t="s">
        <v>12469</v>
      </c>
      <c r="J5527" s="12" t="str">
        <f>HYPERLINK("https://www.boe.es/gazeta/dias/1801/08/14/pdfs/GMD-1801-78.pdf#page=3","Abrir facsímil")</f>
        <v>Abrir facsímil</v>
      </c>
      <c r="K5527" s="15" t="s">
        <v>23</v>
      </c>
    </row>
    <row r="5528" spans="1:11" ht="42" customHeight="1">
      <c r="A5528" s="4" t="s">
        <v>12470</v>
      </c>
      <c r="B5528" s="5" t="s">
        <v>12470</v>
      </c>
      <c r="C5528" s="5" t="s">
        <v>38</v>
      </c>
      <c r="D5528" s="5" t="s">
        <v>39</v>
      </c>
      <c r="E5528" s="5" t="s">
        <v>317</v>
      </c>
      <c r="F5528" s="9">
        <v>102</v>
      </c>
      <c r="G5528" s="9">
        <v>1120</v>
      </c>
      <c r="H5528" s="5" t="s">
        <v>21</v>
      </c>
      <c r="I5528" s="5" t="s">
        <v>12471</v>
      </c>
      <c r="J5528" s="12" t="str">
        <f>HYPERLINK("https://www.boe.es/gazeta/dias/1801/10/30/pdfs/GMD-1801-102.pdf#page=5","Abrir facsímil")</f>
        <v>Abrir facsímil</v>
      </c>
      <c r="K5528" s="15" t="s">
        <v>23</v>
      </c>
    </row>
    <row r="5529" spans="1:11" ht="42" customHeight="1">
      <c r="A5529" s="4" t="s">
        <v>12472</v>
      </c>
      <c r="B5529" s="5" t="s">
        <v>12472</v>
      </c>
      <c r="C5529" s="5" t="s">
        <v>75</v>
      </c>
      <c r="D5529" s="5" t="s">
        <v>76</v>
      </c>
      <c r="E5529" s="5" t="s">
        <v>161</v>
      </c>
      <c r="F5529" s="9">
        <v>58</v>
      </c>
      <c r="G5529" s="9">
        <v>660</v>
      </c>
      <c r="H5529" s="5" t="s">
        <v>21</v>
      </c>
      <c r="I5529" s="5" t="s">
        <v>12473</v>
      </c>
      <c r="J5529" s="12" t="str">
        <f>HYPERLINK("https://www.boe.es/gazeta/dias/1801/06/19/pdfs/GMD-1801-58.pdf#page=5","Abrir facsímil")</f>
        <v>Abrir facsímil</v>
      </c>
      <c r="K5529" s="15" t="s">
        <v>23</v>
      </c>
    </row>
    <row r="5530" spans="1:11" ht="42" customHeight="1">
      <c r="A5530" s="4" t="s">
        <v>12474</v>
      </c>
      <c r="B5530" s="5" t="s">
        <v>12474</v>
      </c>
      <c r="C5530" s="5" t="s">
        <v>75</v>
      </c>
      <c r="D5530" s="5" t="s">
        <v>76</v>
      </c>
      <c r="E5530" s="5" t="s">
        <v>219</v>
      </c>
      <c r="F5530" s="9">
        <v>26</v>
      </c>
      <c r="G5530" s="9">
        <v>339</v>
      </c>
      <c r="H5530" s="5" t="s">
        <v>21</v>
      </c>
      <c r="I5530" s="5" t="s">
        <v>12475</v>
      </c>
      <c r="J5530" s="12" t="str">
        <f>HYPERLINK("https://www.boe.es/gazeta/dias/1801/03/31/pdfs/GMD-1801-26.pdf#page=3","Abrir facsímil")</f>
        <v>Abrir facsímil</v>
      </c>
      <c r="K5530" s="15" t="s">
        <v>23</v>
      </c>
    </row>
    <row r="5531" spans="1:11" ht="42" customHeight="1">
      <c r="A5531" s="4" t="s">
        <v>12476</v>
      </c>
      <c r="B5531" s="5" t="s">
        <v>12476</v>
      </c>
      <c r="C5531" s="5" t="s">
        <v>75</v>
      </c>
      <c r="D5531" s="5" t="s">
        <v>76</v>
      </c>
      <c r="E5531" s="5" t="s">
        <v>97</v>
      </c>
      <c r="F5531" s="9">
        <v>31</v>
      </c>
      <c r="G5531" s="9">
        <v>398</v>
      </c>
      <c r="H5531" s="5" t="s">
        <v>21</v>
      </c>
      <c r="I5531" s="5" t="s">
        <v>12477</v>
      </c>
      <c r="J5531" s="12" t="str">
        <f>HYPERLINK("https://www.boe.es/gazeta/dias/1801/04/17/pdfs/GMD-1801-31.pdf#page=2","Abrir facsímil")</f>
        <v>Abrir facsímil</v>
      </c>
      <c r="K5531" s="15" t="s">
        <v>23</v>
      </c>
    </row>
    <row r="5532" spans="1:11" ht="42" customHeight="1">
      <c r="A5532" s="4" t="s">
        <v>12478</v>
      </c>
      <c r="B5532" s="5" t="s">
        <v>12478</v>
      </c>
      <c r="C5532" s="5" t="s">
        <v>38</v>
      </c>
      <c r="D5532" s="5" t="s">
        <v>39</v>
      </c>
      <c r="E5532" s="5" t="s">
        <v>97</v>
      </c>
      <c r="F5532" s="9">
        <v>31</v>
      </c>
      <c r="G5532" s="9">
        <v>401</v>
      </c>
      <c r="H5532" s="5" t="s">
        <v>21</v>
      </c>
      <c r="I5532" s="5" t="s">
        <v>12479</v>
      </c>
      <c r="J5532" s="12" t="str">
        <f>HYPERLINK("https://www.boe.es/gazeta/dias/1801/04/17/pdfs/GMD-1801-31.pdf#page=5","Abrir facsímil")</f>
        <v>Abrir facsímil</v>
      </c>
      <c r="K5532" s="15" t="s">
        <v>23</v>
      </c>
    </row>
    <row r="5533" spans="1:11" ht="42" customHeight="1">
      <c r="A5533" s="4" t="s">
        <v>12480</v>
      </c>
      <c r="B5533" s="5" t="s">
        <v>12480</v>
      </c>
      <c r="C5533" s="5" t="s">
        <v>32</v>
      </c>
      <c r="D5533" s="5" t="s">
        <v>33</v>
      </c>
      <c r="E5533" s="5" t="s">
        <v>131</v>
      </c>
      <c r="F5533" s="9">
        <v>22</v>
      </c>
      <c r="G5533" s="9">
        <v>288</v>
      </c>
      <c r="H5533" s="5" t="s">
        <v>21</v>
      </c>
      <c r="I5533" s="5" t="s">
        <v>12481</v>
      </c>
      <c r="J5533" s="12" t="str">
        <f>HYPERLINK("https://www.boe.es/gazeta/dias/1801/03/17/pdfs/GMD-1801-22.pdf#page=5","Abrir facsímil")</f>
        <v>Abrir facsímil</v>
      </c>
      <c r="K5533" s="15" t="s">
        <v>23</v>
      </c>
    </row>
    <row r="5534" spans="1:11" ht="42" customHeight="1">
      <c r="A5534" s="4" t="s">
        <v>12480</v>
      </c>
      <c r="B5534" s="5" t="s">
        <v>12480</v>
      </c>
      <c r="C5534" s="5" t="s">
        <v>38</v>
      </c>
      <c r="D5534" s="5" t="s">
        <v>39</v>
      </c>
      <c r="E5534" s="5" t="s">
        <v>2430</v>
      </c>
      <c r="F5534" s="9">
        <v>27</v>
      </c>
      <c r="G5534" s="9">
        <v>352</v>
      </c>
      <c r="H5534" s="5" t="s">
        <v>21</v>
      </c>
      <c r="I5534" s="5" t="s">
        <v>12482</v>
      </c>
      <c r="J5534" s="12" t="str">
        <f>HYPERLINK("https://www.boe.es/gazeta/dias/1801/04/03/pdfs/GMD-1801-27.pdf#page=4","Abrir facsímil")</f>
        <v>Abrir facsímil</v>
      </c>
      <c r="K5534" s="15" t="s">
        <v>23</v>
      </c>
    </row>
    <row r="5535" spans="1:11" ht="42" customHeight="1">
      <c r="A5535" s="4" t="s">
        <v>12480</v>
      </c>
      <c r="B5535" s="5" t="s">
        <v>12480</v>
      </c>
      <c r="C5535" s="5" t="s">
        <v>18</v>
      </c>
      <c r="D5535" s="5" t="s">
        <v>19</v>
      </c>
      <c r="E5535" s="5" t="s">
        <v>34</v>
      </c>
      <c r="F5535" s="9">
        <v>38</v>
      </c>
      <c r="G5535" s="9">
        <v>491</v>
      </c>
      <c r="H5535" s="5" t="s">
        <v>21</v>
      </c>
      <c r="I5535" s="5" t="s">
        <v>12483</v>
      </c>
      <c r="J5535" s="12" t="str">
        <f>HYPERLINK("https://www.boe.es/gazeta/dias/1801/05/12/pdfs/GMD-1801-38.pdf#page=7","Abrir facsímil")</f>
        <v>Abrir facsímil</v>
      </c>
      <c r="K5535" s="15" t="s">
        <v>23</v>
      </c>
    </row>
    <row r="5536" spans="1:11" ht="42" customHeight="1">
      <c r="A5536" s="4" t="s">
        <v>12480</v>
      </c>
      <c r="B5536" s="5" t="s">
        <v>12480</v>
      </c>
      <c r="C5536" s="5" t="s">
        <v>26</v>
      </c>
      <c r="D5536" s="5" t="s">
        <v>27</v>
      </c>
      <c r="E5536" s="5" t="s">
        <v>764</v>
      </c>
      <c r="F5536" s="9">
        <v>80</v>
      </c>
      <c r="G5536" s="9">
        <v>897</v>
      </c>
      <c r="H5536" s="5" t="s">
        <v>21</v>
      </c>
      <c r="I5536" s="5" t="s">
        <v>12484</v>
      </c>
      <c r="J5536" s="12" t="str">
        <f>HYPERLINK("https://www.boe.es/gazeta/dias/1801/08/21/pdfs/GMD-1801-80.pdf#page=6","Abrir facsímil")</f>
        <v>Abrir facsímil</v>
      </c>
      <c r="K5536" s="15" t="s">
        <v>23</v>
      </c>
    </row>
    <row r="5537" spans="1:11" ht="42" customHeight="1">
      <c r="A5537" s="4" t="s">
        <v>12480</v>
      </c>
      <c r="B5537" s="5" t="s">
        <v>12480</v>
      </c>
      <c r="C5537" s="5" t="s">
        <v>32</v>
      </c>
      <c r="D5537" s="5" t="s">
        <v>33</v>
      </c>
      <c r="E5537" s="5" t="s">
        <v>924</v>
      </c>
      <c r="F5537" s="9">
        <v>90</v>
      </c>
      <c r="G5537" s="9">
        <v>986</v>
      </c>
      <c r="H5537" s="5" t="s">
        <v>21</v>
      </c>
      <c r="I5537" s="5" t="s">
        <v>12485</v>
      </c>
      <c r="J5537" s="12" t="str">
        <f>HYPERLINK("https://www.boe.es/gazeta/dias/1801/09/18/pdfs/GMD-1801-90.pdf#page=1","Abrir facsímil")</f>
        <v>Abrir facsímil</v>
      </c>
      <c r="K5537" s="15" t="s">
        <v>23</v>
      </c>
    </row>
    <row r="5538" spans="1:11" ht="42" customHeight="1">
      <c r="A5538" s="4" t="s">
        <v>12480</v>
      </c>
      <c r="B5538" s="5" t="s">
        <v>12480</v>
      </c>
      <c r="C5538" s="5" t="s">
        <v>38</v>
      </c>
      <c r="D5538" s="5" t="s">
        <v>39</v>
      </c>
      <c r="E5538" s="5" t="s">
        <v>173</v>
      </c>
      <c r="F5538" s="9">
        <v>98</v>
      </c>
      <c r="G5538" s="9">
        <v>1073</v>
      </c>
      <c r="H5538" s="5" t="s">
        <v>21</v>
      </c>
      <c r="I5538" s="5" t="s">
        <v>12486</v>
      </c>
      <c r="J5538" s="12" t="str">
        <f>HYPERLINK("https://www.boe.es/gazeta/dias/1801/10/16/pdfs/GMD-1801-98.pdf#page=5","Abrir facsímil")</f>
        <v>Abrir facsímil</v>
      </c>
      <c r="K5538" s="15" t="s">
        <v>23</v>
      </c>
    </row>
    <row r="5539" spans="1:11" ht="42" customHeight="1">
      <c r="A5539" s="4" t="s">
        <v>12487</v>
      </c>
      <c r="B5539" s="5" t="s">
        <v>12487</v>
      </c>
      <c r="C5539" s="5" t="s">
        <v>38</v>
      </c>
      <c r="D5539" s="5" t="s">
        <v>39</v>
      </c>
      <c r="E5539" s="5" t="s">
        <v>20</v>
      </c>
      <c r="F5539" s="9">
        <v>37</v>
      </c>
      <c r="G5539" s="9">
        <v>481</v>
      </c>
      <c r="H5539" s="5" t="s">
        <v>21</v>
      </c>
      <c r="I5539" s="5" t="s">
        <v>12488</v>
      </c>
      <c r="J5539" s="12" t="str">
        <f>HYPERLINK("https://www.boe.es/gazeta/dias/1801/05/08/pdfs/GMD-1801-37.pdf#page=9","Abrir facsímil")</f>
        <v>Abrir facsímil</v>
      </c>
      <c r="K5539" s="15" t="s">
        <v>23</v>
      </c>
    </row>
    <row r="5540" spans="1:11" ht="42" customHeight="1">
      <c r="A5540" s="4" t="s">
        <v>12489</v>
      </c>
      <c r="B5540" s="5" t="s">
        <v>12489</v>
      </c>
      <c r="C5540" s="5" t="s">
        <v>75</v>
      </c>
      <c r="D5540" s="5" t="s">
        <v>76</v>
      </c>
      <c r="E5540" s="5" t="s">
        <v>292</v>
      </c>
      <c r="F5540" s="9">
        <v>25</v>
      </c>
      <c r="G5540" s="9">
        <v>329</v>
      </c>
      <c r="H5540" s="5" t="s">
        <v>21</v>
      </c>
      <c r="I5540" s="5" t="s">
        <v>12490</v>
      </c>
      <c r="J5540" s="12" t="str">
        <f>HYPERLINK("https://www.boe.es/gazeta/dias/1801/03/27/pdfs/GMD-1801-25.pdf#page=8","Abrir facsímil")</f>
        <v>Abrir facsímil</v>
      </c>
      <c r="K5540" s="15" t="s">
        <v>23</v>
      </c>
    </row>
    <row r="5541" spans="1:11" ht="42" customHeight="1">
      <c r="A5541" s="4" t="s">
        <v>12491</v>
      </c>
      <c r="B5541" s="5" t="s">
        <v>12491</v>
      </c>
      <c r="C5541" s="5" t="s">
        <v>38</v>
      </c>
      <c r="D5541" s="5" t="s">
        <v>39</v>
      </c>
      <c r="E5541" s="5" t="s">
        <v>2185</v>
      </c>
      <c r="F5541" s="9">
        <v>84</v>
      </c>
      <c r="G5541" s="9">
        <v>941</v>
      </c>
      <c r="H5541" s="5" t="s">
        <v>21</v>
      </c>
      <c r="I5541" s="5" t="s">
        <v>12492</v>
      </c>
      <c r="J5541" s="12" t="str">
        <f>HYPERLINK("https://www.boe.es/gazeta/dias/1801/09/04/pdfs/GMD-1801-84.pdf#page=4","Abrir facsímil")</f>
        <v>Abrir facsímil</v>
      </c>
      <c r="K5541" s="15" t="s">
        <v>23</v>
      </c>
    </row>
    <row r="5542" spans="1:11" ht="42" customHeight="1">
      <c r="A5542" s="4" t="s">
        <v>12493</v>
      </c>
      <c r="B5542" s="5" t="s">
        <v>12493</v>
      </c>
      <c r="C5542" s="5" t="s">
        <v>38</v>
      </c>
      <c r="D5542" s="5" t="s">
        <v>39</v>
      </c>
      <c r="E5542" s="5" t="s">
        <v>126</v>
      </c>
      <c r="F5542" s="9">
        <v>13</v>
      </c>
      <c r="G5542" s="9">
        <v>161</v>
      </c>
      <c r="H5542" s="5" t="s">
        <v>21</v>
      </c>
      <c r="I5542" s="5" t="s">
        <v>12494</v>
      </c>
      <c r="J5542" s="12" t="str">
        <f>HYPERLINK("https://www.boe.es/gazeta/dias/1801/02/13/pdfs/GMD-1801-13.pdf#page=8","Abrir facsímil")</f>
        <v>Abrir facsímil</v>
      </c>
      <c r="K5542" s="15" t="s">
        <v>23</v>
      </c>
    </row>
    <row r="5543" spans="1:11" ht="42" customHeight="1">
      <c r="A5543" s="4" t="s">
        <v>12495</v>
      </c>
      <c r="B5543" s="5" t="s">
        <v>12495</v>
      </c>
      <c r="C5543" s="5" t="s">
        <v>75</v>
      </c>
      <c r="D5543" s="5" t="s">
        <v>76</v>
      </c>
      <c r="E5543" s="5" t="s">
        <v>712</v>
      </c>
      <c r="F5543" s="9">
        <v>105</v>
      </c>
      <c r="G5543" s="9">
        <v>1154</v>
      </c>
      <c r="H5543" s="5" t="s">
        <v>21</v>
      </c>
      <c r="I5543" s="5" t="s">
        <v>12496</v>
      </c>
      <c r="J5543" s="12" t="str">
        <f>HYPERLINK("https://www.boe.es/gazeta/dias/1801/11/10/pdfs/GMD-1801-105.pdf#page=7","Abrir facsímil")</f>
        <v>Abrir facsímil</v>
      </c>
      <c r="K5543" s="15" t="s">
        <v>23</v>
      </c>
    </row>
    <row r="5544" spans="1:11" ht="42" customHeight="1">
      <c r="A5544" s="4" t="s">
        <v>12497</v>
      </c>
      <c r="B5544" s="5" t="s">
        <v>12497</v>
      </c>
      <c r="C5544" s="5" t="s">
        <v>38</v>
      </c>
      <c r="D5544" s="5" t="s">
        <v>39</v>
      </c>
      <c r="E5544" s="5" t="s">
        <v>131</v>
      </c>
      <c r="F5544" s="9">
        <v>22</v>
      </c>
      <c r="G5544" s="9">
        <v>286</v>
      </c>
      <c r="H5544" s="5" t="s">
        <v>21</v>
      </c>
      <c r="I5544" s="5" t="s">
        <v>12498</v>
      </c>
      <c r="J5544" s="12" t="str">
        <f>HYPERLINK("https://www.boe.es/gazeta/dias/1801/03/17/pdfs/GMD-1801-22.pdf#page=3","Abrir facsímil")</f>
        <v>Abrir facsímil</v>
      </c>
      <c r="K5544" s="15" t="s">
        <v>23</v>
      </c>
    </row>
    <row r="5545" spans="1:11" ht="42" customHeight="1">
      <c r="A5545" s="4" t="s">
        <v>12499</v>
      </c>
      <c r="B5545" s="5" t="s">
        <v>12499</v>
      </c>
      <c r="C5545" s="5" t="s">
        <v>32</v>
      </c>
      <c r="D5545" s="5" t="s">
        <v>33</v>
      </c>
      <c r="E5545" s="5" t="s">
        <v>48</v>
      </c>
      <c r="F5545" s="9">
        <v>20</v>
      </c>
      <c r="G5545" s="9">
        <v>258</v>
      </c>
      <c r="H5545" s="5" t="s">
        <v>21</v>
      </c>
      <c r="I5545" s="5" t="s">
        <v>12500</v>
      </c>
      <c r="J5545" s="12" t="str">
        <f>HYPERLINK("https://www.boe.es/gazeta/dias/1801/03/10/pdfs/GMD-1801-20.pdf#page=3","Abrir facsímil")</f>
        <v>Abrir facsímil</v>
      </c>
      <c r="K5545" s="15" t="s">
        <v>23</v>
      </c>
    </row>
    <row r="5546" spans="1:11" ht="42" customHeight="1">
      <c r="A5546" s="4" t="s">
        <v>12501</v>
      </c>
      <c r="B5546" s="5" t="s">
        <v>12501</v>
      </c>
      <c r="C5546" s="5" t="s">
        <v>75</v>
      </c>
      <c r="D5546" s="5" t="s">
        <v>76</v>
      </c>
      <c r="E5546" s="5" t="s">
        <v>640</v>
      </c>
      <c r="F5546" s="9">
        <v>81</v>
      </c>
      <c r="G5546" s="9">
        <v>908</v>
      </c>
      <c r="H5546" s="5" t="s">
        <v>21</v>
      </c>
      <c r="I5546" s="5" t="s">
        <v>12502</v>
      </c>
      <c r="J5546" s="12" t="str">
        <f>HYPERLINK("https://www.boe.es/gazeta/dias/1801/08/25/pdfs/GMD-1801-81.pdf#page=5","Abrir facsímil")</f>
        <v>Abrir facsímil</v>
      </c>
      <c r="K5546" s="15" t="s">
        <v>23</v>
      </c>
    </row>
    <row r="5547" spans="1:11" ht="42" customHeight="1">
      <c r="A5547" s="4" t="s">
        <v>12503</v>
      </c>
      <c r="B5547" s="5" t="s">
        <v>12503</v>
      </c>
      <c r="C5547" s="5" t="s">
        <v>38</v>
      </c>
      <c r="D5547" s="5" t="s">
        <v>39</v>
      </c>
      <c r="E5547" s="5" t="s">
        <v>97</v>
      </c>
      <c r="F5547" s="9">
        <v>31</v>
      </c>
      <c r="G5547" s="9">
        <v>403</v>
      </c>
      <c r="H5547" s="5" t="s">
        <v>21</v>
      </c>
      <c r="I5547" s="5" t="s">
        <v>12504</v>
      </c>
      <c r="J5547" s="12" t="str">
        <f>HYPERLINK("https://www.boe.es/gazeta/dias/1801/04/17/pdfs/GMD-1801-31.pdf#page=7","Abrir facsímil")</f>
        <v>Abrir facsímil</v>
      </c>
      <c r="K5547" s="15" t="s">
        <v>23</v>
      </c>
    </row>
    <row r="5548" spans="1:11" ht="42" customHeight="1">
      <c r="A5548" s="4" t="s">
        <v>12505</v>
      </c>
      <c r="B5548" s="5" t="s">
        <v>12505</v>
      </c>
      <c r="C5548" s="5" t="s">
        <v>38</v>
      </c>
      <c r="D5548" s="5" t="s">
        <v>39</v>
      </c>
      <c r="E5548" s="5" t="s">
        <v>2430</v>
      </c>
      <c r="F5548" s="9">
        <v>27</v>
      </c>
      <c r="G5548" s="9">
        <v>352</v>
      </c>
      <c r="H5548" s="5" t="s">
        <v>21</v>
      </c>
      <c r="I5548" s="5" t="s">
        <v>12482</v>
      </c>
      <c r="J5548" s="12" t="str">
        <f>HYPERLINK("https://www.boe.es/gazeta/dias/1801/04/03/pdfs/GMD-1801-27.pdf#page=4","Abrir facsímil")</f>
        <v>Abrir facsímil</v>
      </c>
      <c r="K5548" s="15" t="s">
        <v>23</v>
      </c>
    </row>
    <row r="5549" spans="1:11" ht="42" customHeight="1">
      <c r="A5549" s="4" t="s">
        <v>12505</v>
      </c>
      <c r="B5549" s="5" t="s">
        <v>12505</v>
      </c>
      <c r="C5549" s="5" t="s">
        <v>38</v>
      </c>
      <c r="D5549" s="5" t="s">
        <v>39</v>
      </c>
      <c r="E5549" s="5" t="s">
        <v>143</v>
      </c>
      <c r="F5549" s="9">
        <v>34</v>
      </c>
      <c r="G5549" s="9">
        <v>433</v>
      </c>
      <c r="H5549" s="5" t="s">
        <v>21</v>
      </c>
      <c r="I5549" s="5" t="s">
        <v>12506</v>
      </c>
      <c r="J5549" s="12" t="str">
        <f>HYPERLINK("https://www.boe.es/gazeta/dias/1801/04/28/pdfs/GMD-1801-34.pdf#page=5","Abrir facsímil")</f>
        <v>Abrir facsímil</v>
      </c>
      <c r="K5549" s="15" t="s">
        <v>23</v>
      </c>
    </row>
    <row r="5550" spans="1:11" ht="42" customHeight="1">
      <c r="A5550" s="4" t="s">
        <v>12505</v>
      </c>
      <c r="B5550" s="5" t="s">
        <v>12505</v>
      </c>
      <c r="C5550" s="5" t="s">
        <v>75</v>
      </c>
      <c r="D5550" s="5" t="s">
        <v>76</v>
      </c>
      <c r="E5550" s="5" t="s">
        <v>153</v>
      </c>
      <c r="F5550" s="9">
        <v>48</v>
      </c>
      <c r="G5550" s="9">
        <v>579</v>
      </c>
      <c r="H5550" s="5" t="s">
        <v>21</v>
      </c>
      <c r="I5550" s="5" t="s">
        <v>12507</v>
      </c>
      <c r="J5550" s="12" t="str">
        <f>HYPERLINK("https://www.boe.es/gazeta/dias/1801/06/05/pdfs/GMD-1801-48.pdf#page=1","Abrir facsímil")</f>
        <v>Abrir facsímil</v>
      </c>
      <c r="K5550" s="15" t="s">
        <v>23</v>
      </c>
    </row>
    <row r="5551" spans="1:11" ht="42" customHeight="1">
      <c r="A5551" s="4" t="s">
        <v>12505</v>
      </c>
      <c r="B5551" s="5" t="s">
        <v>12505</v>
      </c>
      <c r="C5551" s="5" t="s">
        <v>32</v>
      </c>
      <c r="D5551" s="5" t="s">
        <v>33</v>
      </c>
      <c r="E5551" s="5" t="s">
        <v>935</v>
      </c>
      <c r="F5551" s="9">
        <v>116</v>
      </c>
      <c r="G5551" s="9">
        <v>1259</v>
      </c>
      <c r="H5551" s="5" t="s">
        <v>21</v>
      </c>
      <c r="I5551" s="5" t="s">
        <v>12508</v>
      </c>
      <c r="J5551" s="12" t="str">
        <f>HYPERLINK("https://www.boe.es/gazeta/dias/1801/12/18/pdfs/GMD-1801-116.pdf#page=1","Abrir facsímil")</f>
        <v>Abrir facsímil</v>
      </c>
      <c r="K5551" s="15" t="s">
        <v>23</v>
      </c>
    </row>
    <row r="5552" spans="1:11" ht="42" customHeight="1">
      <c r="A5552" s="4" t="s">
        <v>12509</v>
      </c>
      <c r="B5552" s="5" t="s">
        <v>12509</v>
      </c>
      <c r="C5552" s="5" t="s">
        <v>32</v>
      </c>
      <c r="D5552" s="5" t="s">
        <v>33</v>
      </c>
      <c r="E5552" s="5" t="s">
        <v>313</v>
      </c>
      <c r="F5552" s="9">
        <v>39</v>
      </c>
      <c r="G5552" s="9">
        <v>499</v>
      </c>
      <c r="H5552" s="5" t="s">
        <v>21</v>
      </c>
      <c r="I5552" s="5" t="s">
        <v>12510</v>
      </c>
      <c r="J5552" s="12" t="str">
        <f>HYPERLINK("https://www.boe.es/gazeta/dias/1801/05/15/pdfs/GMD-1801-39.pdf#page=3","Abrir facsímil")</f>
        <v>Abrir facsímil</v>
      </c>
      <c r="K5552" s="15" t="s">
        <v>23</v>
      </c>
    </row>
    <row r="5553" spans="1:11" ht="42" customHeight="1">
      <c r="A5553" s="4" t="s">
        <v>12511</v>
      </c>
      <c r="B5553" s="5" t="s">
        <v>12511</v>
      </c>
      <c r="C5553" s="5" t="s">
        <v>32</v>
      </c>
      <c r="D5553" s="5" t="s">
        <v>33</v>
      </c>
      <c r="E5553" s="5" t="s">
        <v>924</v>
      </c>
      <c r="F5553" s="9">
        <v>90</v>
      </c>
      <c r="G5553" s="9">
        <v>986</v>
      </c>
      <c r="H5553" s="5" t="s">
        <v>21</v>
      </c>
      <c r="I5553" s="5" t="s">
        <v>12485</v>
      </c>
      <c r="J5553" s="12" t="str">
        <f>HYPERLINK("https://www.boe.es/gazeta/dias/1801/09/18/pdfs/GMD-1801-90.pdf#page=1","Abrir facsímil")</f>
        <v>Abrir facsímil</v>
      </c>
      <c r="K5553" s="15" t="s">
        <v>23</v>
      </c>
    </row>
    <row r="5554" spans="1:11" ht="42" customHeight="1">
      <c r="A5554" s="4" t="s">
        <v>12512</v>
      </c>
      <c r="B5554" s="5" t="s">
        <v>12512</v>
      </c>
      <c r="C5554" s="5" t="s">
        <v>38</v>
      </c>
      <c r="D5554" s="5" t="s">
        <v>39</v>
      </c>
      <c r="E5554" s="5" t="s">
        <v>1058</v>
      </c>
      <c r="F5554" s="9">
        <v>108</v>
      </c>
      <c r="G5554" s="9">
        <v>1187</v>
      </c>
      <c r="H5554" s="5" t="s">
        <v>21</v>
      </c>
      <c r="I5554" s="5" t="s">
        <v>12513</v>
      </c>
      <c r="J5554" s="12" t="str">
        <f>HYPERLINK("https://www.boe.es/gazeta/dias/1801/11/20/pdfs/GMD-1801-108.pdf#page=4","Abrir facsímil")</f>
        <v>Abrir facsímil</v>
      </c>
      <c r="K5554" s="15" t="s">
        <v>23</v>
      </c>
    </row>
    <row r="5555" spans="1:11" ht="42" customHeight="1">
      <c r="A5555" s="4" t="s">
        <v>12514</v>
      </c>
      <c r="B5555" s="5" t="s">
        <v>12514</v>
      </c>
      <c r="C5555" s="5" t="s">
        <v>75</v>
      </c>
      <c r="D5555" s="5" t="s">
        <v>76</v>
      </c>
      <c r="E5555" s="5" t="s">
        <v>186</v>
      </c>
      <c r="F5555" s="9">
        <v>21</v>
      </c>
      <c r="G5555" s="9">
        <v>273</v>
      </c>
      <c r="H5555" s="5" t="s">
        <v>21</v>
      </c>
      <c r="I5555" s="5" t="s">
        <v>12515</v>
      </c>
      <c r="J5555" s="12" t="str">
        <f>HYPERLINK("https://www.boe.es/gazeta/dias/1801/03/13/pdfs/GMD-1801-21.pdf#page=2","Abrir facsímil")</f>
        <v>Abrir facsímil</v>
      </c>
      <c r="K5555" s="15" t="s">
        <v>23</v>
      </c>
    </row>
    <row r="5556" spans="1:11" ht="42" customHeight="1">
      <c r="A5556" s="4" t="s">
        <v>12516</v>
      </c>
      <c r="B5556" s="5" t="s">
        <v>12516</v>
      </c>
      <c r="C5556" s="5" t="s">
        <v>18</v>
      </c>
      <c r="D5556" s="5" t="s">
        <v>19</v>
      </c>
      <c r="E5556" s="5" t="s">
        <v>262</v>
      </c>
      <c r="F5556" s="9">
        <v>109</v>
      </c>
      <c r="G5556" s="9">
        <v>1202</v>
      </c>
      <c r="H5556" s="5" t="s">
        <v>21</v>
      </c>
      <c r="I5556" s="5" t="s">
        <v>12517</v>
      </c>
      <c r="J5556" s="12" t="str">
        <f>HYPERLINK("https://www.boe.es/gazeta/dias/1801/11/24/pdfs/GMD-1801-109.pdf#page=7","Abrir facsímil")</f>
        <v>Abrir facsímil</v>
      </c>
      <c r="K5556" s="15" t="s">
        <v>23</v>
      </c>
    </row>
    <row r="5557" spans="1:11" ht="42" customHeight="1">
      <c r="A5557" s="4" t="s">
        <v>12518</v>
      </c>
      <c r="B5557" s="5" t="s">
        <v>12518</v>
      </c>
      <c r="C5557" s="5" t="s">
        <v>75</v>
      </c>
      <c r="D5557" s="5" t="s">
        <v>76</v>
      </c>
      <c r="E5557" s="5" t="s">
        <v>480</v>
      </c>
      <c r="F5557" s="9">
        <v>10</v>
      </c>
      <c r="G5557" s="9">
        <v>121</v>
      </c>
      <c r="H5557" s="5" t="s">
        <v>21</v>
      </c>
      <c r="I5557" s="5" t="s">
        <v>12519</v>
      </c>
      <c r="J5557" s="12" t="str">
        <f>HYPERLINK("https://www.boe.es/gazeta/dias/1801/02/03/pdfs/GMD-1801-10.pdf#page=6","Abrir facsímil")</f>
        <v>Abrir facsímil</v>
      </c>
      <c r="K5557" s="15" t="s">
        <v>23</v>
      </c>
    </row>
    <row r="5558" spans="1:11" ht="42" customHeight="1">
      <c r="A5558" s="4" t="s">
        <v>12520</v>
      </c>
      <c r="B5558" s="5" t="s">
        <v>12520</v>
      </c>
      <c r="C5558" s="5" t="s">
        <v>75</v>
      </c>
      <c r="D5558" s="5" t="s">
        <v>76</v>
      </c>
      <c r="E5558" s="5" t="s">
        <v>173</v>
      </c>
      <c r="F5558" s="9">
        <v>98</v>
      </c>
      <c r="G5558" s="9">
        <v>1071</v>
      </c>
      <c r="H5558" s="5" t="s">
        <v>21</v>
      </c>
      <c r="I5558" s="5" t="s">
        <v>12521</v>
      </c>
      <c r="J5558" s="12" t="str">
        <f>HYPERLINK("https://www.boe.es/gazeta/dias/1801/10/16/pdfs/GMD-1801-98.pdf#page=3","Abrir facsímil")</f>
        <v>Abrir facsímil</v>
      </c>
      <c r="K5558" s="15" t="s">
        <v>23</v>
      </c>
    </row>
    <row r="5559" spans="1:11" ht="42" customHeight="1">
      <c r="A5559" s="4" t="s">
        <v>12522</v>
      </c>
      <c r="B5559" s="5" t="s">
        <v>12522</v>
      </c>
      <c r="C5559" s="5" t="s">
        <v>75</v>
      </c>
      <c r="D5559" s="5" t="s">
        <v>76</v>
      </c>
      <c r="E5559" s="5" t="s">
        <v>328</v>
      </c>
      <c r="F5559" s="9">
        <v>89</v>
      </c>
      <c r="G5559" s="9">
        <v>980</v>
      </c>
      <c r="H5559" s="5" t="s">
        <v>21</v>
      </c>
      <c r="I5559" s="5" t="s">
        <v>12523</v>
      </c>
      <c r="J5559" s="12" t="str">
        <f>HYPERLINK("https://www.boe.es/gazeta/dias/1801/09/15/pdfs/GMD-1801-89.pdf#page=7","Abrir facsímil")</f>
        <v>Abrir facsímil</v>
      </c>
      <c r="K5559" s="15" t="s">
        <v>23</v>
      </c>
    </row>
    <row r="5560" spans="1:11" ht="42" customHeight="1">
      <c r="A5560" s="4" t="s">
        <v>12524</v>
      </c>
      <c r="B5560" s="5" t="s">
        <v>12524</v>
      </c>
      <c r="C5560" s="5" t="s">
        <v>38</v>
      </c>
      <c r="D5560" s="5" t="s">
        <v>39</v>
      </c>
      <c r="E5560" s="5" t="s">
        <v>66</v>
      </c>
      <c r="F5560" s="9">
        <v>52</v>
      </c>
      <c r="G5560" s="9">
        <v>607</v>
      </c>
      <c r="H5560" s="5" t="s">
        <v>21</v>
      </c>
      <c r="I5560" s="5" t="s">
        <v>12525</v>
      </c>
      <c r="J5560" s="12" t="str">
        <f>HYPERLINK("https://www.boe.es/gazeta/dias/1801/06/12/pdfs/GMD-1801-52.pdf#page=6","Abrir facsímil")</f>
        <v>Abrir facsímil</v>
      </c>
      <c r="K5560" s="15" t="s">
        <v>23</v>
      </c>
    </row>
    <row r="5561" spans="1:11" ht="42" customHeight="1">
      <c r="A5561" s="4" t="s">
        <v>12526</v>
      </c>
      <c r="B5561" s="5" t="s">
        <v>12526</v>
      </c>
      <c r="C5561" s="5" t="s">
        <v>38</v>
      </c>
      <c r="D5561" s="5" t="s">
        <v>39</v>
      </c>
      <c r="E5561" s="5" t="s">
        <v>258</v>
      </c>
      <c r="F5561" s="9">
        <v>96</v>
      </c>
      <c r="G5561" s="9">
        <v>1050</v>
      </c>
      <c r="H5561" s="5" t="s">
        <v>21</v>
      </c>
      <c r="I5561" s="5" t="s">
        <v>12527</v>
      </c>
      <c r="J5561" s="12" t="str">
        <f>HYPERLINK("https://www.boe.es/gazeta/dias/1801/10/09/pdfs/GMD-1801-96.pdf#page=6","Abrir facsímil")</f>
        <v>Abrir facsímil</v>
      </c>
      <c r="K5561" s="15" t="s">
        <v>23</v>
      </c>
    </row>
    <row r="5562" spans="1:11" ht="42" customHeight="1">
      <c r="A5562" s="4" t="s">
        <v>12528</v>
      </c>
      <c r="B5562" s="5" t="s">
        <v>12528</v>
      </c>
      <c r="C5562" s="5" t="s">
        <v>75</v>
      </c>
      <c r="D5562" s="5" t="s">
        <v>76</v>
      </c>
      <c r="E5562" s="5" t="s">
        <v>48</v>
      </c>
      <c r="F5562" s="9">
        <v>20</v>
      </c>
      <c r="G5562" s="9">
        <v>260</v>
      </c>
      <c r="H5562" s="5" t="s">
        <v>21</v>
      </c>
      <c r="I5562" s="5" t="s">
        <v>12529</v>
      </c>
      <c r="J5562" s="12" t="str">
        <f>HYPERLINK("https://www.boe.es/gazeta/dias/1801/03/10/pdfs/GMD-1801-20.pdf#page=5","Abrir facsímil")</f>
        <v>Abrir facsímil</v>
      </c>
      <c r="K5562" s="15" t="s">
        <v>23</v>
      </c>
    </row>
    <row r="5563" spans="1:11" ht="42" customHeight="1">
      <c r="A5563" s="4" t="s">
        <v>12530</v>
      </c>
      <c r="B5563" s="5" t="s">
        <v>12530</v>
      </c>
      <c r="C5563" s="5" t="s">
        <v>75</v>
      </c>
      <c r="D5563" s="5" t="s">
        <v>76</v>
      </c>
      <c r="E5563" s="5" t="s">
        <v>112</v>
      </c>
      <c r="F5563" s="9">
        <v>114</v>
      </c>
      <c r="G5563" s="9">
        <v>1242</v>
      </c>
      <c r="H5563" s="5" t="s">
        <v>21</v>
      </c>
      <c r="I5563" s="5" t="s">
        <v>12531</v>
      </c>
      <c r="J5563" s="12" t="str">
        <f>HYPERLINK("https://www.boe.es/gazeta/dias/1801/12/11/pdfs/GMD-1801-114.pdf#page=4","Abrir facsímil")</f>
        <v>Abrir facsímil</v>
      </c>
      <c r="K5563" s="15" t="s">
        <v>23</v>
      </c>
    </row>
    <row r="5564" spans="1:11" ht="42" customHeight="1">
      <c r="A5564" s="4" t="s">
        <v>12532</v>
      </c>
      <c r="B5564" s="5" t="s">
        <v>12532</v>
      </c>
      <c r="C5564" s="5" t="s">
        <v>75</v>
      </c>
      <c r="D5564" s="5" t="s">
        <v>76</v>
      </c>
      <c r="E5564" s="5" t="s">
        <v>219</v>
      </c>
      <c r="F5564" s="9">
        <v>26</v>
      </c>
      <c r="G5564" s="9">
        <v>337</v>
      </c>
      <c r="H5564" s="5" t="s">
        <v>21</v>
      </c>
      <c r="I5564" s="5" t="s">
        <v>12533</v>
      </c>
      <c r="J5564" s="12" t="str">
        <f>HYPERLINK("https://www.boe.es/gazeta/dias/1801/03/31/pdfs/GMD-1801-26.pdf#page=1","Abrir facsímil")</f>
        <v>Abrir facsímil</v>
      </c>
      <c r="K5564" s="15" t="s">
        <v>23</v>
      </c>
    </row>
    <row r="5565" spans="1:11" ht="42" customHeight="1">
      <c r="A5565" s="4" t="s">
        <v>12534</v>
      </c>
      <c r="B5565" s="5" t="s">
        <v>12534</v>
      </c>
      <c r="C5565" s="5" t="s">
        <v>18</v>
      </c>
      <c r="D5565" s="5" t="s">
        <v>19</v>
      </c>
      <c r="E5565" s="5" t="s">
        <v>221</v>
      </c>
      <c r="F5565" s="9">
        <v>28</v>
      </c>
      <c r="G5565" s="9">
        <v>363</v>
      </c>
      <c r="H5565" s="5" t="s">
        <v>21</v>
      </c>
      <c r="I5565" s="5" t="s">
        <v>12535</v>
      </c>
      <c r="J5565" s="12" t="str">
        <f>HYPERLINK("https://www.boe.es/gazeta/dias/1801/04/07/pdfs/GMD-1801-28.pdf#page=3","Abrir facsímil")</f>
        <v>Abrir facsímil</v>
      </c>
      <c r="K5565" s="15" t="s">
        <v>23</v>
      </c>
    </row>
    <row r="5566" spans="1:11" ht="42" customHeight="1">
      <c r="A5566" s="4" t="s">
        <v>12534</v>
      </c>
      <c r="B5566" s="5" t="s">
        <v>12534</v>
      </c>
      <c r="C5566" s="5" t="s">
        <v>32</v>
      </c>
      <c r="D5566" s="5" t="s">
        <v>33</v>
      </c>
      <c r="E5566" s="5" t="s">
        <v>221</v>
      </c>
      <c r="F5566" s="9">
        <v>28</v>
      </c>
      <c r="G5566" s="9">
        <v>369</v>
      </c>
      <c r="H5566" s="5" t="s">
        <v>21</v>
      </c>
      <c r="I5566" s="5" t="s">
        <v>12536</v>
      </c>
      <c r="J5566" s="12" t="str">
        <f>HYPERLINK("https://www.boe.es/gazeta/dias/1801/04/07/pdfs/GMD-1801-28.pdf#page=9","Abrir facsímil")</f>
        <v>Abrir facsímil</v>
      </c>
      <c r="K5566" s="15" t="s">
        <v>23</v>
      </c>
    </row>
    <row r="5567" spans="1:11" ht="42" customHeight="1">
      <c r="A5567" s="4" t="s">
        <v>12534</v>
      </c>
      <c r="B5567" s="5" t="s">
        <v>12534</v>
      </c>
      <c r="C5567" s="5" t="s">
        <v>75</v>
      </c>
      <c r="D5567" s="5" t="s">
        <v>76</v>
      </c>
      <c r="E5567" s="5" t="s">
        <v>50</v>
      </c>
      <c r="F5567" s="9">
        <v>29</v>
      </c>
      <c r="G5567" s="9">
        <v>374</v>
      </c>
      <c r="H5567" s="5" t="s">
        <v>21</v>
      </c>
      <c r="I5567" s="5" t="s">
        <v>12537</v>
      </c>
      <c r="J5567" s="12" t="str">
        <f>HYPERLINK("https://www.boe.es/gazeta/dias/1801/04/10/pdfs/GMD-1801-29.pdf#page=2","Abrir facsímil")</f>
        <v>Abrir facsímil</v>
      </c>
      <c r="K5567" s="15" t="s">
        <v>23</v>
      </c>
    </row>
    <row r="5568" spans="1:11" ht="42" customHeight="1">
      <c r="A5568" s="4" t="s">
        <v>12534</v>
      </c>
      <c r="B5568" s="5" t="s">
        <v>12534</v>
      </c>
      <c r="C5568" s="5" t="s">
        <v>75</v>
      </c>
      <c r="D5568" s="5" t="s">
        <v>76</v>
      </c>
      <c r="E5568" s="5" t="s">
        <v>99</v>
      </c>
      <c r="F5568" s="9">
        <v>32</v>
      </c>
      <c r="G5568" s="9">
        <v>406</v>
      </c>
      <c r="H5568" s="5" t="s">
        <v>21</v>
      </c>
      <c r="I5568" s="5" t="s">
        <v>12538</v>
      </c>
      <c r="J5568" s="12" t="str">
        <f>HYPERLINK("https://www.boe.es/gazeta/dias/1801/04/21/pdfs/GMD-1801-32.pdf#page=2","Abrir facsímil")</f>
        <v>Abrir facsímil</v>
      </c>
      <c r="K5568" s="15" t="s">
        <v>23</v>
      </c>
    </row>
    <row r="5569" spans="1:11" ht="42" customHeight="1">
      <c r="A5569" s="4" t="s">
        <v>12534</v>
      </c>
      <c r="B5569" s="5" t="s">
        <v>12534</v>
      </c>
      <c r="C5569" s="5" t="s">
        <v>75</v>
      </c>
      <c r="D5569" s="5" t="s">
        <v>76</v>
      </c>
      <c r="E5569" s="5" t="s">
        <v>161</v>
      </c>
      <c r="F5569" s="9">
        <v>58</v>
      </c>
      <c r="G5569" s="9">
        <v>657</v>
      </c>
      <c r="H5569" s="5" t="s">
        <v>21</v>
      </c>
      <c r="I5569" s="5" t="s">
        <v>12539</v>
      </c>
      <c r="J5569" s="12" t="str">
        <f>HYPERLINK("https://www.boe.es/gazeta/dias/1801/06/19/pdfs/GMD-1801-58.pdf#page=2","Abrir facsímil")</f>
        <v>Abrir facsímil</v>
      </c>
      <c r="K5569" s="15" t="s">
        <v>23</v>
      </c>
    </row>
    <row r="5570" spans="1:11" ht="42" customHeight="1">
      <c r="A5570" s="4" t="s">
        <v>12534</v>
      </c>
      <c r="B5570" s="5" t="s">
        <v>12534</v>
      </c>
      <c r="C5570" s="5" t="s">
        <v>32</v>
      </c>
      <c r="D5570" s="5" t="s">
        <v>33</v>
      </c>
      <c r="E5570" s="5" t="s">
        <v>194</v>
      </c>
      <c r="F5570" s="9">
        <v>92</v>
      </c>
      <c r="G5570" s="9">
        <v>1007</v>
      </c>
      <c r="H5570" s="5" t="s">
        <v>21</v>
      </c>
      <c r="I5570" s="5" t="s">
        <v>12540</v>
      </c>
      <c r="J5570" s="12" t="str">
        <f>HYPERLINK("https://www.boe.es/gazeta/dias/1801/09/25/pdfs/GMD-1801-92.pdf#page=2","Abrir facsímil")</f>
        <v>Abrir facsímil</v>
      </c>
      <c r="K5570" s="15" t="s">
        <v>23</v>
      </c>
    </row>
    <row r="5571" spans="1:11" ht="42" customHeight="1">
      <c r="A5571" s="4" t="s">
        <v>12534</v>
      </c>
      <c r="B5571" s="5" t="s">
        <v>12534</v>
      </c>
      <c r="C5571" s="5" t="s">
        <v>75</v>
      </c>
      <c r="D5571" s="5" t="s">
        <v>76</v>
      </c>
      <c r="E5571" s="5" t="s">
        <v>501</v>
      </c>
      <c r="F5571" s="9">
        <v>115</v>
      </c>
      <c r="G5571" s="9">
        <v>1251</v>
      </c>
      <c r="H5571" s="5" t="s">
        <v>21</v>
      </c>
      <c r="I5571" s="5" t="s">
        <v>12541</v>
      </c>
      <c r="J5571" s="12" t="str">
        <f>HYPERLINK("https://www.boe.es/gazeta/dias/1801/12/15/pdfs/GMD-1801-115.pdf#page=1","Abrir facsímil")</f>
        <v>Abrir facsímil</v>
      </c>
      <c r="K5571" s="15" t="s">
        <v>23</v>
      </c>
    </row>
    <row r="5572" spans="1:11" ht="42" customHeight="1">
      <c r="A5572" s="4" t="s">
        <v>12534</v>
      </c>
      <c r="B5572" s="5" t="s">
        <v>12534</v>
      </c>
      <c r="C5572" s="5" t="s">
        <v>75</v>
      </c>
      <c r="D5572" s="5" t="s">
        <v>76</v>
      </c>
      <c r="E5572" s="5" t="s">
        <v>935</v>
      </c>
      <c r="F5572" s="9">
        <v>116</v>
      </c>
      <c r="G5572" s="9">
        <v>1261</v>
      </c>
      <c r="H5572" s="5" t="s">
        <v>21</v>
      </c>
      <c r="I5572" s="5" t="s">
        <v>12108</v>
      </c>
      <c r="J5572" s="12" t="str">
        <f>HYPERLINK("https://www.boe.es/gazeta/dias/1801/12/18/pdfs/GMD-1801-116.pdf#page=3","Abrir facsímil")</f>
        <v>Abrir facsímil</v>
      </c>
      <c r="K5572" s="15" t="s">
        <v>23</v>
      </c>
    </row>
    <row r="5573" spans="1:11" ht="42" customHeight="1">
      <c r="A5573" s="4" t="s">
        <v>12534</v>
      </c>
      <c r="B5573" s="5" t="s">
        <v>12534</v>
      </c>
      <c r="C5573" s="5" t="s">
        <v>75</v>
      </c>
      <c r="D5573" s="5" t="s">
        <v>76</v>
      </c>
      <c r="E5573" s="5" t="s">
        <v>935</v>
      </c>
      <c r="F5573" s="9">
        <v>116</v>
      </c>
      <c r="G5573" s="9">
        <v>1266</v>
      </c>
      <c r="H5573" s="5" t="s">
        <v>21</v>
      </c>
      <c r="I5573" s="5" t="s">
        <v>12542</v>
      </c>
      <c r="J5573" s="12" t="str">
        <f>HYPERLINK("https://www.boe.es/gazeta/dias/1801/12/18/pdfs/GMD-1801-116.pdf#page=8","Abrir facsímil")</f>
        <v>Abrir facsímil</v>
      </c>
      <c r="K5573" s="15" t="s">
        <v>23</v>
      </c>
    </row>
    <row r="5574" spans="1:11" ht="42" customHeight="1">
      <c r="A5574" s="4" t="s">
        <v>12543</v>
      </c>
      <c r="B5574" s="5" t="s">
        <v>12543</v>
      </c>
      <c r="C5574" s="5" t="s">
        <v>75</v>
      </c>
      <c r="D5574" s="5" t="s">
        <v>76</v>
      </c>
      <c r="E5574" s="5" t="s">
        <v>289</v>
      </c>
      <c r="F5574" s="9">
        <v>40</v>
      </c>
      <c r="G5574" s="9">
        <v>512</v>
      </c>
      <c r="H5574" s="5" t="s">
        <v>21</v>
      </c>
      <c r="I5574" s="5" t="s">
        <v>12544</v>
      </c>
      <c r="J5574" s="12" t="str">
        <f>HYPERLINK("https://www.boe.es/gazeta/dias/1801/05/19/pdfs/GMD-1801-40.pdf#page=4","Abrir facsímil")</f>
        <v>Abrir facsímil</v>
      </c>
      <c r="K5574" s="15" t="s">
        <v>23</v>
      </c>
    </row>
    <row r="5575" spans="1:11" ht="42" customHeight="1">
      <c r="A5575" s="4" t="s">
        <v>12545</v>
      </c>
      <c r="B5575" s="5" t="s">
        <v>12545</v>
      </c>
      <c r="C5575" s="5" t="s">
        <v>75</v>
      </c>
      <c r="D5575" s="5" t="s">
        <v>76</v>
      </c>
      <c r="E5575" s="5" t="s">
        <v>122</v>
      </c>
      <c r="F5575" s="9">
        <v>8</v>
      </c>
      <c r="G5575" s="9">
        <v>89</v>
      </c>
      <c r="H5575" s="5" t="s">
        <v>21</v>
      </c>
      <c r="I5575" s="5" t="s">
        <v>12546</v>
      </c>
      <c r="J5575" s="12" t="str">
        <f>HYPERLINK("https://www.boe.es/gazeta/dias/1801/01/27/pdfs/GMD-1801-8.pdf#page=1","Abrir facsímil")</f>
        <v>Abrir facsímil</v>
      </c>
      <c r="K5575" s="15" t="s">
        <v>23</v>
      </c>
    </row>
    <row r="5576" spans="1:11" ht="42" customHeight="1">
      <c r="A5576" s="4" t="s">
        <v>12547</v>
      </c>
      <c r="B5576" s="5" t="s">
        <v>12547</v>
      </c>
      <c r="C5576" s="5" t="s">
        <v>75</v>
      </c>
      <c r="D5576" s="5" t="s">
        <v>76</v>
      </c>
      <c r="E5576" s="5" t="s">
        <v>223</v>
      </c>
      <c r="F5576" s="9">
        <v>74</v>
      </c>
      <c r="G5576" s="9">
        <v>822</v>
      </c>
      <c r="H5576" s="5" t="s">
        <v>21</v>
      </c>
      <c r="I5576" s="5" t="s">
        <v>12548</v>
      </c>
      <c r="J5576" s="12" t="str">
        <f>HYPERLINK("https://www.boe.es/gazeta/dias/1801/07/31/pdfs/GMD-1801-74.pdf#page=3","Abrir facsímil")</f>
        <v>Abrir facsímil</v>
      </c>
      <c r="K5576" s="15" t="s">
        <v>23</v>
      </c>
    </row>
    <row r="5577" spans="1:11" ht="42" customHeight="1">
      <c r="A5577" s="4" t="s">
        <v>12549</v>
      </c>
      <c r="B5577" s="5" t="s">
        <v>12549</v>
      </c>
      <c r="C5577" s="5" t="s">
        <v>38</v>
      </c>
      <c r="D5577" s="5" t="s">
        <v>39</v>
      </c>
      <c r="E5577" s="5" t="s">
        <v>751</v>
      </c>
      <c r="F5577" s="9">
        <v>106</v>
      </c>
      <c r="G5577" s="9">
        <v>1162</v>
      </c>
      <c r="H5577" s="5" t="s">
        <v>21</v>
      </c>
      <c r="I5577" s="5" t="s">
        <v>12550</v>
      </c>
      <c r="J5577" s="12" t="str">
        <f>HYPERLINK("https://www.boe.es/gazeta/dias/1801/11/13/pdfs/GMD-1801-106.pdf#page=3","Abrir facsímil")</f>
        <v>Abrir facsímil</v>
      </c>
      <c r="K5577" s="15" t="s">
        <v>23</v>
      </c>
    </row>
    <row r="5578" spans="1:11" ht="42" customHeight="1">
      <c r="A5578" s="4" t="s">
        <v>12551</v>
      </c>
      <c r="B5578" s="5" t="s">
        <v>12551</v>
      </c>
      <c r="C5578" s="5" t="s">
        <v>32</v>
      </c>
      <c r="D5578" s="5" t="s">
        <v>33</v>
      </c>
      <c r="E5578" s="5" t="s">
        <v>723</v>
      </c>
      <c r="F5578" s="9">
        <v>113</v>
      </c>
      <c r="G5578" s="9">
        <v>1233</v>
      </c>
      <c r="H5578" s="5" t="s">
        <v>21</v>
      </c>
      <c r="I5578" s="5" t="s">
        <v>12552</v>
      </c>
      <c r="J5578" s="12" t="str">
        <f>HYPERLINK("https://www.boe.es/gazeta/dias/1801/12/08/pdfs/GMD-1801-113.pdf#page=6","Abrir facsímil")</f>
        <v>Abrir facsímil</v>
      </c>
      <c r="K5578" s="15" t="s">
        <v>23</v>
      </c>
    </row>
    <row r="5579" spans="1:11" ht="42" customHeight="1">
      <c r="A5579" s="4" t="s">
        <v>12553</v>
      </c>
      <c r="B5579" s="5" t="s">
        <v>12553</v>
      </c>
      <c r="C5579" s="5" t="s">
        <v>38</v>
      </c>
      <c r="D5579" s="5" t="s">
        <v>39</v>
      </c>
      <c r="E5579" s="5" t="s">
        <v>251</v>
      </c>
      <c r="F5579" s="9">
        <v>66</v>
      </c>
      <c r="G5579" s="9">
        <v>741</v>
      </c>
      <c r="H5579" s="5" t="s">
        <v>21</v>
      </c>
      <c r="I5579" s="5" t="s">
        <v>12431</v>
      </c>
      <c r="J5579" s="12" t="str">
        <f>HYPERLINK("https://www.boe.es/gazeta/dias/1801/07/10/pdfs/GMD-1801-66.pdf#page=6","Abrir facsímil")</f>
        <v>Abrir facsímil</v>
      </c>
      <c r="K5579" s="15" t="s">
        <v>23</v>
      </c>
    </row>
    <row r="5580" spans="1:11" ht="42" customHeight="1">
      <c r="A5580" s="4" t="s">
        <v>12554</v>
      </c>
      <c r="B5580" s="5" t="s">
        <v>12554</v>
      </c>
      <c r="C5580" s="5" t="s">
        <v>38</v>
      </c>
      <c r="D5580" s="5" t="s">
        <v>39</v>
      </c>
      <c r="E5580" s="5" t="s">
        <v>480</v>
      </c>
      <c r="F5580" s="9">
        <v>10</v>
      </c>
      <c r="G5580" s="9">
        <v>124</v>
      </c>
      <c r="H5580" s="5" t="s">
        <v>21</v>
      </c>
      <c r="I5580" s="5" t="s">
        <v>12555</v>
      </c>
      <c r="J5580" s="12" t="str">
        <f>HYPERLINK("https://www.boe.es/gazeta/dias/1801/02/03/pdfs/GMD-1801-10.pdf#page=9","Abrir facsímil")</f>
        <v>Abrir facsímil</v>
      </c>
      <c r="K5580" s="15" t="s">
        <v>23</v>
      </c>
    </row>
    <row r="5581" spans="1:11" ht="42" customHeight="1">
      <c r="A5581" s="4" t="s">
        <v>12554</v>
      </c>
      <c r="B5581" s="5" t="s">
        <v>12554</v>
      </c>
      <c r="C5581" s="5" t="s">
        <v>38</v>
      </c>
      <c r="D5581" s="5" t="s">
        <v>39</v>
      </c>
      <c r="E5581" s="5" t="s">
        <v>781</v>
      </c>
      <c r="F5581" s="9">
        <v>14</v>
      </c>
      <c r="G5581" s="9">
        <v>172</v>
      </c>
      <c r="H5581" s="5" t="s">
        <v>21</v>
      </c>
      <c r="I5581" s="5" t="s">
        <v>12556</v>
      </c>
      <c r="J5581" s="12" t="str">
        <f>HYPERLINK("https://www.boe.es/gazeta/dias/1801/02/17/pdfs/GMD-1801-14.pdf#page=7","Abrir facsímil")</f>
        <v>Abrir facsímil</v>
      </c>
      <c r="K5581" s="15" t="s">
        <v>23</v>
      </c>
    </row>
    <row r="5582" spans="1:11" ht="42" customHeight="1">
      <c r="A5582" s="4" t="s">
        <v>12554</v>
      </c>
      <c r="B5582" s="5" t="s">
        <v>12554</v>
      </c>
      <c r="C5582" s="5" t="s">
        <v>38</v>
      </c>
      <c r="D5582" s="5" t="s">
        <v>39</v>
      </c>
      <c r="E5582" s="5" t="s">
        <v>141</v>
      </c>
      <c r="F5582" s="9">
        <v>33</v>
      </c>
      <c r="G5582" s="9">
        <v>426</v>
      </c>
      <c r="H5582" s="5" t="s">
        <v>21</v>
      </c>
      <c r="I5582" s="5" t="s">
        <v>12557</v>
      </c>
      <c r="J5582" s="12" t="str">
        <f>HYPERLINK("https://www.boe.es/gazeta/dias/1801/04/24/pdfs/GMD-1801-33.pdf#page=10","Abrir facsímil")</f>
        <v>Abrir facsímil</v>
      </c>
      <c r="K5582" s="15" t="s">
        <v>23</v>
      </c>
    </row>
    <row r="5583" spans="1:11" ht="42" customHeight="1">
      <c r="A5583" s="4" t="s">
        <v>12554</v>
      </c>
      <c r="B5583" s="5" t="s">
        <v>12554</v>
      </c>
      <c r="C5583" s="5" t="s">
        <v>38</v>
      </c>
      <c r="D5583" s="5" t="s">
        <v>39</v>
      </c>
      <c r="E5583" s="5" t="s">
        <v>143</v>
      </c>
      <c r="F5583" s="9">
        <v>34</v>
      </c>
      <c r="G5583" s="9">
        <v>436</v>
      </c>
      <c r="H5583" s="5" t="s">
        <v>21</v>
      </c>
      <c r="I5583" s="5" t="s">
        <v>12558</v>
      </c>
      <c r="J5583" s="12" t="str">
        <f>HYPERLINK("https://www.boe.es/gazeta/dias/1801/04/28/pdfs/GMD-1801-34.pdf#page=8","Abrir facsímil")</f>
        <v>Abrir facsímil</v>
      </c>
      <c r="K5583" s="15" t="s">
        <v>23</v>
      </c>
    </row>
    <row r="5584" spans="1:11" ht="42" customHeight="1">
      <c r="A5584" s="4" t="s">
        <v>12554</v>
      </c>
      <c r="B5584" s="5" t="s">
        <v>12554</v>
      </c>
      <c r="C5584" s="5" t="s">
        <v>75</v>
      </c>
      <c r="D5584" s="5" t="s">
        <v>76</v>
      </c>
      <c r="E5584" s="5" t="s">
        <v>165</v>
      </c>
      <c r="F5584" s="9">
        <v>59</v>
      </c>
      <c r="G5584" s="9">
        <v>673</v>
      </c>
      <c r="H5584" s="5" t="s">
        <v>21</v>
      </c>
      <c r="I5584" s="5" t="s">
        <v>12559</v>
      </c>
      <c r="J5584" s="12" t="str">
        <f>HYPERLINK("https://www.boe.es/gazeta/dias/1801/06/23/pdfs/GMD-1801-59.pdf#page=6","Abrir facsímil")</f>
        <v>Abrir facsímil</v>
      </c>
      <c r="K5584" s="15" t="s">
        <v>23</v>
      </c>
    </row>
    <row r="5585" spans="1:11" ht="42" customHeight="1">
      <c r="A5585" s="4" t="s">
        <v>12554</v>
      </c>
      <c r="B5585" s="5" t="s">
        <v>12554</v>
      </c>
      <c r="C5585" s="5" t="s">
        <v>38</v>
      </c>
      <c r="D5585" s="5" t="s">
        <v>39</v>
      </c>
      <c r="E5585" s="5" t="s">
        <v>615</v>
      </c>
      <c r="F5585" s="9">
        <v>72</v>
      </c>
      <c r="G5585" s="9">
        <v>801</v>
      </c>
      <c r="H5585" s="5" t="s">
        <v>21</v>
      </c>
      <c r="I5585" s="5" t="s">
        <v>12560</v>
      </c>
      <c r="J5585" s="12" t="str">
        <f>HYPERLINK("https://www.boe.es/gazeta/dias/1801/07/24/pdfs/GMD-1801-72.pdf#page=6","Abrir facsímil")</f>
        <v>Abrir facsímil</v>
      </c>
      <c r="K5585" s="15" t="s">
        <v>23</v>
      </c>
    </row>
    <row r="5586" spans="1:11" ht="42" customHeight="1">
      <c r="A5586" s="4" t="s">
        <v>12554</v>
      </c>
      <c r="B5586" s="5" t="s">
        <v>12554</v>
      </c>
      <c r="C5586" s="5" t="s">
        <v>32</v>
      </c>
      <c r="D5586" s="5" t="s">
        <v>33</v>
      </c>
      <c r="E5586" s="5" t="s">
        <v>55</v>
      </c>
      <c r="F5586" s="9">
        <v>104</v>
      </c>
      <c r="G5586" s="9">
        <v>1143</v>
      </c>
      <c r="H5586" s="5" t="s">
        <v>21</v>
      </c>
      <c r="I5586" s="5" t="s">
        <v>12561</v>
      </c>
      <c r="J5586" s="12" t="str">
        <f>HYPERLINK("https://www.boe.es/gazeta/dias/1801/11/06/pdfs/GMD-1801-104.pdf#page=4","Abrir facsímil")</f>
        <v>Abrir facsímil</v>
      </c>
      <c r="K5586" s="15" t="s">
        <v>23</v>
      </c>
    </row>
    <row r="5587" spans="1:11" ht="42" customHeight="1">
      <c r="A5587" s="4" t="s">
        <v>12554</v>
      </c>
      <c r="B5587" s="5" t="s">
        <v>12554</v>
      </c>
      <c r="C5587" s="5" t="s">
        <v>38</v>
      </c>
      <c r="D5587" s="5" t="s">
        <v>39</v>
      </c>
      <c r="E5587" s="5" t="s">
        <v>112</v>
      </c>
      <c r="F5587" s="9">
        <v>114</v>
      </c>
      <c r="G5587" s="9">
        <v>1245</v>
      </c>
      <c r="H5587" s="5" t="s">
        <v>21</v>
      </c>
      <c r="I5587" s="5" t="s">
        <v>12562</v>
      </c>
      <c r="J5587" s="12" t="str">
        <f>HYPERLINK("https://www.boe.es/gazeta/dias/1801/12/11/pdfs/GMD-1801-114.pdf#page=7","Abrir facsímil")</f>
        <v>Abrir facsímil</v>
      </c>
      <c r="K5587" s="15" t="s">
        <v>23</v>
      </c>
    </row>
    <row r="5588" spans="1:11" ht="42" customHeight="1">
      <c r="A5588" s="4" t="s">
        <v>12563</v>
      </c>
      <c r="B5588" s="5" t="s">
        <v>12563</v>
      </c>
      <c r="C5588" s="5" t="s">
        <v>38</v>
      </c>
      <c r="D5588" s="5" t="s">
        <v>39</v>
      </c>
      <c r="E5588" s="5" t="s">
        <v>97</v>
      </c>
      <c r="F5588" s="9">
        <v>31</v>
      </c>
      <c r="G5588" s="9">
        <v>401</v>
      </c>
      <c r="H5588" s="5" t="s">
        <v>21</v>
      </c>
      <c r="I5588" s="5" t="s">
        <v>12564</v>
      </c>
      <c r="J5588" s="12" t="str">
        <f>HYPERLINK("https://www.boe.es/gazeta/dias/1801/04/17/pdfs/GMD-1801-31.pdf#page=5","Abrir facsímil")</f>
        <v>Abrir facsímil</v>
      </c>
      <c r="K5588" s="15" t="s">
        <v>23</v>
      </c>
    </row>
    <row r="5589" spans="1:11" ht="42" customHeight="1">
      <c r="A5589" s="4" t="s">
        <v>12563</v>
      </c>
      <c r="B5589" s="5" t="s">
        <v>12563</v>
      </c>
      <c r="C5589" s="5" t="s">
        <v>38</v>
      </c>
      <c r="D5589" s="5" t="s">
        <v>39</v>
      </c>
      <c r="E5589" s="5" t="s">
        <v>735</v>
      </c>
      <c r="F5589" s="9">
        <v>97</v>
      </c>
      <c r="G5589" s="9">
        <v>1061</v>
      </c>
      <c r="H5589" s="5" t="s">
        <v>21</v>
      </c>
      <c r="I5589" s="5" t="s">
        <v>12565</v>
      </c>
      <c r="J5589" s="12" t="str">
        <f>HYPERLINK("https://www.boe.es/gazeta/dias/1801/10/13/pdfs/GMD-1801-97.pdf#page=5","Abrir facsímil")</f>
        <v>Abrir facsímil</v>
      </c>
      <c r="K5589" s="15" t="s">
        <v>23</v>
      </c>
    </row>
    <row r="5590" spans="1:11" ht="42" customHeight="1">
      <c r="A5590" s="4" t="s">
        <v>12566</v>
      </c>
      <c r="B5590" s="5" t="s">
        <v>12566</v>
      </c>
      <c r="C5590" s="5" t="s">
        <v>75</v>
      </c>
      <c r="D5590" s="5" t="s">
        <v>76</v>
      </c>
      <c r="E5590" s="5" t="s">
        <v>888</v>
      </c>
      <c r="F5590" s="9">
        <v>103</v>
      </c>
      <c r="G5590" s="9">
        <v>1132</v>
      </c>
      <c r="H5590" s="5" t="s">
        <v>21</v>
      </c>
      <c r="I5590" s="5" t="s">
        <v>12567</v>
      </c>
      <c r="J5590" s="12" t="str">
        <f>HYPERLINK("https://www.boe.es/gazeta/dias/1801/11/03/pdfs/GMD-1801-103.pdf#page=5","Abrir facsímil")</f>
        <v>Abrir facsímil</v>
      </c>
      <c r="K5590" s="15" t="s">
        <v>23</v>
      </c>
    </row>
    <row r="5591" spans="1:11" ht="42" customHeight="1">
      <c r="A5591" s="4" t="s">
        <v>12568</v>
      </c>
      <c r="B5591" s="5" t="s">
        <v>12568</v>
      </c>
      <c r="C5591" s="5" t="s">
        <v>32</v>
      </c>
      <c r="D5591" s="5" t="s">
        <v>33</v>
      </c>
      <c r="E5591" s="5" t="s">
        <v>251</v>
      </c>
      <c r="F5591" s="9">
        <v>66</v>
      </c>
      <c r="G5591" s="9">
        <v>739</v>
      </c>
      <c r="H5591" s="5" t="s">
        <v>21</v>
      </c>
      <c r="I5591" s="5" t="s">
        <v>12569</v>
      </c>
      <c r="J5591" s="12" t="str">
        <f>HYPERLINK("https://www.boe.es/gazeta/dias/1801/07/10/pdfs/GMD-1801-66.pdf#page=4","Abrir facsímil")</f>
        <v>Abrir facsímil</v>
      </c>
      <c r="K5591" s="15" t="s">
        <v>23</v>
      </c>
    </row>
    <row r="5592" spans="1:11" ht="42" customHeight="1">
      <c r="A5592" s="4" t="s">
        <v>12570</v>
      </c>
      <c r="B5592" s="5" t="s">
        <v>12570</v>
      </c>
      <c r="C5592" s="5" t="s">
        <v>75</v>
      </c>
      <c r="D5592" s="5" t="s">
        <v>76</v>
      </c>
      <c r="E5592" s="5" t="s">
        <v>2237</v>
      </c>
      <c r="F5592" s="9">
        <v>82</v>
      </c>
      <c r="G5592" s="9">
        <v>913</v>
      </c>
      <c r="H5592" s="5" t="s">
        <v>21</v>
      </c>
      <c r="I5592" s="5" t="s">
        <v>12571</v>
      </c>
      <c r="J5592" s="12" t="str">
        <f>HYPERLINK("https://www.boe.es/gazeta/dias/1801/08/28/pdfs/GMD-1801-82.pdf#page=2","Abrir facsímil")</f>
        <v>Abrir facsímil</v>
      </c>
      <c r="K5592" s="15" t="s">
        <v>23</v>
      </c>
    </row>
    <row r="5593" spans="1:11" ht="42" customHeight="1">
      <c r="A5593" s="4" t="s">
        <v>12572</v>
      </c>
      <c r="B5593" s="5" t="s">
        <v>12572</v>
      </c>
      <c r="C5593" s="5" t="s">
        <v>32</v>
      </c>
      <c r="D5593" s="5" t="s">
        <v>33</v>
      </c>
      <c r="E5593" s="5" t="s">
        <v>141</v>
      </c>
      <c r="F5593" s="9">
        <v>33</v>
      </c>
      <c r="G5593" s="9">
        <v>425</v>
      </c>
      <c r="H5593" s="5" t="s">
        <v>21</v>
      </c>
      <c r="I5593" s="5" t="s">
        <v>12573</v>
      </c>
      <c r="J5593" s="12" t="str">
        <f>HYPERLINK("https://www.boe.es/gazeta/dias/1801/04/24/pdfs/GMD-1801-33.pdf#page=9","Abrir facsímil")</f>
        <v>Abrir facsímil</v>
      </c>
      <c r="K5593" s="15" t="s">
        <v>23</v>
      </c>
    </row>
    <row r="5594" spans="1:11" ht="42" customHeight="1">
      <c r="A5594" s="4" t="s">
        <v>12574</v>
      </c>
      <c r="B5594" s="5" t="s">
        <v>12574</v>
      </c>
      <c r="C5594" s="5" t="s">
        <v>38</v>
      </c>
      <c r="D5594" s="5" t="s">
        <v>39</v>
      </c>
      <c r="E5594" s="5" t="s">
        <v>378</v>
      </c>
      <c r="F5594" s="9">
        <v>23</v>
      </c>
      <c r="G5594" s="9">
        <v>303</v>
      </c>
      <c r="H5594" s="5" t="s">
        <v>21</v>
      </c>
      <c r="I5594" s="5" t="s">
        <v>12575</v>
      </c>
      <c r="J5594" s="12" t="str">
        <f>HYPERLINK("https://www.boe.es/gazeta/dias/1801/03/20/pdfs/GMD-1801-23.pdf#page=6","Abrir facsímil")</f>
        <v>Abrir facsímil</v>
      </c>
      <c r="K5594" s="15" t="s">
        <v>23</v>
      </c>
    </row>
    <row r="5595" spans="1:11" ht="42" customHeight="1">
      <c r="A5595" s="4" t="s">
        <v>12576</v>
      </c>
      <c r="B5595" s="5" t="s">
        <v>12576</v>
      </c>
      <c r="C5595" s="5" t="s">
        <v>32</v>
      </c>
      <c r="D5595" s="5" t="s">
        <v>33</v>
      </c>
      <c r="E5595" s="5" t="s">
        <v>48</v>
      </c>
      <c r="F5595" s="9">
        <v>20</v>
      </c>
      <c r="G5595" s="9">
        <v>258</v>
      </c>
      <c r="H5595" s="5" t="s">
        <v>21</v>
      </c>
      <c r="I5595" s="5" t="s">
        <v>12577</v>
      </c>
      <c r="J5595" s="12" t="str">
        <f>HYPERLINK("https://www.boe.es/gazeta/dias/1801/03/10/pdfs/GMD-1801-20.pdf#page=3","Abrir facsímil")</f>
        <v>Abrir facsímil</v>
      </c>
      <c r="K5595" s="15" t="s">
        <v>23</v>
      </c>
    </row>
    <row r="5596" spans="1:11" ht="42" customHeight="1">
      <c r="A5596" s="4" t="s">
        <v>12578</v>
      </c>
      <c r="B5596" s="5" t="s">
        <v>12578</v>
      </c>
      <c r="C5596" s="5" t="s">
        <v>75</v>
      </c>
      <c r="D5596" s="5" t="s">
        <v>76</v>
      </c>
      <c r="E5596" s="5" t="s">
        <v>169</v>
      </c>
      <c r="F5596" s="9">
        <v>70</v>
      </c>
      <c r="G5596" s="9">
        <v>773</v>
      </c>
      <c r="H5596" s="5" t="s">
        <v>21</v>
      </c>
      <c r="I5596" s="5" t="s">
        <v>12579</v>
      </c>
      <c r="J5596" s="12" t="str">
        <f>HYPERLINK("https://www.boe.es/gazeta/dias/1801/07/17/pdfs/GMD-1801-70.pdf#page=6","Abrir facsímil")</f>
        <v>Abrir facsímil</v>
      </c>
      <c r="K5596" s="15" t="s">
        <v>23</v>
      </c>
    </row>
    <row r="5597" spans="1:11" ht="42" customHeight="1">
      <c r="A5597" s="4" t="s">
        <v>12580</v>
      </c>
      <c r="B5597" s="5" t="s">
        <v>12580</v>
      </c>
      <c r="C5597" s="5" t="s">
        <v>32</v>
      </c>
      <c r="D5597" s="5" t="s">
        <v>33</v>
      </c>
      <c r="E5597" s="5" t="s">
        <v>128</v>
      </c>
      <c r="F5597" s="9">
        <v>17</v>
      </c>
      <c r="G5597" s="9">
        <v>210</v>
      </c>
      <c r="H5597" s="5" t="s">
        <v>21</v>
      </c>
      <c r="I5597" s="5" t="s">
        <v>12581</v>
      </c>
      <c r="J5597" s="12" t="str">
        <f>HYPERLINK("https://www.boe.es/gazeta/dias/1801/02/27/pdfs/GMD-1801-17.pdf#page=5","Abrir facsímil")</f>
        <v>Abrir facsímil</v>
      </c>
      <c r="K5597" s="15" t="s">
        <v>23</v>
      </c>
    </row>
    <row r="5598" spans="1:11" ht="42" customHeight="1">
      <c r="A5598" s="4" t="s">
        <v>12582</v>
      </c>
      <c r="B5598" s="5" t="s">
        <v>12582</v>
      </c>
      <c r="C5598" s="5" t="s">
        <v>38</v>
      </c>
      <c r="D5598" s="5" t="s">
        <v>39</v>
      </c>
      <c r="E5598" s="5" t="s">
        <v>480</v>
      </c>
      <c r="F5598" s="9">
        <v>10</v>
      </c>
      <c r="G5598" s="9">
        <v>123</v>
      </c>
      <c r="H5598" s="5" t="s">
        <v>21</v>
      </c>
      <c r="I5598" s="5" t="s">
        <v>12583</v>
      </c>
      <c r="J5598" s="12" t="str">
        <f>HYPERLINK("https://www.boe.es/gazeta/dias/1801/02/03/pdfs/GMD-1801-10.pdf#page=8","Abrir facsímil")</f>
        <v>Abrir facsímil</v>
      </c>
      <c r="K5598" s="15" t="s">
        <v>23</v>
      </c>
    </row>
    <row r="5599" spans="1:11" ht="42" customHeight="1">
      <c r="A5599" s="4" t="s">
        <v>12584</v>
      </c>
      <c r="B5599" s="5" t="s">
        <v>12584</v>
      </c>
      <c r="C5599" s="5" t="s">
        <v>38</v>
      </c>
      <c r="D5599" s="5" t="s">
        <v>39</v>
      </c>
      <c r="E5599" s="5" t="s">
        <v>317</v>
      </c>
      <c r="F5599" s="9">
        <v>102</v>
      </c>
      <c r="G5599" s="9">
        <v>1120</v>
      </c>
      <c r="H5599" s="5" t="s">
        <v>21</v>
      </c>
      <c r="I5599" s="5" t="s">
        <v>12585</v>
      </c>
      <c r="J5599" s="12" t="str">
        <f>HYPERLINK("https://www.boe.es/gazeta/dias/1801/10/30/pdfs/GMD-1801-102.pdf#page=5","Abrir facsímil")</f>
        <v>Abrir facsímil</v>
      </c>
      <c r="K5599" s="15" t="s">
        <v>23</v>
      </c>
    </row>
    <row r="5600" spans="1:11" ht="42" customHeight="1">
      <c r="A5600" s="4" t="s">
        <v>12586</v>
      </c>
      <c r="B5600" s="5" t="s">
        <v>12586</v>
      </c>
      <c r="C5600" s="5" t="s">
        <v>75</v>
      </c>
      <c r="D5600" s="5" t="s">
        <v>76</v>
      </c>
      <c r="E5600" s="5" t="s">
        <v>40</v>
      </c>
      <c r="F5600" s="9">
        <v>63</v>
      </c>
      <c r="G5600" s="9">
        <v>710</v>
      </c>
      <c r="H5600" s="5" t="s">
        <v>21</v>
      </c>
      <c r="I5600" s="5" t="s">
        <v>12587</v>
      </c>
      <c r="J5600" s="12" t="str">
        <f>HYPERLINK("https://www.boe.es/gazeta/dias/1801/07/03/pdfs/GMD-1801-63.pdf#page=7","Abrir facsímil")</f>
        <v>Abrir facsímil</v>
      </c>
      <c r="K5600" s="15" t="s">
        <v>23</v>
      </c>
    </row>
    <row r="5601" spans="1:11" ht="42" customHeight="1">
      <c r="A5601" s="4" t="s">
        <v>12588</v>
      </c>
      <c r="B5601" s="5" t="s">
        <v>12588</v>
      </c>
      <c r="C5601" s="5" t="s">
        <v>32</v>
      </c>
      <c r="D5601" s="5" t="s">
        <v>33</v>
      </c>
      <c r="E5601" s="5" t="s">
        <v>349</v>
      </c>
      <c r="F5601" s="9">
        <v>112</v>
      </c>
      <c r="G5601" s="9">
        <v>1225</v>
      </c>
      <c r="H5601" s="5" t="s">
        <v>21</v>
      </c>
      <c r="I5601" s="5" t="s">
        <v>12589</v>
      </c>
      <c r="J5601" s="12" t="str">
        <f>HYPERLINK("https://www.boe.es/gazeta/dias/1801/12/04/pdfs/GMD-1801-112.pdf#page=6","Abrir facsímil")</f>
        <v>Abrir facsímil</v>
      </c>
      <c r="K5601" s="15" t="s">
        <v>23</v>
      </c>
    </row>
    <row r="5602" spans="1:11" ht="42" customHeight="1">
      <c r="A5602" s="4" t="s">
        <v>12590</v>
      </c>
      <c r="B5602" s="5" t="s">
        <v>12590</v>
      </c>
      <c r="C5602" s="5" t="s">
        <v>38</v>
      </c>
      <c r="D5602" s="5" t="s">
        <v>39</v>
      </c>
      <c r="E5602" s="5" t="s">
        <v>289</v>
      </c>
      <c r="F5602" s="9">
        <v>40</v>
      </c>
      <c r="G5602" s="9">
        <v>515</v>
      </c>
      <c r="H5602" s="5" t="s">
        <v>21</v>
      </c>
      <c r="I5602" s="5" t="s">
        <v>12591</v>
      </c>
      <c r="J5602" s="12" t="str">
        <f>HYPERLINK("https://www.boe.es/gazeta/dias/1801/05/19/pdfs/GMD-1801-40.pdf#page=7","Abrir facsímil")</f>
        <v>Abrir facsímil</v>
      </c>
      <c r="K5602" s="15" t="s">
        <v>23</v>
      </c>
    </row>
    <row r="5603" spans="1:11" ht="42" customHeight="1">
      <c r="A5603" s="4" t="s">
        <v>12592</v>
      </c>
      <c r="B5603" s="5" t="s">
        <v>12592</v>
      </c>
      <c r="C5603" s="5" t="s">
        <v>32</v>
      </c>
      <c r="D5603" s="5" t="s">
        <v>33</v>
      </c>
      <c r="E5603" s="5" t="s">
        <v>186</v>
      </c>
      <c r="F5603" s="9">
        <v>21</v>
      </c>
      <c r="G5603" s="9">
        <v>277</v>
      </c>
      <c r="H5603" s="5" t="s">
        <v>21</v>
      </c>
      <c r="I5603" s="5" t="s">
        <v>12593</v>
      </c>
      <c r="J5603" s="12" t="str">
        <f>HYPERLINK("https://www.boe.es/gazeta/dias/1801/03/13/pdfs/GMD-1801-21.pdf#page=6","Abrir facsímil")</f>
        <v>Abrir facsímil</v>
      </c>
      <c r="K5603" s="15" t="s">
        <v>23</v>
      </c>
    </row>
    <row r="5604" spans="1:11" ht="42" customHeight="1">
      <c r="A5604" s="4" t="s">
        <v>12594</v>
      </c>
      <c r="B5604" s="5" t="s">
        <v>12594</v>
      </c>
      <c r="C5604" s="5" t="s">
        <v>38</v>
      </c>
      <c r="D5604" s="5" t="s">
        <v>39</v>
      </c>
      <c r="E5604" s="5" t="s">
        <v>141</v>
      </c>
      <c r="F5604" s="9">
        <v>33</v>
      </c>
      <c r="G5604" s="9">
        <v>426</v>
      </c>
      <c r="H5604" s="5" t="s">
        <v>21</v>
      </c>
      <c r="I5604" s="5" t="s">
        <v>12595</v>
      </c>
      <c r="J5604" s="12" t="str">
        <f>HYPERLINK("https://www.boe.es/gazeta/dias/1801/04/24/pdfs/GMD-1801-33.pdf#page=10","Abrir facsímil")</f>
        <v>Abrir facsímil</v>
      </c>
      <c r="K5604" s="15" t="s">
        <v>23</v>
      </c>
    </row>
    <row r="5605" spans="1:11" ht="42" customHeight="1">
      <c r="A5605" s="4" t="s">
        <v>12596</v>
      </c>
      <c r="B5605" s="5" t="s">
        <v>12596</v>
      </c>
      <c r="C5605" s="5" t="s">
        <v>38</v>
      </c>
      <c r="D5605" s="5" t="s">
        <v>39</v>
      </c>
      <c r="E5605" s="5" t="s">
        <v>141</v>
      </c>
      <c r="F5605" s="9">
        <v>33</v>
      </c>
      <c r="G5605" s="9">
        <v>426</v>
      </c>
      <c r="H5605" s="5" t="s">
        <v>21</v>
      </c>
      <c r="I5605" s="5" t="s">
        <v>12597</v>
      </c>
      <c r="J5605" s="12" t="str">
        <f>HYPERLINK("https://www.boe.es/gazeta/dias/1801/04/24/pdfs/GMD-1801-33.pdf#page=10","Abrir facsímil")</f>
        <v>Abrir facsímil</v>
      </c>
      <c r="K5605" s="15" t="s">
        <v>23</v>
      </c>
    </row>
    <row r="5606" spans="1:11" ht="42" customHeight="1">
      <c r="A5606" s="4" t="s">
        <v>12598</v>
      </c>
      <c r="B5606" s="5" t="s">
        <v>12598</v>
      </c>
      <c r="C5606" s="5" t="s">
        <v>32</v>
      </c>
      <c r="D5606" s="5" t="s">
        <v>33</v>
      </c>
      <c r="E5606" s="5" t="s">
        <v>317</v>
      </c>
      <c r="F5606" s="9">
        <v>102</v>
      </c>
      <c r="G5606" s="9">
        <v>1119</v>
      </c>
      <c r="H5606" s="5" t="s">
        <v>21</v>
      </c>
      <c r="I5606" s="5" t="s">
        <v>12599</v>
      </c>
      <c r="J5606" s="12" t="str">
        <f>HYPERLINK("https://www.boe.es/gazeta/dias/1801/10/30/pdfs/GMD-1801-102.pdf#page=4","Abrir facsímil")</f>
        <v>Abrir facsímil</v>
      </c>
      <c r="K5606" s="15" t="s">
        <v>23</v>
      </c>
    </row>
    <row r="5607" spans="1:11" ht="42" customHeight="1">
      <c r="A5607" s="4" t="s">
        <v>12600</v>
      </c>
      <c r="B5607" s="5" t="s">
        <v>12600</v>
      </c>
      <c r="C5607" s="5" t="s">
        <v>32</v>
      </c>
      <c r="D5607" s="5" t="s">
        <v>33</v>
      </c>
      <c r="E5607" s="5" t="s">
        <v>781</v>
      </c>
      <c r="F5607" s="9">
        <v>14</v>
      </c>
      <c r="G5607" s="9">
        <v>169</v>
      </c>
      <c r="H5607" s="5" t="s">
        <v>21</v>
      </c>
      <c r="I5607" s="5" t="s">
        <v>12601</v>
      </c>
      <c r="J5607" s="12" t="str">
        <f>HYPERLINK("https://www.boe.es/gazeta/dias/1801/02/17/pdfs/GMD-1801-14.pdf#page=4","Abrir facsímil")</f>
        <v>Abrir facsímil</v>
      </c>
      <c r="K5607" s="15" t="s">
        <v>23</v>
      </c>
    </row>
    <row r="5608" spans="1:11" ht="42" customHeight="1">
      <c r="A5608" s="4" t="s">
        <v>12602</v>
      </c>
      <c r="B5608" s="5" t="s">
        <v>12602</v>
      </c>
      <c r="C5608" s="5" t="s">
        <v>38</v>
      </c>
      <c r="D5608" s="5" t="s">
        <v>39</v>
      </c>
      <c r="E5608" s="5" t="s">
        <v>141</v>
      </c>
      <c r="F5608" s="9">
        <v>33</v>
      </c>
      <c r="G5608" s="9">
        <v>426</v>
      </c>
      <c r="H5608" s="5" t="s">
        <v>21</v>
      </c>
      <c r="I5608" s="5" t="s">
        <v>12603</v>
      </c>
      <c r="J5608" s="12" t="str">
        <f>HYPERLINK("https://www.boe.es/gazeta/dias/1801/04/24/pdfs/GMD-1801-33.pdf#page=10","Abrir facsímil")</f>
        <v>Abrir facsímil</v>
      </c>
      <c r="K5608" s="15" t="s">
        <v>23</v>
      </c>
    </row>
    <row r="5609" spans="1:11" ht="42" customHeight="1">
      <c r="A5609" s="4" t="s">
        <v>12604</v>
      </c>
      <c r="B5609" s="5" t="s">
        <v>12604</v>
      </c>
      <c r="C5609" s="5" t="s">
        <v>75</v>
      </c>
      <c r="D5609" s="5" t="s">
        <v>76</v>
      </c>
      <c r="E5609" s="5" t="s">
        <v>465</v>
      </c>
      <c r="F5609" s="9">
        <v>4</v>
      </c>
      <c r="G5609" s="9">
        <v>40</v>
      </c>
      <c r="H5609" s="5" t="s">
        <v>21</v>
      </c>
      <c r="I5609" s="5" t="s">
        <v>12605</v>
      </c>
      <c r="J5609" s="12" t="str">
        <f>HYPERLINK("https://www.boe.es/gazeta/dias/1801/01/13/pdfs/GMD-1801-4.pdf#page=4","Abrir facsímil")</f>
        <v>Abrir facsímil</v>
      </c>
      <c r="K5609" s="15" t="s">
        <v>23</v>
      </c>
    </row>
    <row r="5610" spans="1:11" ht="42" customHeight="1">
      <c r="A5610" s="4" t="s">
        <v>12604</v>
      </c>
      <c r="B5610" s="5" t="s">
        <v>12604</v>
      </c>
      <c r="C5610" s="5" t="s">
        <v>75</v>
      </c>
      <c r="D5610" s="5" t="s">
        <v>76</v>
      </c>
      <c r="E5610" s="5" t="s">
        <v>781</v>
      </c>
      <c r="F5610" s="9">
        <v>14</v>
      </c>
      <c r="G5610" s="9">
        <v>166</v>
      </c>
      <c r="H5610" s="5" t="s">
        <v>21</v>
      </c>
      <c r="I5610" s="5" t="s">
        <v>12606</v>
      </c>
      <c r="J5610" s="12" t="str">
        <f>HYPERLINK("https://www.boe.es/gazeta/dias/1801/02/17/pdfs/GMD-1801-14.pdf#page=1","Abrir facsímil")</f>
        <v>Abrir facsímil</v>
      </c>
      <c r="K5610" s="15" t="s">
        <v>23</v>
      </c>
    </row>
    <row r="5611" spans="1:11" ht="42" customHeight="1">
      <c r="A5611" s="4" t="s">
        <v>12604</v>
      </c>
      <c r="B5611" s="5" t="s">
        <v>12604</v>
      </c>
      <c r="C5611" s="5" t="s">
        <v>32</v>
      </c>
      <c r="D5611" s="5" t="s">
        <v>33</v>
      </c>
      <c r="E5611" s="5" t="s">
        <v>186</v>
      </c>
      <c r="F5611" s="9">
        <v>21</v>
      </c>
      <c r="G5611" s="9">
        <v>274</v>
      </c>
      <c r="H5611" s="5" t="s">
        <v>21</v>
      </c>
      <c r="I5611" s="5" t="s">
        <v>12607</v>
      </c>
      <c r="J5611" s="12" t="str">
        <f>HYPERLINK("https://www.boe.es/gazeta/dias/1801/03/13/pdfs/GMD-1801-21.pdf#page=3","Abrir facsímil")</f>
        <v>Abrir facsímil</v>
      </c>
      <c r="K5611" s="15" t="s">
        <v>23</v>
      </c>
    </row>
    <row r="5612" spans="1:11" ht="42" customHeight="1">
      <c r="A5612" s="4" t="s">
        <v>12604</v>
      </c>
      <c r="B5612" s="5" t="s">
        <v>12604</v>
      </c>
      <c r="C5612" s="5" t="s">
        <v>75</v>
      </c>
      <c r="D5612" s="5" t="s">
        <v>76</v>
      </c>
      <c r="E5612" s="5" t="s">
        <v>378</v>
      </c>
      <c r="F5612" s="9">
        <v>23</v>
      </c>
      <c r="G5612" s="9">
        <v>298</v>
      </c>
      <c r="H5612" s="5" t="s">
        <v>21</v>
      </c>
      <c r="I5612" s="5" t="s">
        <v>12608</v>
      </c>
      <c r="J5612" s="12" t="str">
        <f>HYPERLINK("https://www.boe.es/gazeta/dias/1801/03/20/pdfs/GMD-1801-23.pdf#page=1","Abrir facsímil")</f>
        <v>Abrir facsímil</v>
      </c>
      <c r="K5612" s="15" t="s">
        <v>23</v>
      </c>
    </row>
    <row r="5613" spans="1:11" ht="42" customHeight="1">
      <c r="A5613" s="4" t="s">
        <v>12604</v>
      </c>
      <c r="B5613" s="5" t="s">
        <v>12604</v>
      </c>
      <c r="C5613" s="5" t="s">
        <v>32</v>
      </c>
      <c r="D5613" s="5" t="s">
        <v>33</v>
      </c>
      <c r="E5613" s="5" t="s">
        <v>165</v>
      </c>
      <c r="F5613" s="9">
        <v>59</v>
      </c>
      <c r="G5613" s="9">
        <v>669</v>
      </c>
      <c r="H5613" s="5" t="s">
        <v>21</v>
      </c>
      <c r="I5613" s="5" t="s">
        <v>12609</v>
      </c>
      <c r="J5613" s="12" t="str">
        <f>HYPERLINK("https://www.boe.es/gazeta/dias/1801/06/23/pdfs/GMD-1801-59.pdf#page=2","Abrir facsímil")</f>
        <v>Abrir facsímil</v>
      </c>
      <c r="K5613" s="15" t="s">
        <v>23</v>
      </c>
    </row>
    <row r="5614" spans="1:11" ht="42" customHeight="1">
      <c r="A5614" s="4" t="s">
        <v>12604</v>
      </c>
      <c r="B5614" s="5" t="s">
        <v>12604</v>
      </c>
      <c r="C5614" s="5" t="s">
        <v>75</v>
      </c>
      <c r="D5614" s="5" t="s">
        <v>76</v>
      </c>
      <c r="E5614" s="5" t="s">
        <v>40</v>
      </c>
      <c r="F5614" s="9">
        <v>63</v>
      </c>
      <c r="G5614" s="9">
        <v>704</v>
      </c>
      <c r="H5614" s="5" t="s">
        <v>21</v>
      </c>
      <c r="I5614" s="5" t="s">
        <v>12610</v>
      </c>
      <c r="J5614" s="12" t="str">
        <f>HYPERLINK("https://www.boe.es/gazeta/dias/1801/07/03/pdfs/GMD-1801-63.pdf#page=1","Abrir facsímil")</f>
        <v>Abrir facsímil</v>
      </c>
      <c r="K5614" s="15" t="s">
        <v>23</v>
      </c>
    </row>
    <row r="5615" spans="1:11" ht="42" customHeight="1">
      <c r="A5615" s="4" t="s">
        <v>12604</v>
      </c>
      <c r="B5615" s="5" t="s">
        <v>12604</v>
      </c>
      <c r="C5615" s="5" t="s">
        <v>38</v>
      </c>
      <c r="D5615" s="5" t="s">
        <v>39</v>
      </c>
      <c r="E5615" s="5" t="s">
        <v>171</v>
      </c>
      <c r="F5615" s="9">
        <v>76</v>
      </c>
      <c r="G5615" s="9">
        <v>848</v>
      </c>
      <c r="H5615" s="5" t="s">
        <v>21</v>
      </c>
      <c r="I5615" s="5" t="s">
        <v>12611</v>
      </c>
      <c r="J5615" s="12" t="str">
        <f>HYPERLINK("https://www.boe.es/gazeta/dias/1801/08/07/pdfs/GMD-1801-76.pdf#page=5","Abrir facsímil")</f>
        <v>Abrir facsímil</v>
      </c>
      <c r="K5615" s="15" t="s">
        <v>23</v>
      </c>
    </row>
    <row r="5616" spans="1:11" ht="42" customHeight="1">
      <c r="A5616" s="4" t="s">
        <v>12604</v>
      </c>
      <c r="B5616" s="5" t="s">
        <v>12604</v>
      </c>
      <c r="C5616" s="5" t="s">
        <v>75</v>
      </c>
      <c r="D5616" s="5" t="s">
        <v>76</v>
      </c>
      <c r="E5616" s="5" t="s">
        <v>201</v>
      </c>
      <c r="F5616" s="9">
        <v>79</v>
      </c>
      <c r="G5616" s="9">
        <v>885</v>
      </c>
      <c r="H5616" s="5" t="s">
        <v>21</v>
      </c>
      <c r="I5616" s="5" t="s">
        <v>12612</v>
      </c>
      <c r="J5616" s="12" t="str">
        <f>HYPERLINK("https://www.boe.es/gazeta/dias/1801/08/18/pdfs/GMD-1801-79.pdf#page=2","Abrir facsímil")</f>
        <v>Abrir facsímil</v>
      </c>
      <c r="K5616" s="15" t="s">
        <v>23</v>
      </c>
    </row>
    <row r="5617" spans="1:11" ht="42" customHeight="1">
      <c r="A5617" s="4" t="s">
        <v>12613</v>
      </c>
      <c r="B5617" s="5" t="s">
        <v>12613</v>
      </c>
      <c r="C5617" s="5" t="s">
        <v>38</v>
      </c>
      <c r="D5617" s="5" t="s">
        <v>39</v>
      </c>
      <c r="E5617" s="5" t="s">
        <v>417</v>
      </c>
      <c r="F5617" s="9">
        <v>64</v>
      </c>
      <c r="G5617" s="9">
        <v>725</v>
      </c>
      <c r="H5617" s="5" t="s">
        <v>21</v>
      </c>
      <c r="I5617" s="5" t="s">
        <v>12614</v>
      </c>
      <c r="J5617" s="12" t="str">
        <f>HYPERLINK("https://www.boe.es/gazeta/dias/1801/07/07/pdfs/GMD-1801-64.pdf#page=6","Abrir facsímil")</f>
        <v>Abrir facsímil</v>
      </c>
      <c r="K5617" s="15" t="s">
        <v>23</v>
      </c>
    </row>
    <row r="5618" spans="1:11" ht="42" customHeight="1">
      <c r="A5618" s="4" t="s">
        <v>12615</v>
      </c>
      <c r="B5618" s="5" t="s">
        <v>12615</v>
      </c>
      <c r="C5618" s="5" t="s">
        <v>32</v>
      </c>
      <c r="D5618" s="5" t="s">
        <v>33</v>
      </c>
      <c r="E5618" s="5" t="s">
        <v>935</v>
      </c>
      <c r="F5618" s="9">
        <v>116</v>
      </c>
      <c r="G5618" s="9">
        <v>1260</v>
      </c>
      <c r="H5618" s="5" t="s">
        <v>21</v>
      </c>
      <c r="I5618" s="5" t="s">
        <v>12616</v>
      </c>
      <c r="J5618" s="12" t="str">
        <f>HYPERLINK("https://www.boe.es/gazeta/dias/1801/12/18/pdfs/GMD-1801-116.pdf#page=2","Abrir facsímil")</f>
        <v>Abrir facsímil</v>
      </c>
      <c r="K5618" s="15" t="s">
        <v>23</v>
      </c>
    </row>
    <row r="5619" spans="1:11" ht="42" customHeight="1">
      <c r="A5619" s="4" t="s">
        <v>12617</v>
      </c>
      <c r="B5619" s="5" t="s">
        <v>12617</v>
      </c>
      <c r="C5619" s="5" t="s">
        <v>32</v>
      </c>
      <c r="D5619" s="5" t="s">
        <v>33</v>
      </c>
      <c r="E5619" s="5" t="s">
        <v>97</v>
      </c>
      <c r="F5619" s="9">
        <v>31</v>
      </c>
      <c r="G5619" s="9">
        <v>402</v>
      </c>
      <c r="H5619" s="5" t="s">
        <v>21</v>
      </c>
      <c r="I5619" s="5" t="s">
        <v>12618</v>
      </c>
      <c r="J5619" s="12" t="str">
        <f>HYPERLINK("https://www.boe.es/gazeta/dias/1801/04/17/pdfs/GMD-1801-31.pdf#page=6","Abrir facsímil")</f>
        <v>Abrir facsímil</v>
      </c>
      <c r="K5619" s="15" t="s">
        <v>23</v>
      </c>
    </row>
    <row r="5620" spans="1:11" ht="42" customHeight="1">
      <c r="A5620" s="4" t="s">
        <v>12619</v>
      </c>
      <c r="B5620" s="5" t="s">
        <v>12619</v>
      </c>
      <c r="C5620" s="5" t="s">
        <v>75</v>
      </c>
      <c r="D5620" s="5" t="s">
        <v>76</v>
      </c>
      <c r="E5620" s="5" t="s">
        <v>44</v>
      </c>
      <c r="F5620" s="9">
        <v>117</v>
      </c>
      <c r="G5620" s="9">
        <v>1274</v>
      </c>
      <c r="H5620" s="5" t="s">
        <v>21</v>
      </c>
      <c r="I5620" s="5" t="s">
        <v>12620</v>
      </c>
      <c r="J5620" s="12" t="str">
        <f>HYPERLINK("https://www.boe.es/gazeta/dias/1801/12/22/pdfs/GMD-1801-117.pdf#page=1","Abrir facsímil")</f>
        <v>Abrir facsímil</v>
      </c>
      <c r="K5620" s="15" t="s">
        <v>23</v>
      </c>
    </row>
    <row r="5621" spans="1:11" ht="42" customHeight="1">
      <c r="A5621" s="4" t="s">
        <v>12621</v>
      </c>
      <c r="B5621" s="5" t="s">
        <v>12621</v>
      </c>
      <c r="C5621" s="5" t="s">
        <v>32</v>
      </c>
      <c r="D5621" s="5" t="s">
        <v>33</v>
      </c>
      <c r="E5621" s="5" t="s">
        <v>453</v>
      </c>
      <c r="F5621" s="9">
        <v>100</v>
      </c>
      <c r="G5621" s="9">
        <v>1092</v>
      </c>
      <c r="H5621" s="5" t="s">
        <v>21</v>
      </c>
      <c r="I5621" s="5" t="s">
        <v>12622</v>
      </c>
      <c r="J5621" s="12" t="str">
        <f>HYPERLINK("https://www.boe.es/gazeta/dias/1801/10/23/pdfs/GMD-1801-100.pdf#page=1","Abrir facsímil")</f>
        <v>Abrir facsímil</v>
      </c>
      <c r="K5621" s="15" t="s">
        <v>23</v>
      </c>
    </row>
    <row r="5622" spans="1:11" ht="42" customHeight="1">
      <c r="A5622" s="4" t="s">
        <v>12623</v>
      </c>
      <c r="B5622" s="5" t="s">
        <v>12623</v>
      </c>
      <c r="C5622" s="5" t="s">
        <v>75</v>
      </c>
      <c r="D5622" s="5" t="s">
        <v>76</v>
      </c>
      <c r="E5622" s="5" t="s">
        <v>702</v>
      </c>
      <c r="F5622" s="9">
        <v>69</v>
      </c>
      <c r="G5622" s="9">
        <v>761</v>
      </c>
      <c r="H5622" s="5" t="s">
        <v>21</v>
      </c>
      <c r="I5622" s="5" t="s">
        <v>12624</v>
      </c>
      <c r="J5622" s="12" t="str">
        <f>HYPERLINK("https://www.boe.es/gazeta/dias/1801/07/14/pdfs/GMD-1801-69.pdf#page=6","Abrir facsímil")</f>
        <v>Abrir facsímil</v>
      </c>
      <c r="K5622" s="15" t="s">
        <v>23</v>
      </c>
    </row>
    <row r="5623" spans="1:11" ht="42" customHeight="1">
      <c r="A5623" s="4" t="s">
        <v>12625</v>
      </c>
      <c r="B5623" s="5" t="s">
        <v>12625</v>
      </c>
      <c r="C5623" s="5" t="s">
        <v>38</v>
      </c>
      <c r="D5623" s="5" t="s">
        <v>39</v>
      </c>
      <c r="E5623" s="5" t="s">
        <v>723</v>
      </c>
      <c r="F5623" s="9">
        <v>113</v>
      </c>
      <c r="G5623" s="9">
        <v>1229</v>
      </c>
      <c r="H5623" s="5" t="s">
        <v>21</v>
      </c>
      <c r="I5623" s="5" t="s">
        <v>12626</v>
      </c>
      <c r="J5623" s="12" t="str">
        <f>HYPERLINK("https://www.boe.es/gazeta/dias/1801/12/08/pdfs/GMD-1801-113.pdf#page=2","Abrir facsímil")</f>
        <v>Abrir facsímil</v>
      </c>
      <c r="K5623" s="15" t="s">
        <v>23</v>
      </c>
    </row>
    <row r="5624" spans="1:11" ht="42" customHeight="1">
      <c r="A5624" s="4" t="s">
        <v>12627</v>
      </c>
      <c r="B5624" s="5" t="s">
        <v>12627</v>
      </c>
      <c r="C5624" s="5" t="s">
        <v>18</v>
      </c>
      <c r="D5624" s="5" t="s">
        <v>19</v>
      </c>
      <c r="E5624" s="5" t="s">
        <v>28</v>
      </c>
      <c r="F5624" s="9">
        <v>77</v>
      </c>
      <c r="G5624" s="9">
        <v>859</v>
      </c>
      <c r="H5624" s="5" t="s">
        <v>21</v>
      </c>
      <c r="I5624" s="5" t="s">
        <v>12628</v>
      </c>
      <c r="J5624" s="12" t="str">
        <f>HYPERLINK("https://www.boe.es/gazeta/dias/1801/08/11/pdfs/GMD-1801-77.pdf#page=4","Abrir facsímil")</f>
        <v>Abrir facsímil</v>
      </c>
      <c r="K5624" s="15" t="s">
        <v>23</v>
      </c>
    </row>
    <row r="5625" spans="1:11" ht="42" customHeight="1">
      <c r="A5625" s="4" t="s">
        <v>12629</v>
      </c>
      <c r="B5625" s="5" t="s">
        <v>12629</v>
      </c>
      <c r="C5625" s="5" t="s">
        <v>515</v>
      </c>
      <c r="D5625" s="5" t="s">
        <v>516</v>
      </c>
      <c r="E5625" s="5" t="s">
        <v>781</v>
      </c>
      <c r="F5625" s="9">
        <v>14</v>
      </c>
      <c r="G5625" s="9">
        <v>180</v>
      </c>
      <c r="H5625" s="5" t="s">
        <v>21</v>
      </c>
      <c r="I5625" s="5" t="s">
        <v>12630</v>
      </c>
      <c r="J5625" s="12" t="str">
        <f>HYPERLINK("https://www.boe.es/gazeta/dias/1801/02/17/pdfs/GMD-C-1801-14.pdf#page=3","Abrir facsímil")</f>
        <v>Abrir facsímil</v>
      </c>
      <c r="K5625" s="15" t="s">
        <v>23</v>
      </c>
    </row>
    <row r="5626" spans="1:11" ht="42" customHeight="1">
      <c r="A5626" s="4" t="s">
        <v>12631</v>
      </c>
      <c r="B5626" s="5" t="s">
        <v>12631</v>
      </c>
      <c r="C5626" s="5" t="s">
        <v>75</v>
      </c>
      <c r="D5626" s="5" t="s">
        <v>76</v>
      </c>
      <c r="E5626" s="5" t="s">
        <v>151</v>
      </c>
      <c r="F5626" s="9">
        <v>45</v>
      </c>
      <c r="G5626" s="9">
        <v>554</v>
      </c>
      <c r="H5626" s="5" t="s">
        <v>21</v>
      </c>
      <c r="I5626" s="5" t="s">
        <v>12632</v>
      </c>
      <c r="J5626" s="12" t="str">
        <f>HYPERLINK("https://www.boe.es/gazeta/dias/1801/06/02/pdfs/GMD-1801-45.pdf#page=2","Abrir facsímil")</f>
        <v>Abrir facsímil</v>
      </c>
      <c r="K5626" s="15" t="s">
        <v>23</v>
      </c>
    </row>
    <row r="5627" spans="1:11" ht="42" customHeight="1">
      <c r="A5627" s="4" t="s">
        <v>12631</v>
      </c>
      <c r="B5627" s="5" t="s">
        <v>12631</v>
      </c>
      <c r="C5627" s="5" t="s">
        <v>32</v>
      </c>
      <c r="D5627" s="5" t="s">
        <v>33</v>
      </c>
      <c r="E5627" s="5" t="s">
        <v>349</v>
      </c>
      <c r="F5627" s="9">
        <v>112</v>
      </c>
      <c r="G5627" s="9">
        <v>1225</v>
      </c>
      <c r="H5627" s="5" t="s">
        <v>21</v>
      </c>
      <c r="I5627" s="5" t="s">
        <v>12633</v>
      </c>
      <c r="J5627" s="12" t="str">
        <f>HYPERLINK("https://www.boe.es/gazeta/dias/1801/12/04/pdfs/GMD-1801-112.pdf#page=6","Abrir facsímil")</f>
        <v>Abrir facsímil</v>
      </c>
      <c r="K5627" s="15" t="s">
        <v>23</v>
      </c>
    </row>
    <row r="5628" spans="1:11" ht="42" customHeight="1">
      <c r="A5628" s="4" t="s">
        <v>12631</v>
      </c>
      <c r="B5628" s="5" t="s">
        <v>12631</v>
      </c>
      <c r="C5628" s="5" t="s">
        <v>75</v>
      </c>
      <c r="D5628" s="5" t="s">
        <v>76</v>
      </c>
      <c r="E5628" s="5" t="s">
        <v>309</v>
      </c>
      <c r="F5628" s="9">
        <v>118</v>
      </c>
      <c r="G5628" s="9">
        <v>1286</v>
      </c>
      <c r="H5628" s="5" t="s">
        <v>21</v>
      </c>
      <c r="I5628" s="5" t="s">
        <v>12634</v>
      </c>
      <c r="J5628" s="12" t="str">
        <f>HYPERLINK("https://www.boe.es/gazeta/dias/1801/12/25/pdfs/GMD-1801-118.pdf#page=1","Abrir facsímil")</f>
        <v>Abrir facsímil</v>
      </c>
      <c r="K5628" s="15" t="s">
        <v>23</v>
      </c>
    </row>
    <row r="5629" spans="1:11" ht="42" customHeight="1">
      <c r="A5629" s="4" t="s">
        <v>12635</v>
      </c>
      <c r="B5629" s="5" t="s">
        <v>12635</v>
      </c>
      <c r="C5629" s="5" t="s">
        <v>75</v>
      </c>
      <c r="D5629" s="5" t="s">
        <v>76</v>
      </c>
      <c r="E5629" s="5" t="s">
        <v>169</v>
      </c>
      <c r="F5629" s="9">
        <v>70</v>
      </c>
      <c r="G5629" s="9">
        <v>769</v>
      </c>
      <c r="H5629" s="5" t="s">
        <v>21</v>
      </c>
      <c r="I5629" s="5" t="s">
        <v>12636</v>
      </c>
      <c r="J5629" s="12" t="str">
        <f>HYPERLINK("https://www.boe.es/gazeta/dias/1801/07/17/pdfs/GMD-1801-70.pdf#page=2","Abrir facsímil")</f>
        <v>Abrir facsímil</v>
      </c>
      <c r="K5629" s="15" t="s">
        <v>23</v>
      </c>
    </row>
    <row r="5630" spans="1:11" ht="42" customHeight="1">
      <c r="A5630" s="4" t="s">
        <v>12637</v>
      </c>
      <c r="B5630" s="5" t="s">
        <v>12637</v>
      </c>
      <c r="C5630" s="5" t="s">
        <v>75</v>
      </c>
      <c r="D5630" s="5" t="s">
        <v>76</v>
      </c>
      <c r="E5630" s="5" t="s">
        <v>262</v>
      </c>
      <c r="F5630" s="9">
        <v>109</v>
      </c>
      <c r="G5630" s="9">
        <v>1196</v>
      </c>
      <c r="H5630" s="5" t="s">
        <v>21</v>
      </c>
      <c r="I5630" s="5" t="s">
        <v>12638</v>
      </c>
      <c r="J5630" s="12" t="str">
        <f>HYPERLINK("https://www.boe.es/gazeta/dias/1801/11/24/pdfs/GMD-1801-109.pdf#page=1","Abrir facsímil")</f>
        <v>Abrir facsímil</v>
      </c>
      <c r="K5630" s="15" t="s">
        <v>23</v>
      </c>
    </row>
    <row r="5631" spans="1:11" ht="42" customHeight="1">
      <c r="A5631" s="4" t="s">
        <v>12639</v>
      </c>
      <c r="B5631" s="5" t="s">
        <v>12639</v>
      </c>
      <c r="C5631" s="5" t="s">
        <v>75</v>
      </c>
      <c r="D5631" s="5" t="s">
        <v>76</v>
      </c>
      <c r="E5631" s="5" t="s">
        <v>179</v>
      </c>
      <c r="F5631" s="9">
        <v>11</v>
      </c>
      <c r="G5631" s="9">
        <v>130</v>
      </c>
      <c r="H5631" s="5" t="s">
        <v>21</v>
      </c>
      <c r="I5631" s="5" t="s">
        <v>12640</v>
      </c>
      <c r="J5631" s="12" t="str">
        <f>HYPERLINK("https://www.boe.es/gazeta/dias/1801/02/06/pdfs/GMD-1801-11.pdf#page=3","Abrir facsímil")</f>
        <v>Abrir facsímil</v>
      </c>
      <c r="K5631" s="15" t="s">
        <v>23</v>
      </c>
    </row>
    <row r="5632" spans="1:11" ht="42" customHeight="1">
      <c r="A5632" s="4" t="s">
        <v>12641</v>
      </c>
      <c r="B5632" s="5" t="s">
        <v>12641</v>
      </c>
      <c r="C5632" s="5" t="s">
        <v>32</v>
      </c>
      <c r="D5632" s="5" t="s">
        <v>33</v>
      </c>
      <c r="E5632" s="5" t="s">
        <v>151</v>
      </c>
      <c r="F5632" s="9">
        <v>45</v>
      </c>
      <c r="G5632" s="9">
        <v>555</v>
      </c>
      <c r="H5632" s="5" t="s">
        <v>21</v>
      </c>
      <c r="I5632" s="5" t="s">
        <v>12642</v>
      </c>
      <c r="J5632" s="12" t="str">
        <f>HYPERLINK("https://www.boe.es/gazeta/dias/1801/06/02/pdfs/GMD-1801-45.pdf#page=3","Abrir facsímil")</f>
        <v>Abrir facsímil</v>
      </c>
      <c r="K5632" s="15" t="s">
        <v>23</v>
      </c>
    </row>
    <row r="5633" spans="1:11" ht="42" customHeight="1">
      <c r="A5633" s="4" t="s">
        <v>12643</v>
      </c>
      <c r="B5633" s="5" t="s">
        <v>12643</v>
      </c>
      <c r="C5633" s="5" t="s">
        <v>75</v>
      </c>
      <c r="D5633" s="5" t="s">
        <v>76</v>
      </c>
      <c r="E5633" s="5" t="s">
        <v>77</v>
      </c>
      <c r="F5633" s="9">
        <v>93</v>
      </c>
      <c r="G5633" s="9">
        <v>1015</v>
      </c>
      <c r="H5633" s="5" t="s">
        <v>21</v>
      </c>
      <c r="I5633" s="5" t="s">
        <v>12147</v>
      </c>
      <c r="J5633" s="12" t="str">
        <f>HYPERLINK("https://www.boe.es/gazeta/dias/1801/09/29/pdfs/GMD-1801-93.pdf#page=2","Abrir facsímil")</f>
        <v>Abrir facsímil</v>
      </c>
      <c r="K5633" s="15" t="s">
        <v>23</v>
      </c>
    </row>
    <row r="5634" spans="1:11" ht="42" customHeight="1">
      <c r="A5634" s="4" t="s">
        <v>12644</v>
      </c>
      <c r="B5634" s="5" t="s">
        <v>12644</v>
      </c>
      <c r="C5634" s="5" t="s">
        <v>75</v>
      </c>
      <c r="D5634" s="5" t="s">
        <v>76</v>
      </c>
      <c r="E5634" s="5" t="s">
        <v>165</v>
      </c>
      <c r="F5634" s="9">
        <v>59</v>
      </c>
      <c r="G5634" s="9">
        <v>671</v>
      </c>
      <c r="H5634" s="5" t="s">
        <v>21</v>
      </c>
      <c r="I5634" s="5" t="s">
        <v>12645</v>
      </c>
      <c r="J5634" s="12" t="str">
        <f>HYPERLINK("https://www.boe.es/gazeta/dias/1801/06/23/pdfs/GMD-1801-59.pdf#page=4","Abrir facsímil")</f>
        <v>Abrir facsímil</v>
      </c>
      <c r="K5634" s="15" t="s">
        <v>23</v>
      </c>
    </row>
    <row r="5635" spans="1:11" ht="42" customHeight="1">
      <c r="A5635" s="4" t="s">
        <v>12646</v>
      </c>
      <c r="B5635" s="5" t="s">
        <v>12646</v>
      </c>
      <c r="C5635" s="5" t="s">
        <v>38</v>
      </c>
      <c r="D5635" s="5" t="s">
        <v>39</v>
      </c>
      <c r="E5635" s="5" t="s">
        <v>72</v>
      </c>
      <c r="F5635" s="9">
        <v>60</v>
      </c>
      <c r="G5635" s="9">
        <v>683</v>
      </c>
      <c r="H5635" s="5" t="s">
        <v>21</v>
      </c>
      <c r="I5635" s="5" t="s">
        <v>12647</v>
      </c>
      <c r="J5635" s="12" t="str">
        <f>HYPERLINK("https://www.boe.es/gazeta/dias/1801/06/26/pdfs/GMD-1801-60.pdf#page=4","Abrir facsímil")</f>
        <v>Abrir facsímil</v>
      </c>
      <c r="K5635" s="15" t="s">
        <v>23</v>
      </c>
    </row>
    <row r="5636" spans="1:11" ht="42" customHeight="1">
      <c r="A5636" s="4" t="s">
        <v>12648</v>
      </c>
      <c r="B5636" s="5" t="s">
        <v>12648</v>
      </c>
      <c r="C5636" s="5" t="s">
        <v>75</v>
      </c>
      <c r="D5636" s="5" t="s">
        <v>76</v>
      </c>
      <c r="E5636" s="5" t="s">
        <v>137</v>
      </c>
      <c r="F5636" s="9">
        <v>30</v>
      </c>
      <c r="G5636" s="9">
        <v>388</v>
      </c>
      <c r="H5636" s="5" t="s">
        <v>21</v>
      </c>
      <c r="I5636" s="5" t="s">
        <v>12421</v>
      </c>
      <c r="J5636" s="12" t="str">
        <f>HYPERLINK("https://www.boe.es/gazeta/dias/1801/04/14/pdfs/GMD-1801-30.pdf#page=4","Abrir facsímil")</f>
        <v>Abrir facsímil</v>
      </c>
      <c r="K5636" s="15" t="s">
        <v>23</v>
      </c>
    </row>
    <row r="5637" spans="1:11" ht="42" customHeight="1">
      <c r="A5637" s="4" t="s">
        <v>12649</v>
      </c>
      <c r="B5637" s="5" t="s">
        <v>12649</v>
      </c>
      <c r="C5637" s="5" t="s">
        <v>32</v>
      </c>
      <c r="D5637" s="5" t="s">
        <v>33</v>
      </c>
      <c r="E5637" s="5" t="s">
        <v>194</v>
      </c>
      <c r="F5637" s="9">
        <v>92</v>
      </c>
      <c r="G5637" s="9">
        <v>1008</v>
      </c>
      <c r="H5637" s="5" t="s">
        <v>21</v>
      </c>
      <c r="I5637" s="5" t="s">
        <v>12650</v>
      </c>
      <c r="J5637" s="12" t="str">
        <f>HYPERLINK("https://www.boe.es/gazeta/dias/1801/09/25/pdfs/GMD-1801-92.pdf#page=3","Abrir facsímil")</f>
        <v>Abrir facsímil</v>
      </c>
      <c r="K5637" s="15" t="s">
        <v>23</v>
      </c>
    </row>
    <row r="5638" spans="1:11" ht="42" customHeight="1">
      <c r="A5638" s="4" t="s">
        <v>12651</v>
      </c>
      <c r="B5638" s="5" t="s">
        <v>12651</v>
      </c>
      <c r="C5638" s="5" t="s">
        <v>38</v>
      </c>
      <c r="D5638" s="5" t="s">
        <v>39</v>
      </c>
      <c r="E5638" s="5" t="s">
        <v>505</v>
      </c>
      <c r="F5638" s="9">
        <v>94</v>
      </c>
      <c r="G5638" s="9">
        <v>1030</v>
      </c>
      <c r="H5638" s="5" t="s">
        <v>21</v>
      </c>
      <c r="I5638" s="5" t="s">
        <v>12652</v>
      </c>
      <c r="J5638" s="12" t="str">
        <f>HYPERLINK("https://www.boe.es/gazeta/dias/1801/10/02/pdfs/GMD-1801-94.pdf#page=6","Abrir facsímil")</f>
        <v>Abrir facsímil</v>
      </c>
      <c r="K5638" s="15" t="s">
        <v>23</v>
      </c>
    </row>
    <row r="5639" spans="1:11" ht="42" customHeight="1">
      <c r="A5639" s="4" t="s">
        <v>12653</v>
      </c>
      <c r="B5639" s="5" t="s">
        <v>12653</v>
      </c>
      <c r="C5639" s="5" t="s">
        <v>38</v>
      </c>
      <c r="D5639" s="5" t="s">
        <v>39</v>
      </c>
      <c r="E5639" s="5" t="s">
        <v>264</v>
      </c>
      <c r="F5639" s="9">
        <v>111</v>
      </c>
      <c r="G5639" s="9">
        <v>1215</v>
      </c>
      <c r="H5639" s="5" t="s">
        <v>21</v>
      </c>
      <c r="I5639" s="5" t="s">
        <v>12654</v>
      </c>
      <c r="J5639" s="12" t="str">
        <f>HYPERLINK("https://www.boe.es/gazeta/dias/1801/12/01/pdfs/GMD-1801-111.pdf#page=4","Abrir facsímil")</f>
        <v>Abrir facsímil</v>
      </c>
      <c r="K5639" s="15" t="s">
        <v>23</v>
      </c>
    </row>
    <row r="5640" spans="1:11" ht="42" customHeight="1">
      <c r="A5640" s="4" t="s">
        <v>12655</v>
      </c>
      <c r="B5640" s="5" t="s">
        <v>12655</v>
      </c>
      <c r="C5640" s="5" t="s">
        <v>26</v>
      </c>
      <c r="D5640" s="5" t="s">
        <v>27</v>
      </c>
      <c r="E5640" s="5" t="s">
        <v>219</v>
      </c>
      <c r="F5640" s="9">
        <v>26</v>
      </c>
      <c r="G5640" s="9">
        <v>339</v>
      </c>
      <c r="H5640" s="5" t="s">
        <v>21</v>
      </c>
      <c r="I5640" s="5" t="s">
        <v>12656</v>
      </c>
      <c r="J5640" s="12" t="str">
        <f>HYPERLINK("https://www.boe.es/gazeta/dias/1801/03/31/pdfs/GMD-1801-26.pdf#page=3","Abrir facsímil")</f>
        <v>Abrir facsímil</v>
      </c>
      <c r="K5640" s="15" t="s">
        <v>23</v>
      </c>
    </row>
    <row r="5641" spans="1:11" ht="42" customHeight="1">
      <c r="A5641" s="4" t="s">
        <v>12657</v>
      </c>
      <c r="B5641" s="5" t="s">
        <v>12657</v>
      </c>
      <c r="C5641" s="5" t="s">
        <v>75</v>
      </c>
      <c r="D5641" s="5" t="s">
        <v>76</v>
      </c>
      <c r="E5641" s="5" t="s">
        <v>190</v>
      </c>
      <c r="F5641" s="9">
        <v>16</v>
      </c>
      <c r="G5641" s="9">
        <v>196</v>
      </c>
      <c r="H5641" s="5" t="s">
        <v>21</v>
      </c>
      <c r="I5641" s="5" t="s">
        <v>12658</v>
      </c>
      <c r="J5641" s="12" t="str">
        <f>HYPERLINK("https://www.boe.es/gazeta/dias/1801/02/24/pdfs/GMD-1801-16.pdf#page=3","Abrir facsímil")</f>
        <v>Abrir facsímil</v>
      </c>
      <c r="K5641" s="15" t="s">
        <v>23</v>
      </c>
    </row>
    <row r="5642" spans="1:11" ht="42" customHeight="1">
      <c r="A5642" s="4" t="s">
        <v>12659</v>
      </c>
      <c r="B5642" s="5" t="s">
        <v>12659</v>
      </c>
      <c r="C5642" s="5" t="s">
        <v>75</v>
      </c>
      <c r="D5642" s="5" t="s">
        <v>76</v>
      </c>
      <c r="E5642" s="5" t="s">
        <v>94</v>
      </c>
      <c r="F5642" s="9">
        <v>19</v>
      </c>
      <c r="G5642" s="9">
        <v>241</v>
      </c>
      <c r="H5642" s="5" t="s">
        <v>21</v>
      </c>
      <c r="I5642" s="5" t="s">
        <v>12660</v>
      </c>
      <c r="J5642" s="12" t="str">
        <f>HYPERLINK("https://www.boe.es/gazeta/dias/1801/03/06/pdfs/GMD-1801-19.pdf#page=6","Abrir facsímil")</f>
        <v>Abrir facsímil</v>
      </c>
      <c r="K5642" s="15" t="s">
        <v>23</v>
      </c>
    </row>
    <row r="5643" spans="1:11" ht="42" customHeight="1">
      <c r="A5643" s="4" t="s">
        <v>12661</v>
      </c>
      <c r="B5643" s="5" t="s">
        <v>12661</v>
      </c>
      <c r="C5643" s="5" t="s">
        <v>69</v>
      </c>
      <c r="D5643" s="5" t="s">
        <v>19</v>
      </c>
      <c r="E5643" s="5" t="s">
        <v>219</v>
      </c>
      <c r="F5643" s="9">
        <v>26</v>
      </c>
      <c r="G5643" s="9">
        <v>342</v>
      </c>
      <c r="H5643" s="5" t="s">
        <v>21</v>
      </c>
      <c r="I5643" s="5" t="s">
        <v>12662</v>
      </c>
      <c r="J5643" s="12" t="str">
        <f>HYPERLINK("https://www.boe.es/gazeta/dias/1801/03/31/pdfs/GMD-1801-26.pdf#page=6","Abrir facsímil")</f>
        <v>Abrir facsímil</v>
      </c>
      <c r="K5643" s="15" t="s">
        <v>23</v>
      </c>
    </row>
    <row r="5644" spans="1:11" ht="42" customHeight="1">
      <c r="A5644" s="4" t="s">
        <v>12663</v>
      </c>
      <c r="B5644" s="5" t="s">
        <v>12663</v>
      </c>
      <c r="C5644" s="5" t="s">
        <v>26</v>
      </c>
      <c r="D5644" s="5" t="s">
        <v>27</v>
      </c>
      <c r="E5644" s="5" t="s">
        <v>112</v>
      </c>
      <c r="F5644" s="9">
        <v>114</v>
      </c>
      <c r="G5644" s="9">
        <v>1250</v>
      </c>
      <c r="H5644" s="5" t="s">
        <v>21</v>
      </c>
      <c r="I5644" s="5" t="s">
        <v>12664</v>
      </c>
      <c r="J5644" s="12" t="str">
        <f>HYPERLINK("https://www.boe.es/gazeta/dias/1801/12/11/pdfs/GMD-1801-114.pdf#page=12","Abrir facsímil")</f>
        <v>Abrir facsímil</v>
      </c>
      <c r="K5644" s="15" t="s">
        <v>23</v>
      </c>
    </row>
    <row r="5645" spans="1:11" ht="42" customHeight="1">
      <c r="A5645" s="4" t="s">
        <v>12665</v>
      </c>
      <c r="B5645" s="5" t="s">
        <v>12665</v>
      </c>
      <c r="C5645" s="5" t="s">
        <v>69</v>
      </c>
      <c r="D5645" s="5" t="s">
        <v>19</v>
      </c>
      <c r="E5645" s="5" t="s">
        <v>366</v>
      </c>
      <c r="F5645" s="9">
        <v>86</v>
      </c>
      <c r="G5645" s="9">
        <v>956</v>
      </c>
      <c r="H5645" s="5" t="s">
        <v>21</v>
      </c>
      <c r="I5645" s="5" t="s">
        <v>12666</v>
      </c>
      <c r="J5645" s="12" t="str">
        <f>HYPERLINK("https://www.boe.es/gazeta/dias/1801/09/08/pdfs/GMD-1801-86.pdf#page=7","Abrir facsímil")</f>
        <v>Abrir facsímil</v>
      </c>
      <c r="K5645" s="15" t="s">
        <v>23</v>
      </c>
    </row>
    <row r="5646" spans="1:11" ht="42" customHeight="1">
      <c r="A5646" s="4" t="s">
        <v>12667</v>
      </c>
      <c r="B5646" s="5" t="s">
        <v>12667</v>
      </c>
      <c r="C5646" s="5" t="s">
        <v>38</v>
      </c>
      <c r="D5646" s="5" t="s">
        <v>39</v>
      </c>
      <c r="E5646" s="5" t="s">
        <v>266</v>
      </c>
      <c r="F5646" s="9">
        <v>119</v>
      </c>
      <c r="G5646" s="9">
        <v>1303</v>
      </c>
      <c r="H5646" s="5" t="s">
        <v>21</v>
      </c>
      <c r="I5646" s="5" t="s">
        <v>12668</v>
      </c>
      <c r="J5646" s="12" t="str">
        <f>HYPERLINK("https://www.boe.es/gazeta/dias/1801/12/29/pdfs/GMD-1801-119.pdf#page=7","Abrir facsímil")</f>
        <v>Abrir facsímil</v>
      </c>
      <c r="K5646" s="15" t="s">
        <v>23</v>
      </c>
    </row>
    <row r="5647" spans="1:11" ht="42" customHeight="1">
      <c r="A5647" s="4" t="s">
        <v>12669</v>
      </c>
      <c r="B5647" s="5" t="s">
        <v>12669</v>
      </c>
      <c r="C5647" s="5" t="s">
        <v>32</v>
      </c>
      <c r="D5647" s="5" t="s">
        <v>33</v>
      </c>
      <c r="E5647" s="5" t="s">
        <v>1436</v>
      </c>
      <c r="F5647" s="9">
        <v>95</v>
      </c>
      <c r="G5647" s="9">
        <v>1043</v>
      </c>
      <c r="H5647" s="5" t="s">
        <v>21</v>
      </c>
      <c r="I5647" s="5" t="s">
        <v>12670</v>
      </c>
      <c r="J5647" s="12" t="str">
        <f>HYPERLINK("https://www.boe.es/gazeta/dias/1801/10/06/pdfs/GMD-1801-95.pdf#page=7","Abrir facsímil")</f>
        <v>Abrir facsímil</v>
      </c>
      <c r="K5647" s="15" t="s">
        <v>23</v>
      </c>
    </row>
    <row r="5648" spans="1:11" ht="42" customHeight="1">
      <c r="A5648" s="4" t="s">
        <v>12671</v>
      </c>
      <c r="B5648" s="5" t="s">
        <v>12671</v>
      </c>
      <c r="C5648" s="5" t="s">
        <v>32</v>
      </c>
      <c r="D5648" s="5" t="s">
        <v>33</v>
      </c>
      <c r="E5648" s="5" t="s">
        <v>77</v>
      </c>
      <c r="F5648" s="9">
        <v>93</v>
      </c>
      <c r="G5648" s="9">
        <v>1019</v>
      </c>
      <c r="H5648" s="5" t="s">
        <v>21</v>
      </c>
      <c r="I5648" s="5" t="s">
        <v>12672</v>
      </c>
      <c r="J5648" s="12" t="str">
        <f>HYPERLINK("https://www.boe.es/gazeta/dias/1801/09/29/pdfs/GMD-1801-93.pdf#page=6","Abrir facsímil")</f>
        <v>Abrir facsímil</v>
      </c>
      <c r="K5648" s="15" t="s">
        <v>23</v>
      </c>
    </row>
    <row r="5649" spans="1:11" ht="42" customHeight="1">
      <c r="A5649" s="4" t="s">
        <v>12673</v>
      </c>
      <c r="B5649" s="5" t="s">
        <v>12673</v>
      </c>
      <c r="C5649" s="5" t="s">
        <v>32</v>
      </c>
      <c r="D5649" s="5" t="s">
        <v>33</v>
      </c>
      <c r="E5649" s="5" t="s">
        <v>1436</v>
      </c>
      <c r="F5649" s="9">
        <v>95</v>
      </c>
      <c r="G5649" s="9">
        <v>1040</v>
      </c>
      <c r="H5649" s="5" t="s">
        <v>21</v>
      </c>
      <c r="I5649" s="5" t="s">
        <v>12674</v>
      </c>
      <c r="J5649" s="12" t="str">
        <f>HYPERLINK("https://www.boe.es/gazeta/dias/1801/10/06/pdfs/GMD-1801-95.pdf#page=4","Abrir facsímil")</f>
        <v>Abrir facsímil</v>
      </c>
      <c r="K5649" s="15" t="s">
        <v>23</v>
      </c>
    </row>
    <row r="5650" spans="1:11" ht="42" customHeight="1">
      <c r="A5650" s="4" t="s">
        <v>12675</v>
      </c>
      <c r="B5650" s="5" t="s">
        <v>12675</v>
      </c>
      <c r="C5650" s="5" t="s">
        <v>75</v>
      </c>
      <c r="D5650" s="5" t="s">
        <v>76</v>
      </c>
      <c r="E5650" s="5" t="s">
        <v>120</v>
      </c>
      <c r="F5650" s="9">
        <v>7</v>
      </c>
      <c r="G5650" s="9">
        <v>80</v>
      </c>
      <c r="H5650" s="5" t="s">
        <v>21</v>
      </c>
      <c r="I5650" s="5" t="s">
        <v>12676</v>
      </c>
      <c r="J5650" s="12" t="str">
        <f>HYPERLINK("https://www.boe.es/gazeta/dias/1801/01/23/pdfs/GMD-1801-7.pdf#page=4","Abrir facsímil")</f>
        <v>Abrir facsímil</v>
      </c>
      <c r="K5650" s="15" t="s">
        <v>23</v>
      </c>
    </row>
    <row r="5651" spans="1:11" ht="42" customHeight="1">
      <c r="A5651" s="4" t="s">
        <v>12677</v>
      </c>
      <c r="B5651" s="5" t="s">
        <v>12677</v>
      </c>
      <c r="C5651" s="5" t="s">
        <v>32</v>
      </c>
      <c r="D5651" s="5" t="s">
        <v>33</v>
      </c>
      <c r="E5651" s="5" t="s">
        <v>712</v>
      </c>
      <c r="F5651" s="9">
        <v>105</v>
      </c>
      <c r="G5651" s="9">
        <v>1149</v>
      </c>
      <c r="H5651" s="5" t="s">
        <v>21</v>
      </c>
      <c r="I5651" s="5" t="s">
        <v>12678</v>
      </c>
      <c r="J5651" s="12" t="str">
        <f>HYPERLINK("https://www.boe.es/gazeta/dias/1801/11/10/pdfs/GMD-1801-105.pdf#page=2","Abrir facsímil")</f>
        <v>Abrir facsímil</v>
      </c>
      <c r="K5651" s="15" t="s">
        <v>23</v>
      </c>
    </row>
    <row r="5652" spans="1:11" ht="42" customHeight="1">
      <c r="A5652" s="4" t="s">
        <v>12679</v>
      </c>
      <c r="B5652" s="5" t="s">
        <v>12679</v>
      </c>
      <c r="C5652" s="5" t="s">
        <v>75</v>
      </c>
      <c r="D5652" s="5" t="s">
        <v>76</v>
      </c>
      <c r="E5652" s="5" t="s">
        <v>924</v>
      </c>
      <c r="F5652" s="9">
        <v>90</v>
      </c>
      <c r="G5652" s="9">
        <v>986</v>
      </c>
      <c r="H5652" s="5" t="s">
        <v>21</v>
      </c>
      <c r="I5652" s="5" t="s">
        <v>12680</v>
      </c>
      <c r="J5652" s="12" t="str">
        <f>HYPERLINK("https://www.boe.es/gazeta/dias/1801/09/18/pdfs/GMD-1801-90.pdf#page=1","Abrir facsímil")</f>
        <v>Abrir facsímil</v>
      </c>
      <c r="K5652" s="15" t="s">
        <v>23</v>
      </c>
    </row>
    <row r="5653" spans="1:11" ht="42" customHeight="1">
      <c r="A5653" s="4" t="s">
        <v>12681</v>
      </c>
      <c r="B5653" s="5" t="s">
        <v>12681</v>
      </c>
      <c r="C5653" s="5" t="s">
        <v>38</v>
      </c>
      <c r="D5653" s="5" t="s">
        <v>39</v>
      </c>
      <c r="E5653" s="5" t="s">
        <v>155</v>
      </c>
      <c r="F5653" s="9">
        <v>50</v>
      </c>
      <c r="G5653" s="9">
        <v>594</v>
      </c>
      <c r="H5653" s="5" t="s">
        <v>21</v>
      </c>
      <c r="I5653" s="5" t="s">
        <v>12682</v>
      </c>
      <c r="J5653" s="12" t="str">
        <f>HYPERLINK("https://www.boe.es/gazeta/dias/1801/06/09/pdfs/GMD-1801-50.pdf#page=6","Abrir facsímil")</f>
        <v>Abrir facsímil</v>
      </c>
      <c r="K5653" s="15" t="s">
        <v>23</v>
      </c>
    </row>
    <row r="5654" spans="1:11" ht="42" customHeight="1">
      <c r="A5654" s="4" t="s">
        <v>12683</v>
      </c>
      <c r="B5654" s="5" t="s">
        <v>12683</v>
      </c>
      <c r="C5654" s="5" t="s">
        <v>75</v>
      </c>
      <c r="D5654" s="5" t="s">
        <v>76</v>
      </c>
      <c r="E5654" s="5" t="s">
        <v>505</v>
      </c>
      <c r="F5654" s="9">
        <v>94</v>
      </c>
      <c r="G5654" s="9">
        <v>1026</v>
      </c>
      <c r="H5654" s="5" t="s">
        <v>21</v>
      </c>
      <c r="I5654" s="5" t="s">
        <v>12684</v>
      </c>
      <c r="J5654" s="12" t="str">
        <f>HYPERLINK("https://www.boe.es/gazeta/dias/1801/10/02/pdfs/GMD-1801-94.pdf#page=2","Abrir facsímil")</f>
        <v>Abrir facsímil</v>
      </c>
      <c r="K5654" s="15" t="s">
        <v>23</v>
      </c>
    </row>
    <row r="5655" spans="1:11" ht="42" customHeight="1">
      <c r="A5655" s="4" t="s">
        <v>12685</v>
      </c>
      <c r="B5655" s="5" t="s">
        <v>12685</v>
      </c>
      <c r="C5655" s="5" t="s">
        <v>75</v>
      </c>
      <c r="D5655" s="5" t="s">
        <v>76</v>
      </c>
      <c r="E5655" s="5" t="s">
        <v>349</v>
      </c>
      <c r="F5655" s="9">
        <v>112</v>
      </c>
      <c r="G5655" s="9">
        <v>1223</v>
      </c>
      <c r="H5655" s="5" t="s">
        <v>21</v>
      </c>
      <c r="I5655" s="5" t="s">
        <v>12686</v>
      </c>
      <c r="J5655" s="12" t="str">
        <f>HYPERLINK("https://www.boe.es/gazeta/dias/1801/12/04/pdfs/GMD-1801-112.pdf#page=4","Abrir facsímil")</f>
        <v>Abrir facsímil</v>
      </c>
      <c r="K5655" s="15" t="s">
        <v>23</v>
      </c>
    </row>
    <row r="5656" spans="1:11" ht="42" customHeight="1">
      <c r="A5656" s="4" t="s">
        <v>12687</v>
      </c>
      <c r="B5656" s="5" t="s">
        <v>12687</v>
      </c>
      <c r="C5656" s="5" t="s">
        <v>75</v>
      </c>
      <c r="D5656" s="5" t="s">
        <v>76</v>
      </c>
      <c r="E5656" s="5" t="s">
        <v>1085</v>
      </c>
      <c r="F5656" s="9">
        <v>99</v>
      </c>
      <c r="G5656" s="9">
        <v>1086</v>
      </c>
      <c r="H5656" s="5" t="s">
        <v>21</v>
      </c>
      <c r="I5656" s="5" t="s">
        <v>12688</v>
      </c>
      <c r="J5656" s="12" t="str">
        <f>HYPERLINK("https://www.boe.es/gazeta/dias/1801/10/20/pdfs/GMD-1801-99.pdf#page=3","Abrir facsímil")</f>
        <v>Abrir facsímil</v>
      </c>
      <c r="K5656" s="15" t="s">
        <v>23</v>
      </c>
    </row>
    <row r="5657" spans="1:11" ht="42" customHeight="1">
      <c r="A5657" s="4" t="s">
        <v>12689</v>
      </c>
      <c r="B5657" s="5" t="s">
        <v>12689</v>
      </c>
      <c r="C5657" s="5" t="s">
        <v>32</v>
      </c>
      <c r="D5657" s="5" t="s">
        <v>33</v>
      </c>
      <c r="E5657" s="5" t="s">
        <v>264</v>
      </c>
      <c r="F5657" s="9">
        <v>111</v>
      </c>
      <c r="G5657" s="9">
        <v>1213</v>
      </c>
      <c r="H5657" s="5" t="s">
        <v>21</v>
      </c>
      <c r="I5657" s="5" t="s">
        <v>12690</v>
      </c>
      <c r="J5657" s="12" t="str">
        <f>HYPERLINK("https://www.boe.es/gazeta/dias/1801/12/01/pdfs/GMD-1801-111.pdf#page=2","Abrir facsímil")</f>
        <v>Abrir facsímil</v>
      </c>
      <c r="K5657" s="15" t="s">
        <v>23</v>
      </c>
    </row>
    <row r="5658" spans="1:11" ht="42" customHeight="1">
      <c r="A5658" s="4" t="s">
        <v>12691</v>
      </c>
      <c r="B5658" s="5" t="s">
        <v>12691</v>
      </c>
      <c r="C5658" s="5" t="s">
        <v>75</v>
      </c>
      <c r="D5658" s="5" t="s">
        <v>76</v>
      </c>
      <c r="E5658" s="5" t="s">
        <v>211</v>
      </c>
      <c r="F5658" s="9">
        <v>87</v>
      </c>
      <c r="G5658" s="9">
        <v>961</v>
      </c>
      <c r="H5658" s="5" t="s">
        <v>21</v>
      </c>
      <c r="I5658" s="5" t="s">
        <v>12692</v>
      </c>
      <c r="J5658" s="12" t="str">
        <f>HYPERLINK("https://www.boe.es/gazeta/dias/1801/09/11/pdfs/GMD-1801-87.pdf#page=4","Abrir facsímil")</f>
        <v>Abrir facsímil</v>
      </c>
      <c r="K5658" s="15" t="s">
        <v>23</v>
      </c>
    </row>
    <row r="5659" spans="1:11" ht="42" customHeight="1">
      <c r="A5659" s="4" t="s">
        <v>12693</v>
      </c>
      <c r="B5659" s="5" t="s">
        <v>12693</v>
      </c>
      <c r="C5659" s="5" t="s">
        <v>75</v>
      </c>
      <c r="D5659" s="5" t="s">
        <v>76</v>
      </c>
      <c r="E5659" s="5" t="s">
        <v>145</v>
      </c>
      <c r="F5659" s="9">
        <v>36</v>
      </c>
      <c r="G5659" s="9">
        <v>462</v>
      </c>
      <c r="H5659" s="5" t="s">
        <v>21</v>
      </c>
      <c r="I5659" s="5" t="s">
        <v>12694</v>
      </c>
      <c r="J5659" s="12" t="str">
        <f>HYPERLINK("https://www.boe.es/gazeta/dias/1801/05/05/pdfs/GMD-1801-36.pdf#page=6","Abrir facsímil")</f>
        <v>Abrir facsímil</v>
      </c>
      <c r="K5659" s="15" t="s">
        <v>23</v>
      </c>
    </row>
    <row r="5660" spans="1:11" ht="42" customHeight="1">
      <c r="A5660" s="4" t="s">
        <v>12695</v>
      </c>
      <c r="B5660" s="5" t="s">
        <v>12695</v>
      </c>
      <c r="C5660" s="5" t="s">
        <v>38</v>
      </c>
      <c r="D5660" s="5" t="s">
        <v>39</v>
      </c>
      <c r="E5660" s="5" t="s">
        <v>2430</v>
      </c>
      <c r="F5660" s="9">
        <v>27</v>
      </c>
      <c r="G5660" s="9">
        <v>353</v>
      </c>
      <c r="H5660" s="5" t="s">
        <v>21</v>
      </c>
      <c r="I5660" s="5" t="s">
        <v>12696</v>
      </c>
      <c r="J5660" s="12" t="str">
        <f>HYPERLINK("https://www.boe.es/gazeta/dias/1801/04/03/pdfs/GMD-1801-27.pdf#page=5","Abrir facsímil")</f>
        <v>Abrir facsímil</v>
      </c>
      <c r="K5660" s="15" t="s">
        <v>23</v>
      </c>
    </row>
    <row r="5661" spans="1:11" ht="42" customHeight="1">
      <c r="A5661" s="4" t="s">
        <v>12697</v>
      </c>
      <c r="B5661" s="5" t="s">
        <v>12697</v>
      </c>
      <c r="C5661" s="5" t="s">
        <v>32</v>
      </c>
      <c r="D5661" s="5" t="s">
        <v>33</v>
      </c>
      <c r="E5661" s="5" t="s">
        <v>258</v>
      </c>
      <c r="F5661" s="9">
        <v>96</v>
      </c>
      <c r="G5661" s="9">
        <v>1048</v>
      </c>
      <c r="H5661" s="5" t="s">
        <v>21</v>
      </c>
      <c r="I5661" s="5" t="s">
        <v>12698</v>
      </c>
      <c r="J5661" s="12" t="str">
        <f>HYPERLINK("https://www.boe.es/gazeta/dias/1801/10/09/pdfs/GMD-1801-96.pdf#page=4","Abrir facsímil")</f>
        <v>Abrir facsímil</v>
      </c>
      <c r="K5661" s="15" t="s">
        <v>23</v>
      </c>
    </row>
    <row r="5662" spans="1:11" ht="42" customHeight="1">
      <c r="A5662" s="4" t="s">
        <v>12699</v>
      </c>
      <c r="B5662" s="5" t="s">
        <v>12699</v>
      </c>
      <c r="C5662" s="5" t="s">
        <v>75</v>
      </c>
      <c r="D5662" s="5" t="s">
        <v>76</v>
      </c>
      <c r="E5662" s="5" t="s">
        <v>120</v>
      </c>
      <c r="F5662" s="9">
        <v>7</v>
      </c>
      <c r="G5662" s="9">
        <v>77</v>
      </c>
      <c r="H5662" s="5" t="s">
        <v>21</v>
      </c>
      <c r="I5662" s="5" t="s">
        <v>12700</v>
      </c>
      <c r="J5662" s="12" t="str">
        <f>HYPERLINK("https://www.boe.es/gazeta/dias/1801/01/23/pdfs/GMD-1801-7.pdf#page=1","Abrir facsímil")</f>
        <v>Abrir facsímil</v>
      </c>
      <c r="K5662" s="15" t="s">
        <v>23</v>
      </c>
    </row>
    <row r="5663" spans="1:11" ht="42" customHeight="1">
      <c r="A5663" s="4" t="s">
        <v>12699</v>
      </c>
      <c r="B5663" s="5" t="s">
        <v>12699</v>
      </c>
      <c r="C5663" s="5" t="s">
        <v>75</v>
      </c>
      <c r="D5663" s="5" t="s">
        <v>76</v>
      </c>
      <c r="E5663" s="5" t="s">
        <v>2237</v>
      </c>
      <c r="F5663" s="9">
        <v>82</v>
      </c>
      <c r="G5663" s="9">
        <v>913</v>
      </c>
      <c r="H5663" s="5" t="s">
        <v>21</v>
      </c>
      <c r="I5663" s="5" t="s">
        <v>12701</v>
      </c>
      <c r="J5663" s="12" t="str">
        <f>HYPERLINK("https://www.boe.es/gazeta/dias/1801/08/28/pdfs/GMD-1801-82.pdf#page=2","Abrir facsímil")</f>
        <v>Abrir facsímil</v>
      </c>
      <c r="K5663" s="15" t="s">
        <v>23</v>
      </c>
    </row>
    <row r="5664" spans="1:11" ht="42" customHeight="1">
      <c r="A5664" s="4" t="s">
        <v>12702</v>
      </c>
      <c r="B5664" s="5" t="s">
        <v>12702</v>
      </c>
      <c r="C5664" s="5" t="s">
        <v>75</v>
      </c>
      <c r="D5664" s="5" t="s">
        <v>76</v>
      </c>
      <c r="E5664" s="5" t="s">
        <v>135</v>
      </c>
      <c r="F5664" s="9">
        <v>24</v>
      </c>
      <c r="G5664" s="9">
        <v>315</v>
      </c>
      <c r="H5664" s="5" t="s">
        <v>21</v>
      </c>
      <c r="I5664" s="5" t="s">
        <v>12703</v>
      </c>
      <c r="J5664" s="12" t="str">
        <f>HYPERLINK("https://www.boe.es/gazeta/dias/1801/03/24/pdfs/GMD-1801-24.pdf#page=6","Abrir facsímil")</f>
        <v>Abrir facsímil</v>
      </c>
      <c r="K5664" s="15" t="s">
        <v>23</v>
      </c>
    </row>
    <row r="5665" spans="1:11" ht="42" customHeight="1">
      <c r="A5665" s="4" t="s">
        <v>12704</v>
      </c>
      <c r="B5665" s="5" t="s">
        <v>12704</v>
      </c>
      <c r="C5665" s="5" t="s">
        <v>38</v>
      </c>
      <c r="D5665" s="5" t="s">
        <v>39</v>
      </c>
      <c r="E5665" s="5" t="s">
        <v>309</v>
      </c>
      <c r="F5665" s="9">
        <v>118</v>
      </c>
      <c r="G5665" s="9">
        <v>1287</v>
      </c>
      <c r="H5665" s="5" t="s">
        <v>21</v>
      </c>
      <c r="I5665" s="5" t="s">
        <v>12705</v>
      </c>
      <c r="J5665" s="12" t="str">
        <f>HYPERLINK("https://www.boe.es/gazeta/dias/1801/12/25/pdfs/GMD-1801-118.pdf#page=2","Abrir facsímil")</f>
        <v>Abrir facsímil</v>
      </c>
      <c r="K5665" s="15" t="s">
        <v>23</v>
      </c>
    </row>
    <row r="5666" spans="1:11" ht="42" customHeight="1">
      <c r="A5666" s="4" t="s">
        <v>12706</v>
      </c>
      <c r="B5666" s="5" t="s">
        <v>12706</v>
      </c>
      <c r="C5666" s="5" t="s">
        <v>18</v>
      </c>
      <c r="D5666" s="5" t="s">
        <v>19</v>
      </c>
      <c r="E5666" s="5" t="s">
        <v>615</v>
      </c>
      <c r="F5666" s="9">
        <v>72</v>
      </c>
      <c r="G5666" s="9">
        <v>801</v>
      </c>
      <c r="H5666" s="5" t="s">
        <v>21</v>
      </c>
      <c r="I5666" s="5" t="s">
        <v>12707</v>
      </c>
      <c r="J5666" s="12" t="str">
        <f>HYPERLINK("https://www.boe.es/gazeta/dias/1801/07/24/pdfs/GMD-1801-72.pdf#page=6","Abrir facsímil")</f>
        <v>Abrir facsímil</v>
      </c>
      <c r="K5666" s="15" t="s">
        <v>23</v>
      </c>
    </row>
    <row r="5667" spans="1:11" ht="42" customHeight="1">
      <c r="A5667" s="4" t="s">
        <v>12706</v>
      </c>
      <c r="B5667" s="5" t="s">
        <v>12706</v>
      </c>
      <c r="C5667" s="5" t="s">
        <v>75</v>
      </c>
      <c r="D5667" s="5" t="s">
        <v>76</v>
      </c>
      <c r="E5667" s="5" t="s">
        <v>359</v>
      </c>
      <c r="F5667" s="9">
        <v>101</v>
      </c>
      <c r="G5667" s="9">
        <v>1111</v>
      </c>
      <c r="H5667" s="5" t="s">
        <v>21</v>
      </c>
      <c r="I5667" s="5" t="s">
        <v>12708</v>
      </c>
      <c r="J5667" s="12" t="str">
        <f>HYPERLINK("https://www.boe.es/gazeta/dias/1801/10/27/pdfs/GMD-1801-101.pdf#page=4","Abrir facsímil")</f>
        <v>Abrir facsímil</v>
      </c>
      <c r="K5667" s="15" t="s">
        <v>23</v>
      </c>
    </row>
    <row r="5668" spans="1:11" ht="42" customHeight="1">
      <c r="A5668" s="4" t="s">
        <v>12709</v>
      </c>
      <c r="B5668" s="5" t="s">
        <v>12709</v>
      </c>
      <c r="C5668" s="5" t="s">
        <v>75</v>
      </c>
      <c r="D5668" s="5" t="s">
        <v>76</v>
      </c>
      <c r="E5668" s="5" t="s">
        <v>165</v>
      </c>
      <c r="F5668" s="9">
        <v>59</v>
      </c>
      <c r="G5668" s="9">
        <v>673</v>
      </c>
      <c r="H5668" s="5" t="s">
        <v>21</v>
      </c>
      <c r="I5668" s="5" t="s">
        <v>12710</v>
      </c>
      <c r="J5668" s="12" t="str">
        <f>HYPERLINK("https://www.boe.es/gazeta/dias/1801/06/23/pdfs/GMD-1801-59.pdf#page=6","Abrir facsímil")</f>
        <v>Abrir facsímil</v>
      </c>
      <c r="K5668" s="15" t="s">
        <v>23</v>
      </c>
    </row>
    <row r="5669" spans="1:11" ht="42" customHeight="1">
      <c r="A5669" s="4" t="s">
        <v>12711</v>
      </c>
      <c r="B5669" s="5" t="s">
        <v>12711</v>
      </c>
      <c r="C5669" s="5" t="s">
        <v>75</v>
      </c>
      <c r="D5669" s="5" t="s">
        <v>76</v>
      </c>
      <c r="E5669" s="5" t="s">
        <v>99</v>
      </c>
      <c r="F5669" s="9">
        <v>32</v>
      </c>
      <c r="G5669" s="9">
        <v>409</v>
      </c>
      <c r="H5669" s="5" t="s">
        <v>21</v>
      </c>
      <c r="I5669" s="5" t="s">
        <v>12712</v>
      </c>
      <c r="J5669" s="12" t="str">
        <f>HYPERLINK("https://www.boe.es/gazeta/dias/1801/04/21/pdfs/GMD-1801-32.pdf#page=5","Abrir facsímil")</f>
        <v>Abrir facsímil</v>
      </c>
      <c r="K5669" s="15" t="s">
        <v>23</v>
      </c>
    </row>
    <row r="5670" spans="1:11" ht="42" customHeight="1">
      <c r="A5670" s="4" t="s">
        <v>12713</v>
      </c>
      <c r="B5670" s="5" t="s">
        <v>12713</v>
      </c>
      <c r="C5670" s="5" t="s">
        <v>75</v>
      </c>
      <c r="D5670" s="5" t="s">
        <v>76</v>
      </c>
      <c r="E5670" s="5" t="s">
        <v>108</v>
      </c>
      <c r="F5670" s="9">
        <v>61</v>
      </c>
      <c r="G5670" s="9">
        <v>694</v>
      </c>
      <c r="H5670" s="5" t="s">
        <v>21</v>
      </c>
      <c r="I5670" s="5" t="s">
        <v>12714</v>
      </c>
      <c r="J5670" s="12" t="str">
        <f>HYPERLINK("https://www.boe.es/gazeta/dias/1801/06/30/pdfs/GMD-1801-61.pdf#page=3","Abrir facsímil")</f>
        <v>Abrir facsímil</v>
      </c>
      <c r="K5670" s="15" t="s">
        <v>23</v>
      </c>
    </row>
    <row r="5671" spans="1:11" ht="42" customHeight="1">
      <c r="A5671" s="4" t="s">
        <v>12715</v>
      </c>
      <c r="B5671" s="5" t="s">
        <v>12715</v>
      </c>
      <c r="C5671" s="5" t="s">
        <v>75</v>
      </c>
      <c r="D5671" s="5" t="s">
        <v>76</v>
      </c>
      <c r="E5671" s="5" t="s">
        <v>223</v>
      </c>
      <c r="F5671" s="9">
        <v>74</v>
      </c>
      <c r="G5671" s="9">
        <v>822</v>
      </c>
      <c r="H5671" s="5" t="s">
        <v>21</v>
      </c>
      <c r="I5671" s="5" t="s">
        <v>12716</v>
      </c>
      <c r="J5671" s="12" t="str">
        <f>HYPERLINK("https://www.boe.es/gazeta/dias/1801/07/31/pdfs/GMD-1801-74.pdf#page=3","Abrir facsímil")</f>
        <v>Abrir facsímil</v>
      </c>
      <c r="K5671" s="15" t="s">
        <v>23</v>
      </c>
    </row>
    <row r="5672" spans="1:11" ht="42" customHeight="1">
      <c r="A5672" s="4" t="s">
        <v>12717</v>
      </c>
      <c r="B5672" s="5" t="s">
        <v>12717</v>
      </c>
      <c r="C5672" s="5" t="s">
        <v>18</v>
      </c>
      <c r="D5672" s="5" t="s">
        <v>19</v>
      </c>
      <c r="E5672" s="5" t="s">
        <v>251</v>
      </c>
      <c r="F5672" s="9">
        <v>66</v>
      </c>
      <c r="G5672" s="9">
        <v>743</v>
      </c>
      <c r="H5672" s="5" t="s">
        <v>21</v>
      </c>
      <c r="I5672" s="5" t="s">
        <v>12718</v>
      </c>
      <c r="J5672" s="12" t="str">
        <f>HYPERLINK("https://www.boe.es/gazeta/dias/1801/07/10/pdfs/GMD-1801-66.pdf#page=8","Abrir facsímil")</f>
        <v>Abrir facsímil</v>
      </c>
      <c r="K5672" s="15" t="s">
        <v>23</v>
      </c>
    </row>
    <row r="5673" spans="1:11" ht="42" customHeight="1">
      <c r="A5673" s="4" t="s">
        <v>12717</v>
      </c>
      <c r="B5673" s="5" t="s">
        <v>12717</v>
      </c>
      <c r="C5673" s="5" t="s">
        <v>38</v>
      </c>
      <c r="D5673" s="5" t="s">
        <v>39</v>
      </c>
      <c r="E5673" s="5" t="s">
        <v>919</v>
      </c>
      <c r="F5673" s="9">
        <v>91</v>
      </c>
      <c r="G5673" s="9">
        <v>1004</v>
      </c>
      <c r="H5673" s="5" t="s">
        <v>21</v>
      </c>
      <c r="I5673" s="5" t="s">
        <v>12719</v>
      </c>
      <c r="J5673" s="12" t="str">
        <f>HYPERLINK("https://www.boe.es/gazeta/dias/1801/09/22/pdfs/GMD-1801-91.pdf#page=7","Abrir facsímil")</f>
        <v>Abrir facsímil</v>
      </c>
      <c r="K5673" s="15" t="s">
        <v>23</v>
      </c>
    </row>
    <row r="5674" spans="1:11" ht="42" customHeight="1">
      <c r="A5674" s="4" t="s">
        <v>12720</v>
      </c>
      <c r="B5674" s="5" t="s">
        <v>12720</v>
      </c>
      <c r="C5674" s="5" t="s">
        <v>32</v>
      </c>
      <c r="D5674" s="5" t="s">
        <v>33</v>
      </c>
      <c r="E5674" s="5" t="s">
        <v>338</v>
      </c>
      <c r="F5674" s="9">
        <v>83</v>
      </c>
      <c r="G5674" s="9">
        <v>933</v>
      </c>
      <c r="H5674" s="5" t="s">
        <v>21</v>
      </c>
      <c r="I5674" s="5" t="s">
        <v>12721</v>
      </c>
      <c r="J5674" s="12" t="str">
        <f>HYPERLINK("https://www.boe.es/gazeta/dias/1801/09/01/pdfs/GMD-1801-83.pdf#page=8","Abrir facsímil")</f>
        <v>Abrir facsímil</v>
      </c>
      <c r="K5674" s="15" t="s">
        <v>23</v>
      </c>
    </row>
    <row r="5675" spans="1:11" ht="42" customHeight="1">
      <c r="A5675" s="4" t="s">
        <v>12722</v>
      </c>
      <c r="B5675" s="5" t="s">
        <v>12722</v>
      </c>
      <c r="C5675" s="5" t="s">
        <v>32</v>
      </c>
      <c r="D5675" s="5" t="s">
        <v>33</v>
      </c>
      <c r="E5675" s="5" t="s">
        <v>179</v>
      </c>
      <c r="F5675" s="9">
        <v>11</v>
      </c>
      <c r="G5675" s="9">
        <v>137</v>
      </c>
      <c r="H5675" s="5" t="s">
        <v>21</v>
      </c>
      <c r="I5675" s="5" t="s">
        <v>12723</v>
      </c>
      <c r="J5675" s="12" t="str">
        <f>HYPERLINK("https://www.boe.es/gazeta/dias/1801/02/06/pdfs/GMD-1801-11.pdf#page=10","Abrir facsímil")</f>
        <v>Abrir facsímil</v>
      </c>
      <c r="K5675" s="15" t="s">
        <v>23</v>
      </c>
    </row>
    <row r="5676" spans="1:11" ht="42" customHeight="1">
      <c r="A5676" s="4" t="s">
        <v>12724</v>
      </c>
      <c r="B5676" s="5" t="s">
        <v>12724</v>
      </c>
      <c r="C5676" s="5" t="s">
        <v>75</v>
      </c>
      <c r="D5676" s="5" t="s">
        <v>76</v>
      </c>
      <c r="E5676" s="5" t="s">
        <v>62</v>
      </c>
      <c r="F5676" s="9">
        <v>6</v>
      </c>
      <c r="G5676" s="9">
        <v>70</v>
      </c>
      <c r="H5676" s="5" t="s">
        <v>21</v>
      </c>
      <c r="I5676" s="5" t="s">
        <v>12725</v>
      </c>
      <c r="J5676" s="12" t="str">
        <f>HYPERLINK("https://www.boe.es/gazeta/dias/1801/01/20/pdfs/GMD-1801-6.pdf#page=6","Abrir facsímil")</f>
        <v>Abrir facsímil</v>
      </c>
      <c r="K5676" s="15" t="s">
        <v>23</v>
      </c>
    </row>
    <row r="5677" spans="1:11" ht="42" customHeight="1">
      <c r="A5677" s="4" t="s">
        <v>12726</v>
      </c>
      <c r="B5677" s="5" t="s">
        <v>12726</v>
      </c>
      <c r="C5677" s="5" t="s">
        <v>75</v>
      </c>
      <c r="D5677" s="5" t="s">
        <v>76</v>
      </c>
      <c r="E5677" s="5" t="s">
        <v>169</v>
      </c>
      <c r="F5677" s="9">
        <v>70</v>
      </c>
      <c r="G5677" s="9">
        <v>768</v>
      </c>
      <c r="H5677" s="5" t="s">
        <v>21</v>
      </c>
      <c r="I5677" s="5" t="s">
        <v>12394</v>
      </c>
      <c r="J5677" s="12" t="str">
        <f>HYPERLINK("https://www.boe.es/gazeta/dias/1801/07/17/pdfs/GMD-1801-70.pdf#page=1","Abrir facsímil")</f>
        <v>Abrir facsímil</v>
      </c>
      <c r="K5677" s="15" t="s">
        <v>23</v>
      </c>
    </row>
    <row r="5678" spans="1:11" ht="42" customHeight="1">
      <c r="A5678" s="4" t="s">
        <v>12727</v>
      </c>
      <c r="B5678" s="5" t="s">
        <v>12727</v>
      </c>
      <c r="C5678" s="5" t="s">
        <v>32</v>
      </c>
      <c r="D5678" s="5" t="s">
        <v>33</v>
      </c>
      <c r="E5678" s="5" t="s">
        <v>186</v>
      </c>
      <c r="F5678" s="9">
        <v>21</v>
      </c>
      <c r="G5678" s="9">
        <v>275</v>
      </c>
      <c r="H5678" s="5" t="s">
        <v>21</v>
      </c>
      <c r="I5678" s="5" t="s">
        <v>12728</v>
      </c>
      <c r="J5678" s="12" t="str">
        <f>HYPERLINK("https://www.boe.es/gazeta/dias/1801/03/13/pdfs/GMD-1801-21.pdf#page=4","Abrir facsímil")</f>
        <v>Abrir facsímil</v>
      </c>
      <c r="K5678" s="15" t="s">
        <v>23</v>
      </c>
    </row>
    <row r="5679" spans="1:11" ht="42" customHeight="1">
      <c r="A5679" s="4" t="s">
        <v>12729</v>
      </c>
      <c r="B5679" s="5" t="s">
        <v>12729</v>
      </c>
      <c r="C5679" s="5" t="s">
        <v>75</v>
      </c>
      <c r="D5679" s="5" t="s">
        <v>76</v>
      </c>
      <c r="E5679" s="5" t="s">
        <v>501</v>
      </c>
      <c r="F5679" s="9">
        <v>115</v>
      </c>
      <c r="G5679" s="9">
        <v>1253</v>
      </c>
      <c r="H5679" s="5" t="s">
        <v>21</v>
      </c>
      <c r="I5679" s="5" t="s">
        <v>12730</v>
      </c>
      <c r="J5679" s="12" t="str">
        <f>HYPERLINK("https://www.boe.es/gazeta/dias/1801/12/15/pdfs/GMD-1801-115.pdf#page=3","Abrir facsímil")</f>
        <v>Abrir facsímil</v>
      </c>
      <c r="K5679" s="15" t="s">
        <v>23</v>
      </c>
    </row>
    <row r="5680" spans="1:11" ht="42" customHeight="1">
      <c r="A5680" s="4" t="s">
        <v>12731</v>
      </c>
      <c r="B5680" s="5" t="s">
        <v>12731</v>
      </c>
      <c r="C5680" s="5" t="s">
        <v>75</v>
      </c>
      <c r="D5680" s="5" t="s">
        <v>76</v>
      </c>
      <c r="E5680" s="5" t="s">
        <v>359</v>
      </c>
      <c r="F5680" s="9">
        <v>101</v>
      </c>
      <c r="G5680" s="9">
        <v>1110</v>
      </c>
      <c r="H5680" s="5" t="s">
        <v>21</v>
      </c>
      <c r="I5680" s="5" t="s">
        <v>12732</v>
      </c>
      <c r="J5680" s="12" t="str">
        <f>HYPERLINK("https://www.boe.es/gazeta/dias/1801/10/27/pdfs/GMD-1801-101.pdf#page=3","Abrir facsímil")</f>
        <v>Abrir facsímil</v>
      </c>
      <c r="K5680" s="15" t="s">
        <v>23</v>
      </c>
    </row>
    <row r="5681" spans="1:11" ht="42" customHeight="1">
      <c r="A5681" s="4" t="s">
        <v>12733</v>
      </c>
      <c r="B5681" s="5" t="s">
        <v>12733</v>
      </c>
      <c r="C5681" s="5" t="s">
        <v>75</v>
      </c>
      <c r="D5681" s="5" t="s">
        <v>76</v>
      </c>
      <c r="E5681" s="5" t="s">
        <v>179</v>
      </c>
      <c r="F5681" s="9">
        <v>11</v>
      </c>
      <c r="G5681" s="9">
        <v>130</v>
      </c>
      <c r="H5681" s="5" t="s">
        <v>21</v>
      </c>
      <c r="I5681" s="5" t="s">
        <v>12640</v>
      </c>
      <c r="J5681" s="12" t="str">
        <f>HYPERLINK("https://www.boe.es/gazeta/dias/1801/02/06/pdfs/GMD-1801-11.pdf#page=3","Abrir facsímil")</f>
        <v>Abrir facsímil</v>
      </c>
      <c r="K5681" s="15" t="s">
        <v>23</v>
      </c>
    </row>
    <row r="5682" spans="1:11" ht="42" customHeight="1">
      <c r="A5682" s="4" t="s">
        <v>12734</v>
      </c>
      <c r="B5682" s="5" t="s">
        <v>12734</v>
      </c>
      <c r="C5682" s="5" t="s">
        <v>75</v>
      </c>
      <c r="D5682" s="5" t="s">
        <v>76</v>
      </c>
      <c r="E5682" s="5" t="s">
        <v>99</v>
      </c>
      <c r="F5682" s="9">
        <v>32</v>
      </c>
      <c r="G5682" s="9">
        <v>406</v>
      </c>
      <c r="H5682" s="5" t="s">
        <v>21</v>
      </c>
      <c r="I5682" s="5" t="s">
        <v>12538</v>
      </c>
      <c r="J5682" s="12" t="str">
        <f>HYPERLINK("https://www.boe.es/gazeta/dias/1801/04/21/pdfs/GMD-1801-32.pdf#page=2","Abrir facsímil")</f>
        <v>Abrir facsímil</v>
      </c>
      <c r="K5682" s="15" t="s">
        <v>23</v>
      </c>
    </row>
    <row r="5683" spans="1:11" ht="42" customHeight="1">
      <c r="A5683" s="4" t="s">
        <v>12735</v>
      </c>
      <c r="B5683" s="5" t="s">
        <v>12735</v>
      </c>
      <c r="C5683" s="5" t="s">
        <v>38</v>
      </c>
      <c r="D5683" s="5" t="s">
        <v>39</v>
      </c>
      <c r="E5683" s="5" t="s">
        <v>143</v>
      </c>
      <c r="F5683" s="9">
        <v>34</v>
      </c>
      <c r="G5683" s="9">
        <v>430</v>
      </c>
      <c r="H5683" s="5" t="s">
        <v>21</v>
      </c>
      <c r="I5683" s="5" t="s">
        <v>12736</v>
      </c>
      <c r="J5683" s="12" t="str">
        <f>HYPERLINK("https://www.boe.es/gazeta/dias/1801/04/28/pdfs/GMD-1801-34.pdf#page=2","Abrir facsímil")</f>
        <v>Abrir facsímil</v>
      </c>
      <c r="K5683" s="15" t="s">
        <v>23</v>
      </c>
    </row>
    <row r="5684" spans="1:11" ht="42" customHeight="1">
      <c r="A5684" s="4" t="s">
        <v>12735</v>
      </c>
      <c r="B5684" s="5" t="s">
        <v>12735</v>
      </c>
      <c r="C5684" s="5" t="s">
        <v>75</v>
      </c>
      <c r="D5684" s="5" t="s">
        <v>76</v>
      </c>
      <c r="E5684" s="5" t="s">
        <v>211</v>
      </c>
      <c r="F5684" s="9">
        <v>87</v>
      </c>
      <c r="G5684" s="9">
        <v>962</v>
      </c>
      <c r="H5684" s="5" t="s">
        <v>21</v>
      </c>
      <c r="I5684" s="5" t="s">
        <v>12737</v>
      </c>
      <c r="J5684" s="12" t="str">
        <f>HYPERLINK("https://www.boe.es/gazeta/dias/1801/09/11/pdfs/GMD-1801-87.pdf#page=5","Abrir facsímil")</f>
        <v>Abrir facsímil</v>
      </c>
      <c r="K5684" s="15" t="s">
        <v>23</v>
      </c>
    </row>
    <row r="5685" spans="1:11" ht="42" customHeight="1">
      <c r="A5685" s="4" t="s">
        <v>12738</v>
      </c>
      <c r="B5685" s="5" t="s">
        <v>12738</v>
      </c>
      <c r="C5685" s="5" t="s">
        <v>38</v>
      </c>
      <c r="D5685" s="5" t="s">
        <v>39</v>
      </c>
      <c r="E5685" s="5" t="s">
        <v>751</v>
      </c>
      <c r="F5685" s="9">
        <v>106</v>
      </c>
      <c r="G5685" s="9">
        <v>1161</v>
      </c>
      <c r="H5685" s="5" t="s">
        <v>21</v>
      </c>
      <c r="I5685" s="5" t="s">
        <v>12739</v>
      </c>
      <c r="J5685" s="12" t="str">
        <f>HYPERLINK("https://www.boe.es/gazeta/dias/1801/11/13/pdfs/GMD-1801-106.pdf#page=2","Abrir facsímil")</f>
        <v>Abrir facsímil</v>
      </c>
      <c r="K5685" s="15" t="s">
        <v>23</v>
      </c>
    </row>
    <row r="5686" spans="1:11" ht="42" customHeight="1">
      <c r="A5686" s="4" t="s">
        <v>12740</v>
      </c>
      <c r="B5686" s="5" t="s">
        <v>12740</v>
      </c>
      <c r="C5686" s="5" t="s">
        <v>32</v>
      </c>
      <c r="D5686" s="5" t="s">
        <v>33</v>
      </c>
      <c r="E5686" s="5" t="s">
        <v>1939</v>
      </c>
      <c r="F5686" s="9">
        <v>107</v>
      </c>
      <c r="G5686" s="9">
        <v>1174</v>
      </c>
      <c r="H5686" s="5" t="s">
        <v>21</v>
      </c>
      <c r="I5686" s="5" t="s">
        <v>12741</v>
      </c>
      <c r="J5686" s="12" t="str">
        <f>HYPERLINK("https://www.boe.es/gazeta/dias/1801/11/17/pdfs/GMD-1801-107.pdf#page=3","Abrir facsímil")</f>
        <v>Abrir facsímil</v>
      </c>
      <c r="K5686" s="15" t="s">
        <v>23</v>
      </c>
    </row>
    <row r="5687" spans="1:11" ht="42" customHeight="1">
      <c r="A5687" s="4" t="s">
        <v>12742</v>
      </c>
      <c r="B5687" s="5" t="s">
        <v>12742</v>
      </c>
      <c r="C5687" s="5" t="s">
        <v>32</v>
      </c>
      <c r="D5687" s="5" t="s">
        <v>33</v>
      </c>
      <c r="E5687" s="5" t="s">
        <v>137</v>
      </c>
      <c r="F5687" s="9">
        <v>30</v>
      </c>
      <c r="G5687" s="9">
        <v>387</v>
      </c>
      <c r="H5687" s="5" t="s">
        <v>21</v>
      </c>
      <c r="I5687" s="5" t="s">
        <v>12743</v>
      </c>
      <c r="J5687" s="12" t="str">
        <f>HYPERLINK("https://www.boe.es/gazeta/dias/1801/04/14/pdfs/GMD-1801-30.pdf#page=3","Abrir facsímil")</f>
        <v>Abrir facsímil</v>
      </c>
      <c r="K5687" s="15" t="s">
        <v>23</v>
      </c>
    </row>
    <row r="5688" spans="1:11" ht="42" customHeight="1">
      <c r="A5688" s="4" t="s">
        <v>12742</v>
      </c>
      <c r="B5688" s="5" t="s">
        <v>12742</v>
      </c>
      <c r="C5688" s="5" t="s">
        <v>32</v>
      </c>
      <c r="D5688" s="5" t="s">
        <v>33</v>
      </c>
      <c r="E5688" s="5" t="s">
        <v>256</v>
      </c>
      <c r="F5688" s="9">
        <v>78</v>
      </c>
      <c r="G5688" s="9">
        <v>874</v>
      </c>
      <c r="H5688" s="5" t="s">
        <v>21</v>
      </c>
      <c r="I5688" s="5" t="s">
        <v>12744</v>
      </c>
      <c r="J5688" s="12" t="str">
        <f>HYPERLINK("https://www.boe.es/gazeta/dias/1801/08/14/pdfs/GMD-1801-78.pdf#page=3","Abrir facsímil")</f>
        <v>Abrir facsímil</v>
      </c>
      <c r="K5688" s="15" t="s">
        <v>23</v>
      </c>
    </row>
    <row r="5689" spans="1:11" ht="42" customHeight="1">
      <c r="A5689" s="4" t="s">
        <v>12745</v>
      </c>
      <c r="B5689" s="5" t="s">
        <v>12745</v>
      </c>
      <c r="C5689" s="5" t="s">
        <v>75</v>
      </c>
      <c r="D5689" s="5" t="s">
        <v>76</v>
      </c>
      <c r="E5689" s="5" t="s">
        <v>2237</v>
      </c>
      <c r="F5689" s="9">
        <v>82</v>
      </c>
      <c r="G5689" s="9">
        <v>913</v>
      </c>
      <c r="H5689" s="5" t="s">
        <v>21</v>
      </c>
      <c r="I5689" s="5" t="s">
        <v>12746</v>
      </c>
      <c r="J5689" s="12" t="str">
        <f>HYPERLINK("https://www.boe.es/gazeta/dias/1801/08/28/pdfs/GMD-1801-82.pdf#page=2","Abrir facsímil")</f>
        <v>Abrir facsímil</v>
      </c>
      <c r="K5689" s="15" t="s">
        <v>23</v>
      </c>
    </row>
    <row r="5690" spans="1:11" ht="42" customHeight="1">
      <c r="A5690" s="4" t="s">
        <v>12747</v>
      </c>
      <c r="B5690" s="5" t="s">
        <v>12747</v>
      </c>
      <c r="C5690" s="5" t="s">
        <v>75</v>
      </c>
      <c r="D5690" s="5" t="s">
        <v>76</v>
      </c>
      <c r="E5690" s="5" t="s">
        <v>505</v>
      </c>
      <c r="F5690" s="9">
        <v>94</v>
      </c>
      <c r="G5690" s="9">
        <v>1027</v>
      </c>
      <c r="H5690" s="5" t="s">
        <v>21</v>
      </c>
      <c r="I5690" s="5" t="s">
        <v>12748</v>
      </c>
      <c r="J5690" s="12" t="str">
        <f>HYPERLINK("https://www.boe.es/gazeta/dias/1801/10/02/pdfs/GMD-1801-94.pdf#page=3","Abrir facsímil")</f>
        <v>Abrir facsímil</v>
      </c>
      <c r="K5690" s="15" t="s">
        <v>23</v>
      </c>
    </row>
    <row r="5691" spans="1:11" ht="42" customHeight="1">
      <c r="A5691" s="4" t="s">
        <v>12749</v>
      </c>
      <c r="B5691" s="5" t="s">
        <v>12749</v>
      </c>
      <c r="C5691" s="5" t="s">
        <v>38</v>
      </c>
      <c r="D5691" s="5" t="s">
        <v>39</v>
      </c>
      <c r="E5691" s="5" t="s">
        <v>417</v>
      </c>
      <c r="F5691" s="9">
        <v>64</v>
      </c>
      <c r="G5691" s="9">
        <v>722</v>
      </c>
      <c r="H5691" s="5" t="s">
        <v>21</v>
      </c>
      <c r="I5691" s="5" t="s">
        <v>12750</v>
      </c>
      <c r="J5691" s="12" t="str">
        <f>HYPERLINK("https://www.boe.es/gazeta/dias/1801/07/07/pdfs/GMD-1801-64.pdf#page=3","Abrir facsímil")</f>
        <v>Abrir facsímil</v>
      </c>
      <c r="K5691" s="15" t="s">
        <v>23</v>
      </c>
    </row>
    <row r="5692" spans="1:11" ht="42" customHeight="1">
      <c r="A5692" s="4" t="s">
        <v>12751</v>
      </c>
      <c r="B5692" s="5" t="s">
        <v>12751</v>
      </c>
      <c r="C5692" s="5" t="s">
        <v>75</v>
      </c>
      <c r="D5692" s="5" t="s">
        <v>76</v>
      </c>
      <c r="E5692" s="5" t="s">
        <v>165</v>
      </c>
      <c r="F5692" s="9">
        <v>59</v>
      </c>
      <c r="G5692" s="9">
        <v>670</v>
      </c>
      <c r="H5692" s="5" t="s">
        <v>21</v>
      </c>
      <c r="I5692" s="5" t="s">
        <v>12752</v>
      </c>
      <c r="J5692" s="12" t="str">
        <f>HYPERLINK("https://www.boe.es/gazeta/dias/1801/06/23/pdfs/GMD-1801-59.pdf#page=3","Abrir facsímil")</f>
        <v>Abrir facsímil</v>
      </c>
      <c r="K5692" s="15" t="s">
        <v>23</v>
      </c>
    </row>
    <row r="5693" spans="1:11" ht="42" customHeight="1">
      <c r="A5693" s="4" t="s">
        <v>12753</v>
      </c>
      <c r="B5693" s="5" t="s">
        <v>12753</v>
      </c>
      <c r="C5693" s="5" t="s">
        <v>32</v>
      </c>
      <c r="D5693" s="5" t="s">
        <v>33</v>
      </c>
      <c r="E5693" s="5" t="s">
        <v>751</v>
      </c>
      <c r="F5693" s="9">
        <v>106</v>
      </c>
      <c r="G5693" s="9">
        <v>1161</v>
      </c>
      <c r="H5693" s="5" t="s">
        <v>21</v>
      </c>
      <c r="I5693" s="5" t="s">
        <v>12754</v>
      </c>
      <c r="J5693" s="12" t="str">
        <f>HYPERLINK("https://www.boe.es/gazeta/dias/1801/11/13/pdfs/GMD-1801-106.pdf#page=2","Abrir facsímil")</f>
        <v>Abrir facsímil</v>
      </c>
      <c r="K5693" s="15" t="s">
        <v>23</v>
      </c>
    </row>
    <row r="5694" spans="1:11" ht="42" customHeight="1">
      <c r="A5694" s="4" t="s">
        <v>12755</v>
      </c>
      <c r="B5694" s="5" t="s">
        <v>12755</v>
      </c>
      <c r="C5694" s="5" t="s">
        <v>75</v>
      </c>
      <c r="D5694" s="5" t="s">
        <v>76</v>
      </c>
      <c r="E5694" s="5" t="s">
        <v>292</v>
      </c>
      <c r="F5694" s="9">
        <v>25</v>
      </c>
      <c r="G5694" s="9">
        <v>328</v>
      </c>
      <c r="H5694" s="5" t="s">
        <v>21</v>
      </c>
      <c r="I5694" s="5" t="s">
        <v>12756</v>
      </c>
      <c r="J5694" s="12" t="str">
        <f>HYPERLINK("https://www.boe.es/gazeta/dias/1801/03/27/pdfs/GMD-1801-25.pdf#page=7","Abrir facsímil")</f>
        <v>Abrir facsímil</v>
      </c>
      <c r="K5694" s="15" t="s">
        <v>23</v>
      </c>
    </row>
    <row r="5695" spans="1:11" ht="42" customHeight="1">
      <c r="A5695" s="4" t="s">
        <v>12757</v>
      </c>
      <c r="B5695" s="5" t="s">
        <v>12757</v>
      </c>
      <c r="C5695" s="5" t="s">
        <v>75</v>
      </c>
      <c r="D5695" s="5" t="s">
        <v>76</v>
      </c>
      <c r="E5695" s="5" t="s">
        <v>712</v>
      </c>
      <c r="F5695" s="9">
        <v>105</v>
      </c>
      <c r="G5695" s="9">
        <v>1149</v>
      </c>
      <c r="H5695" s="5" t="s">
        <v>21</v>
      </c>
      <c r="I5695" s="5" t="s">
        <v>12758</v>
      </c>
      <c r="J5695" s="12" t="str">
        <f>HYPERLINK("https://www.boe.es/gazeta/dias/1801/11/10/pdfs/GMD-1801-105.pdf#page=2","Abrir facsímil")</f>
        <v>Abrir facsímil</v>
      </c>
      <c r="K5695" s="15" t="s">
        <v>23</v>
      </c>
    </row>
    <row r="5696" spans="1:11" ht="42" customHeight="1">
      <c r="A5696" s="4" t="s">
        <v>12759</v>
      </c>
      <c r="B5696" s="5" t="s">
        <v>12759</v>
      </c>
      <c r="C5696" s="5" t="s">
        <v>38</v>
      </c>
      <c r="D5696" s="5" t="s">
        <v>39</v>
      </c>
      <c r="E5696" s="5" t="s">
        <v>72</v>
      </c>
      <c r="F5696" s="9">
        <v>60</v>
      </c>
      <c r="G5696" s="9">
        <v>680</v>
      </c>
      <c r="H5696" s="5" t="s">
        <v>21</v>
      </c>
      <c r="I5696" s="5" t="s">
        <v>12760</v>
      </c>
      <c r="J5696" s="12" t="str">
        <f>HYPERLINK("https://www.boe.es/gazeta/dias/1801/06/26/pdfs/GMD-1801-60.pdf#page=1","Abrir facsímil")</f>
        <v>Abrir facsímil</v>
      </c>
      <c r="K5696" s="15" t="s">
        <v>23</v>
      </c>
    </row>
    <row r="5697" spans="1:11" ht="42" customHeight="1">
      <c r="A5697" s="4" t="s">
        <v>12761</v>
      </c>
      <c r="B5697" s="5" t="s">
        <v>12761</v>
      </c>
      <c r="C5697" s="5" t="s">
        <v>38</v>
      </c>
      <c r="D5697" s="5" t="s">
        <v>39</v>
      </c>
      <c r="E5697" s="5" t="s">
        <v>1058</v>
      </c>
      <c r="F5697" s="9">
        <v>108</v>
      </c>
      <c r="G5697" s="9">
        <v>1188</v>
      </c>
      <c r="H5697" s="5" t="s">
        <v>21</v>
      </c>
      <c r="I5697" s="5" t="s">
        <v>12762</v>
      </c>
      <c r="J5697" s="12" t="str">
        <f>HYPERLINK("https://www.boe.es/gazeta/dias/1801/11/20/pdfs/GMD-1801-108.pdf#page=5","Abrir facsímil")</f>
        <v>Abrir facsímil</v>
      </c>
      <c r="K5697" s="15" t="s">
        <v>23</v>
      </c>
    </row>
    <row r="5698" spans="1:11" ht="42" customHeight="1">
      <c r="A5698" s="4" t="s">
        <v>12763</v>
      </c>
      <c r="B5698" s="5" t="s">
        <v>12763</v>
      </c>
      <c r="C5698" s="5" t="s">
        <v>75</v>
      </c>
      <c r="D5698" s="5" t="s">
        <v>76</v>
      </c>
      <c r="E5698" s="5" t="s">
        <v>182</v>
      </c>
      <c r="F5698" s="9">
        <v>18</v>
      </c>
      <c r="G5698" s="9">
        <v>222</v>
      </c>
      <c r="H5698" s="5" t="s">
        <v>21</v>
      </c>
      <c r="I5698" s="5" t="s">
        <v>12764</v>
      </c>
      <c r="J5698" s="12" t="str">
        <f>HYPERLINK("https://www.boe.es/gazeta/dias/1801/03/03/pdfs/GMD-1801-18.pdf#page=3","Abrir facsímil")</f>
        <v>Abrir facsímil</v>
      </c>
      <c r="K5698" s="15" t="s">
        <v>23</v>
      </c>
    </row>
    <row r="5699" spans="1:11" ht="42" customHeight="1">
      <c r="A5699" s="4" t="s">
        <v>12765</v>
      </c>
      <c r="B5699" s="5" t="s">
        <v>12765</v>
      </c>
      <c r="C5699" s="5" t="s">
        <v>18</v>
      </c>
      <c r="D5699" s="5" t="s">
        <v>19</v>
      </c>
      <c r="E5699" s="5" t="s">
        <v>77</v>
      </c>
      <c r="F5699" s="9">
        <v>93</v>
      </c>
      <c r="G5699" s="9">
        <v>1016</v>
      </c>
      <c r="H5699" s="5" t="s">
        <v>21</v>
      </c>
      <c r="I5699" s="5" t="s">
        <v>12766</v>
      </c>
      <c r="J5699" s="12" t="str">
        <f>HYPERLINK("https://www.boe.es/gazeta/dias/1801/09/29/pdfs/GMD-1801-93.pdf#page=3","Abrir facsímil")</f>
        <v>Abrir facsímil</v>
      </c>
      <c r="K5699" s="15" t="s">
        <v>23</v>
      </c>
    </row>
    <row r="5700" spans="1:11" ht="42" customHeight="1">
      <c r="A5700" s="4" t="s">
        <v>12767</v>
      </c>
      <c r="B5700" s="5" t="s">
        <v>12767</v>
      </c>
      <c r="C5700" s="5" t="s">
        <v>69</v>
      </c>
      <c r="D5700" s="5" t="s">
        <v>19</v>
      </c>
      <c r="E5700" s="5" t="s">
        <v>165</v>
      </c>
      <c r="F5700" s="9">
        <v>59</v>
      </c>
      <c r="G5700" s="9">
        <v>671</v>
      </c>
      <c r="H5700" s="5" t="s">
        <v>21</v>
      </c>
      <c r="I5700" s="5" t="s">
        <v>12768</v>
      </c>
      <c r="J5700" s="12" t="str">
        <f>HYPERLINK("https://www.boe.es/gazeta/dias/1801/06/23/pdfs/GMD-1801-59.pdf#page=4","Abrir facsímil")</f>
        <v>Abrir facsímil</v>
      </c>
      <c r="K5700" s="15" t="s">
        <v>23</v>
      </c>
    </row>
    <row r="5701" spans="1:11" ht="42" customHeight="1">
      <c r="A5701" s="4" t="s">
        <v>12769</v>
      </c>
      <c r="B5701" s="5" t="s">
        <v>12769</v>
      </c>
      <c r="C5701" s="5" t="s">
        <v>75</v>
      </c>
      <c r="D5701" s="5" t="s">
        <v>76</v>
      </c>
      <c r="E5701" s="5" t="s">
        <v>251</v>
      </c>
      <c r="F5701" s="9">
        <v>66</v>
      </c>
      <c r="G5701" s="9">
        <v>739</v>
      </c>
      <c r="H5701" s="5" t="s">
        <v>21</v>
      </c>
      <c r="I5701" s="5" t="s">
        <v>12770</v>
      </c>
      <c r="J5701" s="12" t="str">
        <f>HYPERLINK("https://www.boe.es/gazeta/dias/1801/07/10/pdfs/GMD-1801-66.pdf#page=4","Abrir facsímil")</f>
        <v>Abrir facsímil</v>
      </c>
      <c r="K5701" s="15" t="s">
        <v>23</v>
      </c>
    </row>
    <row r="5702" spans="1:11" ht="42" customHeight="1">
      <c r="A5702" s="4" t="s">
        <v>12771</v>
      </c>
      <c r="B5702" s="5" t="s">
        <v>12771</v>
      </c>
      <c r="C5702" s="5" t="s">
        <v>38</v>
      </c>
      <c r="D5702" s="5" t="s">
        <v>39</v>
      </c>
      <c r="E5702" s="5" t="s">
        <v>143</v>
      </c>
      <c r="F5702" s="9">
        <v>34</v>
      </c>
      <c r="G5702" s="9">
        <v>430</v>
      </c>
      <c r="H5702" s="5" t="s">
        <v>21</v>
      </c>
      <c r="I5702" s="5" t="s">
        <v>12772</v>
      </c>
      <c r="J5702" s="12" t="str">
        <f>HYPERLINK("https://www.boe.es/gazeta/dias/1801/04/28/pdfs/GMD-1801-34.pdf#page=2","Abrir facsímil")</f>
        <v>Abrir facsímil</v>
      </c>
      <c r="K5702" s="15" t="s">
        <v>23</v>
      </c>
    </row>
    <row r="5703" spans="1:11" ht="42" customHeight="1">
      <c r="A5703" s="4" t="s">
        <v>12773</v>
      </c>
      <c r="B5703" s="5" t="s">
        <v>12773</v>
      </c>
      <c r="C5703" s="5" t="s">
        <v>38</v>
      </c>
      <c r="D5703" s="5" t="s">
        <v>39</v>
      </c>
      <c r="E5703" s="5" t="s">
        <v>126</v>
      </c>
      <c r="F5703" s="9">
        <v>13</v>
      </c>
      <c r="G5703" s="9">
        <v>160</v>
      </c>
      <c r="H5703" s="5" t="s">
        <v>21</v>
      </c>
      <c r="I5703" s="5" t="s">
        <v>12774</v>
      </c>
      <c r="J5703" s="12" t="str">
        <f>HYPERLINK("https://www.boe.es/gazeta/dias/1801/02/13/pdfs/GMD-1801-13.pdf#page=7","Abrir facsímil")</f>
        <v>Abrir facsímil</v>
      </c>
      <c r="K5703" s="15" t="s">
        <v>23</v>
      </c>
    </row>
    <row r="5704" spans="1:11" ht="42" customHeight="1">
      <c r="A5704" s="4" t="s">
        <v>12775</v>
      </c>
      <c r="B5704" s="5" t="s">
        <v>12775</v>
      </c>
      <c r="C5704" s="5" t="s">
        <v>75</v>
      </c>
      <c r="D5704" s="5" t="s">
        <v>76</v>
      </c>
      <c r="E5704" s="5" t="s">
        <v>1939</v>
      </c>
      <c r="F5704" s="9">
        <v>107</v>
      </c>
      <c r="G5704" s="9">
        <v>1176</v>
      </c>
      <c r="H5704" s="5" t="s">
        <v>21</v>
      </c>
      <c r="I5704" s="5" t="s">
        <v>12776</v>
      </c>
      <c r="J5704" s="12" t="str">
        <f>HYPERLINK("https://www.boe.es/gazeta/dias/1801/11/17/pdfs/GMD-1801-107.pdf#page=5","Abrir facsímil")</f>
        <v>Abrir facsímil</v>
      </c>
      <c r="K5704" s="15" t="s">
        <v>23</v>
      </c>
    </row>
    <row r="5705" spans="1:11" ht="42" customHeight="1">
      <c r="A5705" s="4" t="s">
        <v>12777</v>
      </c>
      <c r="B5705" s="5" t="s">
        <v>12777</v>
      </c>
      <c r="C5705" s="5" t="s">
        <v>38</v>
      </c>
      <c r="D5705" s="5" t="s">
        <v>39</v>
      </c>
      <c r="E5705" s="5" t="s">
        <v>72</v>
      </c>
      <c r="F5705" s="9">
        <v>60</v>
      </c>
      <c r="G5705" s="9">
        <v>680</v>
      </c>
      <c r="H5705" s="5" t="s">
        <v>21</v>
      </c>
      <c r="I5705" s="5" t="s">
        <v>12778</v>
      </c>
      <c r="J5705" s="12" t="str">
        <f>HYPERLINK("https://www.boe.es/gazeta/dias/1801/06/26/pdfs/GMD-1801-60.pdf#page=1","Abrir facsímil")</f>
        <v>Abrir facsímil</v>
      </c>
      <c r="K5705" s="15" t="s">
        <v>23</v>
      </c>
    </row>
    <row r="5706" spans="1:11" ht="42" customHeight="1">
      <c r="A5706" s="4" t="s">
        <v>12779</v>
      </c>
      <c r="B5706" s="5" t="s">
        <v>12779</v>
      </c>
      <c r="C5706" s="5" t="s">
        <v>32</v>
      </c>
      <c r="D5706" s="5" t="s">
        <v>33</v>
      </c>
      <c r="E5706" s="5" t="s">
        <v>173</v>
      </c>
      <c r="F5706" s="9">
        <v>98</v>
      </c>
      <c r="G5706" s="9">
        <v>1070</v>
      </c>
      <c r="H5706" s="5" t="s">
        <v>21</v>
      </c>
      <c r="I5706" s="5" t="s">
        <v>12780</v>
      </c>
      <c r="J5706" s="12" t="str">
        <f>HYPERLINK("https://www.boe.es/gazeta/dias/1801/10/16/pdfs/GMD-1801-98.pdf#page=2","Abrir facsímil")</f>
        <v>Abrir facsímil</v>
      </c>
      <c r="K5706" s="15" t="s">
        <v>23</v>
      </c>
    </row>
    <row r="5707" spans="1:11" ht="42" customHeight="1">
      <c r="A5707" s="4" t="s">
        <v>12781</v>
      </c>
      <c r="B5707" s="5" t="s">
        <v>12781</v>
      </c>
      <c r="C5707" s="5" t="s">
        <v>75</v>
      </c>
      <c r="D5707" s="5" t="s">
        <v>76</v>
      </c>
      <c r="E5707" s="5" t="s">
        <v>186</v>
      </c>
      <c r="F5707" s="9">
        <v>21</v>
      </c>
      <c r="G5707" s="9">
        <v>276</v>
      </c>
      <c r="H5707" s="5" t="s">
        <v>21</v>
      </c>
      <c r="I5707" s="5" t="s">
        <v>12782</v>
      </c>
      <c r="J5707" s="12" t="str">
        <f>HYPERLINK("https://www.boe.es/gazeta/dias/1801/03/13/pdfs/GMD-1801-21.pdf#page=5","Abrir facsímil")</f>
        <v>Abrir facsímil</v>
      </c>
      <c r="K5707" s="15" t="s">
        <v>23</v>
      </c>
    </row>
    <row r="5708" spans="1:11" ht="42" customHeight="1">
      <c r="A5708" s="4" t="s">
        <v>12783</v>
      </c>
      <c r="B5708" s="5" t="s">
        <v>12783</v>
      </c>
      <c r="C5708" s="5" t="s">
        <v>32</v>
      </c>
      <c r="D5708" s="5" t="s">
        <v>33</v>
      </c>
      <c r="E5708" s="5" t="s">
        <v>935</v>
      </c>
      <c r="F5708" s="9">
        <v>116</v>
      </c>
      <c r="G5708" s="9">
        <v>1260</v>
      </c>
      <c r="H5708" s="5" t="s">
        <v>21</v>
      </c>
      <c r="I5708" s="5" t="s">
        <v>12784</v>
      </c>
      <c r="J5708" s="12" t="str">
        <f>HYPERLINK("https://www.boe.es/gazeta/dias/1801/12/18/pdfs/GMD-1801-116.pdf#page=2","Abrir facsímil")</f>
        <v>Abrir facsímil</v>
      </c>
      <c r="K5708" s="15" t="s">
        <v>23</v>
      </c>
    </row>
    <row r="5709" spans="1:11" ht="42" customHeight="1">
      <c r="A5709" s="4" t="s">
        <v>12785</v>
      </c>
      <c r="B5709" s="5" t="s">
        <v>12785</v>
      </c>
      <c r="C5709" s="5" t="s">
        <v>38</v>
      </c>
      <c r="D5709" s="5" t="s">
        <v>39</v>
      </c>
      <c r="E5709" s="5" t="s">
        <v>171</v>
      </c>
      <c r="F5709" s="9">
        <v>76</v>
      </c>
      <c r="G5709" s="9">
        <v>845</v>
      </c>
      <c r="H5709" s="5" t="s">
        <v>21</v>
      </c>
      <c r="I5709" s="5" t="s">
        <v>12786</v>
      </c>
      <c r="J5709" s="12" t="str">
        <f>HYPERLINK("https://www.boe.es/gazeta/dias/1801/08/07/pdfs/GMD-1801-76.pdf#page=2","Abrir facsímil")</f>
        <v>Abrir facsímil</v>
      </c>
      <c r="K5709" s="15" t="s">
        <v>23</v>
      </c>
    </row>
    <row r="5710" spans="1:11" ht="42" customHeight="1">
      <c r="A5710" s="4" t="s">
        <v>12787</v>
      </c>
      <c r="B5710" s="5" t="s">
        <v>12787</v>
      </c>
      <c r="C5710" s="5" t="s">
        <v>75</v>
      </c>
      <c r="D5710" s="5" t="s">
        <v>76</v>
      </c>
      <c r="E5710" s="5" t="s">
        <v>219</v>
      </c>
      <c r="F5710" s="9">
        <v>26</v>
      </c>
      <c r="G5710" s="9">
        <v>341</v>
      </c>
      <c r="H5710" s="5" t="s">
        <v>21</v>
      </c>
      <c r="I5710" s="5" t="s">
        <v>12788</v>
      </c>
      <c r="J5710" s="12" t="str">
        <f>HYPERLINK("https://www.boe.es/gazeta/dias/1801/03/31/pdfs/GMD-1801-26.pdf#page=5","Abrir facsímil")</f>
        <v>Abrir facsímil</v>
      </c>
      <c r="K5710" s="15" t="s">
        <v>23</v>
      </c>
    </row>
    <row r="5711" spans="1:11" ht="42" customHeight="1">
      <c r="A5711" s="4" t="s">
        <v>12789</v>
      </c>
      <c r="B5711" s="5" t="s">
        <v>12789</v>
      </c>
      <c r="C5711" s="5" t="s">
        <v>75</v>
      </c>
      <c r="D5711" s="5" t="s">
        <v>76</v>
      </c>
      <c r="E5711" s="5" t="s">
        <v>55</v>
      </c>
      <c r="F5711" s="9">
        <v>104</v>
      </c>
      <c r="G5711" s="9">
        <v>1141</v>
      </c>
      <c r="H5711" s="5" t="s">
        <v>21</v>
      </c>
      <c r="I5711" s="5" t="s">
        <v>12790</v>
      </c>
      <c r="J5711" s="12" t="str">
        <f>HYPERLINK("https://www.boe.es/gazeta/dias/1801/11/06/pdfs/GMD-1801-104.pdf#page=2","Abrir facsímil")</f>
        <v>Abrir facsímil</v>
      </c>
      <c r="K5711" s="15" t="s">
        <v>23</v>
      </c>
    </row>
    <row r="5712" spans="1:11" ht="42" customHeight="1">
      <c r="A5712" s="4" t="s">
        <v>12791</v>
      </c>
      <c r="B5712" s="5" t="s">
        <v>12791</v>
      </c>
      <c r="C5712" s="5" t="s">
        <v>75</v>
      </c>
      <c r="D5712" s="5" t="s">
        <v>76</v>
      </c>
      <c r="E5712" s="5" t="s">
        <v>151</v>
      </c>
      <c r="F5712" s="9">
        <v>45</v>
      </c>
      <c r="G5712" s="9">
        <v>560</v>
      </c>
      <c r="H5712" s="5" t="s">
        <v>21</v>
      </c>
      <c r="I5712" s="5" t="s">
        <v>12792</v>
      </c>
      <c r="J5712" s="12" t="str">
        <f>HYPERLINK("https://www.boe.es/gazeta/dias/1801/06/02/pdfs/GMD-1801-45.pdf#page=8","Abrir facsímil")</f>
        <v>Abrir facsímil</v>
      </c>
      <c r="K5712" s="15" t="s">
        <v>23</v>
      </c>
    </row>
    <row r="5713" spans="1:11" ht="42" customHeight="1">
      <c r="A5713" s="4" t="s">
        <v>12791</v>
      </c>
      <c r="B5713" s="5" t="s">
        <v>12791</v>
      </c>
      <c r="C5713" s="5" t="s">
        <v>38</v>
      </c>
      <c r="D5713" s="5" t="s">
        <v>39</v>
      </c>
      <c r="E5713" s="5" t="s">
        <v>2237</v>
      </c>
      <c r="F5713" s="9">
        <v>82</v>
      </c>
      <c r="G5713" s="9">
        <v>917</v>
      </c>
      <c r="H5713" s="5" t="s">
        <v>21</v>
      </c>
      <c r="I5713" s="5" t="s">
        <v>12793</v>
      </c>
      <c r="J5713" s="12" t="str">
        <f>HYPERLINK("https://www.boe.es/gazeta/dias/1801/08/28/pdfs/GMD-1801-82.pdf#page=6","Abrir facsímil")</f>
        <v>Abrir facsímil</v>
      </c>
      <c r="K5713" s="15" t="s">
        <v>23</v>
      </c>
    </row>
    <row r="5714" spans="1:11" ht="42" customHeight="1">
      <c r="A5714" s="4" t="s">
        <v>12791</v>
      </c>
      <c r="B5714" s="5" t="s">
        <v>12791</v>
      </c>
      <c r="C5714" s="5" t="s">
        <v>38</v>
      </c>
      <c r="D5714" s="5" t="s">
        <v>39</v>
      </c>
      <c r="E5714" s="5" t="s">
        <v>173</v>
      </c>
      <c r="F5714" s="9">
        <v>98</v>
      </c>
      <c r="G5714" s="9">
        <v>1078</v>
      </c>
      <c r="H5714" s="5" t="s">
        <v>21</v>
      </c>
      <c r="I5714" s="5" t="s">
        <v>12794</v>
      </c>
      <c r="J5714" s="12" t="str">
        <f>HYPERLINK("https://www.boe.es/gazeta/dias/1801/10/16/pdfs/GMD-1801-98.pdf#page=10","Abrir facsímil")</f>
        <v>Abrir facsímil</v>
      </c>
      <c r="K5714" s="15" t="s">
        <v>23</v>
      </c>
    </row>
    <row r="5715" spans="1:11" ht="42" customHeight="1">
      <c r="A5715" s="4" t="s">
        <v>12791</v>
      </c>
      <c r="B5715" s="5" t="s">
        <v>12791</v>
      </c>
      <c r="C5715" s="5" t="s">
        <v>38</v>
      </c>
      <c r="D5715" s="5" t="s">
        <v>39</v>
      </c>
      <c r="E5715" s="5" t="s">
        <v>55</v>
      </c>
      <c r="F5715" s="9">
        <v>104</v>
      </c>
      <c r="G5715" s="9">
        <v>1144</v>
      </c>
      <c r="H5715" s="5" t="s">
        <v>21</v>
      </c>
      <c r="I5715" s="5" t="s">
        <v>12795</v>
      </c>
      <c r="J5715" s="12" t="str">
        <f>HYPERLINK("https://www.boe.es/gazeta/dias/1801/11/06/pdfs/GMD-1801-104.pdf#page=5","Abrir facsímil")</f>
        <v>Abrir facsímil</v>
      </c>
      <c r="K5715" s="15" t="s">
        <v>23</v>
      </c>
    </row>
    <row r="5716" spans="1:11" ht="42" customHeight="1">
      <c r="A5716" s="4" t="s">
        <v>12791</v>
      </c>
      <c r="B5716" s="5" t="s">
        <v>12791</v>
      </c>
      <c r="C5716" s="5" t="s">
        <v>38</v>
      </c>
      <c r="D5716" s="5" t="s">
        <v>39</v>
      </c>
      <c r="E5716" s="5" t="s">
        <v>112</v>
      </c>
      <c r="F5716" s="9">
        <v>114</v>
      </c>
      <c r="G5716" s="9">
        <v>1245</v>
      </c>
      <c r="H5716" s="5" t="s">
        <v>21</v>
      </c>
      <c r="I5716" s="5" t="s">
        <v>12796</v>
      </c>
      <c r="J5716" s="12" t="str">
        <f>HYPERLINK("https://www.boe.es/gazeta/dias/1801/12/11/pdfs/GMD-1801-114.pdf#page=7","Abrir facsímil")</f>
        <v>Abrir facsímil</v>
      </c>
      <c r="K5716" s="15" t="s">
        <v>23</v>
      </c>
    </row>
    <row r="5717" spans="1:11" ht="42" customHeight="1">
      <c r="A5717" s="4" t="s">
        <v>12791</v>
      </c>
      <c r="B5717" s="5" t="s">
        <v>12791</v>
      </c>
      <c r="C5717" s="5" t="s">
        <v>32</v>
      </c>
      <c r="D5717" s="5" t="s">
        <v>33</v>
      </c>
      <c r="E5717" s="5" t="s">
        <v>112</v>
      </c>
      <c r="F5717" s="9">
        <v>114</v>
      </c>
      <c r="G5717" s="9">
        <v>1247</v>
      </c>
      <c r="H5717" s="5" t="s">
        <v>21</v>
      </c>
      <c r="I5717" s="5" t="s">
        <v>12797</v>
      </c>
      <c r="J5717" s="12" t="str">
        <f>HYPERLINK("https://www.boe.es/gazeta/dias/1801/12/11/pdfs/GMD-1801-114.pdf#page=9","Abrir facsímil")</f>
        <v>Abrir facsímil</v>
      </c>
      <c r="K5717" s="15" t="s">
        <v>23</v>
      </c>
    </row>
    <row r="5718" spans="1:11" ht="42" customHeight="1">
      <c r="A5718" s="4" t="s">
        <v>12798</v>
      </c>
      <c r="B5718" s="5" t="s">
        <v>12798</v>
      </c>
      <c r="C5718" s="5" t="s">
        <v>38</v>
      </c>
      <c r="D5718" s="5" t="s">
        <v>39</v>
      </c>
      <c r="E5718" s="5" t="s">
        <v>2430</v>
      </c>
      <c r="F5718" s="9">
        <v>27</v>
      </c>
      <c r="G5718" s="9">
        <v>356</v>
      </c>
      <c r="H5718" s="5" t="s">
        <v>21</v>
      </c>
      <c r="I5718" s="5" t="s">
        <v>12799</v>
      </c>
      <c r="J5718" s="12" t="str">
        <f>HYPERLINK("https://www.boe.es/gazeta/dias/1801/04/03/pdfs/GMD-1801-27.pdf#page=8","Abrir facsímil")</f>
        <v>Abrir facsímil</v>
      </c>
      <c r="K5718" s="15" t="s">
        <v>23</v>
      </c>
    </row>
    <row r="5719" spans="1:11" ht="42" customHeight="1">
      <c r="A5719" s="4" t="s">
        <v>12800</v>
      </c>
      <c r="B5719" s="5" t="s">
        <v>12800</v>
      </c>
      <c r="C5719" s="5" t="s">
        <v>38</v>
      </c>
      <c r="D5719" s="5" t="s">
        <v>39</v>
      </c>
      <c r="E5719" s="5" t="s">
        <v>82</v>
      </c>
      <c r="F5719" s="9">
        <v>75</v>
      </c>
      <c r="G5719" s="9">
        <v>832</v>
      </c>
      <c r="H5719" s="5" t="s">
        <v>21</v>
      </c>
      <c r="I5719" s="5" t="s">
        <v>12801</v>
      </c>
      <c r="J5719" s="12" t="str">
        <f>HYPERLINK("https://www.boe.es/gazeta/dias/1801/08/04/pdfs/GMD-1801-75.pdf#page=1","Abrir facsímil")</f>
        <v>Abrir facsímil</v>
      </c>
      <c r="K5719" s="15" t="s">
        <v>23</v>
      </c>
    </row>
    <row r="5720" spans="1:11" ht="42" customHeight="1">
      <c r="A5720" s="4" t="s">
        <v>12802</v>
      </c>
      <c r="B5720" s="5" t="s">
        <v>12802</v>
      </c>
      <c r="C5720" s="5" t="s">
        <v>38</v>
      </c>
      <c r="D5720" s="5" t="s">
        <v>39</v>
      </c>
      <c r="E5720" s="5" t="s">
        <v>919</v>
      </c>
      <c r="F5720" s="9">
        <v>91</v>
      </c>
      <c r="G5720" s="9">
        <v>1002</v>
      </c>
      <c r="H5720" s="5" t="s">
        <v>21</v>
      </c>
      <c r="I5720" s="5" t="s">
        <v>12803</v>
      </c>
      <c r="J5720" s="12" t="str">
        <f>HYPERLINK("https://www.boe.es/gazeta/dias/1801/09/22/pdfs/GMD-1801-91.pdf#page=5","Abrir facsímil")</f>
        <v>Abrir facsímil</v>
      </c>
      <c r="K5720" s="15" t="s">
        <v>23</v>
      </c>
    </row>
    <row r="5721" spans="1:11" ht="42" customHeight="1">
      <c r="A5721" s="4" t="s">
        <v>12804</v>
      </c>
      <c r="B5721" s="5" t="s">
        <v>12804</v>
      </c>
      <c r="C5721" s="5" t="s">
        <v>38</v>
      </c>
      <c r="D5721" s="5" t="s">
        <v>39</v>
      </c>
      <c r="E5721" s="5" t="s">
        <v>1058</v>
      </c>
      <c r="F5721" s="9">
        <v>108</v>
      </c>
      <c r="G5721" s="9">
        <v>1187</v>
      </c>
      <c r="H5721" s="5" t="s">
        <v>21</v>
      </c>
      <c r="I5721" s="5" t="s">
        <v>12805</v>
      </c>
      <c r="J5721" s="12" t="str">
        <f>HYPERLINK("https://www.boe.es/gazeta/dias/1801/11/20/pdfs/GMD-1801-108.pdf#page=4","Abrir facsímil")</f>
        <v>Abrir facsímil</v>
      </c>
      <c r="K5721" s="15" t="s">
        <v>23</v>
      </c>
    </row>
    <row r="5722" spans="1:11" ht="42" customHeight="1">
      <c r="A5722" s="4" t="s">
        <v>12806</v>
      </c>
      <c r="B5722" s="5" t="s">
        <v>12806</v>
      </c>
      <c r="C5722" s="5" t="s">
        <v>38</v>
      </c>
      <c r="D5722" s="5" t="s">
        <v>39</v>
      </c>
      <c r="E5722" s="5" t="s">
        <v>751</v>
      </c>
      <c r="F5722" s="9">
        <v>106</v>
      </c>
      <c r="G5722" s="9">
        <v>1160</v>
      </c>
      <c r="H5722" s="5" t="s">
        <v>21</v>
      </c>
      <c r="I5722" s="5" t="s">
        <v>12807</v>
      </c>
      <c r="J5722" s="12" t="str">
        <f>HYPERLINK("https://www.boe.es/gazeta/dias/1801/11/13/pdfs/GMD-1801-106.pdf#page=1","Abrir facsímil")</f>
        <v>Abrir facsímil</v>
      </c>
      <c r="K5722" s="15" t="s">
        <v>23</v>
      </c>
    </row>
    <row r="5723" spans="1:11" ht="42" customHeight="1">
      <c r="A5723" s="4" t="s">
        <v>12808</v>
      </c>
      <c r="B5723" s="5" t="s">
        <v>12808</v>
      </c>
      <c r="C5723" s="5" t="s">
        <v>32</v>
      </c>
      <c r="D5723" s="5" t="s">
        <v>33</v>
      </c>
      <c r="E5723" s="5" t="s">
        <v>155</v>
      </c>
      <c r="F5723" s="9">
        <v>50</v>
      </c>
      <c r="G5723" s="9">
        <v>591</v>
      </c>
      <c r="H5723" s="5" t="s">
        <v>21</v>
      </c>
      <c r="I5723" s="5" t="s">
        <v>12809</v>
      </c>
      <c r="J5723" s="12" t="str">
        <f>HYPERLINK("https://www.boe.es/gazeta/dias/1801/06/09/pdfs/GMD-1801-50.pdf#page=3","Abrir facsímil")</f>
        <v>Abrir facsímil</v>
      </c>
      <c r="K5723" s="15" t="s">
        <v>23</v>
      </c>
    </row>
    <row r="5724" spans="1:11" ht="42" customHeight="1">
      <c r="A5724" s="4" t="s">
        <v>12810</v>
      </c>
      <c r="B5724" s="5" t="s">
        <v>12810</v>
      </c>
      <c r="C5724" s="5" t="s">
        <v>75</v>
      </c>
      <c r="D5724" s="5" t="s">
        <v>76</v>
      </c>
      <c r="E5724" s="5" t="s">
        <v>309</v>
      </c>
      <c r="F5724" s="9">
        <v>118</v>
      </c>
      <c r="G5724" s="9">
        <v>1286</v>
      </c>
      <c r="H5724" s="5" t="s">
        <v>21</v>
      </c>
      <c r="I5724" s="5" t="s">
        <v>12811</v>
      </c>
      <c r="J5724" s="12" t="str">
        <f>HYPERLINK("https://www.boe.es/gazeta/dias/1801/12/25/pdfs/GMD-1801-118.pdf#page=1","Abrir facsímil")</f>
        <v>Abrir facsímil</v>
      </c>
      <c r="K5724" s="15" t="s">
        <v>23</v>
      </c>
    </row>
    <row r="5725" spans="1:11" ht="42" customHeight="1">
      <c r="A5725" s="4" t="s">
        <v>12812</v>
      </c>
      <c r="B5725" s="5" t="s">
        <v>12812</v>
      </c>
      <c r="C5725" s="5" t="s">
        <v>75</v>
      </c>
      <c r="D5725" s="5" t="s">
        <v>76</v>
      </c>
      <c r="E5725" s="5" t="s">
        <v>465</v>
      </c>
      <c r="F5725" s="9">
        <v>4</v>
      </c>
      <c r="G5725" s="9">
        <v>37</v>
      </c>
      <c r="H5725" s="5" t="s">
        <v>21</v>
      </c>
      <c r="I5725" s="5" t="s">
        <v>12813</v>
      </c>
      <c r="J5725" s="12" t="str">
        <f>HYPERLINK("https://www.boe.es/gazeta/dias/1801/01/13/pdfs/GMD-1801-4.pdf#page=1","Abrir facsímil")</f>
        <v>Abrir facsímil</v>
      </c>
      <c r="K5725" s="15" t="s">
        <v>23</v>
      </c>
    </row>
    <row r="5726" spans="1:11" ht="42" customHeight="1">
      <c r="A5726" s="4" t="s">
        <v>12814</v>
      </c>
      <c r="B5726" s="5" t="s">
        <v>12814</v>
      </c>
      <c r="C5726" s="5" t="s">
        <v>26</v>
      </c>
      <c r="D5726" s="5" t="s">
        <v>27</v>
      </c>
      <c r="E5726" s="5" t="s">
        <v>615</v>
      </c>
      <c r="F5726" s="9">
        <v>72</v>
      </c>
      <c r="G5726" s="9">
        <v>798</v>
      </c>
      <c r="H5726" s="5" t="s">
        <v>21</v>
      </c>
      <c r="I5726" s="5" t="s">
        <v>12815</v>
      </c>
      <c r="J5726" s="12" t="str">
        <f>HYPERLINK("https://www.boe.es/gazeta/dias/1801/07/24/pdfs/GMD-1801-72.pdf#page=3","Abrir facsímil")</f>
        <v>Abrir facsímil</v>
      </c>
      <c r="K5726" s="15" t="s">
        <v>23</v>
      </c>
    </row>
    <row r="5727" spans="1:11" ht="42" customHeight="1">
      <c r="A5727" s="4" t="s">
        <v>12816</v>
      </c>
      <c r="B5727" s="5" t="s">
        <v>12816</v>
      </c>
      <c r="C5727" s="5" t="s">
        <v>75</v>
      </c>
      <c r="D5727" s="5" t="s">
        <v>76</v>
      </c>
      <c r="E5727" s="5" t="s">
        <v>359</v>
      </c>
      <c r="F5727" s="9">
        <v>101</v>
      </c>
      <c r="G5727" s="9">
        <v>1108</v>
      </c>
      <c r="H5727" s="5" t="s">
        <v>21</v>
      </c>
      <c r="I5727" s="5" t="s">
        <v>12817</v>
      </c>
      <c r="J5727" s="12" t="str">
        <f>HYPERLINK("https://www.boe.es/gazeta/dias/1801/10/27/pdfs/GMD-1801-101.pdf#page=1","Abrir facsímil")</f>
        <v>Abrir facsímil</v>
      </c>
      <c r="K5727" s="15" t="s">
        <v>23</v>
      </c>
    </row>
    <row r="5728" spans="1:11" ht="42" customHeight="1">
      <c r="A5728" s="4" t="s">
        <v>12818</v>
      </c>
      <c r="B5728" s="5" t="s">
        <v>12818</v>
      </c>
      <c r="C5728" s="5" t="s">
        <v>75</v>
      </c>
      <c r="D5728" s="5" t="s">
        <v>76</v>
      </c>
      <c r="E5728" s="5" t="s">
        <v>266</v>
      </c>
      <c r="F5728" s="9">
        <v>119</v>
      </c>
      <c r="G5728" s="9">
        <v>1297</v>
      </c>
      <c r="H5728" s="5" t="s">
        <v>21</v>
      </c>
      <c r="I5728" s="5" t="s">
        <v>12819</v>
      </c>
      <c r="J5728" s="12" t="str">
        <f>HYPERLINK("https://www.boe.es/gazeta/dias/1801/12/29/pdfs/GMD-1801-119.pdf#page=1","Abrir facsímil")</f>
        <v>Abrir facsímil</v>
      </c>
      <c r="K5728" s="15" t="s">
        <v>23</v>
      </c>
    </row>
    <row r="5729" spans="1:11" ht="42" customHeight="1">
      <c r="A5729" s="4" t="s">
        <v>12820</v>
      </c>
      <c r="B5729" s="5" t="s">
        <v>12820</v>
      </c>
      <c r="C5729" s="5" t="s">
        <v>75</v>
      </c>
      <c r="D5729" s="5" t="s">
        <v>76</v>
      </c>
      <c r="E5729" s="5" t="s">
        <v>44</v>
      </c>
      <c r="F5729" s="9">
        <v>117</v>
      </c>
      <c r="G5729" s="9">
        <v>1276</v>
      </c>
      <c r="H5729" s="5" t="s">
        <v>21</v>
      </c>
      <c r="I5729" s="5" t="s">
        <v>12821</v>
      </c>
      <c r="J5729" s="12" t="str">
        <f>HYPERLINK("https://www.boe.es/gazeta/dias/1801/12/22/pdfs/GMD-1801-117.pdf#page=3","Abrir facsímil")</f>
        <v>Abrir facsímil</v>
      </c>
      <c r="K5729" s="15" t="s">
        <v>23</v>
      </c>
    </row>
    <row r="5730" spans="1:11" ht="42" customHeight="1">
      <c r="A5730" s="4" t="s">
        <v>12822</v>
      </c>
      <c r="B5730" s="5" t="s">
        <v>12822</v>
      </c>
      <c r="C5730" s="5" t="s">
        <v>32</v>
      </c>
      <c r="D5730" s="5" t="s">
        <v>33</v>
      </c>
      <c r="E5730" s="5" t="s">
        <v>640</v>
      </c>
      <c r="F5730" s="9">
        <v>81</v>
      </c>
      <c r="G5730" s="9">
        <v>907</v>
      </c>
      <c r="H5730" s="5" t="s">
        <v>21</v>
      </c>
      <c r="I5730" s="5" t="s">
        <v>12823</v>
      </c>
      <c r="J5730" s="12" t="str">
        <f>HYPERLINK("https://www.boe.es/gazeta/dias/1801/08/25/pdfs/GMD-1801-81.pdf#page=4","Abrir facsímil")</f>
        <v>Abrir facsímil</v>
      </c>
      <c r="K5730" s="15" t="s">
        <v>23</v>
      </c>
    </row>
    <row r="5731" spans="1:11" ht="42" customHeight="1">
      <c r="A5731" s="4" t="s">
        <v>12824</v>
      </c>
      <c r="B5731" s="5" t="s">
        <v>12824</v>
      </c>
      <c r="C5731" s="5" t="s">
        <v>75</v>
      </c>
      <c r="D5731" s="5" t="s">
        <v>76</v>
      </c>
      <c r="E5731" s="5" t="s">
        <v>179</v>
      </c>
      <c r="F5731" s="9">
        <v>11</v>
      </c>
      <c r="G5731" s="9">
        <v>133</v>
      </c>
      <c r="H5731" s="5" t="s">
        <v>21</v>
      </c>
      <c r="I5731" s="5" t="s">
        <v>12825</v>
      </c>
      <c r="J5731" s="12" t="str">
        <f>HYPERLINK("https://www.boe.es/gazeta/dias/1801/02/06/pdfs/GMD-1801-11.pdf#page=6","Abrir facsímil")</f>
        <v>Abrir facsímil</v>
      </c>
      <c r="K5731" s="15" t="s">
        <v>23</v>
      </c>
    </row>
    <row r="5732" spans="1:11" ht="42" customHeight="1">
      <c r="A5732" s="4" t="s">
        <v>12826</v>
      </c>
      <c r="B5732" s="5" t="s">
        <v>12826</v>
      </c>
      <c r="C5732" s="5" t="s">
        <v>75</v>
      </c>
      <c r="D5732" s="5" t="s">
        <v>76</v>
      </c>
      <c r="E5732" s="5" t="s">
        <v>349</v>
      </c>
      <c r="F5732" s="9">
        <v>112</v>
      </c>
      <c r="G5732" s="9">
        <v>1220</v>
      </c>
      <c r="H5732" s="5" t="s">
        <v>21</v>
      </c>
      <c r="I5732" s="5" t="s">
        <v>12827</v>
      </c>
      <c r="J5732" s="12" t="str">
        <f>HYPERLINK("https://www.boe.es/gazeta/dias/1801/12/04/pdfs/GMD-1801-112.pdf#page=1","Abrir facsímil")</f>
        <v>Abrir facsímil</v>
      </c>
      <c r="K5732" s="15" t="s">
        <v>23</v>
      </c>
    </row>
    <row r="5733" spans="1:11" ht="42" customHeight="1">
      <c r="A5733" s="4" t="s">
        <v>12828</v>
      </c>
      <c r="B5733" s="5" t="s">
        <v>12828</v>
      </c>
      <c r="C5733" s="5" t="s">
        <v>75</v>
      </c>
      <c r="D5733" s="5" t="s">
        <v>76</v>
      </c>
      <c r="E5733" s="5" t="s">
        <v>321</v>
      </c>
      <c r="F5733" s="9">
        <v>3</v>
      </c>
      <c r="G5733" s="9">
        <v>27</v>
      </c>
      <c r="H5733" s="5" t="s">
        <v>21</v>
      </c>
      <c r="I5733" s="5" t="s">
        <v>12829</v>
      </c>
      <c r="J5733" s="12" t="str">
        <f>HYPERLINK("https://www.boe.es/gazeta/dias/1801/01/09/pdfs/GMD-1801-3.pdf#page=3","Abrir facsímil")</f>
        <v>Abrir facsímil</v>
      </c>
      <c r="K5733" s="15" t="s">
        <v>23</v>
      </c>
    </row>
    <row r="5734" spans="1:11" ht="42" customHeight="1">
      <c r="A5734" s="4" t="s">
        <v>12830</v>
      </c>
      <c r="B5734" s="5" t="s">
        <v>12830</v>
      </c>
      <c r="C5734" s="5" t="s">
        <v>75</v>
      </c>
      <c r="D5734" s="5" t="s">
        <v>76</v>
      </c>
      <c r="E5734" s="5" t="s">
        <v>165</v>
      </c>
      <c r="F5734" s="9">
        <v>59</v>
      </c>
      <c r="G5734" s="9">
        <v>668</v>
      </c>
      <c r="H5734" s="5" t="s">
        <v>21</v>
      </c>
      <c r="I5734" s="5" t="s">
        <v>12831</v>
      </c>
      <c r="J5734" s="12" t="str">
        <f>HYPERLINK("https://www.boe.es/gazeta/dias/1801/06/23/pdfs/GMD-1801-59.pdf#page=1","Abrir facsímil")</f>
        <v>Abrir facsímil</v>
      </c>
      <c r="K5734" s="15" t="s">
        <v>23</v>
      </c>
    </row>
    <row r="5735" spans="1:11" ht="42" customHeight="1">
      <c r="A5735" s="4" t="s">
        <v>12832</v>
      </c>
      <c r="B5735" s="5" t="s">
        <v>12832</v>
      </c>
      <c r="C5735" s="5" t="s">
        <v>38</v>
      </c>
      <c r="D5735" s="5" t="s">
        <v>39</v>
      </c>
      <c r="E5735" s="5" t="s">
        <v>72</v>
      </c>
      <c r="F5735" s="9">
        <v>60</v>
      </c>
      <c r="G5735" s="9">
        <v>686</v>
      </c>
      <c r="H5735" s="5" t="s">
        <v>21</v>
      </c>
      <c r="I5735" s="5" t="s">
        <v>12833</v>
      </c>
      <c r="J5735" s="12" t="str">
        <f>HYPERLINK("https://www.boe.es/gazeta/dias/1801/06/26/pdfs/GMD-1801-60.pdf#page=7","Abrir facsímil")</f>
        <v>Abrir facsímil</v>
      </c>
      <c r="K5735" s="15" t="s">
        <v>23</v>
      </c>
    </row>
    <row r="5736" spans="1:11" ht="42" customHeight="1">
      <c r="A5736" s="4" t="s">
        <v>12834</v>
      </c>
      <c r="B5736" s="5" t="s">
        <v>12834</v>
      </c>
      <c r="C5736" s="5" t="s">
        <v>18</v>
      </c>
      <c r="D5736" s="5" t="s">
        <v>19</v>
      </c>
      <c r="E5736" s="5" t="s">
        <v>219</v>
      </c>
      <c r="F5736" s="9">
        <v>26</v>
      </c>
      <c r="G5736" s="9">
        <v>337</v>
      </c>
      <c r="H5736" s="5" t="s">
        <v>21</v>
      </c>
      <c r="I5736" s="5" t="s">
        <v>12835</v>
      </c>
      <c r="J5736" s="12" t="str">
        <f>HYPERLINK("https://www.boe.es/gazeta/dias/1801/03/31/pdfs/GMD-1801-26.pdf#page=1","Abrir facsímil")</f>
        <v>Abrir facsímil</v>
      </c>
      <c r="K5736" s="15" t="s">
        <v>23</v>
      </c>
    </row>
    <row r="5737" spans="1:11" ht="42" customHeight="1">
      <c r="A5737" s="4" t="s">
        <v>12836</v>
      </c>
      <c r="B5737" s="5" t="s">
        <v>12836</v>
      </c>
      <c r="C5737" s="5" t="s">
        <v>32</v>
      </c>
      <c r="D5737" s="5" t="s">
        <v>33</v>
      </c>
      <c r="E5737" s="5" t="s">
        <v>179</v>
      </c>
      <c r="F5737" s="9">
        <v>11</v>
      </c>
      <c r="G5737" s="9">
        <v>133</v>
      </c>
      <c r="H5737" s="5" t="s">
        <v>21</v>
      </c>
      <c r="I5737" s="5" t="s">
        <v>12837</v>
      </c>
      <c r="J5737" s="12" t="str">
        <f>HYPERLINK("https://www.boe.es/gazeta/dias/1801/02/06/pdfs/GMD-1801-11.pdf#page=6","Abrir facsímil")</f>
        <v>Abrir facsímil</v>
      </c>
      <c r="K5737" s="15" t="s">
        <v>23</v>
      </c>
    </row>
    <row r="5738" spans="1:11" ht="42" customHeight="1">
      <c r="A5738" s="4" t="s">
        <v>12836</v>
      </c>
      <c r="B5738" s="5" t="s">
        <v>12836</v>
      </c>
      <c r="C5738" s="5" t="s">
        <v>75</v>
      </c>
      <c r="D5738" s="5" t="s">
        <v>76</v>
      </c>
      <c r="E5738" s="5" t="s">
        <v>108</v>
      </c>
      <c r="F5738" s="9">
        <v>61</v>
      </c>
      <c r="G5738" s="9">
        <v>694</v>
      </c>
      <c r="H5738" s="5" t="s">
        <v>21</v>
      </c>
      <c r="I5738" s="5" t="s">
        <v>12838</v>
      </c>
      <c r="J5738" s="12" t="str">
        <f>HYPERLINK("https://www.boe.es/gazeta/dias/1801/06/30/pdfs/GMD-1801-61.pdf#page=3","Abrir facsímil")</f>
        <v>Abrir facsímil</v>
      </c>
      <c r="K5738" s="15" t="s">
        <v>23</v>
      </c>
    </row>
    <row r="5739" spans="1:11" ht="42" customHeight="1">
      <c r="A5739" s="4" t="s">
        <v>12836</v>
      </c>
      <c r="B5739" s="5" t="s">
        <v>12836</v>
      </c>
      <c r="C5739" s="5" t="s">
        <v>75</v>
      </c>
      <c r="D5739" s="5" t="s">
        <v>76</v>
      </c>
      <c r="E5739" s="5" t="s">
        <v>28</v>
      </c>
      <c r="F5739" s="9">
        <v>77</v>
      </c>
      <c r="G5739" s="9">
        <v>857</v>
      </c>
      <c r="H5739" s="5" t="s">
        <v>21</v>
      </c>
      <c r="I5739" s="5" t="s">
        <v>12839</v>
      </c>
      <c r="J5739" s="12" t="str">
        <f>HYPERLINK("https://www.boe.es/gazeta/dias/1801/08/11/pdfs/GMD-1801-77.pdf#page=2","Abrir facsímil")</f>
        <v>Abrir facsímil</v>
      </c>
      <c r="K5739" s="15" t="s">
        <v>23</v>
      </c>
    </row>
    <row r="5740" spans="1:11" ht="42" customHeight="1">
      <c r="A5740" s="4" t="s">
        <v>12836</v>
      </c>
      <c r="B5740" s="5" t="s">
        <v>12836</v>
      </c>
      <c r="C5740" s="5" t="s">
        <v>75</v>
      </c>
      <c r="D5740" s="5" t="s">
        <v>76</v>
      </c>
      <c r="E5740" s="5" t="s">
        <v>338</v>
      </c>
      <c r="F5740" s="9">
        <v>83</v>
      </c>
      <c r="G5740" s="9">
        <v>929</v>
      </c>
      <c r="H5740" s="5" t="s">
        <v>21</v>
      </c>
      <c r="I5740" s="5" t="s">
        <v>12840</v>
      </c>
      <c r="J5740" s="12" t="str">
        <f>HYPERLINK("https://www.boe.es/gazeta/dias/1801/09/01/pdfs/GMD-1801-83.pdf#page=4","Abrir facsímil")</f>
        <v>Abrir facsímil</v>
      </c>
      <c r="K5740" s="15" t="s">
        <v>23</v>
      </c>
    </row>
    <row r="5741" spans="1:11" ht="42" customHeight="1">
      <c r="A5741" s="4" t="s">
        <v>12836</v>
      </c>
      <c r="B5741" s="5" t="s">
        <v>12836</v>
      </c>
      <c r="C5741" s="5" t="s">
        <v>69</v>
      </c>
      <c r="D5741" s="5" t="s">
        <v>19</v>
      </c>
      <c r="E5741" s="5" t="s">
        <v>349</v>
      </c>
      <c r="F5741" s="9">
        <v>112</v>
      </c>
      <c r="G5741" s="9">
        <v>1222</v>
      </c>
      <c r="H5741" s="5" t="s">
        <v>21</v>
      </c>
      <c r="I5741" s="5" t="s">
        <v>12841</v>
      </c>
      <c r="J5741" s="12" t="str">
        <f>HYPERLINK("https://www.boe.es/gazeta/dias/1801/12/04/pdfs/GMD-1801-112.pdf#page=3","Abrir facsímil")</f>
        <v>Abrir facsímil</v>
      </c>
      <c r="K5741" s="15" t="s">
        <v>23</v>
      </c>
    </row>
    <row r="5742" spans="1:11" ht="42" customHeight="1">
      <c r="A5742" s="4" t="s">
        <v>12842</v>
      </c>
      <c r="B5742" s="5" t="s">
        <v>12842</v>
      </c>
      <c r="C5742" s="5" t="s">
        <v>38</v>
      </c>
      <c r="D5742" s="5" t="s">
        <v>39</v>
      </c>
      <c r="E5742" s="5" t="s">
        <v>289</v>
      </c>
      <c r="F5742" s="9">
        <v>40</v>
      </c>
      <c r="G5742" s="9">
        <v>514</v>
      </c>
      <c r="H5742" s="5" t="s">
        <v>21</v>
      </c>
      <c r="I5742" s="5" t="s">
        <v>12843</v>
      </c>
      <c r="J5742" s="12" t="str">
        <f>HYPERLINK("https://www.boe.es/gazeta/dias/1801/05/19/pdfs/GMD-1801-40.pdf#page=6","Abrir facsímil")</f>
        <v>Abrir facsímil</v>
      </c>
      <c r="K5742" s="15" t="s">
        <v>23</v>
      </c>
    </row>
    <row r="5743" spans="1:11" ht="42" customHeight="1">
      <c r="A5743" s="4" t="s">
        <v>12844</v>
      </c>
      <c r="B5743" s="5" t="s">
        <v>12844</v>
      </c>
      <c r="C5743" s="5" t="s">
        <v>75</v>
      </c>
      <c r="D5743" s="5" t="s">
        <v>76</v>
      </c>
      <c r="E5743" s="5" t="s">
        <v>317</v>
      </c>
      <c r="F5743" s="9">
        <v>102</v>
      </c>
      <c r="G5743" s="9">
        <v>1119</v>
      </c>
      <c r="H5743" s="5" t="s">
        <v>21</v>
      </c>
      <c r="I5743" s="5" t="s">
        <v>12845</v>
      </c>
      <c r="J5743" s="12" t="str">
        <f>HYPERLINK("https://www.boe.es/gazeta/dias/1801/10/30/pdfs/GMD-1801-102.pdf#page=4","Abrir facsímil")</f>
        <v>Abrir facsímil</v>
      </c>
      <c r="K5743" s="15" t="s">
        <v>23</v>
      </c>
    </row>
    <row r="5744" spans="1:11" ht="42" customHeight="1">
      <c r="A5744" s="4" t="s">
        <v>12846</v>
      </c>
      <c r="B5744" s="5" t="s">
        <v>12846</v>
      </c>
      <c r="C5744" s="5" t="s">
        <v>75</v>
      </c>
      <c r="D5744" s="5" t="s">
        <v>76</v>
      </c>
      <c r="E5744" s="5" t="s">
        <v>44</v>
      </c>
      <c r="F5744" s="9">
        <v>117</v>
      </c>
      <c r="G5744" s="9">
        <v>1278</v>
      </c>
      <c r="H5744" s="5" t="s">
        <v>21</v>
      </c>
      <c r="I5744" s="5" t="s">
        <v>12847</v>
      </c>
      <c r="J5744" s="12" t="str">
        <f>HYPERLINK("https://www.boe.es/gazeta/dias/1801/12/22/pdfs/GMD-1801-117.pdf#page=5","Abrir facsímil")</f>
        <v>Abrir facsímil</v>
      </c>
      <c r="K5744" s="15" t="s">
        <v>23</v>
      </c>
    </row>
    <row r="5745" spans="1:11" ht="42" customHeight="1">
      <c r="A5745" s="4" t="s">
        <v>12848</v>
      </c>
      <c r="B5745" s="5" t="s">
        <v>12848</v>
      </c>
      <c r="C5745" s="5" t="s">
        <v>75</v>
      </c>
      <c r="D5745" s="5" t="s">
        <v>76</v>
      </c>
      <c r="E5745" s="5" t="s">
        <v>70</v>
      </c>
      <c r="F5745" s="9">
        <v>2</v>
      </c>
      <c r="G5745" s="9">
        <v>16</v>
      </c>
      <c r="H5745" s="5" t="s">
        <v>21</v>
      </c>
      <c r="I5745" s="5" t="s">
        <v>12849</v>
      </c>
      <c r="J5745" s="12" t="str">
        <f>HYPERLINK("https://www.boe.es/gazeta/dias/1801/01/06/pdfs/GMD-1801-2.pdf#page=4","Abrir facsímil")</f>
        <v>Abrir facsímil</v>
      </c>
      <c r="K5745" s="15" t="s">
        <v>23</v>
      </c>
    </row>
    <row r="5746" spans="1:11" ht="42" customHeight="1">
      <c r="A5746" s="4" t="s">
        <v>12850</v>
      </c>
      <c r="B5746" s="5" t="s">
        <v>12850</v>
      </c>
      <c r="C5746" s="5" t="s">
        <v>38</v>
      </c>
      <c r="D5746" s="5" t="s">
        <v>39</v>
      </c>
      <c r="E5746" s="5" t="s">
        <v>1058</v>
      </c>
      <c r="F5746" s="9">
        <v>108</v>
      </c>
      <c r="G5746" s="9">
        <v>1187</v>
      </c>
      <c r="H5746" s="5" t="s">
        <v>21</v>
      </c>
      <c r="I5746" s="5" t="s">
        <v>12851</v>
      </c>
      <c r="J5746" s="12" t="str">
        <f>HYPERLINK("https://www.boe.es/gazeta/dias/1801/11/20/pdfs/GMD-1801-108.pdf#page=4","Abrir facsímil")</f>
        <v>Abrir facsímil</v>
      </c>
      <c r="K5746" s="15" t="s">
        <v>23</v>
      </c>
    </row>
    <row r="5747" spans="1:11" ht="42" customHeight="1">
      <c r="A5747" s="4" t="s">
        <v>12852</v>
      </c>
      <c r="B5747" s="5" t="s">
        <v>12852</v>
      </c>
      <c r="C5747" s="5" t="s">
        <v>38</v>
      </c>
      <c r="D5747" s="5" t="s">
        <v>39</v>
      </c>
      <c r="E5747" s="5" t="s">
        <v>112</v>
      </c>
      <c r="F5747" s="9">
        <v>114</v>
      </c>
      <c r="G5747" s="9">
        <v>1245</v>
      </c>
      <c r="H5747" s="5" t="s">
        <v>21</v>
      </c>
      <c r="I5747" s="5" t="s">
        <v>12796</v>
      </c>
      <c r="J5747" s="12" t="str">
        <f>HYPERLINK("https://www.boe.es/gazeta/dias/1801/12/11/pdfs/GMD-1801-114.pdf#page=7","Abrir facsímil")</f>
        <v>Abrir facsímil</v>
      </c>
      <c r="K5747" s="15" t="s">
        <v>23</v>
      </c>
    </row>
    <row r="5748" spans="1:11" ht="42" customHeight="1">
      <c r="A5748" s="4" t="s">
        <v>12853</v>
      </c>
      <c r="B5748" s="5" t="s">
        <v>12853</v>
      </c>
      <c r="C5748" s="5" t="s">
        <v>75</v>
      </c>
      <c r="D5748" s="5" t="s">
        <v>76</v>
      </c>
      <c r="E5748" s="5" t="s">
        <v>186</v>
      </c>
      <c r="F5748" s="9">
        <v>21</v>
      </c>
      <c r="G5748" s="9">
        <v>275</v>
      </c>
      <c r="H5748" s="5" t="s">
        <v>21</v>
      </c>
      <c r="I5748" s="5" t="s">
        <v>12854</v>
      </c>
      <c r="J5748" s="12" t="str">
        <f>HYPERLINK("https://www.boe.es/gazeta/dias/1801/03/13/pdfs/GMD-1801-21.pdf#page=4","Abrir facsímil")</f>
        <v>Abrir facsímil</v>
      </c>
      <c r="K5748" s="15" t="s">
        <v>23</v>
      </c>
    </row>
    <row r="5749" spans="1:11" ht="42" customHeight="1">
      <c r="A5749" s="4" t="s">
        <v>12853</v>
      </c>
      <c r="B5749" s="5" t="s">
        <v>12853</v>
      </c>
      <c r="C5749" s="5" t="s">
        <v>38</v>
      </c>
      <c r="D5749" s="5" t="s">
        <v>39</v>
      </c>
      <c r="E5749" s="5" t="s">
        <v>723</v>
      </c>
      <c r="F5749" s="9">
        <v>113</v>
      </c>
      <c r="G5749" s="9">
        <v>1230</v>
      </c>
      <c r="H5749" s="5" t="s">
        <v>21</v>
      </c>
      <c r="I5749" s="5" t="s">
        <v>12855</v>
      </c>
      <c r="J5749" s="12" t="str">
        <f>HYPERLINK("https://www.boe.es/gazeta/dias/1801/12/08/pdfs/GMD-1801-113.pdf#page=3","Abrir facsímil")</f>
        <v>Abrir facsímil</v>
      </c>
      <c r="K5749" s="15" t="s">
        <v>23</v>
      </c>
    </row>
    <row r="5750" spans="1:11" ht="42" customHeight="1">
      <c r="A5750" s="4" t="s">
        <v>12856</v>
      </c>
      <c r="B5750" s="5" t="s">
        <v>12856</v>
      </c>
      <c r="C5750" s="5" t="s">
        <v>18</v>
      </c>
      <c r="D5750" s="5" t="s">
        <v>19</v>
      </c>
      <c r="E5750" s="5" t="s">
        <v>462</v>
      </c>
      <c r="F5750" s="9">
        <v>5</v>
      </c>
      <c r="G5750" s="9">
        <v>51</v>
      </c>
      <c r="H5750" s="5" t="s">
        <v>21</v>
      </c>
      <c r="I5750" s="5" t="s">
        <v>12857</v>
      </c>
      <c r="J5750" s="12" t="str">
        <f>HYPERLINK("https://www.boe.es/gazeta/dias/1801/01/16/pdfs/GMD-1801-5.pdf#page=3","Abrir facsímil")</f>
        <v>Abrir facsímil</v>
      </c>
      <c r="K5750" s="15" t="s">
        <v>23</v>
      </c>
    </row>
    <row r="5751" spans="1:11" ht="42" customHeight="1">
      <c r="A5751" s="4" t="s">
        <v>12858</v>
      </c>
      <c r="B5751" s="5" t="s">
        <v>12858</v>
      </c>
      <c r="C5751" s="5" t="s">
        <v>38</v>
      </c>
      <c r="D5751" s="5" t="s">
        <v>39</v>
      </c>
      <c r="E5751" s="5" t="s">
        <v>143</v>
      </c>
      <c r="F5751" s="9">
        <v>34</v>
      </c>
      <c r="G5751" s="9">
        <v>430</v>
      </c>
      <c r="H5751" s="5" t="s">
        <v>21</v>
      </c>
      <c r="I5751" s="5" t="s">
        <v>12859</v>
      </c>
      <c r="J5751" s="12" t="str">
        <f>HYPERLINK("https://www.boe.es/gazeta/dias/1801/04/28/pdfs/GMD-1801-34.pdf#page=2","Abrir facsímil")</f>
        <v>Abrir facsímil</v>
      </c>
      <c r="K5751" s="15" t="s">
        <v>23</v>
      </c>
    </row>
    <row r="5752" spans="1:11" ht="42" customHeight="1">
      <c r="A5752" s="4" t="s">
        <v>12860</v>
      </c>
      <c r="B5752" s="5" t="s">
        <v>12860</v>
      </c>
      <c r="C5752" s="5" t="s">
        <v>75</v>
      </c>
      <c r="D5752" s="5" t="s">
        <v>76</v>
      </c>
      <c r="E5752" s="5" t="s">
        <v>1015</v>
      </c>
      <c r="F5752" s="9">
        <v>15</v>
      </c>
      <c r="G5752" s="9">
        <v>188</v>
      </c>
      <c r="H5752" s="5" t="s">
        <v>21</v>
      </c>
      <c r="I5752" s="5" t="s">
        <v>12861</v>
      </c>
      <c r="J5752" s="12" t="str">
        <f>HYPERLINK("https://www.boe.es/gazeta/dias/1801/02/20/pdfs/GMD-1801-15.pdf#page=7","Abrir facsímil")</f>
        <v>Abrir facsímil</v>
      </c>
      <c r="K5752" s="15" t="s">
        <v>23</v>
      </c>
    </row>
    <row r="5753" spans="1:11" ht="42" customHeight="1">
      <c r="A5753" s="4" t="s">
        <v>12862</v>
      </c>
      <c r="B5753" s="5" t="s">
        <v>12862</v>
      </c>
      <c r="C5753" s="5" t="s">
        <v>75</v>
      </c>
      <c r="D5753" s="5" t="s">
        <v>76</v>
      </c>
      <c r="E5753" s="5" t="s">
        <v>108</v>
      </c>
      <c r="F5753" s="9">
        <v>61</v>
      </c>
      <c r="G5753" s="9">
        <v>694</v>
      </c>
      <c r="H5753" s="5" t="s">
        <v>21</v>
      </c>
      <c r="I5753" s="5" t="s">
        <v>12863</v>
      </c>
      <c r="J5753" s="12" t="str">
        <f>HYPERLINK("https://www.boe.es/gazeta/dias/1801/06/30/pdfs/GMD-1801-61.pdf#page=3","Abrir facsímil")</f>
        <v>Abrir facsímil</v>
      </c>
      <c r="K5753" s="15" t="s">
        <v>23</v>
      </c>
    </row>
    <row r="5754" spans="1:11" ht="42" customHeight="1">
      <c r="A5754" s="4" t="s">
        <v>12864</v>
      </c>
      <c r="B5754" s="5" t="s">
        <v>12864</v>
      </c>
      <c r="C5754" s="5" t="s">
        <v>38</v>
      </c>
      <c r="D5754" s="5" t="s">
        <v>39</v>
      </c>
      <c r="E5754" s="5" t="s">
        <v>1058</v>
      </c>
      <c r="F5754" s="9">
        <v>108</v>
      </c>
      <c r="G5754" s="9">
        <v>1186</v>
      </c>
      <c r="H5754" s="5" t="s">
        <v>21</v>
      </c>
      <c r="I5754" s="5" t="s">
        <v>12220</v>
      </c>
      <c r="J5754" s="12" t="str">
        <f>HYPERLINK("https://www.boe.es/gazeta/dias/1801/11/20/pdfs/GMD-1801-108.pdf#page=3","Abrir facsímil")</f>
        <v>Abrir facsímil</v>
      </c>
      <c r="K5754" s="15" t="s">
        <v>23</v>
      </c>
    </row>
    <row r="5755" spans="1:11" ht="42" customHeight="1">
      <c r="A5755" s="4" t="s">
        <v>12865</v>
      </c>
      <c r="B5755" s="5" t="s">
        <v>12865</v>
      </c>
      <c r="C5755" s="5" t="s">
        <v>75</v>
      </c>
      <c r="D5755" s="5" t="s">
        <v>76</v>
      </c>
      <c r="E5755" s="5" t="s">
        <v>501</v>
      </c>
      <c r="F5755" s="9">
        <v>115</v>
      </c>
      <c r="G5755" s="9">
        <v>1252</v>
      </c>
      <c r="H5755" s="5" t="s">
        <v>21</v>
      </c>
      <c r="I5755" s="5" t="s">
        <v>12866</v>
      </c>
      <c r="J5755" s="12" t="str">
        <f>HYPERLINK("https://www.boe.es/gazeta/dias/1801/12/15/pdfs/GMD-1801-115.pdf#page=2","Abrir facsímil")</f>
        <v>Abrir facsímil</v>
      </c>
      <c r="K5755" s="15" t="s">
        <v>23</v>
      </c>
    </row>
    <row r="5756" spans="1:11" ht="42" customHeight="1">
      <c r="A5756" s="4" t="s">
        <v>12867</v>
      </c>
      <c r="B5756" s="5" t="s">
        <v>12867</v>
      </c>
      <c r="C5756" s="5" t="s">
        <v>75</v>
      </c>
      <c r="D5756" s="5" t="s">
        <v>76</v>
      </c>
      <c r="E5756" s="5" t="s">
        <v>1085</v>
      </c>
      <c r="F5756" s="9">
        <v>99</v>
      </c>
      <c r="G5756" s="9">
        <v>1086</v>
      </c>
      <c r="H5756" s="5" t="s">
        <v>21</v>
      </c>
      <c r="I5756" s="5" t="s">
        <v>12868</v>
      </c>
      <c r="J5756" s="12" t="str">
        <f>HYPERLINK("https://www.boe.es/gazeta/dias/1801/10/20/pdfs/GMD-1801-99.pdf#page=3","Abrir facsímil")</f>
        <v>Abrir facsímil</v>
      </c>
      <c r="K5756" s="15" t="s">
        <v>23</v>
      </c>
    </row>
    <row r="5757" spans="1:11" ht="42" customHeight="1">
      <c r="A5757" s="4" t="s">
        <v>12869</v>
      </c>
      <c r="B5757" s="5" t="s">
        <v>12869</v>
      </c>
      <c r="C5757" s="5" t="s">
        <v>75</v>
      </c>
      <c r="D5757" s="5" t="s">
        <v>76</v>
      </c>
      <c r="E5757" s="5" t="s">
        <v>702</v>
      </c>
      <c r="F5757" s="9">
        <v>69</v>
      </c>
      <c r="G5757" s="9">
        <v>761</v>
      </c>
      <c r="H5757" s="5" t="s">
        <v>21</v>
      </c>
      <c r="I5757" s="5" t="s">
        <v>12870</v>
      </c>
      <c r="J5757" s="12" t="str">
        <f>HYPERLINK("https://www.boe.es/gazeta/dias/1801/07/14/pdfs/GMD-1801-69.pdf#page=6","Abrir facsímil")</f>
        <v>Abrir facsímil</v>
      </c>
      <c r="K5757" s="15" t="s">
        <v>23</v>
      </c>
    </row>
    <row r="5758" spans="1:11" ht="42" customHeight="1">
      <c r="A5758" s="4" t="s">
        <v>12871</v>
      </c>
      <c r="B5758" s="5" t="s">
        <v>12871</v>
      </c>
      <c r="C5758" s="5" t="s">
        <v>75</v>
      </c>
      <c r="D5758" s="5" t="s">
        <v>76</v>
      </c>
      <c r="E5758" s="5" t="s">
        <v>352</v>
      </c>
      <c r="F5758" s="9">
        <v>43</v>
      </c>
      <c r="G5758" s="9">
        <v>529</v>
      </c>
      <c r="H5758" s="5" t="s">
        <v>21</v>
      </c>
      <c r="I5758" s="5" t="s">
        <v>12872</v>
      </c>
      <c r="J5758" s="12" t="str">
        <f>HYPERLINK("https://www.boe.es/gazeta/dias/1801/05/26/pdfs/GMD-1801-43.pdf#page=1","Abrir facsímil")</f>
        <v>Abrir facsímil</v>
      </c>
      <c r="K5758" s="15" t="s">
        <v>23</v>
      </c>
    </row>
    <row r="5759" spans="1:11" ht="42" customHeight="1">
      <c r="A5759" s="4" t="s">
        <v>12873</v>
      </c>
      <c r="B5759" s="5" t="s">
        <v>12873</v>
      </c>
      <c r="C5759" s="5" t="s">
        <v>38</v>
      </c>
      <c r="D5759" s="5" t="s">
        <v>39</v>
      </c>
      <c r="E5759" s="5" t="s">
        <v>82</v>
      </c>
      <c r="F5759" s="9">
        <v>75</v>
      </c>
      <c r="G5759" s="9">
        <v>838</v>
      </c>
      <c r="H5759" s="5" t="s">
        <v>21</v>
      </c>
      <c r="I5759" s="5" t="s">
        <v>12874</v>
      </c>
      <c r="J5759" s="12" t="str">
        <f>HYPERLINK("https://www.boe.es/gazeta/dias/1801/08/04/pdfs/GMD-1801-75.pdf#page=7","Abrir facsímil")</f>
        <v>Abrir facsímil</v>
      </c>
      <c r="K5759" s="15" t="s">
        <v>23</v>
      </c>
    </row>
    <row r="5760" spans="1:11" ht="42" customHeight="1">
      <c r="A5760" s="4" t="s">
        <v>12875</v>
      </c>
      <c r="B5760" s="5" t="s">
        <v>12875</v>
      </c>
      <c r="C5760" s="5" t="s">
        <v>32</v>
      </c>
      <c r="D5760" s="5" t="s">
        <v>33</v>
      </c>
      <c r="E5760" s="5" t="s">
        <v>94</v>
      </c>
      <c r="F5760" s="9">
        <v>19</v>
      </c>
      <c r="G5760" s="9">
        <v>238</v>
      </c>
      <c r="H5760" s="5" t="s">
        <v>21</v>
      </c>
      <c r="I5760" s="5" t="s">
        <v>12876</v>
      </c>
      <c r="J5760" s="12" t="str">
        <f>HYPERLINK("https://www.boe.es/gazeta/dias/1801/03/06/pdfs/GMD-1801-19.pdf#page=3","Abrir facsímil")</f>
        <v>Abrir facsímil</v>
      </c>
      <c r="K5760" s="15" t="s">
        <v>23</v>
      </c>
    </row>
    <row r="5761" spans="1:11" ht="42" customHeight="1">
      <c r="A5761" s="4" t="s">
        <v>12875</v>
      </c>
      <c r="B5761" s="5" t="s">
        <v>12875</v>
      </c>
      <c r="C5761" s="5" t="s">
        <v>75</v>
      </c>
      <c r="D5761" s="5" t="s">
        <v>76</v>
      </c>
      <c r="E5761" s="5" t="s">
        <v>137</v>
      </c>
      <c r="F5761" s="9">
        <v>30</v>
      </c>
      <c r="G5761" s="9">
        <v>387</v>
      </c>
      <c r="H5761" s="5" t="s">
        <v>21</v>
      </c>
      <c r="I5761" s="5" t="s">
        <v>12877</v>
      </c>
      <c r="J5761" s="12" t="str">
        <f>HYPERLINK("https://www.boe.es/gazeta/dias/1801/04/14/pdfs/GMD-1801-30.pdf#page=3","Abrir facsímil")</f>
        <v>Abrir facsímil</v>
      </c>
      <c r="K5761" s="15" t="s">
        <v>23</v>
      </c>
    </row>
    <row r="5762" spans="1:11" ht="42" customHeight="1">
      <c r="A5762" s="4" t="s">
        <v>12875</v>
      </c>
      <c r="B5762" s="5" t="s">
        <v>12875</v>
      </c>
      <c r="C5762" s="5" t="s">
        <v>38</v>
      </c>
      <c r="D5762" s="5" t="s">
        <v>39</v>
      </c>
      <c r="E5762" s="5" t="s">
        <v>143</v>
      </c>
      <c r="F5762" s="9">
        <v>34</v>
      </c>
      <c r="G5762" s="9">
        <v>430</v>
      </c>
      <c r="H5762" s="5" t="s">
        <v>21</v>
      </c>
      <c r="I5762" s="5" t="s">
        <v>12878</v>
      </c>
      <c r="J5762" s="12" t="str">
        <f>HYPERLINK("https://www.boe.es/gazeta/dias/1801/04/28/pdfs/GMD-1801-34.pdf#page=2","Abrir facsímil")</f>
        <v>Abrir facsímil</v>
      </c>
      <c r="K5762" s="15" t="s">
        <v>23</v>
      </c>
    </row>
    <row r="5763" spans="1:11" ht="42" customHeight="1">
      <c r="A5763" s="4" t="s">
        <v>12875</v>
      </c>
      <c r="B5763" s="5" t="s">
        <v>12875</v>
      </c>
      <c r="C5763" s="5" t="s">
        <v>75</v>
      </c>
      <c r="D5763" s="5" t="s">
        <v>76</v>
      </c>
      <c r="E5763" s="5" t="s">
        <v>161</v>
      </c>
      <c r="F5763" s="9">
        <v>58</v>
      </c>
      <c r="G5763" s="9">
        <v>658</v>
      </c>
      <c r="H5763" s="5" t="s">
        <v>21</v>
      </c>
      <c r="I5763" s="5" t="s">
        <v>12879</v>
      </c>
      <c r="J5763" s="12" t="str">
        <f>HYPERLINK("https://www.boe.es/gazeta/dias/1801/06/19/pdfs/GMD-1801-58.pdf#page=3","Abrir facsímil")</f>
        <v>Abrir facsímil</v>
      </c>
      <c r="K5763" s="15" t="s">
        <v>23</v>
      </c>
    </row>
    <row r="5764" spans="1:11" ht="42" customHeight="1">
      <c r="A5764" s="4" t="s">
        <v>12875</v>
      </c>
      <c r="B5764" s="5" t="s">
        <v>12875</v>
      </c>
      <c r="C5764" s="5" t="s">
        <v>75</v>
      </c>
      <c r="D5764" s="5" t="s">
        <v>76</v>
      </c>
      <c r="E5764" s="5" t="s">
        <v>223</v>
      </c>
      <c r="F5764" s="9">
        <v>74</v>
      </c>
      <c r="G5764" s="9">
        <v>821</v>
      </c>
      <c r="H5764" s="5" t="s">
        <v>21</v>
      </c>
      <c r="I5764" s="5" t="s">
        <v>12880</v>
      </c>
      <c r="J5764" s="12" t="str">
        <f>HYPERLINK("https://www.boe.es/gazeta/dias/1801/07/31/pdfs/GMD-1801-74.pdf#page=2","Abrir facsímil")</f>
        <v>Abrir facsímil</v>
      </c>
      <c r="K5764" s="15" t="s">
        <v>23</v>
      </c>
    </row>
    <row r="5765" spans="1:11" ht="42" customHeight="1">
      <c r="A5765" s="4" t="s">
        <v>12881</v>
      </c>
      <c r="B5765" s="5" t="s">
        <v>12881</v>
      </c>
      <c r="C5765" s="5" t="s">
        <v>75</v>
      </c>
      <c r="D5765" s="5" t="s">
        <v>76</v>
      </c>
      <c r="E5765" s="5" t="s">
        <v>888</v>
      </c>
      <c r="F5765" s="9">
        <v>103</v>
      </c>
      <c r="G5765" s="9">
        <v>1130</v>
      </c>
      <c r="H5765" s="5" t="s">
        <v>21</v>
      </c>
      <c r="I5765" s="5" t="s">
        <v>12882</v>
      </c>
      <c r="J5765" s="12" t="str">
        <f>HYPERLINK("https://www.boe.es/gazeta/dias/1801/11/03/pdfs/GMD-1801-103.pdf#page=3","Abrir facsímil")</f>
        <v>Abrir facsímil</v>
      </c>
      <c r="K5765" s="15" t="s">
        <v>23</v>
      </c>
    </row>
    <row r="5766" spans="1:11" ht="42" customHeight="1">
      <c r="A5766" s="4" t="s">
        <v>12883</v>
      </c>
      <c r="B5766" s="5" t="s">
        <v>12883</v>
      </c>
      <c r="C5766" s="5" t="s">
        <v>26</v>
      </c>
      <c r="D5766" s="5" t="s">
        <v>27</v>
      </c>
      <c r="E5766" s="5" t="s">
        <v>317</v>
      </c>
      <c r="F5766" s="9">
        <v>102</v>
      </c>
      <c r="G5766" s="9">
        <v>1116</v>
      </c>
      <c r="H5766" s="5" t="s">
        <v>21</v>
      </c>
      <c r="I5766" s="5" t="s">
        <v>12884</v>
      </c>
      <c r="J5766" s="12" t="str">
        <f>HYPERLINK("https://www.boe.es/gazeta/dias/1801/10/30/pdfs/GMD-1801-102.pdf#page=1","Abrir facsímil")</f>
        <v>Abrir facsímil</v>
      </c>
      <c r="K5766" s="15" t="s">
        <v>23</v>
      </c>
    </row>
    <row r="5767" spans="1:11" ht="42" customHeight="1">
      <c r="A5767" s="4" t="s">
        <v>12885</v>
      </c>
      <c r="B5767" s="5" t="s">
        <v>12885</v>
      </c>
      <c r="C5767" s="5" t="s">
        <v>38</v>
      </c>
      <c r="D5767" s="5" t="s">
        <v>39</v>
      </c>
      <c r="E5767" s="5" t="s">
        <v>82</v>
      </c>
      <c r="F5767" s="9">
        <v>75</v>
      </c>
      <c r="G5767" s="9">
        <v>837</v>
      </c>
      <c r="H5767" s="5" t="s">
        <v>21</v>
      </c>
      <c r="I5767" s="5" t="s">
        <v>12886</v>
      </c>
      <c r="J5767" s="12" t="str">
        <f>HYPERLINK("https://www.boe.es/gazeta/dias/1801/08/04/pdfs/GMD-1801-75.pdf#page=6","Abrir facsímil")</f>
        <v>Abrir facsímil</v>
      </c>
      <c r="K5767" s="15" t="s">
        <v>23</v>
      </c>
    </row>
    <row r="5768" spans="1:11" ht="42" customHeight="1">
      <c r="A5768" s="4" t="s">
        <v>12887</v>
      </c>
      <c r="B5768" s="5" t="s">
        <v>12887</v>
      </c>
      <c r="C5768" s="5" t="s">
        <v>38</v>
      </c>
      <c r="D5768" s="5" t="s">
        <v>39</v>
      </c>
      <c r="E5768" s="5" t="s">
        <v>378</v>
      </c>
      <c r="F5768" s="9">
        <v>23</v>
      </c>
      <c r="G5768" s="9">
        <v>301</v>
      </c>
      <c r="H5768" s="5" t="s">
        <v>21</v>
      </c>
      <c r="I5768" s="5" t="s">
        <v>12888</v>
      </c>
      <c r="J5768" s="12" t="str">
        <f>HYPERLINK("https://www.boe.es/gazeta/dias/1801/03/20/pdfs/GMD-1801-23.pdf#page=4","Abrir facsímil")</f>
        <v>Abrir facsímil</v>
      </c>
      <c r="K5768" s="15" t="s">
        <v>23</v>
      </c>
    </row>
    <row r="5769" spans="1:11" ht="42" customHeight="1">
      <c r="A5769" s="4" t="s">
        <v>12889</v>
      </c>
      <c r="B5769" s="5" t="s">
        <v>12889</v>
      </c>
      <c r="C5769" s="5" t="s">
        <v>75</v>
      </c>
      <c r="D5769" s="5" t="s">
        <v>76</v>
      </c>
      <c r="E5769" s="5" t="s">
        <v>44</v>
      </c>
      <c r="F5769" s="9">
        <v>117</v>
      </c>
      <c r="G5769" s="9">
        <v>1279</v>
      </c>
      <c r="H5769" s="5" t="s">
        <v>21</v>
      </c>
      <c r="I5769" s="5" t="s">
        <v>12890</v>
      </c>
      <c r="J5769" s="12" t="str">
        <f>HYPERLINK("https://www.boe.es/gazeta/dias/1801/12/22/pdfs/GMD-1801-117.pdf#page=6","Abrir facsímil")</f>
        <v>Abrir facsímil</v>
      </c>
      <c r="K5769" s="15" t="s">
        <v>23</v>
      </c>
    </row>
    <row r="5770" spans="1:11" ht="42" customHeight="1">
      <c r="A5770" s="4" t="s">
        <v>12891</v>
      </c>
      <c r="B5770" s="5" t="s">
        <v>12891</v>
      </c>
      <c r="C5770" s="5" t="s">
        <v>38</v>
      </c>
      <c r="D5770" s="5" t="s">
        <v>39</v>
      </c>
      <c r="E5770" s="5" t="s">
        <v>417</v>
      </c>
      <c r="F5770" s="9">
        <v>64</v>
      </c>
      <c r="G5770" s="9">
        <v>721</v>
      </c>
      <c r="H5770" s="5" t="s">
        <v>21</v>
      </c>
      <c r="I5770" s="5" t="s">
        <v>12892</v>
      </c>
      <c r="J5770" s="12" t="str">
        <f>HYPERLINK("https://www.boe.es/gazeta/dias/1801/07/07/pdfs/GMD-1801-64.pdf#page=2","Abrir facsímil")</f>
        <v>Abrir facsímil</v>
      </c>
      <c r="K5770" s="15" t="s">
        <v>23</v>
      </c>
    </row>
    <row r="5771" spans="1:11" ht="42" customHeight="1">
      <c r="A5771" s="4" t="s">
        <v>12893</v>
      </c>
      <c r="B5771" s="5" t="s">
        <v>12893</v>
      </c>
      <c r="C5771" s="5" t="s">
        <v>75</v>
      </c>
      <c r="D5771" s="5" t="s">
        <v>76</v>
      </c>
      <c r="E5771" s="5" t="s">
        <v>448</v>
      </c>
      <c r="F5771" s="9">
        <v>35</v>
      </c>
      <c r="G5771" s="9">
        <v>445</v>
      </c>
      <c r="H5771" s="5" t="s">
        <v>21</v>
      </c>
      <c r="I5771" s="5" t="s">
        <v>12894</v>
      </c>
      <c r="J5771" s="12" t="str">
        <f>HYPERLINK("https://www.boe.es/gazeta/dias/1801/05/01/pdfs/GMD-1801-35.pdf#page=1","Abrir facsímil")</f>
        <v>Abrir facsímil</v>
      </c>
      <c r="K5771" s="15" t="s">
        <v>23</v>
      </c>
    </row>
    <row r="5772" spans="1:11" ht="42" customHeight="1">
      <c r="A5772" s="4" t="s">
        <v>12895</v>
      </c>
      <c r="B5772" s="5" t="s">
        <v>12895</v>
      </c>
      <c r="C5772" s="5" t="s">
        <v>75</v>
      </c>
      <c r="D5772" s="5" t="s">
        <v>76</v>
      </c>
      <c r="E5772" s="5" t="s">
        <v>702</v>
      </c>
      <c r="F5772" s="9">
        <v>69</v>
      </c>
      <c r="G5772" s="9">
        <v>762</v>
      </c>
      <c r="H5772" s="5" t="s">
        <v>21</v>
      </c>
      <c r="I5772" s="5" t="s">
        <v>12896</v>
      </c>
      <c r="J5772" s="12" t="str">
        <f>HYPERLINK("https://www.boe.es/gazeta/dias/1801/07/14/pdfs/GMD-1801-69.pdf#page=7","Abrir facsímil")</f>
        <v>Abrir facsímil</v>
      </c>
      <c r="K5772" s="15" t="s">
        <v>23</v>
      </c>
    </row>
    <row r="5773" spans="1:11" ht="42" customHeight="1">
      <c r="A5773" s="4" t="s">
        <v>12897</v>
      </c>
      <c r="B5773" s="5" t="s">
        <v>12897</v>
      </c>
      <c r="C5773" s="5" t="s">
        <v>38</v>
      </c>
      <c r="D5773" s="5" t="s">
        <v>39</v>
      </c>
      <c r="E5773" s="5" t="s">
        <v>702</v>
      </c>
      <c r="F5773" s="9">
        <v>69</v>
      </c>
      <c r="G5773" s="9">
        <v>763</v>
      </c>
      <c r="H5773" s="5" t="s">
        <v>21</v>
      </c>
      <c r="I5773" s="5" t="s">
        <v>12898</v>
      </c>
      <c r="J5773" s="12" t="str">
        <f>HYPERLINK("https://www.boe.es/gazeta/dias/1801/07/14/pdfs/GMD-1801-69.pdf#page=8","Abrir facsímil")</f>
        <v>Abrir facsímil</v>
      </c>
      <c r="K5773" s="15" t="s">
        <v>23</v>
      </c>
    </row>
    <row r="5774" spans="1:11" ht="42" customHeight="1">
      <c r="A5774" s="4" t="s">
        <v>12899</v>
      </c>
      <c r="B5774" s="5" t="s">
        <v>12899</v>
      </c>
      <c r="C5774" s="5" t="s">
        <v>75</v>
      </c>
      <c r="D5774" s="5" t="s">
        <v>76</v>
      </c>
      <c r="E5774" s="5" t="s">
        <v>615</v>
      </c>
      <c r="F5774" s="9">
        <v>72</v>
      </c>
      <c r="G5774" s="9">
        <v>800</v>
      </c>
      <c r="H5774" s="5" t="s">
        <v>21</v>
      </c>
      <c r="I5774" s="5" t="s">
        <v>12900</v>
      </c>
      <c r="J5774" s="12" t="str">
        <f>HYPERLINK("https://www.boe.es/gazeta/dias/1801/07/24/pdfs/GMD-1801-72.pdf#page=5","Abrir facsímil")</f>
        <v>Abrir facsímil</v>
      </c>
      <c r="K5774" s="15" t="s">
        <v>23</v>
      </c>
    </row>
    <row r="5775" spans="1:11" ht="42" customHeight="1">
      <c r="A5775" s="4" t="s">
        <v>12901</v>
      </c>
      <c r="B5775" s="5" t="s">
        <v>12901</v>
      </c>
      <c r="C5775" s="5" t="s">
        <v>32</v>
      </c>
      <c r="D5775" s="5" t="s">
        <v>33</v>
      </c>
      <c r="E5775" s="5" t="s">
        <v>145</v>
      </c>
      <c r="F5775" s="9">
        <v>36</v>
      </c>
      <c r="G5775" s="9">
        <v>460</v>
      </c>
      <c r="H5775" s="5" t="s">
        <v>21</v>
      </c>
      <c r="I5775" s="5" t="s">
        <v>12902</v>
      </c>
      <c r="J5775" s="12" t="str">
        <f>HYPERLINK("https://www.boe.es/gazeta/dias/1801/05/05/pdfs/GMD-1801-36.pdf#page=4","Abrir facsímil")</f>
        <v>Abrir facsímil</v>
      </c>
      <c r="K5775" s="15" t="s">
        <v>23</v>
      </c>
    </row>
    <row r="5776" spans="1:11" ht="42" customHeight="1">
      <c r="A5776" s="4" t="s">
        <v>12903</v>
      </c>
      <c r="B5776" s="5" t="s">
        <v>12903</v>
      </c>
      <c r="C5776" s="5" t="s">
        <v>75</v>
      </c>
      <c r="D5776" s="5" t="s">
        <v>76</v>
      </c>
      <c r="E5776" s="5" t="s">
        <v>735</v>
      </c>
      <c r="F5776" s="9">
        <v>97</v>
      </c>
      <c r="G5776" s="9">
        <v>1058</v>
      </c>
      <c r="H5776" s="5" t="s">
        <v>21</v>
      </c>
      <c r="I5776" s="5" t="s">
        <v>12904</v>
      </c>
      <c r="J5776" s="12" t="str">
        <f>HYPERLINK("https://www.boe.es/gazeta/dias/1801/10/13/pdfs/GMD-1801-97.pdf#page=2","Abrir facsímil")</f>
        <v>Abrir facsímil</v>
      </c>
      <c r="K5776" s="15" t="s">
        <v>23</v>
      </c>
    </row>
    <row r="5777" spans="1:11" ht="42" customHeight="1">
      <c r="A5777" s="4" t="s">
        <v>12905</v>
      </c>
      <c r="B5777" s="5" t="s">
        <v>12905</v>
      </c>
      <c r="C5777" s="5" t="s">
        <v>26</v>
      </c>
      <c r="D5777" s="5" t="s">
        <v>27</v>
      </c>
      <c r="E5777" s="5" t="s">
        <v>702</v>
      </c>
      <c r="F5777" s="9">
        <v>69</v>
      </c>
      <c r="G5777" s="9">
        <v>762</v>
      </c>
      <c r="H5777" s="5" t="s">
        <v>21</v>
      </c>
      <c r="I5777" s="5" t="s">
        <v>12906</v>
      </c>
      <c r="J5777" s="12" t="str">
        <f>HYPERLINK("https://www.boe.es/gazeta/dias/1801/07/14/pdfs/GMD-1801-69.pdf#page=7","Abrir facsímil")</f>
        <v>Abrir facsímil</v>
      </c>
      <c r="K5777" s="15" t="s">
        <v>23</v>
      </c>
    </row>
    <row r="5778" spans="1:11" ht="42" customHeight="1">
      <c r="A5778" s="4" t="s">
        <v>12907</v>
      </c>
      <c r="B5778" s="5" t="s">
        <v>12907</v>
      </c>
      <c r="C5778" s="5" t="s">
        <v>75</v>
      </c>
      <c r="D5778" s="5" t="s">
        <v>76</v>
      </c>
      <c r="E5778" s="5" t="s">
        <v>501</v>
      </c>
      <c r="F5778" s="9">
        <v>115</v>
      </c>
      <c r="G5778" s="9">
        <v>1253</v>
      </c>
      <c r="H5778" s="5" t="s">
        <v>21</v>
      </c>
      <c r="I5778" s="5" t="s">
        <v>12730</v>
      </c>
      <c r="J5778" s="12" t="str">
        <f>HYPERLINK("https://www.boe.es/gazeta/dias/1801/12/15/pdfs/GMD-1801-115.pdf#page=3","Abrir facsímil")</f>
        <v>Abrir facsímil</v>
      </c>
      <c r="K5778" s="15" t="s">
        <v>23</v>
      </c>
    </row>
    <row r="5779" spans="1:11" ht="42" customHeight="1">
      <c r="A5779" s="4" t="s">
        <v>12908</v>
      </c>
      <c r="B5779" s="5" t="s">
        <v>12908</v>
      </c>
      <c r="C5779" s="5" t="s">
        <v>38</v>
      </c>
      <c r="D5779" s="5" t="s">
        <v>39</v>
      </c>
      <c r="E5779" s="5" t="s">
        <v>309</v>
      </c>
      <c r="F5779" s="9">
        <v>118</v>
      </c>
      <c r="G5779" s="9">
        <v>1288</v>
      </c>
      <c r="H5779" s="5" t="s">
        <v>21</v>
      </c>
      <c r="I5779" s="5" t="s">
        <v>12909</v>
      </c>
      <c r="J5779" s="12" t="str">
        <f>HYPERLINK("https://www.boe.es/gazeta/dias/1801/12/25/pdfs/GMD-1801-118.pdf#page=3","Abrir facsímil")</f>
        <v>Abrir facsímil</v>
      </c>
      <c r="K5779" s="15" t="s">
        <v>23</v>
      </c>
    </row>
    <row r="5780" spans="1:11" ht="42" customHeight="1">
      <c r="A5780" s="4" t="s">
        <v>12910</v>
      </c>
      <c r="B5780" s="5" t="s">
        <v>12910</v>
      </c>
      <c r="C5780" s="5" t="s">
        <v>75</v>
      </c>
      <c r="D5780" s="5" t="s">
        <v>76</v>
      </c>
      <c r="E5780" s="5" t="s">
        <v>20</v>
      </c>
      <c r="F5780" s="9">
        <v>37</v>
      </c>
      <c r="G5780" s="9">
        <v>480</v>
      </c>
      <c r="H5780" s="5" t="s">
        <v>21</v>
      </c>
      <c r="I5780" s="5" t="s">
        <v>12305</v>
      </c>
      <c r="J5780" s="12" t="str">
        <f>HYPERLINK("https://www.boe.es/gazeta/dias/1801/05/08/pdfs/GMD-1801-37.pdf#page=8","Abrir facsímil")</f>
        <v>Abrir facsímil</v>
      </c>
      <c r="K5780" s="15" t="s">
        <v>23</v>
      </c>
    </row>
    <row r="5781" spans="1:11" ht="42" customHeight="1">
      <c r="A5781" s="4" t="s">
        <v>12911</v>
      </c>
      <c r="B5781" s="5" t="s">
        <v>12911</v>
      </c>
      <c r="C5781" s="5" t="s">
        <v>75</v>
      </c>
      <c r="D5781" s="5" t="s">
        <v>76</v>
      </c>
      <c r="E5781" s="5" t="s">
        <v>186</v>
      </c>
      <c r="F5781" s="9">
        <v>21</v>
      </c>
      <c r="G5781" s="9">
        <v>276</v>
      </c>
      <c r="H5781" s="5" t="s">
        <v>21</v>
      </c>
      <c r="I5781" s="5" t="s">
        <v>12912</v>
      </c>
      <c r="J5781" s="12" t="str">
        <f>HYPERLINK("https://www.boe.es/gazeta/dias/1801/03/13/pdfs/GMD-1801-21.pdf#page=5","Abrir facsímil")</f>
        <v>Abrir facsímil</v>
      </c>
      <c r="K5781" s="15" t="s">
        <v>23</v>
      </c>
    </row>
    <row r="5782" spans="1:11" ht="42" customHeight="1">
      <c r="A5782" s="4" t="s">
        <v>12913</v>
      </c>
      <c r="B5782" s="5" t="s">
        <v>12913</v>
      </c>
      <c r="C5782" s="5" t="s">
        <v>38</v>
      </c>
      <c r="D5782" s="5" t="s">
        <v>39</v>
      </c>
      <c r="E5782" s="5" t="s">
        <v>190</v>
      </c>
      <c r="F5782" s="9">
        <v>16</v>
      </c>
      <c r="G5782" s="9">
        <v>204</v>
      </c>
      <c r="H5782" s="5" t="s">
        <v>21</v>
      </c>
      <c r="I5782" s="5" t="s">
        <v>12914</v>
      </c>
      <c r="J5782" s="12" t="str">
        <f>HYPERLINK("https://www.boe.es/gazeta/dias/1801/02/24/pdfs/GMD-1801-16.pdf#page=11","Abrir facsímil")</f>
        <v>Abrir facsímil</v>
      </c>
      <c r="K5782" s="15" t="s">
        <v>23</v>
      </c>
    </row>
    <row r="5783" spans="1:11" ht="42" customHeight="1">
      <c r="A5783" s="4" t="s">
        <v>12915</v>
      </c>
      <c r="B5783" s="5" t="s">
        <v>12915</v>
      </c>
      <c r="C5783" s="5" t="s">
        <v>26</v>
      </c>
      <c r="D5783" s="5" t="s">
        <v>27</v>
      </c>
      <c r="E5783" s="5" t="s">
        <v>2185</v>
      </c>
      <c r="F5783" s="9">
        <v>84</v>
      </c>
      <c r="G5783" s="9">
        <v>945</v>
      </c>
      <c r="H5783" s="5" t="s">
        <v>21</v>
      </c>
      <c r="I5783" s="5" t="s">
        <v>12388</v>
      </c>
      <c r="J5783" s="12" t="str">
        <f>HYPERLINK("https://www.boe.es/gazeta/dias/1801/09/04/pdfs/GMD-1801-84.pdf#page=8","Abrir facsímil")</f>
        <v>Abrir facsímil</v>
      </c>
      <c r="K5783" s="15" t="s">
        <v>23</v>
      </c>
    </row>
    <row r="5784" spans="1:11" ht="42" customHeight="1">
      <c r="A5784" s="4" t="s">
        <v>12916</v>
      </c>
      <c r="B5784" s="5" t="s">
        <v>12916</v>
      </c>
      <c r="C5784" s="5" t="s">
        <v>18</v>
      </c>
      <c r="D5784" s="5" t="s">
        <v>19</v>
      </c>
      <c r="E5784" s="5" t="s">
        <v>723</v>
      </c>
      <c r="F5784" s="9">
        <v>113</v>
      </c>
      <c r="G5784" s="9">
        <v>1231</v>
      </c>
      <c r="H5784" s="5" t="s">
        <v>21</v>
      </c>
      <c r="I5784" s="5" t="s">
        <v>12917</v>
      </c>
      <c r="J5784" s="12" t="str">
        <f>HYPERLINK("https://www.boe.es/gazeta/dias/1801/12/08/pdfs/GMD-1801-113.pdf#page=4","Abrir facsímil")</f>
        <v>Abrir facsímil</v>
      </c>
      <c r="K5784" s="15" t="s">
        <v>23</v>
      </c>
    </row>
    <row r="5785" spans="1:11" ht="42" customHeight="1">
      <c r="A5785" s="4" t="s">
        <v>12918</v>
      </c>
      <c r="B5785" s="5" t="s">
        <v>12918</v>
      </c>
      <c r="C5785" s="5" t="s">
        <v>75</v>
      </c>
      <c r="D5785" s="5" t="s">
        <v>76</v>
      </c>
      <c r="E5785" s="5" t="s">
        <v>465</v>
      </c>
      <c r="F5785" s="9">
        <v>4</v>
      </c>
      <c r="G5785" s="9">
        <v>43</v>
      </c>
      <c r="H5785" s="5" t="s">
        <v>21</v>
      </c>
      <c r="I5785" s="5" t="s">
        <v>12919</v>
      </c>
      <c r="J5785" s="12" t="str">
        <f>HYPERLINK("https://www.boe.es/gazeta/dias/1801/01/13/pdfs/GMD-1801-4.pdf#page=7","Abrir facsímil")</f>
        <v>Abrir facsímil</v>
      </c>
      <c r="K5785" s="15" t="s">
        <v>23</v>
      </c>
    </row>
    <row r="5786" spans="1:11" ht="42" customHeight="1">
      <c r="A5786" s="4" t="s">
        <v>12920</v>
      </c>
      <c r="B5786" s="5" t="s">
        <v>12920</v>
      </c>
      <c r="C5786" s="5" t="s">
        <v>75</v>
      </c>
      <c r="D5786" s="5" t="s">
        <v>76</v>
      </c>
      <c r="E5786" s="5" t="s">
        <v>251</v>
      </c>
      <c r="F5786" s="9">
        <v>66</v>
      </c>
      <c r="G5786" s="9">
        <v>738</v>
      </c>
      <c r="H5786" s="5" t="s">
        <v>21</v>
      </c>
      <c r="I5786" s="5" t="s">
        <v>12921</v>
      </c>
      <c r="J5786" s="12" t="str">
        <f>HYPERLINK("https://www.boe.es/gazeta/dias/1801/07/10/pdfs/GMD-1801-66.pdf#page=3","Abrir facsímil")</f>
        <v>Abrir facsímil</v>
      </c>
      <c r="K5786" s="15" t="s">
        <v>23</v>
      </c>
    </row>
    <row r="5787" spans="1:11" ht="42" customHeight="1">
      <c r="A5787" s="4" t="s">
        <v>12922</v>
      </c>
      <c r="B5787" s="5" t="s">
        <v>12922</v>
      </c>
      <c r="C5787" s="5" t="s">
        <v>75</v>
      </c>
      <c r="D5787" s="5" t="s">
        <v>76</v>
      </c>
      <c r="E5787" s="5" t="s">
        <v>90</v>
      </c>
      <c r="F5787" s="9">
        <v>1</v>
      </c>
      <c r="G5787" s="9">
        <v>4</v>
      </c>
      <c r="H5787" s="5" t="s">
        <v>21</v>
      </c>
      <c r="I5787" s="5" t="s">
        <v>12923</v>
      </c>
      <c r="J5787" s="12" t="str">
        <f>HYPERLINK("https://www.boe.es/gazeta/dias/1801/01/02/pdfs/GMD-1801-1.pdf#page=4","Abrir facsímil")</f>
        <v>Abrir facsímil</v>
      </c>
      <c r="K5787" s="15" t="s">
        <v>23</v>
      </c>
    </row>
    <row r="5788" spans="1:11" ht="42" customHeight="1">
      <c r="A5788" s="4" t="s">
        <v>12924</v>
      </c>
      <c r="B5788" s="5" t="s">
        <v>12924</v>
      </c>
      <c r="C5788" s="5" t="s">
        <v>32</v>
      </c>
      <c r="D5788" s="5" t="s">
        <v>33</v>
      </c>
      <c r="E5788" s="5" t="s">
        <v>186</v>
      </c>
      <c r="F5788" s="9">
        <v>21</v>
      </c>
      <c r="G5788" s="9">
        <v>273</v>
      </c>
      <c r="H5788" s="5" t="s">
        <v>21</v>
      </c>
      <c r="I5788" s="5" t="s">
        <v>12925</v>
      </c>
      <c r="J5788" s="12" t="str">
        <f>HYPERLINK("https://www.boe.es/gazeta/dias/1801/03/13/pdfs/GMD-1801-21.pdf#page=2","Abrir facsímil")</f>
        <v>Abrir facsímil</v>
      </c>
      <c r="K5788" s="15" t="s">
        <v>23</v>
      </c>
    </row>
    <row r="5789" spans="1:11" ht="42" customHeight="1">
      <c r="A5789" s="4" t="s">
        <v>12926</v>
      </c>
      <c r="B5789" s="5" t="s">
        <v>12926</v>
      </c>
      <c r="C5789" s="5" t="s">
        <v>75</v>
      </c>
      <c r="D5789" s="5" t="s">
        <v>76</v>
      </c>
      <c r="E5789" s="5" t="s">
        <v>292</v>
      </c>
      <c r="F5789" s="9">
        <v>25</v>
      </c>
      <c r="G5789" s="9">
        <v>326</v>
      </c>
      <c r="H5789" s="5" t="s">
        <v>21</v>
      </c>
      <c r="I5789" s="5" t="s">
        <v>12927</v>
      </c>
      <c r="J5789" s="12" t="str">
        <f>HYPERLINK("https://www.boe.es/gazeta/dias/1801/03/27/pdfs/GMD-1801-25.pdf#page=5","Abrir facsímil")</f>
        <v>Abrir facsímil</v>
      </c>
      <c r="K5789" s="15" t="s">
        <v>23</v>
      </c>
    </row>
    <row r="5790" spans="1:11" ht="42" customHeight="1">
      <c r="A5790" s="4" t="s">
        <v>12928</v>
      </c>
      <c r="B5790" s="5" t="s">
        <v>12928</v>
      </c>
      <c r="C5790" s="5" t="s">
        <v>32</v>
      </c>
      <c r="D5790" s="5" t="s">
        <v>33</v>
      </c>
      <c r="E5790" s="5" t="s">
        <v>77</v>
      </c>
      <c r="F5790" s="9">
        <v>93</v>
      </c>
      <c r="G5790" s="9">
        <v>1018</v>
      </c>
      <c r="H5790" s="5" t="s">
        <v>21</v>
      </c>
      <c r="I5790" s="5" t="s">
        <v>12929</v>
      </c>
      <c r="J5790" s="12" t="str">
        <f>HYPERLINK("https://www.boe.es/gazeta/dias/1801/09/29/pdfs/GMD-1801-93.pdf#page=5","Abrir facsímil")</f>
        <v>Abrir facsímil</v>
      </c>
      <c r="K5790" s="15" t="s">
        <v>23</v>
      </c>
    </row>
    <row r="5791" spans="1:11" ht="42" customHeight="1">
      <c r="A5791" s="4" t="s">
        <v>12930</v>
      </c>
      <c r="B5791" s="5" t="s">
        <v>12930</v>
      </c>
      <c r="C5791" s="5" t="s">
        <v>75</v>
      </c>
      <c r="D5791" s="5" t="s">
        <v>76</v>
      </c>
      <c r="E5791" s="5" t="s">
        <v>48</v>
      </c>
      <c r="F5791" s="9">
        <v>20</v>
      </c>
      <c r="G5791" s="9">
        <v>256</v>
      </c>
      <c r="H5791" s="5" t="s">
        <v>21</v>
      </c>
      <c r="I5791" s="5" t="s">
        <v>12931</v>
      </c>
      <c r="J5791" s="12" t="str">
        <f>HYPERLINK("https://www.boe.es/gazeta/dias/1801/03/10/pdfs/GMD-1801-20.pdf#page=1","Abrir facsímil")</f>
        <v>Abrir facsímil</v>
      </c>
      <c r="K5791" s="15" t="s">
        <v>23</v>
      </c>
    </row>
    <row r="5792" spans="1:11" ht="42" customHeight="1">
      <c r="A5792" s="4" t="s">
        <v>12932</v>
      </c>
      <c r="B5792" s="5" t="s">
        <v>12932</v>
      </c>
      <c r="C5792" s="5" t="s">
        <v>38</v>
      </c>
      <c r="D5792" s="5" t="s">
        <v>39</v>
      </c>
      <c r="E5792" s="5" t="s">
        <v>126</v>
      </c>
      <c r="F5792" s="9">
        <v>13</v>
      </c>
      <c r="G5792" s="9">
        <v>160</v>
      </c>
      <c r="H5792" s="5" t="s">
        <v>21</v>
      </c>
      <c r="I5792" s="5" t="s">
        <v>12933</v>
      </c>
      <c r="J5792" s="12" t="str">
        <f>HYPERLINK("https://www.boe.es/gazeta/dias/1801/02/13/pdfs/GMD-1801-13.pdf#page=7","Abrir facsímil")</f>
        <v>Abrir facsímil</v>
      </c>
      <c r="K5792" s="15" t="s">
        <v>23</v>
      </c>
    </row>
    <row r="5793" spans="1:11" ht="42" customHeight="1">
      <c r="A5793" s="4" t="s">
        <v>12934</v>
      </c>
      <c r="B5793" s="5" t="s">
        <v>12934</v>
      </c>
      <c r="C5793" s="5" t="s">
        <v>75</v>
      </c>
      <c r="D5793" s="5" t="s">
        <v>76</v>
      </c>
      <c r="E5793" s="5" t="s">
        <v>292</v>
      </c>
      <c r="F5793" s="9">
        <v>25</v>
      </c>
      <c r="G5793" s="9">
        <v>326</v>
      </c>
      <c r="H5793" s="5" t="s">
        <v>21</v>
      </c>
      <c r="I5793" s="5" t="s">
        <v>12152</v>
      </c>
      <c r="J5793" s="12" t="str">
        <f>HYPERLINK("https://www.boe.es/gazeta/dias/1801/03/27/pdfs/GMD-1801-25.pdf#page=5","Abrir facsímil")</f>
        <v>Abrir facsímil</v>
      </c>
      <c r="K5793" s="15" t="s">
        <v>23</v>
      </c>
    </row>
    <row r="5794" spans="1:11" ht="42" customHeight="1">
      <c r="A5794" s="4" t="s">
        <v>12935</v>
      </c>
      <c r="B5794" s="5" t="s">
        <v>12935</v>
      </c>
      <c r="C5794" s="5" t="s">
        <v>75</v>
      </c>
      <c r="D5794" s="5" t="s">
        <v>76</v>
      </c>
      <c r="E5794" s="5" t="s">
        <v>34</v>
      </c>
      <c r="F5794" s="9">
        <v>38</v>
      </c>
      <c r="G5794" s="9">
        <v>491</v>
      </c>
      <c r="H5794" s="5" t="s">
        <v>21</v>
      </c>
      <c r="I5794" s="5" t="s">
        <v>12936</v>
      </c>
      <c r="J5794" s="12" t="str">
        <f>HYPERLINK("https://www.boe.es/gazeta/dias/1801/05/12/pdfs/GMD-1801-38.pdf#page=7","Abrir facsímil")</f>
        <v>Abrir facsímil</v>
      </c>
      <c r="K5794" s="15" t="s">
        <v>23</v>
      </c>
    </row>
    <row r="5795" spans="1:11" ht="42" customHeight="1">
      <c r="A5795" s="4" t="s">
        <v>12937</v>
      </c>
      <c r="B5795" s="5" t="s">
        <v>12937</v>
      </c>
      <c r="C5795" s="5" t="s">
        <v>75</v>
      </c>
      <c r="D5795" s="5" t="s">
        <v>76</v>
      </c>
      <c r="E5795" s="5" t="s">
        <v>465</v>
      </c>
      <c r="F5795" s="9">
        <v>4</v>
      </c>
      <c r="G5795" s="9">
        <v>41</v>
      </c>
      <c r="H5795" s="5" t="s">
        <v>21</v>
      </c>
      <c r="I5795" s="5" t="s">
        <v>12938</v>
      </c>
      <c r="J5795" s="12" t="str">
        <f>HYPERLINK("https://www.boe.es/gazeta/dias/1801/01/13/pdfs/GMD-1801-4.pdf#page=5","Abrir facsímil")</f>
        <v>Abrir facsímil</v>
      </c>
      <c r="K5795" s="15" t="s">
        <v>23</v>
      </c>
    </row>
    <row r="5796" spans="1:11" ht="42" customHeight="1">
      <c r="A5796" s="4" t="s">
        <v>12939</v>
      </c>
      <c r="B5796" s="5" t="s">
        <v>12939</v>
      </c>
      <c r="C5796" s="5" t="s">
        <v>75</v>
      </c>
      <c r="D5796" s="5" t="s">
        <v>76</v>
      </c>
      <c r="E5796" s="5" t="s">
        <v>2237</v>
      </c>
      <c r="F5796" s="9">
        <v>82</v>
      </c>
      <c r="G5796" s="9">
        <v>915</v>
      </c>
      <c r="H5796" s="5" t="s">
        <v>21</v>
      </c>
      <c r="I5796" s="5" t="s">
        <v>12940</v>
      </c>
      <c r="J5796" s="12" t="str">
        <f>HYPERLINK("https://www.boe.es/gazeta/dias/1801/08/28/pdfs/GMD-1801-82.pdf#page=4","Abrir facsímil")</f>
        <v>Abrir facsímil</v>
      </c>
      <c r="K5796" s="15" t="s">
        <v>23</v>
      </c>
    </row>
    <row r="5797" spans="1:11" ht="42" customHeight="1">
      <c r="A5797" s="4" t="s">
        <v>12939</v>
      </c>
      <c r="B5797" s="5" t="s">
        <v>12939</v>
      </c>
      <c r="C5797" s="5" t="s">
        <v>32</v>
      </c>
      <c r="D5797" s="5" t="s">
        <v>33</v>
      </c>
      <c r="E5797" s="5" t="s">
        <v>723</v>
      </c>
      <c r="F5797" s="9">
        <v>113</v>
      </c>
      <c r="G5797" s="9">
        <v>1233</v>
      </c>
      <c r="H5797" s="5" t="s">
        <v>21</v>
      </c>
      <c r="I5797" s="5" t="s">
        <v>12941</v>
      </c>
      <c r="J5797" s="12" t="str">
        <f>HYPERLINK("https://www.boe.es/gazeta/dias/1801/12/08/pdfs/GMD-1801-113.pdf#page=6","Abrir facsímil")</f>
        <v>Abrir facsímil</v>
      </c>
      <c r="K5797" s="15" t="s">
        <v>23</v>
      </c>
    </row>
    <row r="5798" spans="1:11" ht="42" customHeight="1">
      <c r="A5798" s="4" t="s">
        <v>12939</v>
      </c>
      <c r="B5798" s="5" t="s">
        <v>12939</v>
      </c>
      <c r="C5798" s="5" t="s">
        <v>38</v>
      </c>
      <c r="D5798" s="5" t="s">
        <v>39</v>
      </c>
      <c r="E5798" s="5" t="s">
        <v>266</v>
      </c>
      <c r="F5798" s="9">
        <v>119</v>
      </c>
      <c r="G5798" s="9">
        <v>1300</v>
      </c>
      <c r="H5798" s="5" t="s">
        <v>21</v>
      </c>
      <c r="I5798" s="5" t="s">
        <v>12942</v>
      </c>
      <c r="J5798" s="12" t="str">
        <f>HYPERLINK("https://www.boe.es/gazeta/dias/1801/12/29/pdfs/GMD-1801-119.pdf#page=4","Abrir facsímil")</f>
        <v>Abrir facsímil</v>
      </c>
      <c r="K5798" s="15" t="s">
        <v>23</v>
      </c>
    </row>
    <row r="5799" spans="1:11" ht="42" customHeight="1">
      <c r="A5799" s="4" t="s">
        <v>12943</v>
      </c>
      <c r="B5799" s="5" t="s">
        <v>12943</v>
      </c>
      <c r="C5799" s="5" t="s">
        <v>32</v>
      </c>
      <c r="D5799" s="5" t="s">
        <v>33</v>
      </c>
      <c r="E5799" s="5" t="s">
        <v>2185</v>
      </c>
      <c r="F5799" s="9">
        <v>84</v>
      </c>
      <c r="G5799" s="9">
        <v>942</v>
      </c>
      <c r="H5799" s="5" t="s">
        <v>21</v>
      </c>
      <c r="I5799" s="5" t="s">
        <v>12944</v>
      </c>
      <c r="J5799" s="12" t="str">
        <f>HYPERLINK("https://www.boe.es/gazeta/dias/1801/09/04/pdfs/GMD-1801-84.pdf#page=5","Abrir facsímil")</f>
        <v>Abrir facsímil</v>
      </c>
      <c r="K5799" s="15" t="s">
        <v>23</v>
      </c>
    </row>
    <row r="5800" spans="1:11" ht="42" customHeight="1">
      <c r="A5800" s="4" t="s">
        <v>12945</v>
      </c>
      <c r="B5800" s="5" t="s">
        <v>12945</v>
      </c>
      <c r="C5800" s="5" t="s">
        <v>38</v>
      </c>
      <c r="D5800" s="5" t="s">
        <v>39</v>
      </c>
      <c r="E5800" s="5" t="s">
        <v>453</v>
      </c>
      <c r="F5800" s="9">
        <v>100</v>
      </c>
      <c r="G5800" s="9">
        <v>1092</v>
      </c>
      <c r="H5800" s="5" t="s">
        <v>21</v>
      </c>
      <c r="I5800" s="5" t="s">
        <v>12946</v>
      </c>
      <c r="J5800" s="12" t="str">
        <f>HYPERLINK("https://www.boe.es/gazeta/dias/1801/10/23/pdfs/GMD-1801-100.pdf#page=1","Abrir facsímil")</f>
        <v>Abrir facsímil</v>
      </c>
      <c r="K5800" s="15" t="s">
        <v>23</v>
      </c>
    </row>
    <row r="5801" spans="1:11" ht="42" customHeight="1">
      <c r="A5801" s="4" t="s">
        <v>12947</v>
      </c>
      <c r="B5801" s="5" t="s">
        <v>12947</v>
      </c>
      <c r="C5801" s="5" t="s">
        <v>38</v>
      </c>
      <c r="D5801" s="5" t="s">
        <v>39</v>
      </c>
      <c r="E5801" s="5" t="s">
        <v>378</v>
      </c>
      <c r="F5801" s="9">
        <v>23</v>
      </c>
      <c r="G5801" s="9">
        <v>302</v>
      </c>
      <c r="H5801" s="5" t="s">
        <v>21</v>
      </c>
      <c r="I5801" s="5" t="s">
        <v>12948</v>
      </c>
      <c r="J5801" s="12" t="str">
        <f>HYPERLINK("https://www.boe.es/gazeta/dias/1801/03/20/pdfs/GMD-1801-23.pdf#page=5","Abrir facsímil")</f>
        <v>Abrir facsímil</v>
      </c>
      <c r="K5801" s="15" t="s">
        <v>23</v>
      </c>
    </row>
    <row r="5802" spans="1:11" ht="42" customHeight="1">
      <c r="A5802" s="4" t="s">
        <v>12949</v>
      </c>
      <c r="B5802" s="5" t="s">
        <v>12949</v>
      </c>
      <c r="C5802" s="5" t="s">
        <v>75</v>
      </c>
      <c r="D5802" s="5" t="s">
        <v>76</v>
      </c>
      <c r="E5802" s="5" t="s">
        <v>359</v>
      </c>
      <c r="F5802" s="9">
        <v>101</v>
      </c>
      <c r="G5802" s="9">
        <v>1111</v>
      </c>
      <c r="H5802" s="5" t="s">
        <v>21</v>
      </c>
      <c r="I5802" s="5" t="s">
        <v>12950</v>
      </c>
      <c r="J5802" s="12" t="str">
        <f>HYPERLINK("https://www.boe.es/gazeta/dias/1801/10/27/pdfs/GMD-1801-101.pdf#page=4","Abrir facsímil")</f>
        <v>Abrir facsímil</v>
      </c>
      <c r="K5802" s="15" t="s">
        <v>23</v>
      </c>
    </row>
    <row r="5803" spans="1:11" ht="42" customHeight="1">
      <c r="A5803" s="4" t="s">
        <v>12951</v>
      </c>
      <c r="B5803" s="5" t="s">
        <v>12951</v>
      </c>
      <c r="C5803" s="5" t="s">
        <v>38</v>
      </c>
      <c r="D5803" s="5" t="s">
        <v>39</v>
      </c>
      <c r="E5803" s="5" t="s">
        <v>143</v>
      </c>
      <c r="F5803" s="9">
        <v>34</v>
      </c>
      <c r="G5803" s="9">
        <v>434</v>
      </c>
      <c r="H5803" s="5" t="s">
        <v>21</v>
      </c>
      <c r="I5803" s="5" t="s">
        <v>12952</v>
      </c>
      <c r="J5803" s="12" t="str">
        <f>HYPERLINK("https://www.boe.es/gazeta/dias/1801/04/28/pdfs/GMD-1801-34.pdf#page=6","Abrir facsímil")</f>
        <v>Abrir facsímil</v>
      </c>
      <c r="K5803" s="15" t="s">
        <v>23</v>
      </c>
    </row>
    <row r="5804" spans="1:11" ht="42" customHeight="1">
      <c r="A5804" s="4" t="s">
        <v>12953</v>
      </c>
      <c r="B5804" s="5" t="s">
        <v>12953</v>
      </c>
      <c r="C5804" s="5" t="s">
        <v>75</v>
      </c>
      <c r="D5804" s="5" t="s">
        <v>76</v>
      </c>
      <c r="E5804" s="5" t="s">
        <v>313</v>
      </c>
      <c r="F5804" s="9">
        <v>39</v>
      </c>
      <c r="G5804" s="9">
        <v>502</v>
      </c>
      <c r="H5804" s="5" t="s">
        <v>21</v>
      </c>
      <c r="I5804" s="5" t="s">
        <v>12954</v>
      </c>
      <c r="J5804" s="12" t="str">
        <f>HYPERLINK("https://www.boe.es/gazeta/dias/1801/05/15/pdfs/GMD-1801-39.pdf#page=6","Abrir facsímil")</f>
        <v>Abrir facsímil</v>
      </c>
      <c r="K5804" s="15" t="s">
        <v>23</v>
      </c>
    </row>
    <row r="5805" spans="1:11" ht="42" customHeight="1">
      <c r="A5805" s="4" t="s">
        <v>12955</v>
      </c>
      <c r="B5805" s="5" t="s">
        <v>12955</v>
      </c>
      <c r="C5805" s="5" t="s">
        <v>38</v>
      </c>
      <c r="D5805" s="5" t="s">
        <v>39</v>
      </c>
      <c r="E5805" s="5" t="s">
        <v>112</v>
      </c>
      <c r="F5805" s="9">
        <v>114</v>
      </c>
      <c r="G5805" s="9">
        <v>1245</v>
      </c>
      <c r="H5805" s="5" t="s">
        <v>21</v>
      </c>
      <c r="I5805" s="5" t="s">
        <v>12956</v>
      </c>
      <c r="J5805" s="12" t="str">
        <f>HYPERLINK("https://www.boe.es/gazeta/dias/1801/12/11/pdfs/GMD-1801-114.pdf#page=7","Abrir facsímil")</f>
        <v>Abrir facsímil</v>
      </c>
      <c r="K5805" s="15" t="s">
        <v>23</v>
      </c>
    </row>
    <row r="5806" spans="1:11" ht="42" customHeight="1">
      <c r="A5806" s="4" t="s">
        <v>12957</v>
      </c>
      <c r="B5806" s="5" t="s">
        <v>12957</v>
      </c>
      <c r="C5806" s="5" t="s">
        <v>75</v>
      </c>
      <c r="D5806" s="5" t="s">
        <v>76</v>
      </c>
      <c r="E5806" s="5" t="s">
        <v>105</v>
      </c>
      <c r="F5806" s="9">
        <v>44</v>
      </c>
      <c r="G5806" s="9">
        <v>543</v>
      </c>
      <c r="H5806" s="5" t="s">
        <v>21</v>
      </c>
      <c r="I5806" s="5" t="s">
        <v>12958</v>
      </c>
      <c r="J5806" s="12" t="str">
        <f>HYPERLINK("https://www.boe.es/gazeta/dias/1801/05/29/pdfs/GMD-1801-44.pdf#page=3","Abrir facsímil")</f>
        <v>Abrir facsímil</v>
      </c>
      <c r="K5806" s="15" t="s">
        <v>23</v>
      </c>
    </row>
    <row r="5807" spans="1:11" ht="42" customHeight="1">
      <c r="A5807" s="4" t="s">
        <v>12959</v>
      </c>
      <c r="B5807" s="5" t="s">
        <v>12959</v>
      </c>
      <c r="C5807" s="5" t="s">
        <v>75</v>
      </c>
      <c r="D5807" s="5" t="s">
        <v>76</v>
      </c>
      <c r="E5807" s="5" t="s">
        <v>1939</v>
      </c>
      <c r="F5807" s="9">
        <v>107</v>
      </c>
      <c r="G5807" s="9">
        <v>1177</v>
      </c>
      <c r="H5807" s="5" t="s">
        <v>21</v>
      </c>
      <c r="I5807" s="5" t="s">
        <v>12960</v>
      </c>
      <c r="J5807" s="12" t="str">
        <f>HYPERLINK("https://www.boe.es/gazeta/dias/1801/11/17/pdfs/GMD-1801-107.pdf#page=6","Abrir facsímil")</f>
        <v>Abrir facsímil</v>
      </c>
      <c r="K5807" s="15" t="s">
        <v>23</v>
      </c>
    </row>
    <row r="5808" spans="1:11" ht="42" customHeight="1">
      <c r="A5808" s="4" t="s">
        <v>12961</v>
      </c>
      <c r="B5808" s="5" t="s">
        <v>12961</v>
      </c>
      <c r="C5808" s="5" t="s">
        <v>38</v>
      </c>
      <c r="D5808" s="5" t="s">
        <v>39</v>
      </c>
      <c r="E5808" s="5" t="s">
        <v>143</v>
      </c>
      <c r="F5808" s="9">
        <v>34</v>
      </c>
      <c r="G5808" s="9">
        <v>436</v>
      </c>
      <c r="H5808" s="5" t="s">
        <v>21</v>
      </c>
      <c r="I5808" s="5" t="s">
        <v>12962</v>
      </c>
      <c r="J5808" s="12" t="str">
        <f>HYPERLINK("https://www.boe.es/gazeta/dias/1801/04/28/pdfs/GMD-1801-34.pdf#page=8","Abrir facsímil")</f>
        <v>Abrir facsímil</v>
      </c>
      <c r="K5808" s="15" t="s">
        <v>23</v>
      </c>
    </row>
    <row r="5809" spans="1:11" ht="42" customHeight="1">
      <c r="A5809" s="4" t="s">
        <v>12963</v>
      </c>
      <c r="B5809" s="5" t="s">
        <v>12963</v>
      </c>
      <c r="C5809" s="5" t="s">
        <v>75</v>
      </c>
      <c r="D5809" s="5" t="s">
        <v>76</v>
      </c>
      <c r="E5809" s="5" t="s">
        <v>266</v>
      </c>
      <c r="F5809" s="9">
        <v>119</v>
      </c>
      <c r="G5809" s="9">
        <v>1298</v>
      </c>
      <c r="H5809" s="5" t="s">
        <v>21</v>
      </c>
      <c r="I5809" s="5" t="s">
        <v>12964</v>
      </c>
      <c r="J5809" s="12" t="str">
        <f>HYPERLINK("https://www.boe.es/gazeta/dias/1801/12/29/pdfs/GMD-1801-119.pdf#page=2","Abrir facsímil")</f>
        <v>Abrir facsímil</v>
      </c>
      <c r="K5809" s="15" t="s">
        <v>23</v>
      </c>
    </row>
    <row r="5810" spans="1:11" ht="42" customHeight="1">
      <c r="A5810" s="4" t="s">
        <v>12965</v>
      </c>
      <c r="B5810" s="5" t="s">
        <v>12965</v>
      </c>
      <c r="C5810" s="5" t="s">
        <v>75</v>
      </c>
      <c r="D5810" s="5" t="s">
        <v>76</v>
      </c>
      <c r="E5810" s="5" t="s">
        <v>2237</v>
      </c>
      <c r="F5810" s="9">
        <v>82</v>
      </c>
      <c r="G5810" s="9">
        <v>916</v>
      </c>
      <c r="H5810" s="5" t="s">
        <v>21</v>
      </c>
      <c r="I5810" s="5" t="s">
        <v>12966</v>
      </c>
      <c r="J5810" s="12" t="str">
        <f>HYPERLINK("https://www.boe.es/gazeta/dias/1801/08/28/pdfs/GMD-1801-82.pdf#page=5","Abrir facsímil")</f>
        <v>Abrir facsímil</v>
      </c>
      <c r="K5810" s="15" t="s">
        <v>23</v>
      </c>
    </row>
    <row r="5811" spans="1:11" ht="42" customHeight="1">
      <c r="A5811" s="4" t="s">
        <v>12965</v>
      </c>
      <c r="B5811" s="5" t="s">
        <v>12965</v>
      </c>
      <c r="C5811" s="5" t="s">
        <v>38</v>
      </c>
      <c r="D5811" s="5" t="s">
        <v>39</v>
      </c>
      <c r="E5811" s="5" t="s">
        <v>309</v>
      </c>
      <c r="F5811" s="9">
        <v>118</v>
      </c>
      <c r="G5811" s="9">
        <v>1289</v>
      </c>
      <c r="H5811" s="5" t="s">
        <v>21</v>
      </c>
      <c r="I5811" s="5" t="s">
        <v>12967</v>
      </c>
      <c r="J5811" s="12" t="str">
        <f>HYPERLINK("https://www.boe.es/gazeta/dias/1801/12/25/pdfs/GMD-1801-118.pdf#page=4","Abrir facsímil")</f>
        <v>Abrir facsímil</v>
      </c>
      <c r="K5811" s="15" t="s">
        <v>23</v>
      </c>
    </row>
    <row r="5812" spans="1:11" ht="42" customHeight="1">
      <c r="A5812" s="4" t="s">
        <v>12968</v>
      </c>
      <c r="B5812" s="5" t="s">
        <v>12968</v>
      </c>
      <c r="C5812" s="5" t="s">
        <v>32</v>
      </c>
      <c r="D5812" s="5" t="s">
        <v>33</v>
      </c>
      <c r="E5812" s="5" t="s">
        <v>501</v>
      </c>
      <c r="F5812" s="9">
        <v>115</v>
      </c>
      <c r="G5812" s="9">
        <v>1255</v>
      </c>
      <c r="H5812" s="5" t="s">
        <v>21</v>
      </c>
      <c r="I5812" s="5" t="s">
        <v>12969</v>
      </c>
      <c r="J5812" s="12" t="str">
        <f>HYPERLINK("https://www.boe.es/gazeta/dias/1801/12/15/pdfs/GMD-1801-115.pdf#page=5","Abrir facsímil")</f>
        <v>Abrir facsímil</v>
      </c>
      <c r="K5812" s="15" t="s">
        <v>23</v>
      </c>
    </row>
    <row r="5813" spans="1:11" ht="42" customHeight="1">
      <c r="A5813" s="4" t="s">
        <v>12970</v>
      </c>
      <c r="B5813" s="5" t="s">
        <v>12970</v>
      </c>
      <c r="C5813" s="5" t="s">
        <v>38</v>
      </c>
      <c r="D5813" s="5" t="s">
        <v>39</v>
      </c>
      <c r="E5813" s="5" t="s">
        <v>82</v>
      </c>
      <c r="F5813" s="9">
        <v>75</v>
      </c>
      <c r="G5813" s="9">
        <v>835</v>
      </c>
      <c r="H5813" s="5" t="s">
        <v>21</v>
      </c>
      <c r="I5813" s="5" t="s">
        <v>12971</v>
      </c>
      <c r="J5813" s="12" t="str">
        <f>HYPERLINK("https://www.boe.es/gazeta/dias/1801/08/04/pdfs/GMD-1801-75.pdf#page=4","Abrir facsímil")</f>
        <v>Abrir facsímil</v>
      </c>
      <c r="K5813" s="15" t="s">
        <v>23</v>
      </c>
    </row>
    <row r="5814" spans="1:11" ht="42" customHeight="1">
      <c r="A5814" s="4" t="s">
        <v>12972</v>
      </c>
      <c r="B5814" s="5" t="s">
        <v>12972</v>
      </c>
      <c r="C5814" s="5" t="s">
        <v>38</v>
      </c>
      <c r="D5814" s="5" t="s">
        <v>39</v>
      </c>
      <c r="E5814" s="5" t="s">
        <v>309</v>
      </c>
      <c r="F5814" s="9">
        <v>118</v>
      </c>
      <c r="G5814" s="9">
        <v>1287</v>
      </c>
      <c r="H5814" s="5" t="s">
        <v>21</v>
      </c>
      <c r="I5814" s="5" t="s">
        <v>12973</v>
      </c>
      <c r="J5814" s="12" t="str">
        <f>HYPERLINK("https://www.boe.es/gazeta/dias/1801/12/25/pdfs/GMD-1801-118.pdf#page=2","Abrir facsímil")</f>
        <v>Abrir facsímil</v>
      </c>
      <c r="K5814" s="15" t="s">
        <v>23</v>
      </c>
    </row>
    <row r="5815" spans="1:11" ht="42" customHeight="1">
      <c r="A5815" s="4" t="s">
        <v>12974</v>
      </c>
      <c r="B5815" s="5" t="s">
        <v>12974</v>
      </c>
      <c r="C5815" s="5" t="s">
        <v>75</v>
      </c>
      <c r="D5815" s="5" t="s">
        <v>76</v>
      </c>
      <c r="E5815" s="5" t="s">
        <v>124</v>
      </c>
      <c r="F5815" s="9">
        <v>12</v>
      </c>
      <c r="G5815" s="9">
        <v>144</v>
      </c>
      <c r="H5815" s="5" t="s">
        <v>21</v>
      </c>
      <c r="I5815" s="5" t="s">
        <v>12975</v>
      </c>
      <c r="J5815" s="12" t="str">
        <f>HYPERLINK("https://www.boe.es/gazeta/dias/1801/02/10/pdfs/GMD-1801-12.pdf#page=5","Abrir facsímil")</f>
        <v>Abrir facsímil</v>
      </c>
      <c r="K5815" s="15" t="s">
        <v>23</v>
      </c>
    </row>
    <row r="5816" spans="1:11" ht="42" customHeight="1">
      <c r="A5816" s="4" t="s">
        <v>12976</v>
      </c>
      <c r="B5816" s="5" t="s">
        <v>12976</v>
      </c>
      <c r="C5816" s="5" t="s">
        <v>18</v>
      </c>
      <c r="D5816" s="5" t="s">
        <v>19</v>
      </c>
      <c r="E5816" s="5" t="s">
        <v>254</v>
      </c>
      <c r="F5816" s="9">
        <v>73</v>
      </c>
      <c r="G5816" s="9">
        <v>810</v>
      </c>
      <c r="H5816" s="5" t="s">
        <v>21</v>
      </c>
      <c r="I5816" s="5" t="s">
        <v>12977</v>
      </c>
      <c r="J5816" s="12" t="str">
        <f>HYPERLINK("https://www.boe.es/gazeta/dias/1801/07/28/pdfs/GMD-1801-73.pdf#page=3","Abrir facsímil")</f>
        <v>Abrir facsímil</v>
      </c>
      <c r="K5816" s="15" t="s">
        <v>23</v>
      </c>
    </row>
    <row r="5817" spans="1:11" ht="42" customHeight="1">
      <c r="A5817" s="4" t="s">
        <v>12978</v>
      </c>
      <c r="B5817" s="5" t="s">
        <v>12978</v>
      </c>
      <c r="C5817" s="5" t="s">
        <v>38</v>
      </c>
      <c r="D5817" s="5" t="s">
        <v>39</v>
      </c>
      <c r="E5817" s="5" t="s">
        <v>1058</v>
      </c>
      <c r="F5817" s="9">
        <v>108</v>
      </c>
      <c r="G5817" s="9">
        <v>1187</v>
      </c>
      <c r="H5817" s="5" t="s">
        <v>21</v>
      </c>
      <c r="I5817" s="5" t="s">
        <v>12979</v>
      </c>
      <c r="J5817" s="12" t="str">
        <f>HYPERLINK("https://www.boe.es/gazeta/dias/1801/11/20/pdfs/GMD-1801-108.pdf#page=4","Abrir facsímil")</f>
        <v>Abrir facsímil</v>
      </c>
      <c r="K5817" s="15" t="s">
        <v>23</v>
      </c>
    </row>
    <row r="5818" spans="1:11" ht="42" customHeight="1">
      <c r="A5818" s="4" t="s">
        <v>12980</v>
      </c>
      <c r="B5818" s="5" t="s">
        <v>12980</v>
      </c>
      <c r="C5818" s="5" t="s">
        <v>38</v>
      </c>
      <c r="D5818" s="5" t="s">
        <v>39</v>
      </c>
      <c r="E5818" s="5" t="s">
        <v>417</v>
      </c>
      <c r="F5818" s="9">
        <v>64</v>
      </c>
      <c r="G5818" s="9">
        <v>723</v>
      </c>
      <c r="H5818" s="5" t="s">
        <v>21</v>
      </c>
      <c r="I5818" s="5" t="s">
        <v>12981</v>
      </c>
      <c r="J5818" s="12" t="str">
        <f>HYPERLINK("https://www.boe.es/gazeta/dias/1801/07/07/pdfs/GMD-1801-64.pdf#page=4","Abrir facsímil")</f>
        <v>Abrir facsímil</v>
      </c>
      <c r="K5818" s="15" t="s">
        <v>23</v>
      </c>
    </row>
    <row r="5819" spans="1:11" ht="42" customHeight="1">
      <c r="A5819" s="4" t="s">
        <v>12982</v>
      </c>
      <c r="B5819" s="5" t="s">
        <v>12982</v>
      </c>
      <c r="C5819" s="5" t="s">
        <v>32</v>
      </c>
      <c r="D5819" s="5" t="s">
        <v>33</v>
      </c>
      <c r="E5819" s="5" t="s">
        <v>221</v>
      </c>
      <c r="F5819" s="9">
        <v>28</v>
      </c>
      <c r="G5819" s="9">
        <v>369</v>
      </c>
      <c r="H5819" s="5" t="s">
        <v>21</v>
      </c>
      <c r="I5819" s="5" t="s">
        <v>12983</v>
      </c>
      <c r="J5819" s="12" t="str">
        <f>HYPERLINK("https://www.boe.es/gazeta/dias/1801/04/07/pdfs/GMD-1801-28.pdf#page=9","Abrir facsímil")</f>
        <v>Abrir facsímil</v>
      </c>
      <c r="K5819" s="15" t="s">
        <v>23</v>
      </c>
    </row>
    <row r="5820" spans="1:11" ht="42" customHeight="1">
      <c r="A5820" s="4" t="s">
        <v>12984</v>
      </c>
      <c r="B5820" s="5" t="s">
        <v>12984</v>
      </c>
      <c r="C5820" s="5" t="s">
        <v>75</v>
      </c>
      <c r="D5820" s="5" t="s">
        <v>76</v>
      </c>
      <c r="E5820" s="5" t="s">
        <v>173</v>
      </c>
      <c r="F5820" s="9">
        <v>98</v>
      </c>
      <c r="G5820" s="9">
        <v>1071</v>
      </c>
      <c r="H5820" s="5" t="s">
        <v>21</v>
      </c>
      <c r="I5820" s="5" t="s">
        <v>12985</v>
      </c>
      <c r="J5820" s="12" t="str">
        <f>HYPERLINK("https://www.boe.es/gazeta/dias/1801/10/16/pdfs/GMD-1801-98.pdf#page=3","Abrir facsímil")</f>
        <v>Abrir facsímil</v>
      </c>
      <c r="K5820" s="15" t="s">
        <v>23</v>
      </c>
    </row>
    <row r="5821" spans="1:11" ht="42" customHeight="1">
      <c r="A5821" s="4" t="s">
        <v>12986</v>
      </c>
      <c r="B5821" s="5" t="s">
        <v>12986</v>
      </c>
      <c r="C5821" s="5" t="s">
        <v>32</v>
      </c>
      <c r="D5821" s="5" t="s">
        <v>33</v>
      </c>
      <c r="E5821" s="5" t="s">
        <v>70</v>
      </c>
      <c r="F5821" s="9">
        <v>2</v>
      </c>
      <c r="G5821" s="9">
        <v>19</v>
      </c>
      <c r="H5821" s="5" t="s">
        <v>21</v>
      </c>
      <c r="I5821" s="5" t="s">
        <v>12987</v>
      </c>
      <c r="J5821" s="12" t="str">
        <f>HYPERLINK("https://www.boe.es/gazeta/dias/1801/01/06/pdfs/GMD-1801-2.pdf#page=7","Abrir facsímil")</f>
        <v>Abrir facsímil</v>
      </c>
      <c r="K5821" s="15" t="s">
        <v>23</v>
      </c>
    </row>
    <row r="5822" spans="1:11" ht="42" customHeight="1">
      <c r="A5822" s="4" t="s">
        <v>12988</v>
      </c>
      <c r="B5822" s="5" t="s">
        <v>12988</v>
      </c>
      <c r="C5822" s="5" t="s">
        <v>26</v>
      </c>
      <c r="D5822" s="5" t="s">
        <v>27</v>
      </c>
      <c r="E5822" s="5" t="s">
        <v>1015</v>
      </c>
      <c r="F5822" s="9">
        <v>15</v>
      </c>
      <c r="G5822" s="9">
        <v>189</v>
      </c>
      <c r="H5822" s="5" t="s">
        <v>21</v>
      </c>
      <c r="I5822" s="5" t="s">
        <v>12989</v>
      </c>
      <c r="J5822" s="12" t="str">
        <f>HYPERLINK("https://www.boe.es/gazeta/dias/1801/02/20/pdfs/GMD-1801-15.pdf#page=8","Abrir facsímil")</f>
        <v>Abrir facsímil</v>
      </c>
      <c r="K5822" s="15" t="s">
        <v>23</v>
      </c>
    </row>
    <row r="5823" spans="1:11" ht="42" customHeight="1">
      <c r="A5823" s="4" t="s">
        <v>12990</v>
      </c>
      <c r="B5823" s="5" t="s">
        <v>12990</v>
      </c>
      <c r="C5823" s="5" t="s">
        <v>32</v>
      </c>
      <c r="D5823" s="5" t="s">
        <v>33</v>
      </c>
      <c r="E5823" s="5" t="s">
        <v>1058</v>
      </c>
      <c r="F5823" s="9">
        <v>108</v>
      </c>
      <c r="G5823" s="9">
        <v>1186</v>
      </c>
      <c r="H5823" s="5" t="s">
        <v>21</v>
      </c>
      <c r="I5823" s="5" t="s">
        <v>12991</v>
      </c>
      <c r="J5823" s="12" t="str">
        <f>HYPERLINK("https://www.boe.es/gazeta/dias/1801/11/20/pdfs/GMD-1801-108.pdf#page=3","Abrir facsímil")</f>
        <v>Abrir facsímil</v>
      </c>
      <c r="K5823" s="15" t="s">
        <v>23</v>
      </c>
    </row>
    <row r="5824" spans="1:11" ht="42" customHeight="1">
      <c r="A5824" s="4" t="s">
        <v>12992</v>
      </c>
      <c r="B5824" s="5" t="s">
        <v>12992</v>
      </c>
      <c r="C5824" s="5" t="s">
        <v>75</v>
      </c>
      <c r="D5824" s="5" t="s">
        <v>76</v>
      </c>
      <c r="E5824" s="5" t="s">
        <v>186</v>
      </c>
      <c r="F5824" s="9">
        <v>21</v>
      </c>
      <c r="G5824" s="9">
        <v>277</v>
      </c>
      <c r="H5824" s="5" t="s">
        <v>21</v>
      </c>
      <c r="I5824" s="5" t="s">
        <v>12993</v>
      </c>
      <c r="J5824" s="12" t="str">
        <f>HYPERLINK("https://www.boe.es/gazeta/dias/1801/03/13/pdfs/GMD-1801-21.pdf#page=6","Abrir facsímil")</f>
        <v>Abrir facsímil</v>
      </c>
      <c r="K5824" s="15" t="s">
        <v>23</v>
      </c>
    </row>
    <row r="5825" spans="1:11" ht="42" customHeight="1">
      <c r="A5825" s="4" t="s">
        <v>12994</v>
      </c>
      <c r="B5825" s="5" t="s">
        <v>12994</v>
      </c>
      <c r="C5825" s="5" t="s">
        <v>32</v>
      </c>
      <c r="D5825" s="5" t="s">
        <v>33</v>
      </c>
      <c r="E5825" s="5" t="s">
        <v>126</v>
      </c>
      <c r="F5825" s="9">
        <v>13</v>
      </c>
      <c r="G5825" s="9">
        <v>154</v>
      </c>
      <c r="H5825" s="5" t="s">
        <v>21</v>
      </c>
      <c r="I5825" s="5" t="s">
        <v>12995</v>
      </c>
      <c r="J5825" s="12" t="str">
        <f>HYPERLINK("https://www.boe.es/gazeta/dias/1801/02/13/pdfs/GMD-1801-13.pdf#page=1","Abrir facsímil")</f>
        <v>Abrir facsímil</v>
      </c>
      <c r="K5825" s="15" t="s">
        <v>23</v>
      </c>
    </row>
    <row r="5826" spans="1:11" ht="42" customHeight="1">
      <c r="A5826" s="4" t="s">
        <v>12996</v>
      </c>
      <c r="B5826" s="5" t="s">
        <v>12996</v>
      </c>
      <c r="C5826" s="5" t="s">
        <v>75</v>
      </c>
      <c r="D5826" s="5" t="s">
        <v>76</v>
      </c>
      <c r="E5826" s="5" t="s">
        <v>712</v>
      </c>
      <c r="F5826" s="9">
        <v>105</v>
      </c>
      <c r="G5826" s="9">
        <v>1154</v>
      </c>
      <c r="H5826" s="5" t="s">
        <v>21</v>
      </c>
      <c r="I5826" s="5" t="s">
        <v>12997</v>
      </c>
      <c r="J5826" s="12" t="str">
        <f>HYPERLINK("https://www.boe.es/gazeta/dias/1801/11/10/pdfs/GMD-1801-105.pdf#page=7","Abrir facsímil")</f>
        <v>Abrir facsímil</v>
      </c>
      <c r="K5826" s="15" t="s">
        <v>23</v>
      </c>
    </row>
    <row r="5827" spans="1:11" ht="42" customHeight="1">
      <c r="A5827" s="4" t="s">
        <v>12998</v>
      </c>
      <c r="B5827" s="5" t="s">
        <v>12998</v>
      </c>
      <c r="C5827" s="5" t="s">
        <v>32</v>
      </c>
      <c r="D5827" s="5" t="s">
        <v>33</v>
      </c>
      <c r="E5827" s="5" t="s">
        <v>2185</v>
      </c>
      <c r="F5827" s="9">
        <v>84</v>
      </c>
      <c r="G5827" s="9">
        <v>942</v>
      </c>
      <c r="H5827" s="5" t="s">
        <v>21</v>
      </c>
      <c r="I5827" s="5" t="s">
        <v>12999</v>
      </c>
      <c r="J5827" s="12" t="str">
        <f>HYPERLINK("https://www.boe.es/gazeta/dias/1801/09/04/pdfs/GMD-1801-84.pdf#page=5","Abrir facsímil")</f>
        <v>Abrir facsímil</v>
      </c>
      <c r="K5827" s="15" t="s">
        <v>23</v>
      </c>
    </row>
    <row r="5828" spans="1:11" ht="42" customHeight="1">
      <c r="A5828" s="4" t="s">
        <v>13000</v>
      </c>
      <c r="B5828" s="5" t="s">
        <v>13000</v>
      </c>
      <c r="C5828" s="5" t="s">
        <v>75</v>
      </c>
      <c r="D5828" s="5" t="s">
        <v>76</v>
      </c>
      <c r="E5828" s="5" t="s">
        <v>90</v>
      </c>
      <c r="F5828" s="9">
        <v>1</v>
      </c>
      <c r="G5828" s="9">
        <v>4</v>
      </c>
      <c r="H5828" s="5" t="s">
        <v>21</v>
      </c>
      <c r="I5828" s="5" t="s">
        <v>13001</v>
      </c>
      <c r="J5828" s="12" t="str">
        <f>HYPERLINK("https://www.boe.es/gazeta/dias/1801/01/02/pdfs/GMD-1801-1.pdf#page=4","Abrir facsímil")</f>
        <v>Abrir facsímil</v>
      </c>
      <c r="K5828" s="15" t="s">
        <v>23</v>
      </c>
    </row>
    <row r="5829" spans="1:11" ht="42" customHeight="1">
      <c r="A5829" s="4" t="s">
        <v>13002</v>
      </c>
      <c r="B5829" s="5" t="s">
        <v>13002</v>
      </c>
      <c r="C5829" s="5" t="s">
        <v>75</v>
      </c>
      <c r="D5829" s="5" t="s">
        <v>76</v>
      </c>
      <c r="E5829" s="5" t="s">
        <v>292</v>
      </c>
      <c r="F5829" s="9">
        <v>25</v>
      </c>
      <c r="G5829" s="9">
        <v>326</v>
      </c>
      <c r="H5829" s="5" t="s">
        <v>21</v>
      </c>
      <c r="I5829" s="5" t="s">
        <v>13003</v>
      </c>
      <c r="J5829" s="12" t="str">
        <f>HYPERLINK("https://www.boe.es/gazeta/dias/1801/03/27/pdfs/GMD-1801-25.pdf#page=5","Abrir facsímil")</f>
        <v>Abrir facsímil</v>
      </c>
      <c r="K5829" s="15" t="s">
        <v>23</v>
      </c>
    </row>
    <row r="5830" spans="1:11" ht="42" customHeight="1">
      <c r="A5830" s="4" t="s">
        <v>13004</v>
      </c>
      <c r="B5830" s="5" t="s">
        <v>13004</v>
      </c>
      <c r="C5830" s="5" t="s">
        <v>75</v>
      </c>
      <c r="D5830" s="5" t="s">
        <v>76</v>
      </c>
      <c r="E5830" s="5" t="s">
        <v>292</v>
      </c>
      <c r="F5830" s="9">
        <v>25</v>
      </c>
      <c r="G5830" s="9">
        <v>326</v>
      </c>
      <c r="H5830" s="5" t="s">
        <v>21</v>
      </c>
      <c r="I5830" s="5" t="s">
        <v>13005</v>
      </c>
      <c r="J5830" s="12" t="str">
        <f>HYPERLINK("https://www.boe.es/gazeta/dias/1801/03/27/pdfs/GMD-1801-25.pdf#page=5","Abrir facsímil")</f>
        <v>Abrir facsímil</v>
      </c>
      <c r="K5830" s="15" t="s">
        <v>23</v>
      </c>
    </row>
    <row r="5831" spans="1:11" ht="42" customHeight="1">
      <c r="A5831" s="4" t="s">
        <v>13006</v>
      </c>
      <c r="B5831" s="5" t="s">
        <v>13006</v>
      </c>
      <c r="C5831" s="5" t="s">
        <v>75</v>
      </c>
      <c r="D5831" s="5" t="s">
        <v>76</v>
      </c>
      <c r="E5831" s="5" t="s">
        <v>349</v>
      </c>
      <c r="F5831" s="9">
        <v>112</v>
      </c>
      <c r="G5831" s="9">
        <v>1222</v>
      </c>
      <c r="H5831" s="5" t="s">
        <v>21</v>
      </c>
      <c r="I5831" s="5" t="s">
        <v>13007</v>
      </c>
      <c r="J5831" s="12" t="str">
        <f>HYPERLINK("https://www.boe.es/gazeta/dias/1801/12/04/pdfs/GMD-1801-112.pdf#page=3","Abrir facsímil")</f>
        <v>Abrir facsímil</v>
      </c>
      <c r="K5831" s="15" t="s">
        <v>23</v>
      </c>
    </row>
    <row r="5832" spans="1:11" ht="42" customHeight="1">
      <c r="A5832" s="4" t="s">
        <v>13008</v>
      </c>
      <c r="B5832" s="5" t="s">
        <v>13008</v>
      </c>
      <c r="C5832" s="5" t="s">
        <v>38</v>
      </c>
      <c r="D5832" s="5" t="s">
        <v>39</v>
      </c>
      <c r="E5832" s="5" t="s">
        <v>735</v>
      </c>
      <c r="F5832" s="9">
        <v>97</v>
      </c>
      <c r="G5832" s="9">
        <v>1062</v>
      </c>
      <c r="H5832" s="5" t="s">
        <v>21</v>
      </c>
      <c r="I5832" s="5" t="s">
        <v>13009</v>
      </c>
      <c r="J5832" s="12" t="str">
        <f>HYPERLINK("https://www.boe.es/gazeta/dias/1801/10/13/pdfs/GMD-1801-97.pdf#page=6","Abrir facsímil")</f>
        <v>Abrir facsímil</v>
      </c>
      <c r="K5832" s="15" t="s">
        <v>23</v>
      </c>
    </row>
    <row r="5833" spans="1:11" ht="42" customHeight="1">
      <c r="A5833" s="4" t="s">
        <v>13010</v>
      </c>
      <c r="B5833" s="5" t="s">
        <v>13010</v>
      </c>
      <c r="C5833" s="5" t="s">
        <v>32</v>
      </c>
      <c r="D5833" s="5" t="s">
        <v>33</v>
      </c>
      <c r="E5833" s="5" t="s">
        <v>313</v>
      </c>
      <c r="F5833" s="9">
        <v>39</v>
      </c>
      <c r="G5833" s="9">
        <v>506</v>
      </c>
      <c r="H5833" s="5" t="s">
        <v>21</v>
      </c>
      <c r="I5833" s="5" t="s">
        <v>13011</v>
      </c>
      <c r="J5833" s="12" t="str">
        <f>HYPERLINK("https://www.boe.es/gazeta/dias/1801/05/15/pdfs/GMD-1801-39.pdf#page=10","Abrir facsímil")</f>
        <v>Abrir facsímil</v>
      </c>
      <c r="K5833" s="15" t="s">
        <v>23</v>
      </c>
    </row>
    <row r="5834" spans="1:11" ht="42" customHeight="1">
      <c r="A5834" s="4" t="s">
        <v>13012</v>
      </c>
      <c r="B5834" s="5" t="s">
        <v>13012</v>
      </c>
      <c r="C5834" s="5" t="s">
        <v>69</v>
      </c>
      <c r="D5834" s="5" t="s">
        <v>19</v>
      </c>
      <c r="E5834" s="5" t="s">
        <v>131</v>
      </c>
      <c r="F5834" s="9">
        <v>22</v>
      </c>
      <c r="G5834" s="9">
        <v>291</v>
      </c>
      <c r="H5834" s="5" t="s">
        <v>21</v>
      </c>
      <c r="I5834" s="5" t="s">
        <v>13013</v>
      </c>
      <c r="J5834" s="12" t="str">
        <f>HYPERLINK("https://www.boe.es/gazeta/dias/1801/03/17/pdfs/GMD-1801-22.pdf#page=8","Abrir facsímil")</f>
        <v>Abrir facsímil</v>
      </c>
      <c r="K5834" s="15" t="s">
        <v>23</v>
      </c>
    </row>
    <row r="5835" spans="1:11" ht="42" customHeight="1">
      <c r="A5835" s="4" t="s">
        <v>13014</v>
      </c>
      <c r="B5835" s="5" t="s">
        <v>13014</v>
      </c>
      <c r="C5835" s="5" t="s">
        <v>32</v>
      </c>
      <c r="D5835" s="5" t="s">
        <v>33</v>
      </c>
      <c r="E5835" s="5" t="s">
        <v>186</v>
      </c>
      <c r="F5835" s="9">
        <v>21</v>
      </c>
      <c r="G5835" s="9">
        <v>274</v>
      </c>
      <c r="H5835" s="5" t="s">
        <v>21</v>
      </c>
      <c r="I5835" s="5" t="s">
        <v>13015</v>
      </c>
      <c r="J5835" s="12" t="str">
        <f>HYPERLINK("https://www.boe.es/gazeta/dias/1801/03/13/pdfs/GMD-1801-21.pdf#page=3","Abrir facsímil")</f>
        <v>Abrir facsímil</v>
      </c>
      <c r="K5835" s="15" t="s">
        <v>23</v>
      </c>
    </row>
    <row r="5836" spans="1:11" ht="42" customHeight="1">
      <c r="A5836" s="4" t="s">
        <v>13016</v>
      </c>
      <c r="B5836" s="5" t="s">
        <v>13016</v>
      </c>
      <c r="C5836" s="5" t="s">
        <v>75</v>
      </c>
      <c r="D5836" s="5" t="s">
        <v>76</v>
      </c>
      <c r="E5836" s="5" t="s">
        <v>165</v>
      </c>
      <c r="F5836" s="9">
        <v>59</v>
      </c>
      <c r="G5836" s="9">
        <v>671</v>
      </c>
      <c r="H5836" s="5" t="s">
        <v>21</v>
      </c>
      <c r="I5836" s="5" t="s">
        <v>13017</v>
      </c>
      <c r="J5836" s="12" t="str">
        <f>HYPERLINK("https://www.boe.es/gazeta/dias/1801/06/23/pdfs/GMD-1801-59.pdf#page=4","Abrir facsímil")</f>
        <v>Abrir facsímil</v>
      </c>
      <c r="K5836" s="15" t="s">
        <v>23</v>
      </c>
    </row>
    <row r="5837" spans="1:11" ht="42" customHeight="1">
      <c r="A5837" s="4" t="s">
        <v>13018</v>
      </c>
      <c r="B5837" s="5" t="s">
        <v>13018</v>
      </c>
      <c r="C5837" s="5" t="s">
        <v>26</v>
      </c>
      <c r="D5837" s="5" t="s">
        <v>27</v>
      </c>
      <c r="E5837" s="5" t="s">
        <v>126</v>
      </c>
      <c r="F5837" s="9">
        <v>13</v>
      </c>
      <c r="G5837" s="9">
        <v>165</v>
      </c>
      <c r="H5837" s="5" t="s">
        <v>21</v>
      </c>
      <c r="I5837" s="5" t="s">
        <v>13019</v>
      </c>
      <c r="J5837" s="12" t="str">
        <f>HYPERLINK("https://www.boe.es/gazeta/dias/1801/02/13/pdfs/GMD-1801-13.pdf#page=12","Abrir facsímil")</f>
        <v>Abrir facsímil</v>
      </c>
      <c r="K5837" s="15" t="s">
        <v>23</v>
      </c>
    </row>
    <row r="5838" spans="1:11" ht="42" customHeight="1">
      <c r="A5838" s="4" t="s">
        <v>13020</v>
      </c>
      <c r="B5838" s="5" t="s">
        <v>13020</v>
      </c>
      <c r="C5838" s="5" t="s">
        <v>38</v>
      </c>
      <c r="D5838" s="5" t="s">
        <v>39</v>
      </c>
      <c r="E5838" s="5" t="s">
        <v>72</v>
      </c>
      <c r="F5838" s="9">
        <v>60</v>
      </c>
      <c r="G5838" s="9">
        <v>683</v>
      </c>
      <c r="H5838" s="5" t="s">
        <v>21</v>
      </c>
      <c r="I5838" s="5" t="s">
        <v>13021</v>
      </c>
      <c r="J5838" s="12" t="str">
        <f>HYPERLINK("https://www.boe.es/gazeta/dias/1801/06/26/pdfs/GMD-1801-60.pdf#page=4","Abrir facsímil")</f>
        <v>Abrir facsímil</v>
      </c>
      <c r="K5838" s="15" t="s">
        <v>23</v>
      </c>
    </row>
    <row r="5839" spans="1:11" ht="42" customHeight="1">
      <c r="A5839" s="4" t="s">
        <v>13020</v>
      </c>
      <c r="B5839" s="5" t="s">
        <v>13020</v>
      </c>
      <c r="C5839" s="5" t="s">
        <v>38</v>
      </c>
      <c r="D5839" s="5" t="s">
        <v>39</v>
      </c>
      <c r="E5839" s="5" t="s">
        <v>171</v>
      </c>
      <c r="F5839" s="9">
        <v>76</v>
      </c>
      <c r="G5839" s="9">
        <v>846</v>
      </c>
      <c r="H5839" s="5" t="s">
        <v>21</v>
      </c>
      <c r="I5839" s="5" t="s">
        <v>13022</v>
      </c>
      <c r="J5839" s="12" t="str">
        <f>HYPERLINK("https://www.boe.es/gazeta/dias/1801/08/07/pdfs/GMD-1801-76.pdf#page=3","Abrir facsímil")</f>
        <v>Abrir facsímil</v>
      </c>
      <c r="K5839" s="15" t="s">
        <v>23</v>
      </c>
    </row>
    <row r="5840" spans="1:11" ht="42" customHeight="1">
      <c r="A5840" s="4" t="s">
        <v>13020</v>
      </c>
      <c r="B5840" s="5" t="s">
        <v>13020</v>
      </c>
      <c r="C5840" s="5" t="s">
        <v>38</v>
      </c>
      <c r="D5840" s="5" t="s">
        <v>39</v>
      </c>
      <c r="E5840" s="5" t="s">
        <v>505</v>
      </c>
      <c r="F5840" s="9">
        <v>94</v>
      </c>
      <c r="G5840" s="9">
        <v>1028</v>
      </c>
      <c r="H5840" s="5" t="s">
        <v>21</v>
      </c>
      <c r="I5840" s="5" t="s">
        <v>13023</v>
      </c>
      <c r="J5840" s="12" t="str">
        <f>HYPERLINK("https://www.boe.es/gazeta/dias/1801/10/02/pdfs/GMD-1801-94.pdf#page=4","Abrir facsímil")</f>
        <v>Abrir facsímil</v>
      </c>
      <c r="K5840" s="15" t="s">
        <v>23</v>
      </c>
    </row>
    <row r="5841" spans="1:11" ht="42" customHeight="1">
      <c r="A5841" s="4" t="s">
        <v>13020</v>
      </c>
      <c r="B5841" s="5" t="s">
        <v>13020</v>
      </c>
      <c r="C5841" s="5" t="s">
        <v>32</v>
      </c>
      <c r="D5841" s="5" t="s">
        <v>33</v>
      </c>
      <c r="E5841" s="5" t="s">
        <v>317</v>
      </c>
      <c r="F5841" s="9">
        <v>102</v>
      </c>
      <c r="G5841" s="9">
        <v>1117</v>
      </c>
      <c r="H5841" s="5" t="s">
        <v>21</v>
      </c>
      <c r="I5841" s="5" t="s">
        <v>13024</v>
      </c>
      <c r="J5841" s="12" t="str">
        <f>HYPERLINK("https://www.boe.es/gazeta/dias/1801/10/30/pdfs/GMD-1801-102.pdf#page=2","Abrir facsímil")</f>
        <v>Abrir facsímil</v>
      </c>
      <c r="K5841" s="15" t="s">
        <v>23</v>
      </c>
    </row>
    <row r="5842" spans="1:11" ht="42" customHeight="1">
      <c r="A5842" s="4" t="s">
        <v>13020</v>
      </c>
      <c r="B5842" s="5" t="s">
        <v>13020</v>
      </c>
      <c r="C5842" s="5" t="s">
        <v>75</v>
      </c>
      <c r="D5842" s="5" t="s">
        <v>76</v>
      </c>
      <c r="E5842" s="5" t="s">
        <v>264</v>
      </c>
      <c r="F5842" s="9">
        <v>111</v>
      </c>
      <c r="G5842" s="9">
        <v>1213</v>
      </c>
      <c r="H5842" s="5" t="s">
        <v>21</v>
      </c>
      <c r="I5842" s="5" t="s">
        <v>13025</v>
      </c>
      <c r="J5842" s="12" t="str">
        <f>HYPERLINK("https://www.boe.es/gazeta/dias/1801/12/01/pdfs/GMD-1801-111.pdf#page=2","Abrir facsímil")</f>
        <v>Abrir facsímil</v>
      </c>
      <c r="K5842" s="15" t="s">
        <v>23</v>
      </c>
    </row>
    <row r="5843" spans="1:11" ht="42" customHeight="1">
      <c r="A5843" s="4" t="s">
        <v>13026</v>
      </c>
      <c r="B5843" s="5" t="s">
        <v>13026</v>
      </c>
      <c r="C5843" s="5" t="s">
        <v>75</v>
      </c>
      <c r="D5843" s="5" t="s">
        <v>76</v>
      </c>
      <c r="E5843" s="5" t="s">
        <v>153</v>
      </c>
      <c r="F5843" s="9">
        <v>48</v>
      </c>
      <c r="G5843" s="9">
        <v>580</v>
      </c>
      <c r="H5843" s="5" t="s">
        <v>21</v>
      </c>
      <c r="I5843" s="5" t="s">
        <v>13027</v>
      </c>
      <c r="J5843" s="12" t="str">
        <f>HYPERLINK("https://www.boe.es/gazeta/dias/1801/06/05/pdfs/GMD-1801-48.pdf#page=2","Abrir facsímil")</f>
        <v>Abrir facsímil</v>
      </c>
      <c r="K5843" s="15" t="s">
        <v>23</v>
      </c>
    </row>
    <row r="5844" spans="1:11" ht="42" customHeight="1">
      <c r="A5844" s="4" t="s">
        <v>13028</v>
      </c>
      <c r="B5844" s="5" t="s">
        <v>13028</v>
      </c>
      <c r="C5844" s="5" t="s">
        <v>75</v>
      </c>
      <c r="D5844" s="5" t="s">
        <v>76</v>
      </c>
      <c r="E5844" s="5" t="s">
        <v>40</v>
      </c>
      <c r="F5844" s="9">
        <v>63</v>
      </c>
      <c r="G5844" s="9">
        <v>707</v>
      </c>
      <c r="H5844" s="5" t="s">
        <v>21</v>
      </c>
      <c r="I5844" s="5" t="s">
        <v>13029</v>
      </c>
      <c r="J5844" s="12" t="str">
        <f>HYPERLINK("https://www.boe.es/gazeta/dias/1801/07/03/pdfs/GMD-1801-63.pdf#page=4","Abrir facsímil")</f>
        <v>Abrir facsímil</v>
      </c>
      <c r="K5844" s="15" t="s">
        <v>23</v>
      </c>
    </row>
    <row r="5845" spans="1:11" ht="42" customHeight="1">
      <c r="A5845" s="4" t="s">
        <v>13030</v>
      </c>
      <c r="B5845" s="5" t="s">
        <v>13030</v>
      </c>
      <c r="C5845" s="5" t="s">
        <v>75</v>
      </c>
      <c r="D5845" s="5" t="s">
        <v>76</v>
      </c>
      <c r="E5845" s="5" t="s">
        <v>349</v>
      </c>
      <c r="F5845" s="9">
        <v>112</v>
      </c>
      <c r="G5845" s="9">
        <v>1222</v>
      </c>
      <c r="H5845" s="5" t="s">
        <v>21</v>
      </c>
      <c r="I5845" s="5" t="s">
        <v>13031</v>
      </c>
      <c r="J5845" s="12" t="str">
        <f>HYPERLINK("https://www.boe.es/gazeta/dias/1801/12/04/pdfs/GMD-1801-112.pdf#page=3","Abrir facsímil")</f>
        <v>Abrir facsímil</v>
      </c>
      <c r="K5845" s="15" t="s">
        <v>23</v>
      </c>
    </row>
    <row r="5846" spans="1:11" ht="42" customHeight="1">
      <c r="A5846" s="4" t="s">
        <v>13032</v>
      </c>
      <c r="B5846" s="5" t="s">
        <v>13032</v>
      </c>
      <c r="C5846" s="5" t="s">
        <v>75</v>
      </c>
      <c r="D5846" s="5" t="s">
        <v>76</v>
      </c>
      <c r="E5846" s="5" t="s">
        <v>165</v>
      </c>
      <c r="F5846" s="9">
        <v>59</v>
      </c>
      <c r="G5846" s="9">
        <v>670</v>
      </c>
      <c r="H5846" s="5" t="s">
        <v>21</v>
      </c>
      <c r="I5846" s="5" t="s">
        <v>13033</v>
      </c>
      <c r="J5846" s="12" t="str">
        <f>HYPERLINK("https://www.boe.es/gazeta/dias/1801/06/23/pdfs/GMD-1801-59.pdf#page=3","Abrir facsímil")</f>
        <v>Abrir facsímil</v>
      </c>
      <c r="K5846" s="15" t="s">
        <v>23</v>
      </c>
    </row>
    <row r="5847" spans="1:11" ht="42" customHeight="1">
      <c r="A5847" s="4" t="s">
        <v>13034</v>
      </c>
      <c r="B5847" s="5" t="s">
        <v>13034</v>
      </c>
      <c r="C5847" s="5" t="s">
        <v>32</v>
      </c>
      <c r="D5847" s="5" t="s">
        <v>33</v>
      </c>
      <c r="E5847" s="5" t="s">
        <v>90</v>
      </c>
      <c r="F5847" s="9">
        <v>1</v>
      </c>
      <c r="G5847" s="9">
        <v>3</v>
      </c>
      <c r="H5847" s="5" t="s">
        <v>21</v>
      </c>
      <c r="I5847" s="5" t="s">
        <v>13035</v>
      </c>
      <c r="J5847" s="12" t="str">
        <f>HYPERLINK("https://www.boe.es/gazeta/dias/1801/01/02/pdfs/GMD-1801-1.pdf#page=3","Abrir facsímil")</f>
        <v>Abrir facsímil</v>
      </c>
      <c r="K5847" s="15" t="s">
        <v>23</v>
      </c>
    </row>
    <row r="5848" spans="1:11" ht="42" customHeight="1">
      <c r="A5848" s="4" t="s">
        <v>13036</v>
      </c>
      <c r="B5848" s="5" t="s">
        <v>13036</v>
      </c>
      <c r="C5848" s="5" t="s">
        <v>69</v>
      </c>
      <c r="D5848" s="5" t="s">
        <v>19</v>
      </c>
      <c r="E5848" s="5" t="s">
        <v>349</v>
      </c>
      <c r="F5848" s="9">
        <v>112</v>
      </c>
      <c r="G5848" s="9">
        <v>1222</v>
      </c>
      <c r="H5848" s="5" t="s">
        <v>21</v>
      </c>
      <c r="I5848" s="5" t="s">
        <v>12841</v>
      </c>
      <c r="J5848" s="12" t="str">
        <f>HYPERLINK("https://www.boe.es/gazeta/dias/1801/12/04/pdfs/GMD-1801-112.pdf#page=3","Abrir facsímil")</f>
        <v>Abrir facsímil</v>
      </c>
      <c r="K5848" s="15" t="s">
        <v>23</v>
      </c>
    </row>
    <row r="5849" spans="1:11" ht="42" customHeight="1">
      <c r="A5849" s="4" t="s">
        <v>13037</v>
      </c>
      <c r="B5849" s="5" t="s">
        <v>13037</v>
      </c>
      <c r="C5849" s="5" t="s">
        <v>38</v>
      </c>
      <c r="D5849" s="5" t="s">
        <v>39</v>
      </c>
      <c r="E5849" s="5" t="s">
        <v>505</v>
      </c>
      <c r="F5849" s="9">
        <v>94</v>
      </c>
      <c r="G5849" s="9">
        <v>1029</v>
      </c>
      <c r="H5849" s="5" t="s">
        <v>21</v>
      </c>
      <c r="I5849" s="5" t="s">
        <v>13038</v>
      </c>
      <c r="J5849" s="12" t="str">
        <f>HYPERLINK("https://www.boe.es/gazeta/dias/1801/10/02/pdfs/GMD-1801-94.pdf#page=5","Abrir facsímil")</f>
        <v>Abrir facsímil</v>
      </c>
      <c r="K5849" s="15" t="s">
        <v>23</v>
      </c>
    </row>
    <row r="5850" spans="1:11" ht="42" customHeight="1">
      <c r="A5850" s="4" t="s">
        <v>13039</v>
      </c>
      <c r="B5850" s="5" t="s">
        <v>13039</v>
      </c>
      <c r="C5850" s="5" t="s">
        <v>75</v>
      </c>
      <c r="D5850" s="5" t="s">
        <v>76</v>
      </c>
      <c r="E5850" s="5" t="s">
        <v>105</v>
      </c>
      <c r="F5850" s="9">
        <v>44</v>
      </c>
      <c r="G5850" s="9">
        <v>542</v>
      </c>
      <c r="H5850" s="5" t="s">
        <v>21</v>
      </c>
      <c r="I5850" s="5" t="s">
        <v>13040</v>
      </c>
      <c r="J5850" s="12" t="str">
        <f>HYPERLINK("https://www.boe.es/gazeta/dias/1801/05/29/pdfs/GMD-1801-44.pdf#page=2","Abrir facsímil")</f>
        <v>Abrir facsímil</v>
      </c>
      <c r="K5850" s="15" t="s">
        <v>23</v>
      </c>
    </row>
    <row r="5851" spans="1:11" ht="42" customHeight="1">
      <c r="A5851" s="4" t="s">
        <v>13041</v>
      </c>
      <c r="B5851" s="5" t="s">
        <v>13041</v>
      </c>
      <c r="C5851" s="5" t="s">
        <v>18</v>
      </c>
      <c r="D5851" s="5" t="s">
        <v>19</v>
      </c>
      <c r="E5851" s="5" t="s">
        <v>77</v>
      </c>
      <c r="F5851" s="9">
        <v>93</v>
      </c>
      <c r="G5851" s="9">
        <v>1016</v>
      </c>
      <c r="H5851" s="5" t="s">
        <v>21</v>
      </c>
      <c r="I5851" s="5" t="s">
        <v>12766</v>
      </c>
      <c r="J5851" s="12" t="str">
        <f>HYPERLINK("https://www.boe.es/gazeta/dias/1801/09/29/pdfs/GMD-1801-93.pdf#page=3","Abrir facsímil")</f>
        <v>Abrir facsímil</v>
      </c>
      <c r="K5851" s="15" t="s">
        <v>23</v>
      </c>
    </row>
    <row r="5852" spans="1:11" ht="42" customHeight="1">
      <c r="A5852" s="4" t="s">
        <v>13042</v>
      </c>
      <c r="B5852" s="5" t="s">
        <v>13042</v>
      </c>
      <c r="C5852" s="5" t="s">
        <v>32</v>
      </c>
      <c r="D5852" s="5" t="s">
        <v>33</v>
      </c>
      <c r="E5852" s="5" t="s">
        <v>702</v>
      </c>
      <c r="F5852" s="9">
        <v>69</v>
      </c>
      <c r="G5852" s="9">
        <v>759</v>
      </c>
      <c r="H5852" s="5" t="s">
        <v>21</v>
      </c>
      <c r="I5852" s="5" t="s">
        <v>13043</v>
      </c>
      <c r="J5852" s="12" t="str">
        <f>HYPERLINK("https://www.boe.es/gazeta/dias/1801/07/14/pdfs/GMD-1801-69.pdf#page=4","Abrir facsímil")</f>
        <v>Abrir facsímil</v>
      </c>
      <c r="K5852" s="15" t="s">
        <v>23</v>
      </c>
    </row>
    <row r="5853" spans="1:11" ht="42" customHeight="1">
      <c r="A5853" s="4" t="s">
        <v>13044</v>
      </c>
      <c r="B5853" s="5" t="s">
        <v>13044</v>
      </c>
      <c r="C5853" s="5" t="s">
        <v>75</v>
      </c>
      <c r="D5853" s="5" t="s">
        <v>76</v>
      </c>
      <c r="E5853" s="5" t="s">
        <v>292</v>
      </c>
      <c r="F5853" s="9">
        <v>25</v>
      </c>
      <c r="G5853" s="9">
        <v>326</v>
      </c>
      <c r="H5853" s="5" t="s">
        <v>21</v>
      </c>
      <c r="I5853" s="5" t="s">
        <v>13045</v>
      </c>
      <c r="J5853" s="12" t="str">
        <f>HYPERLINK("https://www.boe.es/gazeta/dias/1801/03/27/pdfs/GMD-1801-25.pdf#page=5","Abrir facsímil")</f>
        <v>Abrir facsímil</v>
      </c>
      <c r="K5853" s="15" t="s">
        <v>23</v>
      </c>
    </row>
    <row r="5854" spans="1:11" ht="42" customHeight="1">
      <c r="A5854" s="4" t="s">
        <v>13046</v>
      </c>
      <c r="B5854" s="5" t="s">
        <v>13046</v>
      </c>
      <c r="C5854" s="5" t="s">
        <v>32</v>
      </c>
      <c r="D5854" s="5" t="s">
        <v>33</v>
      </c>
      <c r="E5854" s="5" t="s">
        <v>2185</v>
      </c>
      <c r="F5854" s="9">
        <v>84</v>
      </c>
      <c r="G5854" s="9">
        <v>942</v>
      </c>
      <c r="H5854" s="5" t="s">
        <v>21</v>
      </c>
      <c r="I5854" s="5" t="s">
        <v>13047</v>
      </c>
      <c r="J5854" s="12" t="str">
        <f>HYPERLINK("https://www.boe.es/gazeta/dias/1801/09/04/pdfs/GMD-1801-84.pdf#page=5","Abrir facsímil")</f>
        <v>Abrir facsímil</v>
      </c>
      <c r="K5854" s="15" t="s">
        <v>23</v>
      </c>
    </row>
    <row r="5855" spans="1:11" ht="42" customHeight="1">
      <c r="A5855" s="4" t="s">
        <v>13048</v>
      </c>
      <c r="B5855" s="5" t="s">
        <v>13048</v>
      </c>
      <c r="C5855" s="5" t="s">
        <v>38</v>
      </c>
      <c r="D5855" s="5" t="s">
        <v>39</v>
      </c>
      <c r="E5855" s="5" t="s">
        <v>266</v>
      </c>
      <c r="F5855" s="9">
        <v>119</v>
      </c>
      <c r="G5855" s="9">
        <v>1299</v>
      </c>
      <c r="H5855" s="5" t="s">
        <v>21</v>
      </c>
      <c r="I5855" s="5" t="s">
        <v>13049</v>
      </c>
      <c r="J5855" s="12" t="str">
        <f>HYPERLINK("https://www.boe.es/gazeta/dias/1801/12/29/pdfs/GMD-1801-119.pdf#page=3","Abrir facsímil")</f>
        <v>Abrir facsímil</v>
      </c>
      <c r="K5855" s="15" t="s">
        <v>23</v>
      </c>
    </row>
    <row r="5856" spans="1:11" ht="42" customHeight="1">
      <c r="A5856" s="4" t="s">
        <v>13050</v>
      </c>
      <c r="B5856" s="5" t="s">
        <v>13050</v>
      </c>
      <c r="C5856" s="5" t="s">
        <v>38</v>
      </c>
      <c r="D5856" s="5" t="s">
        <v>39</v>
      </c>
      <c r="E5856" s="5" t="s">
        <v>453</v>
      </c>
      <c r="F5856" s="9">
        <v>100</v>
      </c>
      <c r="G5856" s="9">
        <v>1092</v>
      </c>
      <c r="H5856" s="5" t="s">
        <v>21</v>
      </c>
      <c r="I5856" s="5" t="s">
        <v>13051</v>
      </c>
      <c r="J5856" s="12" t="str">
        <f>HYPERLINK("https://www.boe.es/gazeta/dias/1801/10/23/pdfs/GMD-1801-100.pdf#page=1","Abrir facsímil")</f>
        <v>Abrir facsímil</v>
      </c>
      <c r="K5856" s="15" t="s">
        <v>23</v>
      </c>
    </row>
    <row r="5857" spans="1:11" ht="42" customHeight="1">
      <c r="A5857" s="4" t="s">
        <v>13052</v>
      </c>
      <c r="B5857" s="5" t="s">
        <v>13052</v>
      </c>
      <c r="C5857" s="5" t="s">
        <v>38</v>
      </c>
      <c r="D5857" s="5" t="s">
        <v>39</v>
      </c>
      <c r="E5857" s="5" t="s">
        <v>317</v>
      </c>
      <c r="F5857" s="9">
        <v>102</v>
      </c>
      <c r="G5857" s="9">
        <v>1120</v>
      </c>
      <c r="H5857" s="5" t="s">
        <v>21</v>
      </c>
      <c r="I5857" s="5" t="s">
        <v>13053</v>
      </c>
      <c r="J5857" s="12" t="str">
        <f>HYPERLINK("https://www.boe.es/gazeta/dias/1801/10/30/pdfs/GMD-1801-102.pdf#page=5","Abrir facsímil")</f>
        <v>Abrir facsímil</v>
      </c>
      <c r="K5857" s="15" t="s">
        <v>23</v>
      </c>
    </row>
    <row r="5858" spans="1:11" ht="42" customHeight="1">
      <c r="A5858" s="4" t="s">
        <v>13054</v>
      </c>
      <c r="B5858" s="5" t="s">
        <v>13054</v>
      </c>
      <c r="C5858" s="5" t="s">
        <v>38</v>
      </c>
      <c r="D5858" s="5" t="s">
        <v>39</v>
      </c>
      <c r="E5858" s="5" t="s">
        <v>735</v>
      </c>
      <c r="F5858" s="9">
        <v>97</v>
      </c>
      <c r="G5858" s="9">
        <v>1061</v>
      </c>
      <c r="H5858" s="5" t="s">
        <v>21</v>
      </c>
      <c r="I5858" s="5" t="s">
        <v>13055</v>
      </c>
      <c r="J5858" s="12" t="str">
        <f>HYPERLINK("https://www.boe.es/gazeta/dias/1801/10/13/pdfs/GMD-1801-97.pdf#page=5","Abrir facsímil")</f>
        <v>Abrir facsímil</v>
      </c>
      <c r="K5858" s="15" t="s">
        <v>23</v>
      </c>
    </row>
    <row r="5859" spans="1:11" ht="42" customHeight="1">
      <c r="A5859" s="4" t="s">
        <v>13056</v>
      </c>
      <c r="B5859" s="5" t="s">
        <v>13056</v>
      </c>
      <c r="C5859" s="5" t="s">
        <v>32</v>
      </c>
      <c r="D5859" s="5" t="s">
        <v>33</v>
      </c>
      <c r="E5859" s="5" t="s">
        <v>44</v>
      </c>
      <c r="F5859" s="9">
        <v>117</v>
      </c>
      <c r="G5859" s="9">
        <v>1276</v>
      </c>
      <c r="H5859" s="5" t="s">
        <v>21</v>
      </c>
      <c r="I5859" s="5" t="s">
        <v>13057</v>
      </c>
      <c r="J5859" s="12" t="str">
        <f>HYPERLINK("https://www.boe.es/gazeta/dias/1801/12/22/pdfs/GMD-1801-117.pdf#page=3","Abrir facsímil")</f>
        <v>Abrir facsímil</v>
      </c>
      <c r="K5859" s="15" t="s">
        <v>23</v>
      </c>
    </row>
    <row r="5860" spans="1:11" ht="42" customHeight="1">
      <c r="A5860" s="4" t="s">
        <v>13058</v>
      </c>
      <c r="B5860" s="5" t="s">
        <v>13058</v>
      </c>
      <c r="C5860" s="5" t="s">
        <v>75</v>
      </c>
      <c r="D5860" s="5" t="s">
        <v>76</v>
      </c>
      <c r="E5860" s="5" t="s">
        <v>124</v>
      </c>
      <c r="F5860" s="9">
        <v>12</v>
      </c>
      <c r="G5860" s="9">
        <v>144</v>
      </c>
      <c r="H5860" s="5" t="s">
        <v>21</v>
      </c>
      <c r="I5860" s="5" t="s">
        <v>13059</v>
      </c>
      <c r="J5860" s="12" t="str">
        <f>HYPERLINK("https://www.boe.es/gazeta/dias/1801/02/10/pdfs/GMD-1801-12.pdf#page=5","Abrir facsímil")</f>
        <v>Abrir facsímil</v>
      </c>
      <c r="K5860" s="15" t="s">
        <v>23</v>
      </c>
    </row>
    <row r="5861" spans="1:11" ht="42" customHeight="1">
      <c r="A5861" s="4" t="s">
        <v>13060</v>
      </c>
      <c r="B5861" s="5" t="s">
        <v>13060</v>
      </c>
      <c r="C5861" s="5" t="s">
        <v>32</v>
      </c>
      <c r="D5861" s="5" t="s">
        <v>33</v>
      </c>
      <c r="E5861" s="5" t="s">
        <v>48</v>
      </c>
      <c r="F5861" s="9">
        <v>20</v>
      </c>
      <c r="G5861" s="9">
        <v>271</v>
      </c>
      <c r="H5861" s="5" t="s">
        <v>21</v>
      </c>
      <c r="I5861" s="5" t="s">
        <v>13061</v>
      </c>
      <c r="J5861" s="12" t="str">
        <f>HYPERLINK("https://www.boe.es/gazeta/dias/1801/03/10/pdfs/GMD-1801-20.pdf#page=16","Abrir facsímil")</f>
        <v>Abrir facsímil</v>
      </c>
      <c r="K5861" s="15" t="s">
        <v>23</v>
      </c>
    </row>
    <row r="5862" spans="1:11" ht="42" customHeight="1">
      <c r="A5862" s="4" t="s">
        <v>13062</v>
      </c>
      <c r="B5862" s="5" t="s">
        <v>13062</v>
      </c>
      <c r="C5862" s="5" t="s">
        <v>32</v>
      </c>
      <c r="D5862" s="5" t="s">
        <v>33</v>
      </c>
      <c r="E5862" s="5" t="s">
        <v>124</v>
      </c>
      <c r="F5862" s="9">
        <v>12</v>
      </c>
      <c r="G5862" s="9">
        <v>145</v>
      </c>
      <c r="H5862" s="5" t="s">
        <v>21</v>
      </c>
      <c r="I5862" s="5" t="s">
        <v>13063</v>
      </c>
      <c r="J5862" s="12" t="str">
        <f>HYPERLINK("https://www.boe.es/gazeta/dias/1801/02/10/pdfs/GMD-1801-12.pdf#page=6","Abrir facsímil")</f>
        <v>Abrir facsímil</v>
      </c>
      <c r="K5862" s="15" t="s">
        <v>23</v>
      </c>
    </row>
    <row r="5863" spans="1:11" ht="42" customHeight="1">
      <c r="A5863" s="4" t="s">
        <v>13064</v>
      </c>
      <c r="B5863" s="5" t="s">
        <v>13064</v>
      </c>
      <c r="C5863" s="5" t="s">
        <v>75</v>
      </c>
      <c r="D5863" s="5" t="s">
        <v>76</v>
      </c>
      <c r="E5863" s="5" t="s">
        <v>137</v>
      </c>
      <c r="F5863" s="9">
        <v>30</v>
      </c>
      <c r="G5863" s="9">
        <v>390</v>
      </c>
      <c r="H5863" s="5" t="s">
        <v>21</v>
      </c>
      <c r="I5863" s="5" t="s">
        <v>13065</v>
      </c>
      <c r="J5863" s="12" t="str">
        <f>HYPERLINK("https://www.boe.es/gazeta/dias/1801/04/14/pdfs/GMD-1801-30.pdf#page=6","Abrir facsímil")</f>
        <v>Abrir facsímil</v>
      </c>
      <c r="K5863" s="15" t="s">
        <v>23</v>
      </c>
    </row>
    <row r="5864" spans="1:11" ht="42" customHeight="1">
      <c r="A5864" s="4" t="s">
        <v>13066</v>
      </c>
      <c r="B5864" s="5" t="s">
        <v>13066</v>
      </c>
      <c r="C5864" s="5" t="s">
        <v>75</v>
      </c>
      <c r="D5864" s="5" t="s">
        <v>76</v>
      </c>
      <c r="E5864" s="5" t="s">
        <v>501</v>
      </c>
      <c r="F5864" s="9">
        <v>115</v>
      </c>
      <c r="G5864" s="9">
        <v>1252</v>
      </c>
      <c r="H5864" s="5" t="s">
        <v>21</v>
      </c>
      <c r="I5864" s="5" t="s">
        <v>13067</v>
      </c>
      <c r="J5864" s="12" t="str">
        <f>HYPERLINK("https://www.boe.es/gazeta/dias/1801/12/15/pdfs/GMD-1801-115.pdf#page=2","Abrir facsímil")</f>
        <v>Abrir facsímil</v>
      </c>
      <c r="K5864" s="15" t="s">
        <v>23</v>
      </c>
    </row>
    <row r="5865" spans="1:11" ht="42" customHeight="1">
      <c r="A5865" s="4" t="s">
        <v>13068</v>
      </c>
      <c r="B5865" s="5" t="s">
        <v>13068</v>
      </c>
      <c r="C5865" s="5" t="s">
        <v>38</v>
      </c>
      <c r="D5865" s="5" t="s">
        <v>39</v>
      </c>
      <c r="E5865" s="5" t="s">
        <v>417</v>
      </c>
      <c r="F5865" s="9">
        <v>64</v>
      </c>
      <c r="G5865" s="9">
        <v>722</v>
      </c>
      <c r="H5865" s="5" t="s">
        <v>21</v>
      </c>
      <c r="I5865" s="5" t="s">
        <v>13069</v>
      </c>
      <c r="J5865" s="12" t="str">
        <f>HYPERLINK("https://www.boe.es/gazeta/dias/1801/07/07/pdfs/GMD-1801-64.pdf#page=3","Abrir facsímil")</f>
        <v>Abrir facsímil</v>
      </c>
      <c r="K5865" s="15" t="s">
        <v>23</v>
      </c>
    </row>
    <row r="5866" spans="1:11" ht="42" customHeight="1">
      <c r="A5866" s="4" t="s">
        <v>13070</v>
      </c>
      <c r="B5866" s="5" t="s">
        <v>13070</v>
      </c>
      <c r="C5866" s="5" t="s">
        <v>38</v>
      </c>
      <c r="D5866" s="5" t="s">
        <v>39</v>
      </c>
      <c r="E5866" s="5" t="s">
        <v>723</v>
      </c>
      <c r="F5866" s="9">
        <v>113</v>
      </c>
      <c r="G5866" s="9">
        <v>1229</v>
      </c>
      <c r="H5866" s="5" t="s">
        <v>21</v>
      </c>
      <c r="I5866" s="5" t="s">
        <v>13071</v>
      </c>
      <c r="J5866" s="12" t="str">
        <f>HYPERLINK("https://www.boe.es/gazeta/dias/1801/12/08/pdfs/GMD-1801-113.pdf#page=2","Abrir facsímil")</f>
        <v>Abrir facsímil</v>
      </c>
      <c r="K5866" s="15" t="s">
        <v>23</v>
      </c>
    </row>
    <row r="5867" spans="1:11" ht="42" customHeight="1">
      <c r="A5867" s="4" t="s">
        <v>13072</v>
      </c>
      <c r="B5867" s="5" t="s">
        <v>13072</v>
      </c>
      <c r="C5867" s="5" t="s">
        <v>75</v>
      </c>
      <c r="D5867" s="5" t="s">
        <v>76</v>
      </c>
      <c r="E5867" s="5" t="s">
        <v>70</v>
      </c>
      <c r="F5867" s="9">
        <v>2</v>
      </c>
      <c r="G5867" s="9">
        <v>15</v>
      </c>
      <c r="H5867" s="5" t="s">
        <v>21</v>
      </c>
      <c r="I5867" s="5" t="s">
        <v>13073</v>
      </c>
      <c r="J5867" s="12" t="str">
        <f>HYPERLINK("https://www.boe.es/gazeta/dias/1801/01/06/pdfs/GMD-1801-2.pdf#page=3","Abrir facsímil")</f>
        <v>Abrir facsímil</v>
      </c>
      <c r="K5867" s="15" t="s">
        <v>23</v>
      </c>
    </row>
    <row r="5868" spans="1:11" ht="42" customHeight="1">
      <c r="A5868" s="4" t="s">
        <v>13074</v>
      </c>
      <c r="B5868" s="5" t="s">
        <v>13074</v>
      </c>
      <c r="C5868" s="5" t="s">
        <v>75</v>
      </c>
      <c r="D5868" s="5" t="s">
        <v>76</v>
      </c>
      <c r="E5868" s="5" t="s">
        <v>465</v>
      </c>
      <c r="F5868" s="9">
        <v>4</v>
      </c>
      <c r="G5868" s="9">
        <v>41</v>
      </c>
      <c r="H5868" s="5" t="s">
        <v>21</v>
      </c>
      <c r="I5868" s="5" t="s">
        <v>12938</v>
      </c>
      <c r="J5868" s="12" t="str">
        <f>HYPERLINK("https://www.boe.es/gazeta/dias/1801/01/13/pdfs/GMD-1801-4.pdf#page=5","Abrir facsímil")</f>
        <v>Abrir facsímil</v>
      </c>
      <c r="K5868" s="15" t="s">
        <v>23</v>
      </c>
    </row>
    <row r="5869" spans="1:11" ht="42" customHeight="1">
      <c r="A5869" s="4" t="s">
        <v>13075</v>
      </c>
      <c r="B5869" s="5" t="s">
        <v>13075</v>
      </c>
      <c r="C5869" s="5" t="s">
        <v>32</v>
      </c>
      <c r="D5869" s="5" t="s">
        <v>33</v>
      </c>
      <c r="E5869" s="5" t="s">
        <v>258</v>
      </c>
      <c r="F5869" s="9">
        <v>96</v>
      </c>
      <c r="G5869" s="9">
        <v>1048</v>
      </c>
      <c r="H5869" s="5" t="s">
        <v>21</v>
      </c>
      <c r="I5869" s="5" t="s">
        <v>13076</v>
      </c>
      <c r="J5869" s="12" t="str">
        <f>HYPERLINK("https://www.boe.es/gazeta/dias/1801/10/09/pdfs/GMD-1801-96.pdf#page=4","Abrir facsímil")</f>
        <v>Abrir facsímil</v>
      </c>
      <c r="K5869" s="15" t="s">
        <v>23</v>
      </c>
    </row>
    <row r="5870" spans="1:11" ht="42" customHeight="1">
      <c r="A5870" s="4" t="s">
        <v>13077</v>
      </c>
      <c r="B5870" s="5" t="s">
        <v>13077</v>
      </c>
      <c r="C5870" s="5" t="s">
        <v>75</v>
      </c>
      <c r="D5870" s="5" t="s">
        <v>76</v>
      </c>
      <c r="E5870" s="5" t="s">
        <v>62</v>
      </c>
      <c r="F5870" s="9">
        <v>6</v>
      </c>
      <c r="G5870" s="9">
        <v>65</v>
      </c>
      <c r="H5870" s="5" t="s">
        <v>21</v>
      </c>
      <c r="I5870" s="5" t="s">
        <v>13078</v>
      </c>
      <c r="J5870" s="12" t="str">
        <f>HYPERLINK("https://www.boe.es/gazeta/dias/1801/01/20/pdfs/GMD-1801-6.pdf#page=1","Abrir facsímil")</f>
        <v>Abrir facsímil</v>
      </c>
      <c r="K5870" s="15" t="s">
        <v>23</v>
      </c>
    </row>
    <row r="5871" spans="1:11" ht="42" customHeight="1">
      <c r="A5871" s="4" t="s">
        <v>13077</v>
      </c>
      <c r="B5871" s="5" t="s">
        <v>13077</v>
      </c>
      <c r="C5871" s="5" t="s">
        <v>75</v>
      </c>
      <c r="D5871" s="5" t="s">
        <v>76</v>
      </c>
      <c r="E5871" s="5" t="s">
        <v>48</v>
      </c>
      <c r="F5871" s="9">
        <v>20</v>
      </c>
      <c r="G5871" s="9">
        <v>260</v>
      </c>
      <c r="H5871" s="5" t="s">
        <v>21</v>
      </c>
      <c r="I5871" s="5" t="s">
        <v>13079</v>
      </c>
      <c r="J5871" s="12" t="str">
        <f>HYPERLINK("https://www.boe.es/gazeta/dias/1801/03/10/pdfs/GMD-1801-20.pdf#page=5","Abrir facsímil")</f>
        <v>Abrir facsímil</v>
      </c>
      <c r="K5871" s="15" t="s">
        <v>23</v>
      </c>
    </row>
    <row r="5872" spans="1:11" ht="42" customHeight="1">
      <c r="A5872" s="4" t="s">
        <v>13077</v>
      </c>
      <c r="B5872" s="5" t="s">
        <v>13077</v>
      </c>
      <c r="C5872" s="5" t="s">
        <v>75</v>
      </c>
      <c r="D5872" s="5" t="s">
        <v>76</v>
      </c>
      <c r="E5872" s="5" t="s">
        <v>131</v>
      </c>
      <c r="F5872" s="9">
        <v>22</v>
      </c>
      <c r="G5872" s="9">
        <v>284</v>
      </c>
      <c r="H5872" s="5" t="s">
        <v>21</v>
      </c>
      <c r="I5872" s="5" t="s">
        <v>13080</v>
      </c>
      <c r="J5872" s="12" t="str">
        <f>HYPERLINK("https://www.boe.es/gazeta/dias/1801/03/17/pdfs/GMD-1801-22.pdf#page=1","Abrir facsímil")</f>
        <v>Abrir facsímil</v>
      </c>
      <c r="K5872" s="15" t="s">
        <v>23</v>
      </c>
    </row>
    <row r="5873" spans="1:11" ht="42" customHeight="1">
      <c r="A5873" s="4" t="s">
        <v>13077</v>
      </c>
      <c r="B5873" s="5" t="s">
        <v>13077</v>
      </c>
      <c r="C5873" s="5" t="s">
        <v>18</v>
      </c>
      <c r="D5873" s="5" t="s">
        <v>19</v>
      </c>
      <c r="E5873" s="5" t="s">
        <v>141</v>
      </c>
      <c r="F5873" s="9">
        <v>33</v>
      </c>
      <c r="G5873" s="9">
        <v>419</v>
      </c>
      <c r="H5873" s="5" t="s">
        <v>21</v>
      </c>
      <c r="I5873" s="5" t="s">
        <v>13081</v>
      </c>
      <c r="J5873" s="12" t="str">
        <f>HYPERLINK("https://www.boe.es/gazeta/dias/1801/04/24/pdfs/GMD-1801-33.pdf#page=3","Abrir facsímil")</f>
        <v>Abrir facsímil</v>
      </c>
      <c r="K5873" s="15" t="s">
        <v>23</v>
      </c>
    </row>
    <row r="5874" spans="1:11" ht="42" customHeight="1">
      <c r="A5874" s="4" t="s">
        <v>13077</v>
      </c>
      <c r="B5874" s="5" t="s">
        <v>13077</v>
      </c>
      <c r="C5874" s="5" t="s">
        <v>75</v>
      </c>
      <c r="D5874" s="5" t="s">
        <v>76</v>
      </c>
      <c r="E5874" s="5" t="s">
        <v>20</v>
      </c>
      <c r="F5874" s="9">
        <v>37</v>
      </c>
      <c r="G5874" s="9">
        <v>473</v>
      </c>
      <c r="H5874" s="5" t="s">
        <v>21</v>
      </c>
      <c r="I5874" s="5" t="s">
        <v>13082</v>
      </c>
      <c r="J5874" s="12" t="str">
        <f>HYPERLINK("https://www.boe.es/gazeta/dias/1801/05/08/pdfs/GMD-1801-37.pdf#page=1","Abrir facsímil")</f>
        <v>Abrir facsímil</v>
      </c>
      <c r="K5874" s="15" t="s">
        <v>23</v>
      </c>
    </row>
    <row r="5875" spans="1:11" ht="42" customHeight="1">
      <c r="A5875" s="4" t="s">
        <v>13077</v>
      </c>
      <c r="B5875" s="5" t="s">
        <v>13077</v>
      </c>
      <c r="C5875" s="5" t="s">
        <v>75</v>
      </c>
      <c r="D5875" s="5" t="s">
        <v>76</v>
      </c>
      <c r="E5875" s="5" t="s">
        <v>20</v>
      </c>
      <c r="F5875" s="9">
        <v>37</v>
      </c>
      <c r="G5875" s="9">
        <v>480</v>
      </c>
      <c r="H5875" s="5" t="s">
        <v>21</v>
      </c>
      <c r="I5875" s="5" t="s">
        <v>13083</v>
      </c>
      <c r="J5875" s="12" t="str">
        <f>HYPERLINK("https://www.boe.es/gazeta/dias/1801/05/08/pdfs/GMD-1801-37.pdf#page=8","Abrir facsímil")</f>
        <v>Abrir facsímil</v>
      </c>
      <c r="K5875" s="15" t="s">
        <v>23</v>
      </c>
    </row>
    <row r="5876" spans="1:11" ht="42" customHeight="1">
      <c r="A5876" s="4" t="s">
        <v>13077</v>
      </c>
      <c r="B5876" s="5" t="s">
        <v>13077</v>
      </c>
      <c r="C5876" s="5" t="s">
        <v>75</v>
      </c>
      <c r="D5876" s="5" t="s">
        <v>76</v>
      </c>
      <c r="E5876" s="5" t="s">
        <v>153</v>
      </c>
      <c r="F5876" s="9">
        <v>48</v>
      </c>
      <c r="G5876" s="9">
        <v>579</v>
      </c>
      <c r="H5876" s="5" t="s">
        <v>21</v>
      </c>
      <c r="I5876" s="5" t="s">
        <v>13084</v>
      </c>
      <c r="J5876" s="12" t="str">
        <f>HYPERLINK("https://www.boe.es/gazeta/dias/1801/06/05/pdfs/GMD-1801-48.pdf#page=1","Abrir facsímil")</f>
        <v>Abrir facsímil</v>
      </c>
      <c r="K5876" s="15" t="s">
        <v>23</v>
      </c>
    </row>
    <row r="5877" spans="1:11" ht="42" customHeight="1">
      <c r="A5877" s="4" t="s">
        <v>13077</v>
      </c>
      <c r="B5877" s="5" t="s">
        <v>13077</v>
      </c>
      <c r="C5877" s="5" t="s">
        <v>75</v>
      </c>
      <c r="D5877" s="5" t="s">
        <v>76</v>
      </c>
      <c r="E5877" s="5" t="s">
        <v>161</v>
      </c>
      <c r="F5877" s="9">
        <v>58</v>
      </c>
      <c r="G5877" s="9">
        <v>657</v>
      </c>
      <c r="H5877" s="5" t="s">
        <v>21</v>
      </c>
      <c r="I5877" s="5" t="s">
        <v>13085</v>
      </c>
      <c r="J5877" s="12" t="str">
        <f>HYPERLINK("https://www.boe.es/gazeta/dias/1801/06/19/pdfs/GMD-1801-58.pdf#page=2","Abrir facsímil")</f>
        <v>Abrir facsímil</v>
      </c>
      <c r="K5877" s="15" t="s">
        <v>23</v>
      </c>
    </row>
    <row r="5878" spans="1:11" ht="42" customHeight="1">
      <c r="A5878" s="4" t="s">
        <v>13077</v>
      </c>
      <c r="B5878" s="5" t="s">
        <v>13077</v>
      </c>
      <c r="C5878" s="5" t="s">
        <v>75</v>
      </c>
      <c r="D5878" s="5" t="s">
        <v>76</v>
      </c>
      <c r="E5878" s="5" t="s">
        <v>2237</v>
      </c>
      <c r="F5878" s="9">
        <v>82</v>
      </c>
      <c r="G5878" s="9">
        <v>912</v>
      </c>
      <c r="H5878" s="5" t="s">
        <v>21</v>
      </c>
      <c r="I5878" s="5" t="s">
        <v>13086</v>
      </c>
      <c r="J5878" s="12" t="str">
        <f>HYPERLINK("https://www.boe.es/gazeta/dias/1801/08/28/pdfs/GMD-1801-82.pdf#page=1","Abrir facsímil")</f>
        <v>Abrir facsímil</v>
      </c>
      <c r="K5878" s="15" t="s">
        <v>23</v>
      </c>
    </row>
    <row r="5879" spans="1:11" ht="42" customHeight="1">
      <c r="A5879" s="4" t="s">
        <v>13087</v>
      </c>
      <c r="B5879" s="5" t="s">
        <v>13087</v>
      </c>
      <c r="C5879" s="5" t="s">
        <v>75</v>
      </c>
      <c r="D5879" s="5" t="s">
        <v>76</v>
      </c>
      <c r="E5879" s="5" t="s">
        <v>94</v>
      </c>
      <c r="F5879" s="9">
        <v>19</v>
      </c>
      <c r="G5879" s="9">
        <v>237</v>
      </c>
      <c r="H5879" s="5" t="s">
        <v>21</v>
      </c>
      <c r="I5879" s="5" t="s">
        <v>13088</v>
      </c>
      <c r="J5879" s="12" t="str">
        <f>HYPERLINK("https://www.boe.es/gazeta/dias/1801/03/06/pdfs/GMD-1801-19.pdf#page=2","Abrir facsímil")</f>
        <v>Abrir facsímil</v>
      </c>
      <c r="K5879" s="15" t="s">
        <v>23</v>
      </c>
    </row>
    <row r="5880" spans="1:11" ht="42" customHeight="1">
      <c r="A5880" s="4" t="s">
        <v>13087</v>
      </c>
      <c r="B5880" s="5" t="s">
        <v>13087</v>
      </c>
      <c r="C5880" s="5" t="s">
        <v>75</v>
      </c>
      <c r="D5880" s="5" t="s">
        <v>76</v>
      </c>
      <c r="E5880" s="5" t="s">
        <v>161</v>
      </c>
      <c r="F5880" s="9">
        <v>58</v>
      </c>
      <c r="G5880" s="9">
        <v>657</v>
      </c>
      <c r="H5880" s="5" t="s">
        <v>21</v>
      </c>
      <c r="I5880" s="5" t="s">
        <v>13089</v>
      </c>
      <c r="J5880" s="12" t="str">
        <f>HYPERLINK("https://www.boe.es/gazeta/dias/1801/06/19/pdfs/GMD-1801-58.pdf#page=2","Abrir facsímil")</f>
        <v>Abrir facsímil</v>
      </c>
      <c r="K5880" s="15" t="s">
        <v>23</v>
      </c>
    </row>
    <row r="5881" spans="1:11" ht="42" customHeight="1">
      <c r="A5881" s="4" t="s">
        <v>13090</v>
      </c>
      <c r="B5881" s="5" t="s">
        <v>13090</v>
      </c>
      <c r="C5881" s="5" t="s">
        <v>75</v>
      </c>
      <c r="D5881" s="5" t="s">
        <v>76</v>
      </c>
      <c r="E5881" s="5" t="s">
        <v>99</v>
      </c>
      <c r="F5881" s="9">
        <v>32</v>
      </c>
      <c r="G5881" s="9">
        <v>409</v>
      </c>
      <c r="H5881" s="5" t="s">
        <v>21</v>
      </c>
      <c r="I5881" s="5" t="s">
        <v>13091</v>
      </c>
      <c r="J5881" s="12" t="str">
        <f>HYPERLINK("https://www.boe.es/gazeta/dias/1801/04/21/pdfs/GMD-1801-32.pdf#page=5","Abrir facsímil")</f>
        <v>Abrir facsímil</v>
      </c>
      <c r="K5881" s="15" t="s">
        <v>23</v>
      </c>
    </row>
    <row r="5882" spans="1:11" ht="42" customHeight="1">
      <c r="A5882" s="4" t="s">
        <v>13092</v>
      </c>
      <c r="B5882" s="5" t="s">
        <v>13092</v>
      </c>
      <c r="C5882" s="5" t="s">
        <v>75</v>
      </c>
      <c r="D5882" s="5" t="s">
        <v>76</v>
      </c>
      <c r="E5882" s="5" t="s">
        <v>186</v>
      </c>
      <c r="F5882" s="9">
        <v>21</v>
      </c>
      <c r="G5882" s="9">
        <v>272</v>
      </c>
      <c r="H5882" s="5" t="s">
        <v>21</v>
      </c>
      <c r="I5882" s="5" t="s">
        <v>13093</v>
      </c>
      <c r="J5882" s="12" t="str">
        <f>HYPERLINK("https://www.boe.es/gazeta/dias/1801/03/13/pdfs/GMD-1801-21.pdf#page=1","Abrir facsímil")</f>
        <v>Abrir facsímil</v>
      </c>
      <c r="K5882" s="15" t="s">
        <v>23</v>
      </c>
    </row>
    <row r="5883" spans="1:11" ht="42" customHeight="1">
      <c r="A5883" s="4" t="s">
        <v>13094</v>
      </c>
      <c r="B5883" s="5" t="s">
        <v>13094</v>
      </c>
      <c r="C5883" s="5" t="s">
        <v>75</v>
      </c>
      <c r="D5883" s="5" t="s">
        <v>76</v>
      </c>
      <c r="E5883" s="5" t="s">
        <v>50</v>
      </c>
      <c r="F5883" s="9">
        <v>29</v>
      </c>
      <c r="G5883" s="9">
        <v>375</v>
      </c>
      <c r="H5883" s="5" t="s">
        <v>21</v>
      </c>
      <c r="I5883" s="5" t="s">
        <v>13095</v>
      </c>
      <c r="J5883" s="12" t="str">
        <f>HYPERLINK("https://www.boe.es/gazeta/dias/1801/04/10/pdfs/GMD-1801-29.pdf#page=3","Abrir facsímil")</f>
        <v>Abrir facsímil</v>
      </c>
      <c r="K5883" s="15" t="s">
        <v>23</v>
      </c>
    </row>
    <row r="5884" spans="1:11" ht="42" customHeight="1">
      <c r="A5884" s="4" t="s">
        <v>13096</v>
      </c>
      <c r="B5884" s="5" t="s">
        <v>13096</v>
      </c>
      <c r="C5884" s="5" t="s">
        <v>38</v>
      </c>
      <c r="D5884" s="5" t="s">
        <v>39</v>
      </c>
      <c r="E5884" s="5" t="s">
        <v>143</v>
      </c>
      <c r="F5884" s="9">
        <v>34</v>
      </c>
      <c r="G5884" s="9">
        <v>431</v>
      </c>
      <c r="H5884" s="5" t="s">
        <v>21</v>
      </c>
      <c r="I5884" s="5" t="s">
        <v>13097</v>
      </c>
      <c r="J5884" s="12" t="str">
        <f>HYPERLINK("https://www.boe.es/gazeta/dias/1801/04/28/pdfs/GMD-1801-34.pdf#page=3","Abrir facsímil")</f>
        <v>Abrir facsímil</v>
      </c>
      <c r="K5884" s="15" t="s">
        <v>23</v>
      </c>
    </row>
    <row r="5885" spans="1:11" ht="42" customHeight="1">
      <c r="A5885" s="4" t="s">
        <v>13098</v>
      </c>
      <c r="B5885" s="5" t="s">
        <v>13098</v>
      </c>
      <c r="C5885" s="5" t="s">
        <v>32</v>
      </c>
      <c r="D5885" s="5" t="s">
        <v>33</v>
      </c>
      <c r="E5885" s="5" t="s">
        <v>215</v>
      </c>
      <c r="F5885" s="9">
        <v>71</v>
      </c>
      <c r="G5885" s="9">
        <v>781</v>
      </c>
      <c r="H5885" s="5" t="s">
        <v>21</v>
      </c>
      <c r="I5885" s="5" t="s">
        <v>13099</v>
      </c>
      <c r="J5885" s="12" t="str">
        <f>HYPERLINK("https://www.boe.es/gazeta/dias/1801/07/21/pdfs/GMD-1801-71.pdf#page=2","Abrir facsímil")</f>
        <v>Abrir facsímil</v>
      </c>
      <c r="K5885" s="15" t="s">
        <v>23</v>
      </c>
    </row>
    <row r="5886" spans="1:11" ht="42" customHeight="1">
      <c r="A5886" s="4" t="s">
        <v>13100</v>
      </c>
      <c r="B5886" s="5" t="s">
        <v>13100</v>
      </c>
      <c r="C5886" s="5" t="s">
        <v>75</v>
      </c>
      <c r="D5886" s="5" t="s">
        <v>76</v>
      </c>
      <c r="E5886" s="5" t="s">
        <v>40</v>
      </c>
      <c r="F5886" s="9">
        <v>63</v>
      </c>
      <c r="G5886" s="9">
        <v>708</v>
      </c>
      <c r="H5886" s="5" t="s">
        <v>21</v>
      </c>
      <c r="I5886" s="5" t="s">
        <v>13101</v>
      </c>
      <c r="J5886" s="12" t="str">
        <f>HYPERLINK("https://www.boe.es/gazeta/dias/1801/07/03/pdfs/GMD-1801-63.pdf#page=5","Abrir facsímil")</f>
        <v>Abrir facsímil</v>
      </c>
      <c r="K5886" s="15" t="s">
        <v>23</v>
      </c>
    </row>
    <row r="5887" spans="1:11" ht="42" customHeight="1">
      <c r="A5887" s="4" t="s">
        <v>13102</v>
      </c>
      <c r="B5887" s="5" t="s">
        <v>13102</v>
      </c>
      <c r="C5887" s="5" t="s">
        <v>32</v>
      </c>
      <c r="D5887" s="5" t="s">
        <v>33</v>
      </c>
      <c r="E5887" s="5" t="s">
        <v>161</v>
      </c>
      <c r="F5887" s="9">
        <v>58</v>
      </c>
      <c r="G5887" s="9">
        <v>659</v>
      </c>
      <c r="H5887" s="5" t="s">
        <v>21</v>
      </c>
      <c r="I5887" s="5" t="s">
        <v>13103</v>
      </c>
      <c r="J5887" s="12" t="str">
        <f>HYPERLINK("https://www.boe.es/gazeta/dias/1801/06/19/pdfs/GMD-1801-58.pdf#page=4","Abrir facsímil")</f>
        <v>Abrir facsímil</v>
      </c>
      <c r="K5887" s="15" t="s">
        <v>23</v>
      </c>
    </row>
    <row r="5888" spans="1:11" ht="42" customHeight="1">
      <c r="A5888" s="4" t="s">
        <v>13104</v>
      </c>
      <c r="B5888" s="5" t="s">
        <v>13104</v>
      </c>
      <c r="C5888" s="5" t="s">
        <v>38</v>
      </c>
      <c r="D5888" s="5" t="s">
        <v>39</v>
      </c>
      <c r="E5888" s="5" t="s">
        <v>264</v>
      </c>
      <c r="F5888" s="9">
        <v>111</v>
      </c>
      <c r="G5888" s="9">
        <v>1216</v>
      </c>
      <c r="H5888" s="5" t="s">
        <v>21</v>
      </c>
      <c r="I5888" s="5" t="s">
        <v>13105</v>
      </c>
      <c r="J5888" s="12" t="str">
        <f>HYPERLINK("https://www.boe.es/gazeta/dias/1801/12/01/pdfs/GMD-1801-111.pdf#page=5","Abrir facsímil")</f>
        <v>Abrir facsímil</v>
      </c>
      <c r="K5888" s="15" t="s">
        <v>23</v>
      </c>
    </row>
    <row r="5889" spans="1:11" ht="42" customHeight="1">
      <c r="A5889" s="4" t="s">
        <v>13106</v>
      </c>
      <c r="B5889" s="5" t="s">
        <v>13106</v>
      </c>
      <c r="C5889" s="5" t="s">
        <v>75</v>
      </c>
      <c r="D5889" s="5" t="s">
        <v>76</v>
      </c>
      <c r="E5889" s="5" t="s">
        <v>292</v>
      </c>
      <c r="F5889" s="9">
        <v>25</v>
      </c>
      <c r="G5889" s="9">
        <v>326</v>
      </c>
      <c r="H5889" s="5" t="s">
        <v>21</v>
      </c>
      <c r="I5889" s="5" t="s">
        <v>13107</v>
      </c>
      <c r="J5889" s="12" t="str">
        <f>HYPERLINK("https://www.boe.es/gazeta/dias/1801/03/27/pdfs/GMD-1801-25.pdf#page=5","Abrir facsímil")</f>
        <v>Abrir facsímil</v>
      </c>
      <c r="K5889" s="15" t="s">
        <v>23</v>
      </c>
    </row>
    <row r="5890" spans="1:11" ht="42" customHeight="1">
      <c r="A5890" s="4" t="s">
        <v>13108</v>
      </c>
      <c r="B5890" s="5" t="s">
        <v>13108</v>
      </c>
      <c r="C5890" s="5" t="s">
        <v>32</v>
      </c>
      <c r="D5890" s="5" t="s">
        <v>33</v>
      </c>
      <c r="E5890" s="5" t="s">
        <v>292</v>
      </c>
      <c r="F5890" s="9">
        <v>25</v>
      </c>
      <c r="G5890" s="9">
        <v>327</v>
      </c>
      <c r="H5890" s="5" t="s">
        <v>21</v>
      </c>
      <c r="I5890" s="5" t="s">
        <v>13109</v>
      </c>
      <c r="J5890" s="12" t="str">
        <f>HYPERLINK("https://www.boe.es/gazeta/dias/1801/03/27/pdfs/GMD-1801-25.pdf#page=6","Abrir facsímil")</f>
        <v>Abrir facsímil</v>
      </c>
      <c r="K5890" s="15" t="s">
        <v>23</v>
      </c>
    </row>
    <row r="5891" spans="1:11" ht="42" customHeight="1">
      <c r="A5891" s="4" t="s">
        <v>13110</v>
      </c>
      <c r="B5891" s="5" t="s">
        <v>13110</v>
      </c>
      <c r="C5891" s="5" t="s">
        <v>32</v>
      </c>
      <c r="D5891" s="5" t="s">
        <v>33</v>
      </c>
      <c r="E5891" s="5" t="s">
        <v>292</v>
      </c>
      <c r="F5891" s="9">
        <v>25</v>
      </c>
      <c r="G5891" s="9">
        <v>327</v>
      </c>
      <c r="H5891" s="5" t="s">
        <v>21</v>
      </c>
      <c r="I5891" s="5" t="s">
        <v>13111</v>
      </c>
      <c r="J5891" s="12" t="str">
        <f>HYPERLINK("https://www.boe.es/gazeta/dias/1801/03/27/pdfs/GMD-1801-25.pdf#page=6","Abrir facsímil")</f>
        <v>Abrir facsímil</v>
      </c>
      <c r="K5891" s="15" t="s">
        <v>23</v>
      </c>
    </row>
    <row r="5892" spans="1:11" ht="42" customHeight="1">
      <c r="A5892" s="4" t="s">
        <v>13112</v>
      </c>
      <c r="B5892" s="5" t="s">
        <v>13112</v>
      </c>
      <c r="C5892" s="5" t="s">
        <v>75</v>
      </c>
      <c r="D5892" s="5" t="s">
        <v>76</v>
      </c>
      <c r="E5892" s="5" t="s">
        <v>702</v>
      </c>
      <c r="F5892" s="9">
        <v>69</v>
      </c>
      <c r="G5892" s="9">
        <v>762</v>
      </c>
      <c r="H5892" s="5" t="s">
        <v>21</v>
      </c>
      <c r="I5892" s="5" t="s">
        <v>12896</v>
      </c>
      <c r="J5892" s="12" t="str">
        <f>HYPERLINK("https://www.boe.es/gazeta/dias/1801/07/14/pdfs/GMD-1801-69.pdf#page=7","Abrir facsímil")</f>
        <v>Abrir facsímil</v>
      </c>
      <c r="K5892" s="15" t="s">
        <v>23</v>
      </c>
    </row>
    <row r="5893" spans="1:11" ht="42" customHeight="1">
      <c r="A5893" s="4" t="s">
        <v>13113</v>
      </c>
      <c r="B5893" s="5" t="s">
        <v>13113</v>
      </c>
      <c r="C5893" s="5" t="s">
        <v>75</v>
      </c>
      <c r="D5893" s="5" t="s">
        <v>76</v>
      </c>
      <c r="E5893" s="5" t="s">
        <v>173</v>
      </c>
      <c r="F5893" s="9">
        <v>98</v>
      </c>
      <c r="G5893" s="9">
        <v>1071</v>
      </c>
      <c r="H5893" s="5" t="s">
        <v>21</v>
      </c>
      <c r="I5893" s="5" t="s">
        <v>13114</v>
      </c>
      <c r="J5893" s="12" t="str">
        <f>HYPERLINK("https://www.boe.es/gazeta/dias/1801/10/16/pdfs/GMD-1801-98.pdf#page=3","Abrir facsímil")</f>
        <v>Abrir facsímil</v>
      </c>
      <c r="K5893" s="15" t="s">
        <v>23</v>
      </c>
    </row>
    <row r="5894" spans="1:11" ht="42" customHeight="1">
      <c r="A5894" s="4" t="s">
        <v>13115</v>
      </c>
      <c r="B5894" s="5" t="s">
        <v>13115</v>
      </c>
      <c r="C5894" s="5" t="s">
        <v>75</v>
      </c>
      <c r="D5894" s="5" t="s">
        <v>76</v>
      </c>
      <c r="E5894" s="5" t="s">
        <v>44</v>
      </c>
      <c r="F5894" s="9">
        <v>117</v>
      </c>
      <c r="G5894" s="9">
        <v>1277</v>
      </c>
      <c r="H5894" s="5" t="s">
        <v>21</v>
      </c>
      <c r="I5894" s="5" t="s">
        <v>13116</v>
      </c>
      <c r="J5894" s="12" t="str">
        <f>HYPERLINK("https://www.boe.es/gazeta/dias/1801/12/22/pdfs/GMD-1801-117.pdf#page=4","Abrir facsímil")</f>
        <v>Abrir facsímil</v>
      </c>
      <c r="K5894" s="15" t="s">
        <v>23</v>
      </c>
    </row>
    <row r="5895" spans="1:11" ht="42" customHeight="1">
      <c r="A5895" s="4" t="s">
        <v>13117</v>
      </c>
      <c r="B5895" s="5" t="s">
        <v>13117</v>
      </c>
      <c r="C5895" s="5" t="s">
        <v>32</v>
      </c>
      <c r="D5895" s="5" t="s">
        <v>33</v>
      </c>
      <c r="E5895" s="5" t="s">
        <v>186</v>
      </c>
      <c r="F5895" s="9">
        <v>21</v>
      </c>
      <c r="G5895" s="9">
        <v>274</v>
      </c>
      <c r="H5895" s="5" t="s">
        <v>21</v>
      </c>
      <c r="I5895" s="5" t="s">
        <v>13015</v>
      </c>
      <c r="J5895" s="12" t="str">
        <f>HYPERLINK("https://www.boe.es/gazeta/dias/1801/03/13/pdfs/GMD-1801-21.pdf#page=3","Abrir facsímil")</f>
        <v>Abrir facsímil</v>
      </c>
      <c r="K5895" s="15" t="s">
        <v>23</v>
      </c>
    </row>
    <row r="5896" spans="1:11" ht="42" customHeight="1">
      <c r="A5896" s="4" t="s">
        <v>13118</v>
      </c>
      <c r="B5896" s="5" t="s">
        <v>13118</v>
      </c>
      <c r="C5896" s="5" t="s">
        <v>75</v>
      </c>
      <c r="D5896" s="5" t="s">
        <v>76</v>
      </c>
      <c r="E5896" s="5" t="s">
        <v>349</v>
      </c>
      <c r="F5896" s="9">
        <v>112</v>
      </c>
      <c r="G5896" s="9">
        <v>1223</v>
      </c>
      <c r="H5896" s="5" t="s">
        <v>21</v>
      </c>
      <c r="I5896" s="5" t="s">
        <v>13119</v>
      </c>
      <c r="J5896" s="12" t="str">
        <f>HYPERLINK("https://www.boe.es/gazeta/dias/1801/12/04/pdfs/GMD-1801-112.pdf#page=4","Abrir facsímil")</f>
        <v>Abrir facsímil</v>
      </c>
      <c r="K5896" s="15" t="s">
        <v>23</v>
      </c>
    </row>
    <row r="5897" spans="1:11" ht="42" customHeight="1">
      <c r="A5897" s="4" t="s">
        <v>13120</v>
      </c>
      <c r="B5897" s="5" t="s">
        <v>13120</v>
      </c>
      <c r="C5897" s="5" t="s">
        <v>75</v>
      </c>
      <c r="D5897" s="5" t="s">
        <v>76</v>
      </c>
      <c r="E5897" s="5" t="s">
        <v>161</v>
      </c>
      <c r="F5897" s="9">
        <v>58</v>
      </c>
      <c r="G5897" s="9">
        <v>659</v>
      </c>
      <c r="H5897" s="5" t="s">
        <v>21</v>
      </c>
      <c r="I5897" s="5" t="s">
        <v>13121</v>
      </c>
      <c r="J5897" s="12" t="str">
        <f>HYPERLINK("https://www.boe.es/gazeta/dias/1801/06/19/pdfs/GMD-1801-58.pdf#page=4","Abrir facsímil")</f>
        <v>Abrir facsímil</v>
      </c>
      <c r="K5897" s="15" t="s">
        <v>23</v>
      </c>
    </row>
    <row r="5898" spans="1:11" ht="42" customHeight="1">
      <c r="A5898" s="4" t="s">
        <v>13122</v>
      </c>
      <c r="B5898" s="5" t="s">
        <v>13122</v>
      </c>
      <c r="C5898" s="5" t="s">
        <v>38</v>
      </c>
      <c r="D5898" s="5" t="s">
        <v>39</v>
      </c>
      <c r="E5898" s="5" t="s">
        <v>751</v>
      </c>
      <c r="F5898" s="9">
        <v>106</v>
      </c>
      <c r="G5898" s="9">
        <v>1167</v>
      </c>
      <c r="H5898" s="5" t="s">
        <v>21</v>
      </c>
      <c r="I5898" s="5" t="s">
        <v>13123</v>
      </c>
      <c r="J5898" s="12" t="str">
        <f>HYPERLINK("https://www.boe.es/gazeta/dias/1801/11/13/pdfs/GMD-1801-106.pdf#page=8","Abrir facsímil")</f>
        <v>Abrir facsímil</v>
      </c>
      <c r="K5898" s="15" t="s">
        <v>23</v>
      </c>
    </row>
    <row r="5899" spans="1:11" ht="42" customHeight="1">
      <c r="A5899" s="4" t="s">
        <v>13124</v>
      </c>
      <c r="B5899" s="5" t="s">
        <v>13124</v>
      </c>
      <c r="C5899" s="5" t="s">
        <v>38</v>
      </c>
      <c r="D5899" s="5" t="s">
        <v>39</v>
      </c>
      <c r="E5899" s="5" t="s">
        <v>124</v>
      </c>
      <c r="F5899" s="9">
        <v>12</v>
      </c>
      <c r="G5899" s="9">
        <v>148</v>
      </c>
      <c r="H5899" s="5" t="s">
        <v>21</v>
      </c>
      <c r="I5899" s="5" t="s">
        <v>13125</v>
      </c>
      <c r="J5899" s="12" t="str">
        <f>HYPERLINK("https://www.boe.es/gazeta/dias/1801/02/10/pdfs/GMD-1801-12.pdf#page=9","Abrir facsímil")</f>
        <v>Abrir facsímil</v>
      </c>
      <c r="K5899" s="15" t="s">
        <v>23</v>
      </c>
    </row>
    <row r="5900" spans="1:11" ht="42" customHeight="1">
      <c r="A5900" s="4" t="s">
        <v>13126</v>
      </c>
      <c r="B5900" s="5" t="s">
        <v>13126</v>
      </c>
      <c r="C5900" s="5" t="s">
        <v>32</v>
      </c>
      <c r="D5900" s="5" t="s">
        <v>33</v>
      </c>
      <c r="E5900" s="5" t="s">
        <v>266</v>
      </c>
      <c r="F5900" s="9">
        <v>119</v>
      </c>
      <c r="G5900" s="9">
        <v>1304</v>
      </c>
      <c r="H5900" s="5" t="s">
        <v>21</v>
      </c>
      <c r="I5900" s="5" t="s">
        <v>13127</v>
      </c>
      <c r="J5900" s="12" t="str">
        <f>HYPERLINK("https://www.boe.es/gazeta/dias/1801/12/29/pdfs/GMD-1801-119.pdf#page=8","Abrir facsímil")</f>
        <v>Abrir facsímil</v>
      </c>
      <c r="K5900" s="15" t="s">
        <v>23</v>
      </c>
    </row>
    <row r="5901" spans="1:11" ht="42" customHeight="1">
      <c r="A5901" s="4" t="s">
        <v>13128</v>
      </c>
      <c r="B5901" s="5" t="s">
        <v>13128</v>
      </c>
      <c r="C5901" s="5" t="s">
        <v>26</v>
      </c>
      <c r="D5901" s="5" t="s">
        <v>27</v>
      </c>
      <c r="E5901" s="5" t="s">
        <v>615</v>
      </c>
      <c r="F5901" s="9">
        <v>72</v>
      </c>
      <c r="G5901" s="9">
        <v>798</v>
      </c>
      <c r="H5901" s="5" t="s">
        <v>21</v>
      </c>
      <c r="I5901" s="5" t="s">
        <v>12815</v>
      </c>
      <c r="J5901" s="12" t="str">
        <f>HYPERLINK("https://www.boe.es/gazeta/dias/1801/07/24/pdfs/GMD-1801-72.pdf#page=3","Abrir facsímil")</f>
        <v>Abrir facsímil</v>
      </c>
      <c r="K5901" s="15" t="s">
        <v>23</v>
      </c>
    </row>
    <row r="5902" spans="1:11" ht="42" customHeight="1">
      <c r="A5902" s="4" t="s">
        <v>13129</v>
      </c>
      <c r="B5902" s="5" t="s">
        <v>13129</v>
      </c>
      <c r="C5902" s="5" t="s">
        <v>32</v>
      </c>
      <c r="D5902" s="5" t="s">
        <v>33</v>
      </c>
      <c r="E5902" s="5" t="s">
        <v>2237</v>
      </c>
      <c r="F5902" s="9">
        <v>82</v>
      </c>
      <c r="G5902" s="9">
        <v>918</v>
      </c>
      <c r="H5902" s="5" t="s">
        <v>21</v>
      </c>
      <c r="I5902" s="5" t="s">
        <v>13130</v>
      </c>
      <c r="J5902" s="12" t="str">
        <f>HYPERLINK("https://www.boe.es/gazeta/dias/1801/08/28/pdfs/GMD-1801-82.pdf#page=7","Abrir facsímil")</f>
        <v>Abrir facsímil</v>
      </c>
      <c r="K5902" s="15" t="s">
        <v>23</v>
      </c>
    </row>
    <row r="5903" spans="1:11" ht="42" customHeight="1">
      <c r="A5903" s="4" t="s">
        <v>13131</v>
      </c>
      <c r="B5903" s="5" t="s">
        <v>13131</v>
      </c>
      <c r="C5903" s="5" t="s">
        <v>32</v>
      </c>
      <c r="D5903" s="5" t="s">
        <v>33</v>
      </c>
      <c r="E5903" s="5" t="s">
        <v>480</v>
      </c>
      <c r="F5903" s="9">
        <v>10</v>
      </c>
      <c r="G5903" s="9">
        <v>116</v>
      </c>
      <c r="H5903" s="5" t="s">
        <v>21</v>
      </c>
      <c r="I5903" s="5" t="s">
        <v>13132</v>
      </c>
      <c r="J5903" s="12" t="str">
        <f>HYPERLINK("https://www.boe.es/gazeta/dias/1801/02/03/pdfs/GMD-1801-10.pdf#page=1","Abrir facsímil")</f>
        <v>Abrir facsímil</v>
      </c>
      <c r="K5903" s="15" t="s">
        <v>23</v>
      </c>
    </row>
    <row r="5904" spans="1:11" ht="42" customHeight="1">
      <c r="A5904" s="4" t="s">
        <v>13133</v>
      </c>
      <c r="B5904" s="5" t="s">
        <v>13133</v>
      </c>
      <c r="C5904" s="5" t="s">
        <v>32</v>
      </c>
      <c r="D5904" s="5" t="s">
        <v>33</v>
      </c>
      <c r="E5904" s="5" t="s">
        <v>99</v>
      </c>
      <c r="F5904" s="9">
        <v>32</v>
      </c>
      <c r="G5904" s="9">
        <v>406</v>
      </c>
      <c r="H5904" s="5" t="s">
        <v>21</v>
      </c>
      <c r="I5904" s="5" t="s">
        <v>13134</v>
      </c>
      <c r="J5904" s="12" t="str">
        <f>HYPERLINK("https://www.boe.es/gazeta/dias/1801/04/21/pdfs/GMD-1801-32.pdf#page=2","Abrir facsímil")</f>
        <v>Abrir facsímil</v>
      </c>
      <c r="K5904" s="15" t="s">
        <v>23</v>
      </c>
    </row>
    <row r="5905" spans="1:11" ht="42" customHeight="1">
      <c r="A5905" s="4" t="s">
        <v>13135</v>
      </c>
      <c r="B5905" s="5" t="s">
        <v>13135</v>
      </c>
      <c r="C5905" s="5" t="s">
        <v>75</v>
      </c>
      <c r="D5905" s="5" t="s">
        <v>76</v>
      </c>
      <c r="E5905" s="5" t="s">
        <v>128</v>
      </c>
      <c r="F5905" s="9">
        <v>17</v>
      </c>
      <c r="G5905" s="9">
        <v>207</v>
      </c>
      <c r="H5905" s="5" t="s">
        <v>21</v>
      </c>
      <c r="I5905" s="5" t="s">
        <v>13136</v>
      </c>
      <c r="J5905" s="12" t="str">
        <f>HYPERLINK("https://www.boe.es/gazeta/dias/1801/02/27/pdfs/GMD-1801-17.pdf#page=2","Abrir facsímil")</f>
        <v>Abrir facsímil</v>
      </c>
      <c r="K5905" s="15" t="s">
        <v>23</v>
      </c>
    </row>
    <row r="5906" spans="1:11" ht="42" customHeight="1">
      <c r="A5906" s="4" t="s">
        <v>13137</v>
      </c>
      <c r="B5906" s="5" t="s">
        <v>13137</v>
      </c>
      <c r="C5906" s="5" t="s">
        <v>75</v>
      </c>
      <c r="D5906" s="5" t="s">
        <v>76</v>
      </c>
      <c r="E5906" s="5" t="s">
        <v>48</v>
      </c>
      <c r="F5906" s="9">
        <v>20</v>
      </c>
      <c r="G5906" s="9">
        <v>259</v>
      </c>
      <c r="H5906" s="5" t="s">
        <v>21</v>
      </c>
      <c r="I5906" s="5" t="s">
        <v>13138</v>
      </c>
      <c r="J5906" s="12" t="str">
        <f>HYPERLINK("https://www.boe.es/gazeta/dias/1801/03/10/pdfs/GMD-1801-20.pdf#page=4","Abrir facsímil")</f>
        <v>Abrir facsímil</v>
      </c>
      <c r="K5906" s="15" t="s">
        <v>23</v>
      </c>
    </row>
    <row r="5907" spans="1:11" ht="42" customHeight="1">
      <c r="A5907" s="4" t="s">
        <v>13139</v>
      </c>
      <c r="B5907" s="5" t="s">
        <v>13139</v>
      </c>
      <c r="C5907" s="5" t="s">
        <v>38</v>
      </c>
      <c r="D5907" s="5" t="s">
        <v>39</v>
      </c>
      <c r="E5907" s="5" t="s">
        <v>2185</v>
      </c>
      <c r="F5907" s="9">
        <v>84</v>
      </c>
      <c r="G5907" s="9">
        <v>941</v>
      </c>
      <c r="H5907" s="5" t="s">
        <v>21</v>
      </c>
      <c r="I5907" s="5" t="s">
        <v>13140</v>
      </c>
      <c r="J5907" s="12" t="str">
        <f>HYPERLINK("https://www.boe.es/gazeta/dias/1801/09/04/pdfs/GMD-1801-84.pdf#page=4","Abrir facsímil")</f>
        <v>Abrir facsímil</v>
      </c>
      <c r="K5907" s="15" t="s">
        <v>23</v>
      </c>
    </row>
    <row r="5908" spans="1:11" ht="42" customHeight="1">
      <c r="A5908" s="4" t="s">
        <v>13141</v>
      </c>
      <c r="B5908" s="5" t="s">
        <v>13141</v>
      </c>
      <c r="C5908" s="5" t="s">
        <v>32</v>
      </c>
      <c r="D5908" s="5" t="s">
        <v>33</v>
      </c>
      <c r="E5908" s="5" t="s">
        <v>201</v>
      </c>
      <c r="F5908" s="9">
        <v>79</v>
      </c>
      <c r="G5908" s="9">
        <v>887</v>
      </c>
      <c r="H5908" s="5" t="s">
        <v>21</v>
      </c>
      <c r="I5908" s="5" t="s">
        <v>13142</v>
      </c>
      <c r="J5908" s="12" t="str">
        <f>HYPERLINK("https://www.boe.es/gazeta/dias/1801/08/18/pdfs/GMD-1801-79.pdf#page=4","Abrir facsímil")</f>
        <v>Abrir facsímil</v>
      </c>
      <c r="K5908" s="15" t="s">
        <v>23</v>
      </c>
    </row>
    <row r="5909" spans="1:11" ht="42" customHeight="1">
      <c r="A5909" s="4" t="s">
        <v>13143</v>
      </c>
      <c r="B5909" s="5" t="s">
        <v>13143</v>
      </c>
      <c r="C5909" s="5" t="s">
        <v>38</v>
      </c>
      <c r="D5909" s="5" t="s">
        <v>39</v>
      </c>
      <c r="E5909" s="5" t="s">
        <v>723</v>
      </c>
      <c r="F5909" s="9">
        <v>113</v>
      </c>
      <c r="G5909" s="9">
        <v>1230</v>
      </c>
      <c r="H5909" s="5" t="s">
        <v>21</v>
      </c>
      <c r="I5909" s="5" t="s">
        <v>12855</v>
      </c>
      <c r="J5909" s="12" t="str">
        <f>HYPERLINK("https://www.boe.es/gazeta/dias/1801/12/08/pdfs/GMD-1801-113.pdf#page=3","Abrir facsímil")</f>
        <v>Abrir facsímil</v>
      </c>
      <c r="K5909" s="15" t="s">
        <v>23</v>
      </c>
    </row>
    <row r="5910" spans="1:11" ht="42" customHeight="1">
      <c r="A5910" s="4" t="s">
        <v>13144</v>
      </c>
      <c r="B5910" s="5" t="s">
        <v>13144</v>
      </c>
      <c r="C5910" s="5" t="s">
        <v>32</v>
      </c>
      <c r="D5910" s="5" t="s">
        <v>33</v>
      </c>
      <c r="E5910" s="5" t="s">
        <v>221</v>
      </c>
      <c r="F5910" s="9">
        <v>28</v>
      </c>
      <c r="G5910" s="9">
        <v>369</v>
      </c>
      <c r="H5910" s="5" t="s">
        <v>21</v>
      </c>
      <c r="I5910" s="5" t="s">
        <v>13145</v>
      </c>
      <c r="J5910" s="12" t="str">
        <f>HYPERLINK("https://www.boe.es/gazeta/dias/1801/04/07/pdfs/GMD-1801-28.pdf#page=9","Abrir facsímil")</f>
        <v>Abrir facsímil</v>
      </c>
      <c r="K5910" s="15" t="s">
        <v>23</v>
      </c>
    </row>
    <row r="5911" spans="1:11" ht="42" customHeight="1">
      <c r="A5911" s="4" t="s">
        <v>13146</v>
      </c>
      <c r="B5911" s="5" t="s">
        <v>13146</v>
      </c>
      <c r="C5911" s="5" t="s">
        <v>75</v>
      </c>
      <c r="D5911" s="5" t="s">
        <v>76</v>
      </c>
      <c r="E5911" s="5" t="s">
        <v>211</v>
      </c>
      <c r="F5911" s="9">
        <v>87</v>
      </c>
      <c r="G5911" s="9">
        <v>961</v>
      </c>
      <c r="H5911" s="5" t="s">
        <v>21</v>
      </c>
      <c r="I5911" s="5" t="s">
        <v>13147</v>
      </c>
      <c r="J5911" s="12" t="str">
        <f>HYPERLINK("https://www.boe.es/gazeta/dias/1801/09/11/pdfs/GMD-1801-87.pdf#page=4","Abrir facsímil")</f>
        <v>Abrir facsímil</v>
      </c>
      <c r="K5911" s="15" t="s">
        <v>23</v>
      </c>
    </row>
    <row r="5912" spans="1:11" ht="42" customHeight="1">
      <c r="A5912" s="4" t="s">
        <v>13148</v>
      </c>
      <c r="B5912" s="5" t="s">
        <v>13148</v>
      </c>
      <c r="C5912" s="5" t="s">
        <v>38</v>
      </c>
      <c r="D5912" s="5" t="s">
        <v>39</v>
      </c>
      <c r="E5912" s="5" t="s">
        <v>378</v>
      </c>
      <c r="F5912" s="9">
        <v>23</v>
      </c>
      <c r="G5912" s="9">
        <v>303</v>
      </c>
      <c r="H5912" s="5" t="s">
        <v>21</v>
      </c>
      <c r="I5912" s="5" t="s">
        <v>13149</v>
      </c>
      <c r="J5912" s="12" t="str">
        <f>HYPERLINK("https://www.boe.es/gazeta/dias/1801/03/20/pdfs/GMD-1801-23.pdf#page=6","Abrir facsímil")</f>
        <v>Abrir facsímil</v>
      </c>
      <c r="K5912" s="15" t="s">
        <v>23</v>
      </c>
    </row>
    <row r="5913" spans="1:11" ht="42" customHeight="1">
      <c r="A5913" s="4" t="s">
        <v>13150</v>
      </c>
      <c r="B5913" s="5" t="s">
        <v>13150</v>
      </c>
      <c r="C5913" s="5" t="s">
        <v>75</v>
      </c>
      <c r="D5913" s="5" t="s">
        <v>76</v>
      </c>
      <c r="E5913" s="5" t="s">
        <v>448</v>
      </c>
      <c r="F5913" s="9">
        <v>35</v>
      </c>
      <c r="G5913" s="9">
        <v>445</v>
      </c>
      <c r="H5913" s="5" t="s">
        <v>21</v>
      </c>
      <c r="I5913" s="5" t="s">
        <v>13151</v>
      </c>
      <c r="J5913" s="12" t="str">
        <f>HYPERLINK("https://www.boe.es/gazeta/dias/1801/05/01/pdfs/GMD-1801-35.pdf#page=1","Abrir facsímil")</f>
        <v>Abrir facsímil</v>
      </c>
      <c r="K5913" s="15" t="s">
        <v>23</v>
      </c>
    </row>
    <row r="5914" spans="1:11" ht="42" customHeight="1">
      <c r="A5914" s="4" t="s">
        <v>13152</v>
      </c>
      <c r="B5914" s="5" t="s">
        <v>13152</v>
      </c>
      <c r="C5914" s="5" t="s">
        <v>75</v>
      </c>
      <c r="D5914" s="5" t="s">
        <v>76</v>
      </c>
      <c r="E5914" s="5" t="s">
        <v>1085</v>
      </c>
      <c r="F5914" s="9">
        <v>99</v>
      </c>
      <c r="G5914" s="9">
        <v>1086</v>
      </c>
      <c r="H5914" s="5" t="s">
        <v>21</v>
      </c>
      <c r="I5914" s="5" t="s">
        <v>13153</v>
      </c>
      <c r="J5914" s="12" t="str">
        <f>HYPERLINK("https://www.boe.es/gazeta/dias/1801/10/20/pdfs/GMD-1801-99.pdf#page=3","Abrir facsímil")</f>
        <v>Abrir facsímil</v>
      </c>
      <c r="K5914" s="15" t="s">
        <v>23</v>
      </c>
    </row>
    <row r="5915" spans="1:11" ht="42" customHeight="1">
      <c r="A5915" s="4" t="s">
        <v>13154</v>
      </c>
      <c r="B5915" s="5" t="s">
        <v>13154</v>
      </c>
      <c r="C5915" s="5" t="s">
        <v>75</v>
      </c>
      <c r="D5915" s="5" t="s">
        <v>76</v>
      </c>
      <c r="E5915" s="5" t="s">
        <v>223</v>
      </c>
      <c r="F5915" s="9">
        <v>74</v>
      </c>
      <c r="G5915" s="9">
        <v>826</v>
      </c>
      <c r="H5915" s="5" t="s">
        <v>21</v>
      </c>
      <c r="I5915" s="5" t="s">
        <v>13155</v>
      </c>
      <c r="J5915" s="12" t="str">
        <f>HYPERLINK("https://www.boe.es/gazeta/dias/1801/07/31/pdfs/GMD-1801-74.pdf#page=7","Abrir facsímil")</f>
        <v>Abrir facsímil</v>
      </c>
      <c r="K5915" s="15" t="s">
        <v>23</v>
      </c>
    </row>
    <row r="5916" spans="1:11" ht="42" customHeight="1">
      <c r="A5916" s="4" t="s">
        <v>13156</v>
      </c>
      <c r="B5916" s="5" t="s">
        <v>13156</v>
      </c>
      <c r="C5916" s="5" t="s">
        <v>32</v>
      </c>
      <c r="D5916" s="5" t="s">
        <v>33</v>
      </c>
      <c r="E5916" s="5" t="s">
        <v>105</v>
      </c>
      <c r="F5916" s="9">
        <v>44</v>
      </c>
      <c r="G5916" s="9">
        <v>542</v>
      </c>
      <c r="H5916" s="5" t="s">
        <v>21</v>
      </c>
      <c r="I5916" s="5" t="s">
        <v>13157</v>
      </c>
      <c r="J5916" s="12" t="str">
        <f>HYPERLINK("https://www.boe.es/gazeta/dias/1801/05/29/pdfs/GMD-1801-44.pdf#page=2","Abrir facsímil")</f>
        <v>Abrir facsímil</v>
      </c>
      <c r="K5916" s="15" t="s">
        <v>23</v>
      </c>
    </row>
    <row r="5917" spans="1:11" ht="42" customHeight="1">
      <c r="A5917" s="4" t="s">
        <v>13158</v>
      </c>
      <c r="B5917" s="5" t="s">
        <v>13158</v>
      </c>
      <c r="C5917" s="5" t="s">
        <v>75</v>
      </c>
      <c r="D5917" s="5" t="s">
        <v>76</v>
      </c>
      <c r="E5917" s="5" t="s">
        <v>186</v>
      </c>
      <c r="F5917" s="9">
        <v>21</v>
      </c>
      <c r="G5917" s="9">
        <v>275</v>
      </c>
      <c r="H5917" s="5" t="s">
        <v>21</v>
      </c>
      <c r="I5917" s="5" t="s">
        <v>13159</v>
      </c>
      <c r="J5917" s="12" t="str">
        <f>HYPERLINK("https://www.boe.es/gazeta/dias/1801/03/13/pdfs/GMD-1801-21.pdf#page=4","Abrir facsímil")</f>
        <v>Abrir facsímil</v>
      </c>
      <c r="K5917" s="15" t="s">
        <v>23</v>
      </c>
    </row>
    <row r="5918" spans="1:11" ht="42" customHeight="1">
      <c r="A5918" s="4" t="s">
        <v>13160</v>
      </c>
      <c r="B5918" s="5" t="s">
        <v>13160</v>
      </c>
      <c r="C5918" s="5" t="s">
        <v>18</v>
      </c>
      <c r="D5918" s="5" t="s">
        <v>19</v>
      </c>
      <c r="E5918" s="5" t="s">
        <v>723</v>
      </c>
      <c r="F5918" s="9">
        <v>113</v>
      </c>
      <c r="G5918" s="9">
        <v>1231</v>
      </c>
      <c r="H5918" s="5" t="s">
        <v>21</v>
      </c>
      <c r="I5918" s="5" t="s">
        <v>12917</v>
      </c>
      <c r="J5918" s="12" t="str">
        <f>HYPERLINK("https://www.boe.es/gazeta/dias/1801/12/08/pdfs/GMD-1801-113.pdf#page=4","Abrir facsímil")</f>
        <v>Abrir facsímil</v>
      </c>
      <c r="K5918" s="15" t="s">
        <v>23</v>
      </c>
    </row>
    <row r="5919" spans="1:11" ht="42" customHeight="1">
      <c r="A5919" s="4" t="s">
        <v>13161</v>
      </c>
      <c r="B5919" s="5" t="s">
        <v>13161</v>
      </c>
      <c r="C5919" s="5" t="s">
        <v>515</v>
      </c>
      <c r="D5919" s="5" t="s">
        <v>516</v>
      </c>
      <c r="E5919" s="5" t="s">
        <v>781</v>
      </c>
      <c r="F5919" s="9">
        <v>14</v>
      </c>
      <c r="G5919" s="9">
        <v>180</v>
      </c>
      <c r="H5919" s="5" t="s">
        <v>21</v>
      </c>
      <c r="I5919" s="5" t="s">
        <v>13162</v>
      </c>
      <c r="J5919" s="12" t="str">
        <f>HYPERLINK("https://www.boe.es/gazeta/dias/1801/02/17/pdfs/GMD-C-1801-14.pdf#page=3","Abrir facsímil")</f>
        <v>Abrir facsímil</v>
      </c>
      <c r="K5919" s="15" t="s">
        <v>23</v>
      </c>
    </row>
    <row r="5920" spans="1:11" ht="42" customHeight="1">
      <c r="A5920" s="4" t="s">
        <v>13163</v>
      </c>
      <c r="B5920" s="5" t="s">
        <v>13164</v>
      </c>
      <c r="C5920" s="5" t="s">
        <v>32</v>
      </c>
      <c r="D5920" s="5" t="s">
        <v>33</v>
      </c>
      <c r="E5920" s="5" t="s">
        <v>135</v>
      </c>
      <c r="F5920" s="9">
        <v>24</v>
      </c>
      <c r="G5920" s="9">
        <v>311</v>
      </c>
      <c r="H5920" s="5" t="s">
        <v>21</v>
      </c>
      <c r="I5920" s="5" t="s">
        <v>13165</v>
      </c>
      <c r="J5920" s="12" t="str">
        <f>HYPERLINK("https://www.boe.es/gazeta/dias/1801/03/24/pdfs/GMD-1801-24.pdf#page=2","Abrir facsímil")</f>
        <v>Abrir facsímil</v>
      </c>
      <c r="K5920" s="15" t="s">
        <v>23</v>
      </c>
    </row>
    <row r="5921" spans="1:11" ht="42" customHeight="1">
      <c r="A5921" s="4" t="s">
        <v>13163</v>
      </c>
      <c r="B5921" s="5" t="s">
        <v>13164</v>
      </c>
      <c r="C5921" s="5" t="s">
        <v>26</v>
      </c>
      <c r="D5921" s="5" t="s">
        <v>27</v>
      </c>
      <c r="E5921" s="5" t="s">
        <v>143</v>
      </c>
      <c r="F5921" s="9">
        <v>34</v>
      </c>
      <c r="G5921" s="9">
        <v>431</v>
      </c>
      <c r="H5921" s="5" t="s">
        <v>21</v>
      </c>
      <c r="I5921" s="5" t="s">
        <v>13166</v>
      </c>
      <c r="J5921" s="12" t="str">
        <f>HYPERLINK("https://www.boe.es/gazeta/dias/1801/04/28/pdfs/GMD-1801-34.pdf#page=3","Abrir facsímil")</f>
        <v>Abrir facsímil</v>
      </c>
      <c r="K5921" s="15" t="s">
        <v>23</v>
      </c>
    </row>
    <row r="5922" spans="1:11" ht="42" customHeight="1">
      <c r="A5922" s="4" t="s">
        <v>13163</v>
      </c>
      <c r="B5922" s="5" t="s">
        <v>13164</v>
      </c>
      <c r="C5922" s="5" t="s">
        <v>75</v>
      </c>
      <c r="D5922" s="5" t="s">
        <v>76</v>
      </c>
      <c r="E5922" s="5" t="s">
        <v>313</v>
      </c>
      <c r="F5922" s="9">
        <v>39</v>
      </c>
      <c r="G5922" s="9">
        <v>499</v>
      </c>
      <c r="H5922" s="5" t="s">
        <v>21</v>
      </c>
      <c r="I5922" s="5" t="s">
        <v>13167</v>
      </c>
      <c r="J5922" s="12" t="str">
        <f>HYPERLINK("https://www.boe.es/gazeta/dias/1801/05/15/pdfs/GMD-1801-39.pdf#page=3","Abrir facsímil")</f>
        <v>Abrir facsímil</v>
      </c>
      <c r="K5922" s="15" t="s">
        <v>23</v>
      </c>
    </row>
    <row r="5923" spans="1:11" ht="42" customHeight="1">
      <c r="A5923" s="4" t="s">
        <v>13163</v>
      </c>
      <c r="B5923" s="5" t="s">
        <v>13164</v>
      </c>
      <c r="C5923" s="5" t="s">
        <v>75</v>
      </c>
      <c r="D5923" s="5" t="s">
        <v>76</v>
      </c>
      <c r="E5923" s="5" t="s">
        <v>165</v>
      </c>
      <c r="F5923" s="9">
        <v>59</v>
      </c>
      <c r="G5923" s="9">
        <v>671</v>
      </c>
      <c r="H5923" s="5" t="s">
        <v>21</v>
      </c>
      <c r="I5923" s="5" t="s">
        <v>13168</v>
      </c>
      <c r="J5923" s="12" t="str">
        <f>HYPERLINK("https://www.boe.es/gazeta/dias/1801/06/23/pdfs/GMD-1801-59.pdf#page=4","Abrir facsímil")</f>
        <v>Abrir facsímil</v>
      </c>
      <c r="K5923" s="15" t="s">
        <v>23</v>
      </c>
    </row>
    <row r="5924" spans="1:11" ht="42" customHeight="1">
      <c r="A5924" s="4" t="s">
        <v>13163</v>
      </c>
      <c r="B5924" s="5" t="s">
        <v>13164</v>
      </c>
      <c r="C5924" s="5" t="s">
        <v>18</v>
      </c>
      <c r="D5924" s="5" t="s">
        <v>19</v>
      </c>
      <c r="E5924" s="5" t="s">
        <v>72</v>
      </c>
      <c r="F5924" s="9">
        <v>60</v>
      </c>
      <c r="G5924" s="9">
        <v>682</v>
      </c>
      <c r="H5924" s="5" t="s">
        <v>21</v>
      </c>
      <c r="I5924" s="5" t="s">
        <v>13169</v>
      </c>
      <c r="J5924" s="12" t="str">
        <f>HYPERLINK("https://www.boe.es/gazeta/dias/1801/06/26/pdfs/GMD-1801-60.pdf#page=3","Abrir facsímil")</f>
        <v>Abrir facsímil</v>
      </c>
      <c r="K5924" s="15" t="s">
        <v>23</v>
      </c>
    </row>
    <row r="5925" spans="1:11" ht="42" customHeight="1">
      <c r="A5925" s="4" t="s">
        <v>13163</v>
      </c>
      <c r="B5925" s="5" t="s">
        <v>13164</v>
      </c>
      <c r="C5925" s="5" t="s">
        <v>75</v>
      </c>
      <c r="D5925" s="5" t="s">
        <v>76</v>
      </c>
      <c r="E5925" s="5" t="s">
        <v>215</v>
      </c>
      <c r="F5925" s="9">
        <v>71</v>
      </c>
      <c r="G5925" s="9">
        <v>781</v>
      </c>
      <c r="H5925" s="5" t="s">
        <v>21</v>
      </c>
      <c r="I5925" s="5" t="s">
        <v>13170</v>
      </c>
      <c r="J5925" s="12" t="str">
        <f>HYPERLINK("https://www.boe.es/gazeta/dias/1801/07/21/pdfs/GMD-1801-71.pdf#page=2","Abrir facsímil")</f>
        <v>Abrir facsímil</v>
      </c>
      <c r="K5925" s="15" t="s">
        <v>23</v>
      </c>
    </row>
    <row r="5926" spans="1:11" ht="42" customHeight="1">
      <c r="A5926" s="4" t="s">
        <v>13163</v>
      </c>
      <c r="B5926" s="5" t="s">
        <v>13164</v>
      </c>
      <c r="C5926" s="5" t="s">
        <v>75</v>
      </c>
      <c r="D5926" s="5" t="s">
        <v>76</v>
      </c>
      <c r="E5926" s="5" t="s">
        <v>254</v>
      </c>
      <c r="F5926" s="9">
        <v>73</v>
      </c>
      <c r="G5926" s="9">
        <v>809</v>
      </c>
      <c r="H5926" s="5" t="s">
        <v>21</v>
      </c>
      <c r="I5926" s="5" t="s">
        <v>13171</v>
      </c>
      <c r="J5926" s="12" t="str">
        <f>HYPERLINK("https://www.boe.es/gazeta/dias/1801/07/28/pdfs/GMD-1801-73.pdf#page=2","Abrir facsímil")</f>
        <v>Abrir facsímil</v>
      </c>
      <c r="K5926" s="15" t="s">
        <v>23</v>
      </c>
    </row>
    <row r="5927" spans="1:11" ht="42" customHeight="1">
      <c r="A5927" s="4" t="s">
        <v>13163</v>
      </c>
      <c r="B5927" s="5" t="s">
        <v>13164</v>
      </c>
      <c r="C5927" s="5" t="s">
        <v>38</v>
      </c>
      <c r="D5927" s="5" t="s">
        <v>39</v>
      </c>
      <c r="E5927" s="5" t="s">
        <v>171</v>
      </c>
      <c r="F5927" s="9">
        <v>76</v>
      </c>
      <c r="G5927" s="9">
        <v>846</v>
      </c>
      <c r="H5927" s="5" t="s">
        <v>21</v>
      </c>
      <c r="I5927" s="5" t="s">
        <v>13172</v>
      </c>
      <c r="J5927" s="12" t="str">
        <f>HYPERLINK("https://www.boe.es/gazeta/dias/1801/08/07/pdfs/GMD-1801-76.pdf#page=3","Abrir facsímil")</f>
        <v>Abrir facsímil</v>
      </c>
      <c r="K5927" s="15" t="s">
        <v>23</v>
      </c>
    </row>
    <row r="5928" spans="1:11" ht="42" customHeight="1">
      <c r="A5928" s="4" t="s">
        <v>13163</v>
      </c>
      <c r="B5928" s="5" t="s">
        <v>13164</v>
      </c>
      <c r="C5928" s="5" t="s">
        <v>75</v>
      </c>
      <c r="D5928" s="5" t="s">
        <v>76</v>
      </c>
      <c r="E5928" s="5" t="s">
        <v>640</v>
      </c>
      <c r="F5928" s="9">
        <v>81</v>
      </c>
      <c r="G5928" s="9">
        <v>905</v>
      </c>
      <c r="H5928" s="5" t="s">
        <v>21</v>
      </c>
      <c r="I5928" s="5" t="s">
        <v>13173</v>
      </c>
      <c r="J5928" s="12" t="str">
        <f>HYPERLINK("https://www.boe.es/gazeta/dias/1801/08/25/pdfs/GMD-1801-81.pdf#page=2","Abrir facsímil")</f>
        <v>Abrir facsímil</v>
      </c>
      <c r="K5928" s="15" t="s">
        <v>23</v>
      </c>
    </row>
    <row r="5929" spans="1:11" ht="42" customHeight="1">
      <c r="A5929" s="4" t="s">
        <v>13163</v>
      </c>
      <c r="B5929" s="5" t="s">
        <v>13164</v>
      </c>
      <c r="C5929" s="5" t="s">
        <v>75</v>
      </c>
      <c r="D5929" s="5" t="s">
        <v>76</v>
      </c>
      <c r="E5929" s="5" t="s">
        <v>2185</v>
      </c>
      <c r="F5929" s="9">
        <v>84</v>
      </c>
      <c r="G5929" s="9">
        <v>939</v>
      </c>
      <c r="H5929" s="5" t="s">
        <v>21</v>
      </c>
      <c r="I5929" s="5" t="s">
        <v>13174</v>
      </c>
      <c r="J5929" s="12" t="str">
        <f>HYPERLINK("https://www.boe.es/gazeta/dias/1801/09/04/pdfs/GMD-1801-84.pdf#page=2","Abrir facsímil")</f>
        <v>Abrir facsímil</v>
      </c>
      <c r="K5929" s="15" t="s">
        <v>23</v>
      </c>
    </row>
    <row r="5930" spans="1:11" ht="42" customHeight="1">
      <c r="A5930" s="4" t="s">
        <v>13163</v>
      </c>
      <c r="B5930" s="5" t="s">
        <v>13164</v>
      </c>
      <c r="C5930" s="5" t="s">
        <v>75</v>
      </c>
      <c r="D5930" s="5" t="s">
        <v>76</v>
      </c>
      <c r="E5930" s="5" t="s">
        <v>1436</v>
      </c>
      <c r="F5930" s="9">
        <v>95</v>
      </c>
      <c r="G5930" s="9">
        <v>1037</v>
      </c>
      <c r="H5930" s="5" t="s">
        <v>21</v>
      </c>
      <c r="I5930" s="5" t="s">
        <v>13175</v>
      </c>
      <c r="J5930" s="12" t="str">
        <f>HYPERLINK("https://www.boe.es/gazeta/dias/1801/10/06/pdfs/GMD-1801-95.pdf#page=1","Abrir facsímil")</f>
        <v>Abrir facsímil</v>
      </c>
      <c r="K5930" s="15" t="s">
        <v>23</v>
      </c>
    </row>
    <row r="5931" spans="1:11" ht="42" customHeight="1">
      <c r="A5931" s="4" t="s">
        <v>13163</v>
      </c>
      <c r="B5931" s="5" t="s">
        <v>13164</v>
      </c>
      <c r="C5931" s="5" t="s">
        <v>32</v>
      </c>
      <c r="D5931" s="5" t="s">
        <v>33</v>
      </c>
      <c r="E5931" s="5" t="s">
        <v>1436</v>
      </c>
      <c r="F5931" s="9">
        <v>95</v>
      </c>
      <c r="G5931" s="9">
        <v>1041</v>
      </c>
      <c r="H5931" s="5" t="s">
        <v>21</v>
      </c>
      <c r="I5931" s="5" t="s">
        <v>13176</v>
      </c>
      <c r="J5931" s="12" t="str">
        <f>HYPERLINK("https://www.boe.es/gazeta/dias/1801/10/06/pdfs/GMD-1801-95.pdf#page=5","Abrir facsímil")</f>
        <v>Abrir facsímil</v>
      </c>
      <c r="K5931" s="15" t="s">
        <v>23</v>
      </c>
    </row>
    <row r="5932" spans="1:11" ht="42" customHeight="1">
      <c r="A5932" s="4" t="s">
        <v>13163</v>
      </c>
      <c r="B5932" s="5" t="s">
        <v>13164</v>
      </c>
      <c r="C5932" s="5" t="s">
        <v>26</v>
      </c>
      <c r="D5932" s="5" t="s">
        <v>27</v>
      </c>
      <c r="E5932" s="5" t="s">
        <v>888</v>
      </c>
      <c r="F5932" s="9">
        <v>103</v>
      </c>
      <c r="G5932" s="9">
        <v>1130</v>
      </c>
      <c r="H5932" s="5" t="s">
        <v>21</v>
      </c>
      <c r="I5932" s="5" t="s">
        <v>13177</v>
      </c>
      <c r="J5932" s="12" t="str">
        <f>HYPERLINK("https://www.boe.es/gazeta/dias/1801/11/03/pdfs/GMD-1801-103.pdf#page=3","Abrir facsímil")</f>
        <v>Abrir facsímil</v>
      </c>
      <c r="K5932" s="15" t="s">
        <v>23</v>
      </c>
    </row>
    <row r="5933" spans="1:11" ht="42" customHeight="1">
      <c r="A5933" s="4" t="s">
        <v>13163</v>
      </c>
      <c r="B5933" s="5" t="s">
        <v>13164</v>
      </c>
      <c r="C5933" s="5" t="s">
        <v>38</v>
      </c>
      <c r="D5933" s="5" t="s">
        <v>39</v>
      </c>
      <c r="E5933" s="5" t="s">
        <v>501</v>
      </c>
      <c r="F5933" s="9">
        <v>115</v>
      </c>
      <c r="G5933" s="9">
        <v>1255</v>
      </c>
      <c r="H5933" s="5" t="s">
        <v>21</v>
      </c>
      <c r="I5933" s="5" t="s">
        <v>13178</v>
      </c>
      <c r="J5933" s="12" t="str">
        <f>HYPERLINK("https://www.boe.es/gazeta/dias/1801/12/15/pdfs/GMD-1801-115.pdf#page=5","Abrir facsímil")</f>
        <v>Abrir facsímil</v>
      </c>
      <c r="K5933" s="15" t="s">
        <v>23</v>
      </c>
    </row>
    <row r="5934" spans="1:11" ht="42" customHeight="1">
      <c r="A5934" s="4" t="s">
        <v>13163</v>
      </c>
      <c r="B5934" s="5" t="s">
        <v>13164</v>
      </c>
      <c r="C5934" s="5" t="s">
        <v>75</v>
      </c>
      <c r="D5934" s="5" t="s">
        <v>76</v>
      </c>
      <c r="E5934" s="5" t="s">
        <v>44</v>
      </c>
      <c r="F5934" s="9">
        <v>117</v>
      </c>
      <c r="G5934" s="9">
        <v>1277</v>
      </c>
      <c r="H5934" s="5" t="s">
        <v>21</v>
      </c>
      <c r="I5934" s="5" t="s">
        <v>13179</v>
      </c>
      <c r="J5934" s="12" t="str">
        <f>HYPERLINK("https://www.boe.es/gazeta/dias/1801/12/22/pdfs/GMD-1801-117.pdf#page=4","Abrir facsímil")</f>
        <v>Abrir facsímil</v>
      </c>
      <c r="K5934" s="15" t="s">
        <v>23</v>
      </c>
    </row>
    <row r="5935" spans="1:11" ht="42" customHeight="1">
      <c r="A5935" s="4" t="s">
        <v>13180</v>
      </c>
      <c r="B5935" s="5" t="s">
        <v>13181</v>
      </c>
      <c r="C5935" s="5" t="s">
        <v>26</v>
      </c>
      <c r="D5935" s="5" t="s">
        <v>27</v>
      </c>
      <c r="E5935" s="5" t="s">
        <v>182</v>
      </c>
      <c r="F5935" s="9">
        <v>18</v>
      </c>
      <c r="G5935" s="9">
        <v>226</v>
      </c>
      <c r="H5935" s="5" t="s">
        <v>21</v>
      </c>
      <c r="I5935" s="5" t="s">
        <v>13182</v>
      </c>
      <c r="J5935" s="12" t="str">
        <f>HYPERLINK("https://www.boe.es/gazeta/dias/1801/03/03/pdfs/GMD-1801-18.pdf#page=7","Abrir facsímil")</f>
        <v>Abrir facsímil</v>
      </c>
      <c r="K5935" s="15" t="s">
        <v>23</v>
      </c>
    </row>
    <row r="5936" spans="1:11" ht="42" customHeight="1">
      <c r="A5936" s="4" t="s">
        <v>13183</v>
      </c>
      <c r="B5936" s="5" t="s">
        <v>13184</v>
      </c>
      <c r="C5936" s="5" t="s">
        <v>38</v>
      </c>
      <c r="D5936" s="5" t="s">
        <v>39</v>
      </c>
      <c r="E5936" s="5" t="s">
        <v>143</v>
      </c>
      <c r="F5936" s="9">
        <v>34</v>
      </c>
      <c r="G5936" s="9">
        <v>434</v>
      </c>
      <c r="H5936" s="5" t="s">
        <v>21</v>
      </c>
      <c r="I5936" s="5" t="s">
        <v>13185</v>
      </c>
      <c r="J5936" s="12" t="str">
        <f>HYPERLINK("https://www.boe.es/gazeta/dias/1801/04/28/pdfs/GMD-1801-34.pdf#page=6","Abrir facsímil")</f>
        <v>Abrir facsímil</v>
      </c>
      <c r="K5936" s="15" t="s">
        <v>23</v>
      </c>
    </row>
    <row r="5937" spans="1:11" ht="42" customHeight="1">
      <c r="A5937" s="4" t="s">
        <v>13186</v>
      </c>
      <c r="B5937" s="5" t="s">
        <v>13187</v>
      </c>
      <c r="C5937" s="5" t="s">
        <v>18</v>
      </c>
      <c r="D5937" s="5" t="s">
        <v>19</v>
      </c>
      <c r="E5937" s="5" t="s">
        <v>275</v>
      </c>
      <c r="F5937" s="9">
        <v>9</v>
      </c>
      <c r="G5937" s="9">
        <v>106</v>
      </c>
      <c r="H5937" s="5" t="s">
        <v>21</v>
      </c>
      <c r="I5937" s="5" t="s">
        <v>13188</v>
      </c>
      <c r="J5937" s="12" t="str">
        <f>HYPERLINK("https://www.boe.es/gazeta/dias/1801/01/30/pdfs/GMD-1801-9.pdf#page=3","Abrir facsímil")</f>
        <v>Abrir facsímil</v>
      </c>
      <c r="K5937" s="15" t="s">
        <v>23</v>
      </c>
    </row>
    <row r="5938" spans="1:11" ht="42" customHeight="1">
      <c r="A5938" s="4" t="s">
        <v>13186</v>
      </c>
      <c r="B5938" s="5" t="s">
        <v>13187</v>
      </c>
      <c r="C5938" s="5" t="s">
        <v>75</v>
      </c>
      <c r="D5938" s="5" t="s">
        <v>76</v>
      </c>
      <c r="E5938" s="5" t="s">
        <v>781</v>
      </c>
      <c r="F5938" s="9">
        <v>14</v>
      </c>
      <c r="G5938" s="9">
        <v>170</v>
      </c>
      <c r="H5938" s="5" t="s">
        <v>21</v>
      </c>
      <c r="I5938" s="5" t="s">
        <v>13189</v>
      </c>
      <c r="J5938" s="12" t="str">
        <f>HYPERLINK("https://www.boe.es/gazeta/dias/1801/02/17/pdfs/GMD-1801-14.pdf#page=5","Abrir facsímil")</f>
        <v>Abrir facsímil</v>
      </c>
      <c r="K5938" s="15" t="s">
        <v>23</v>
      </c>
    </row>
    <row r="5939" spans="1:11" ht="42" customHeight="1">
      <c r="A5939" s="4" t="s">
        <v>13186</v>
      </c>
      <c r="B5939" s="5" t="s">
        <v>13187</v>
      </c>
      <c r="C5939" s="5" t="s">
        <v>75</v>
      </c>
      <c r="D5939" s="5" t="s">
        <v>76</v>
      </c>
      <c r="E5939" s="5" t="s">
        <v>182</v>
      </c>
      <c r="F5939" s="9">
        <v>18</v>
      </c>
      <c r="G5939" s="9">
        <v>223</v>
      </c>
      <c r="H5939" s="5" t="s">
        <v>21</v>
      </c>
      <c r="I5939" s="5" t="s">
        <v>13190</v>
      </c>
      <c r="J5939" s="12" t="str">
        <f>HYPERLINK("https://www.boe.es/gazeta/dias/1801/03/03/pdfs/GMD-1801-18.pdf#page=4","Abrir facsímil")</f>
        <v>Abrir facsímil</v>
      </c>
      <c r="K5939" s="15" t="s">
        <v>23</v>
      </c>
    </row>
    <row r="5940" spans="1:11" ht="42" customHeight="1">
      <c r="A5940" s="4" t="s">
        <v>13186</v>
      </c>
      <c r="B5940" s="5" t="s">
        <v>13187</v>
      </c>
      <c r="C5940" s="5" t="s">
        <v>75</v>
      </c>
      <c r="D5940" s="5" t="s">
        <v>76</v>
      </c>
      <c r="E5940" s="5" t="s">
        <v>182</v>
      </c>
      <c r="F5940" s="9">
        <v>18</v>
      </c>
      <c r="G5940" s="9">
        <v>226</v>
      </c>
      <c r="H5940" s="5" t="s">
        <v>21</v>
      </c>
      <c r="I5940" s="5" t="s">
        <v>13191</v>
      </c>
      <c r="J5940" s="12" t="str">
        <f>HYPERLINK("https://www.boe.es/gazeta/dias/1801/03/03/pdfs/GMD-1801-18.pdf#page=7","Abrir facsímil")</f>
        <v>Abrir facsímil</v>
      </c>
      <c r="K5940" s="15" t="s">
        <v>23</v>
      </c>
    </row>
    <row r="5941" spans="1:11" ht="42" customHeight="1">
      <c r="A5941" s="4" t="s">
        <v>13186</v>
      </c>
      <c r="B5941" s="5" t="s">
        <v>13187</v>
      </c>
      <c r="C5941" s="5" t="s">
        <v>75</v>
      </c>
      <c r="D5941" s="5" t="s">
        <v>76</v>
      </c>
      <c r="E5941" s="5" t="s">
        <v>94</v>
      </c>
      <c r="F5941" s="9">
        <v>19</v>
      </c>
      <c r="G5941" s="9">
        <v>240</v>
      </c>
      <c r="H5941" s="5" t="s">
        <v>21</v>
      </c>
      <c r="I5941" s="5" t="s">
        <v>13192</v>
      </c>
      <c r="J5941" s="12" t="str">
        <f>HYPERLINK("https://www.boe.es/gazeta/dias/1801/03/06/pdfs/GMD-1801-19.pdf#page=5","Abrir facsímil")</f>
        <v>Abrir facsímil</v>
      </c>
      <c r="K5941" s="15" t="s">
        <v>23</v>
      </c>
    </row>
    <row r="5942" spans="1:11" ht="42" customHeight="1">
      <c r="A5942" s="4" t="s">
        <v>13186</v>
      </c>
      <c r="B5942" s="5" t="s">
        <v>13187</v>
      </c>
      <c r="C5942" s="5" t="s">
        <v>75</v>
      </c>
      <c r="D5942" s="5" t="s">
        <v>76</v>
      </c>
      <c r="E5942" s="5" t="s">
        <v>94</v>
      </c>
      <c r="F5942" s="9">
        <v>19</v>
      </c>
      <c r="G5942" s="9">
        <v>243</v>
      </c>
      <c r="H5942" s="5" t="s">
        <v>21</v>
      </c>
      <c r="I5942" s="5" t="s">
        <v>13193</v>
      </c>
      <c r="J5942" s="12" t="str">
        <f>HYPERLINK("https://www.boe.es/gazeta/dias/1801/03/06/pdfs/GMD-1801-19.pdf#page=8","Abrir facsímil")</f>
        <v>Abrir facsímil</v>
      </c>
      <c r="K5942" s="15" t="s">
        <v>23</v>
      </c>
    </row>
    <row r="5943" spans="1:11" ht="42" customHeight="1">
      <c r="A5943" s="4" t="s">
        <v>13186</v>
      </c>
      <c r="B5943" s="5" t="s">
        <v>13187</v>
      </c>
      <c r="C5943" s="5" t="s">
        <v>38</v>
      </c>
      <c r="D5943" s="5" t="s">
        <v>39</v>
      </c>
      <c r="E5943" s="5" t="s">
        <v>615</v>
      </c>
      <c r="F5943" s="9">
        <v>72</v>
      </c>
      <c r="G5943" s="9">
        <v>801</v>
      </c>
      <c r="H5943" s="5" t="s">
        <v>21</v>
      </c>
      <c r="I5943" s="5" t="s">
        <v>13194</v>
      </c>
      <c r="J5943" s="12" t="str">
        <f>HYPERLINK("https://www.boe.es/gazeta/dias/1801/07/24/pdfs/GMD-1801-72.pdf#page=6","Abrir facsímil")</f>
        <v>Abrir facsímil</v>
      </c>
      <c r="K5943" s="15" t="s">
        <v>23</v>
      </c>
    </row>
    <row r="5944" spans="1:11" ht="42" customHeight="1">
      <c r="A5944" s="4" t="s">
        <v>13195</v>
      </c>
      <c r="B5944" s="5" t="s">
        <v>13196</v>
      </c>
      <c r="C5944" s="5" t="s">
        <v>32</v>
      </c>
      <c r="D5944" s="5" t="s">
        <v>33</v>
      </c>
      <c r="E5944" s="5" t="s">
        <v>289</v>
      </c>
      <c r="F5944" s="9">
        <v>40</v>
      </c>
      <c r="G5944" s="9">
        <v>515</v>
      </c>
      <c r="H5944" s="5" t="s">
        <v>21</v>
      </c>
      <c r="I5944" s="5" t="s">
        <v>13197</v>
      </c>
      <c r="J5944" s="12" t="str">
        <f>HYPERLINK("https://www.boe.es/gazeta/dias/1801/05/19/pdfs/GMD-1801-40.pdf#page=7","Abrir facsímil")</f>
        <v>Abrir facsímil</v>
      </c>
      <c r="K5944" s="15" t="s">
        <v>23</v>
      </c>
    </row>
    <row r="5945" spans="1:11" ht="42" customHeight="1">
      <c r="A5945" s="4" t="s">
        <v>13198</v>
      </c>
      <c r="B5945" s="5" t="s">
        <v>13198</v>
      </c>
      <c r="C5945" s="5" t="s">
        <v>32</v>
      </c>
      <c r="D5945" s="5" t="s">
        <v>33</v>
      </c>
      <c r="E5945" s="5" t="s">
        <v>165</v>
      </c>
      <c r="F5945" s="9">
        <v>59</v>
      </c>
      <c r="G5945" s="9">
        <v>676</v>
      </c>
      <c r="H5945" s="5" t="s">
        <v>21</v>
      </c>
      <c r="I5945" s="5" t="s">
        <v>13199</v>
      </c>
      <c r="J5945" s="12" t="str">
        <f>HYPERLINK("https://www.boe.es/gazeta/dias/1801/06/23/pdfs/GMD-1801-59.pdf#page=9","Abrir facsímil")</f>
        <v>Abrir facsímil</v>
      </c>
      <c r="K5945" s="15" t="s">
        <v>23</v>
      </c>
    </row>
    <row r="5946" spans="1:11" ht="42" customHeight="1">
      <c r="A5946" s="4" t="s">
        <v>13200</v>
      </c>
      <c r="B5946" s="5" t="s">
        <v>13200</v>
      </c>
      <c r="C5946" s="5" t="s">
        <v>26</v>
      </c>
      <c r="D5946" s="5" t="s">
        <v>27</v>
      </c>
      <c r="E5946" s="5" t="s">
        <v>128</v>
      </c>
      <c r="F5946" s="9">
        <v>17</v>
      </c>
      <c r="G5946" s="9">
        <v>217</v>
      </c>
      <c r="H5946" s="5" t="s">
        <v>21</v>
      </c>
      <c r="I5946" s="5" t="s">
        <v>13201</v>
      </c>
      <c r="J5946" s="12" t="str">
        <f>HYPERLINK("https://www.boe.es/gazeta/dias/1801/02/27/pdfs/GMD-1801-17.pdf#page=12","Abrir facsímil")</f>
        <v>Abrir facsímil</v>
      </c>
      <c r="K5946" s="15" t="s">
        <v>23</v>
      </c>
    </row>
    <row r="5947" spans="1:11" ht="42" customHeight="1">
      <c r="A5947" s="4" t="s">
        <v>13202</v>
      </c>
      <c r="B5947" s="5" t="s">
        <v>13203</v>
      </c>
      <c r="C5947" s="5" t="s">
        <v>32</v>
      </c>
      <c r="D5947" s="5" t="s">
        <v>33</v>
      </c>
      <c r="E5947" s="5" t="s">
        <v>712</v>
      </c>
      <c r="F5947" s="9">
        <v>105</v>
      </c>
      <c r="G5947" s="9">
        <v>1155</v>
      </c>
      <c r="H5947" s="5" t="s">
        <v>21</v>
      </c>
      <c r="I5947" s="5" t="s">
        <v>13204</v>
      </c>
      <c r="J5947" s="12" t="str">
        <f>HYPERLINK("https://www.boe.es/gazeta/dias/1801/11/10/pdfs/GMD-1801-105.pdf#page=8","Abrir facsímil")</f>
        <v>Abrir facsímil</v>
      </c>
      <c r="K5947" s="15" t="s">
        <v>23</v>
      </c>
    </row>
    <row r="5948" spans="1:11" ht="42" customHeight="1">
      <c r="A5948" s="4" t="s">
        <v>13205</v>
      </c>
      <c r="B5948" s="5" t="s">
        <v>13206</v>
      </c>
      <c r="C5948" s="5" t="s">
        <v>38</v>
      </c>
      <c r="D5948" s="5" t="s">
        <v>39</v>
      </c>
      <c r="E5948" s="5" t="s">
        <v>97</v>
      </c>
      <c r="F5948" s="9">
        <v>31</v>
      </c>
      <c r="G5948" s="9">
        <v>404</v>
      </c>
      <c r="H5948" s="5" t="s">
        <v>21</v>
      </c>
      <c r="I5948" s="5" t="s">
        <v>13207</v>
      </c>
      <c r="J5948" s="12" t="str">
        <f>HYPERLINK("https://www.boe.es/gazeta/dias/1801/04/17/pdfs/GMD-1801-31.pdf#page=8","Abrir facsímil")</f>
        <v>Abrir facsímil</v>
      </c>
      <c r="K5948" s="15" t="s">
        <v>23</v>
      </c>
    </row>
    <row r="5949" spans="1:11" ht="42" customHeight="1">
      <c r="A5949" s="4" t="s">
        <v>13208</v>
      </c>
      <c r="B5949" s="5" t="s">
        <v>13209</v>
      </c>
      <c r="C5949" s="5" t="s">
        <v>32</v>
      </c>
      <c r="D5949" s="5" t="s">
        <v>33</v>
      </c>
      <c r="E5949" s="5" t="s">
        <v>378</v>
      </c>
      <c r="F5949" s="9">
        <v>23</v>
      </c>
      <c r="G5949" s="9">
        <v>303</v>
      </c>
      <c r="H5949" s="5" t="s">
        <v>21</v>
      </c>
      <c r="I5949" s="5" t="s">
        <v>13210</v>
      </c>
      <c r="J5949" s="12" t="str">
        <f>HYPERLINK("https://www.boe.es/gazeta/dias/1801/03/20/pdfs/GMD-1801-23.pdf#page=6","Abrir facsímil")</f>
        <v>Abrir facsímil</v>
      </c>
      <c r="K5949" s="15" t="s">
        <v>23</v>
      </c>
    </row>
    <row r="5950" spans="1:11" ht="42" customHeight="1">
      <c r="A5950" s="4" t="s">
        <v>13211</v>
      </c>
      <c r="B5950" s="5" t="s">
        <v>13212</v>
      </c>
      <c r="C5950" s="5" t="s">
        <v>515</v>
      </c>
      <c r="D5950" s="5" t="s">
        <v>516</v>
      </c>
      <c r="E5950" s="5" t="s">
        <v>501</v>
      </c>
      <c r="F5950" s="9">
        <v>115</v>
      </c>
      <c r="G5950" s="9" t="s">
        <v>83</v>
      </c>
      <c r="H5950" s="5" t="s">
        <v>21</v>
      </c>
      <c r="I5950" s="5" t="s">
        <v>13213</v>
      </c>
      <c r="J5950" s="12" t="str">
        <f>HYPERLINK("https://www.boe.es/gazeta/dias/1801/12/15/pdfs/GMD-C-1801-115.pdf#page=2","Abrir facsímil")</f>
        <v>Abrir facsímil</v>
      </c>
      <c r="K5950" s="15" t="s">
        <v>23</v>
      </c>
    </row>
    <row r="5951" spans="1:11" ht="42" customHeight="1">
      <c r="A5951" s="4" t="s">
        <v>13214</v>
      </c>
      <c r="B5951" s="5" t="s">
        <v>13215</v>
      </c>
      <c r="C5951" s="5" t="s">
        <v>75</v>
      </c>
      <c r="D5951" s="5" t="s">
        <v>76</v>
      </c>
      <c r="E5951" s="5" t="s">
        <v>112</v>
      </c>
      <c r="F5951" s="9">
        <v>114</v>
      </c>
      <c r="G5951" s="9">
        <v>1242</v>
      </c>
      <c r="H5951" s="5" t="s">
        <v>21</v>
      </c>
      <c r="I5951" s="5" t="s">
        <v>13216</v>
      </c>
      <c r="J5951" s="12" t="str">
        <f>HYPERLINK("https://www.boe.es/gazeta/dias/1801/12/11/pdfs/GMD-1801-114.pdf#page=4","Abrir facsímil")</f>
        <v>Abrir facsímil</v>
      </c>
      <c r="K5951" s="15" t="s">
        <v>23</v>
      </c>
    </row>
    <row r="5952" spans="1:11" ht="42" customHeight="1">
      <c r="A5952" s="4" t="s">
        <v>13217</v>
      </c>
      <c r="B5952" s="5" t="s">
        <v>13218</v>
      </c>
      <c r="C5952" s="5" t="s">
        <v>32</v>
      </c>
      <c r="D5952" s="5" t="s">
        <v>33</v>
      </c>
      <c r="E5952" s="5" t="s">
        <v>169</v>
      </c>
      <c r="F5952" s="9">
        <v>70</v>
      </c>
      <c r="G5952" s="9">
        <v>774</v>
      </c>
      <c r="H5952" s="5" t="s">
        <v>21</v>
      </c>
      <c r="I5952" s="5" t="s">
        <v>13219</v>
      </c>
      <c r="J5952" s="12" t="str">
        <f>HYPERLINK("https://www.boe.es/gazeta/dias/1801/07/17/pdfs/GMD-1801-70.pdf#page=7","Abrir facsímil")</f>
        <v>Abrir facsímil</v>
      </c>
      <c r="K5952" s="15" t="s">
        <v>23</v>
      </c>
    </row>
    <row r="5953" spans="1:11" ht="42" customHeight="1">
      <c r="A5953" s="4" t="s">
        <v>13220</v>
      </c>
      <c r="B5953" s="5" t="s">
        <v>13221</v>
      </c>
      <c r="C5953" s="5" t="s">
        <v>75</v>
      </c>
      <c r="D5953" s="5" t="s">
        <v>76</v>
      </c>
      <c r="E5953" s="5" t="s">
        <v>1015</v>
      </c>
      <c r="F5953" s="9">
        <v>15</v>
      </c>
      <c r="G5953" s="9">
        <v>186</v>
      </c>
      <c r="H5953" s="5" t="s">
        <v>21</v>
      </c>
      <c r="I5953" s="5" t="s">
        <v>13222</v>
      </c>
      <c r="J5953" s="12" t="str">
        <f>HYPERLINK("https://www.boe.es/gazeta/dias/1801/02/20/pdfs/GMD-1801-15.pdf#page=5","Abrir facsímil")</f>
        <v>Abrir facsímil</v>
      </c>
      <c r="K5953" s="15" t="s">
        <v>23</v>
      </c>
    </row>
    <row r="5954" spans="1:11" ht="42" customHeight="1">
      <c r="A5954" s="4" t="s">
        <v>13223</v>
      </c>
      <c r="B5954" s="5" t="s">
        <v>13224</v>
      </c>
      <c r="C5954" s="5" t="s">
        <v>32</v>
      </c>
      <c r="D5954" s="5" t="s">
        <v>33</v>
      </c>
      <c r="E5954" s="5" t="s">
        <v>50</v>
      </c>
      <c r="F5954" s="9">
        <v>29</v>
      </c>
      <c r="G5954" s="9">
        <v>378</v>
      </c>
      <c r="H5954" s="5" t="s">
        <v>21</v>
      </c>
      <c r="I5954" s="5" t="s">
        <v>13225</v>
      </c>
      <c r="J5954" s="12" t="str">
        <f>HYPERLINK("https://www.boe.es/gazeta/dias/1801/04/10/pdfs/GMD-1801-29.pdf#page=6","Abrir facsímil")</f>
        <v>Abrir facsímil</v>
      </c>
      <c r="K5954" s="15" t="s">
        <v>23</v>
      </c>
    </row>
    <row r="5955" spans="1:11" ht="42" customHeight="1">
      <c r="A5955" s="4" t="s">
        <v>13226</v>
      </c>
      <c r="B5955" s="5" t="s">
        <v>13227</v>
      </c>
      <c r="C5955" s="5" t="s">
        <v>32</v>
      </c>
      <c r="D5955" s="5" t="s">
        <v>33</v>
      </c>
      <c r="E5955" s="5" t="s">
        <v>924</v>
      </c>
      <c r="F5955" s="9">
        <v>90</v>
      </c>
      <c r="G5955" s="9">
        <v>992</v>
      </c>
      <c r="H5955" s="5" t="s">
        <v>21</v>
      </c>
      <c r="I5955" s="5" t="s">
        <v>13228</v>
      </c>
      <c r="J5955" s="12" t="str">
        <f>HYPERLINK("https://www.boe.es/gazeta/dias/1801/09/18/pdfs/GMD-1801-90.pdf#page=7","Abrir facsímil")</f>
        <v>Abrir facsímil</v>
      </c>
      <c r="K5955" s="15" t="s">
        <v>23</v>
      </c>
    </row>
    <row r="5956" spans="1:11" ht="42" customHeight="1">
      <c r="A5956" s="4" t="s">
        <v>13229</v>
      </c>
      <c r="B5956" s="5" t="s">
        <v>13230</v>
      </c>
      <c r="C5956" s="5" t="s">
        <v>75</v>
      </c>
      <c r="D5956" s="5" t="s">
        <v>76</v>
      </c>
      <c r="E5956" s="5" t="s">
        <v>182</v>
      </c>
      <c r="F5956" s="9">
        <v>18</v>
      </c>
      <c r="G5956" s="9">
        <v>222</v>
      </c>
      <c r="H5956" s="5" t="s">
        <v>21</v>
      </c>
      <c r="I5956" s="5" t="s">
        <v>13231</v>
      </c>
      <c r="J5956" s="12" t="str">
        <f>HYPERLINK("https://www.boe.es/gazeta/dias/1801/03/03/pdfs/GMD-1801-18.pdf#page=3","Abrir facsímil")</f>
        <v>Abrir facsímil</v>
      </c>
      <c r="K5956" s="15" t="s">
        <v>23</v>
      </c>
    </row>
    <row r="5957" spans="1:11" ht="42" customHeight="1">
      <c r="A5957" s="4" t="s">
        <v>13232</v>
      </c>
      <c r="B5957" s="5" t="s">
        <v>13233</v>
      </c>
      <c r="C5957" s="5" t="s">
        <v>26</v>
      </c>
      <c r="D5957" s="5" t="s">
        <v>27</v>
      </c>
      <c r="E5957" s="5" t="s">
        <v>378</v>
      </c>
      <c r="F5957" s="9">
        <v>23</v>
      </c>
      <c r="G5957" s="9">
        <v>309</v>
      </c>
      <c r="H5957" s="5" t="s">
        <v>21</v>
      </c>
      <c r="I5957" s="5" t="s">
        <v>13234</v>
      </c>
      <c r="J5957" s="12" t="str">
        <f>HYPERLINK("https://www.boe.es/gazeta/dias/1801/03/20/pdfs/GMD-1801-23.pdf#page=12","Abrir facsímil")</f>
        <v>Abrir facsímil</v>
      </c>
      <c r="K5957" s="15" t="s">
        <v>23</v>
      </c>
    </row>
    <row r="5958" spans="1:11" ht="42" customHeight="1">
      <c r="A5958" s="4" t="s">
        <v>13235</v>
      </c>
      <c r="B5958" s="5" t="s">
        <v>13236</v>
      </c>
      <c r="C5958" s="5" t="s">
        <v>26</v>
      </c>
      <c r="D5958" s="5" t="s">
        <v>27</v>
      </c>
      <c r="E5958" s="5" t="s">
        <v>135</v>
      </c>
      <c r="F5958" s="9">
        <v>24</v>
      </c>
      <c r="G5958" s="9">
        <v>321</v>
      </c>
      <c r="H5958" s="5" t="s">
        <v>21</v>
      </c>
      <c r="I5958" s="5" t="s">
        <v>13237</v>
      </c>
      <c r="J5958" s="12" t="str">
        <f>HYPERLINK("https://www.boe.es/gazeta/dias/1801/03/24/pdfs/GMD-1801-24.pdf#page=12","Abrir facsímil")</f>
        <v>Abrir facsímil</v>
      </c>
      <c r="K5958" s="15" t="s">
        <v>23</v>
      </c>
    </row>
    <row r="5959" spans="1:11" ht="42" customHeight="1">
      <c r="A5959" s="4" t="s">
        <v>13238</v>
      </c>
      <c r="B5959" s="5" t="s">
        <v>13239</v>
      </c>
      <c r="C5959" s="5" t="s">
        <v>26</v>
      </c>
      <c r="D5959" s="5" t="s">
        <v>27</v>
      </c>
      <c r="E5959" s="5" t="s">
        <v>292</v>
      </c>
      <c r="F5959" s="9">
        <v>25</v>
      </c>
      <c r="G5959" s="9">
        <v>333</v>
      </c>
      <c r="H5959" s="5" t="s">
        <v>21</v>
      </c>
      <c r="I5959" s="5" t="s">
        <v>13240</v>
      </c>
      <c r="J5959" s="12" t="str">
        <f>HYPERLINK("https://www.boe.es/gazeta/dias/1801/03/27/pdfs/GMD-1801-25.pdf#page=12","Abrir facsímil")</f>
        <v>Abrir facsímil</v>
      </c>
      <c r="K5959" s="15" t="s">
        <v>23</v>
      </c>
    </row>
    <row r="5960" spans="1:11" ht="42" customHeight="1">
      <c r="A5960" s="4" t="s">
        <v>13238</v>
      </c>
      <c r="B5960" s="5" t="s">
        <v>13239</v>
      </c>
      <c r="C5960" s="5" t="s">
        <v>32</v>
      </c>
      <c r="D5960" s="5" t="s">
        <v>33</v>
      </c>
      <c r="E5960" s="5" t="s">
        <v>105</v>
      </c>
      <c r="F5960" s="9">
        <v>44</v>
      </c>
      <c r="G5960" s="9">
        <v>552</v>
      </c>
      <c r="H5960" s="5" t="s">
        <v>21</v>
      </c>
      <c r="I5960" s="5" t="s">
        <v>13241</v>
      </c>
      <c r="J5960" s="12" t="str">
        <f>HYPERLINK("https://www.boe.es/gazeta/dias/1801/05/29/pdfs/GMD-1801-44.pdf#page=12","Abrir facsímil")</f>
        <v>Abrir facsímil</v>
      </c>
      <c r="K5960" s="15" t="s">
        <v>23</v>
      </c>
    </row>
    <row r="5961" spans="1:11" ht="42" customHeight="1">
      <c r="A5961" s="4" t="s">
        <v>13242</v>
      </c>
      <c r="B5961" s="5" t="s">
        <v>13243</v>
      </c>
      <c r="C5961" s="5" t="s">
        <v>32</v>
      </c>
      <c r="D5961" s="5" t="s">
        <v>33</v>
      </c>
      <c r="E5961" s="5" t="s">
        <v>924</v>
      </c>
      <c r="F5961" s="9">
        <v>90</v>
      </c>
      <c r="G5961" s="9">
        <v>992</v>
      </c>
      <c r="H5961" s="5" t="s">
        <v>21</v>
      </c>
      <c r="I5961" s="5" t="s">
        <v>13244</v>
      </c>
      <c r="J5961" s="12" t="str">
        <f>HYPERLINK("https://www.boe.es/gazeta/dias/1801/09/18/pdfs/GMD-1801-90.pdf#page=7","Abrir facsímil")</f>
        <v>Abrir facsímil</v>
      </c>
      <c r="K5961" s="15" t="s">
        <v>23</v>
      </c>
    </row>
    <row r="5962" spans="1:11" ht="42" customHeight="1">
      <c r="A5962" s="4" t="s">
        <v>13245</v>
      </c>
      <c r="B5962" s="5" t="s">
        <v>13246</v>
      </c>
      <c r="C5962" s="5" t="s">
        <v>32</v>
      </c>
      <c r="D5962" s="5" t="s">
        <v>33</v>
      </c>
      <c r="E5962" s="5" t="s">
        <v>48</v>
      </c>
      <c r="F5962" s="9">
        <v>20</v>
      </c>
      <c r="G5962" s="9">
        <v>265</v>
      </c>
      <c r="H5962" s="5" t="s">
        <v>21</v>
      </c>
      <c r="I5962" s="5" t="s">
        <v>13247</v>
      </c>
      <c r="J5962" s="12" t="str">
        <f>HYPERLINK("https://www.boe.es/gazeta/dias/1801/03/10/pdfs/GMD-1801-20.pdf#page=10","Abrir facsímil")</f>
        <v>Abrir facsímil</v>
      </c>
      <c r="K5962" s="15" t="s">
        <v>23</v>
      </c>
    </row>
    <row r="5963" spans="1:11" ht="42" customHeight="1">
      <c r="A5963" s="4" t="s">
        <v>13248</v>
      </c>
      <c r="B5963" s="5" t="s">
        <v>13249</v>
      </c>
      <c r="C5963" s="5" t="s">
        <v>32</v>
      </c>
      <c r="D5963" s="5" t="s">
        <v>33</v>
      </c>
      <c r="E5963" s="5" t="s">
        <v>171</v>
      </c>
      <c r="F5963" s="9">
        <v>76</v>
      </c>
      <c r="G5963" s="9">
        <v>852</v>
      </c>
      <c r="H5963" s="5" t="s">
        <v>21</v>
      </c>
      <c r="I5963" s="5" t="s">
        <v>13250</v>
      </c>
      <c r="J5963" s="12" t="str">
        <f>HYPERLINK("https://www.boe.es/gazeta/dias/1801/08/07/pdfs/GMD-1801-76.pdf#page=9","Abrir facsímil")</f>
        <v>Abrir facsímil</v>
      </c>
      <c r="K5963" s="15" t="s">
        <v>23</v>
      </c>
    </row>
    <row r="5964" spans="1:11" ht="42" customHeight="1">
      <c r="A5964" s="4" t="s">
        <v>13251</v>
      </c>
      <c r="B5964" s="5" t="s">
        <v>13252</v>
      </c>
      <c r="C5964" s="5" t="s">
        <v>69</v>
      </c>
      <c r="D5964" s="5" t="s">
        <v>19</v>
      </c>
      <c r="E5964" s="5" t="s">
        <v>34</v>
      </c>
      <c r="F5964" s="9">
        <v>38</v>
      </c>
      <c r="G5964" s="9">
        <v>493</v>
      </c>
      <c r="H5964" s="5" t="s">
        <v>21</v>
      </c>
      <c r="I5964" s="5" t="s">
        <v>13253</v>
      </c>
      <c r="J5964" s="12" t="str">
        <f>HYPERLINK("https://www.boe.es/gazeta/dias/1801/05/12/pdfs/GMD-1801-38.pdf#page=9","Abrir facsímil")</f>
        <v>Abrir facsímil</v>
      </c>
      <c r="K5964" s="15" t="s">
        <v>23</v>
      </c>
    </row>
    <row r="5965" spans="1:11" ht="42" customHeight="1">
      <c r="A5965" s="4" t="s">
        <v>13254</v>
      </c>
      <c r="B5965" s="5" t="s">
        <v>13255</v>
      </c>
      <c r="C5965" s="5" t="s">
        <v>75</v>
      </c>
      <c r="D5965" s="5" t="s">
        <v>76</v>
      </c>
      <c r="E5965" s="5" t="s">
        <v>141</v>
      </c>
      <c r="F5965" s="9">
        <v>33</v>
      </c>
      <c r="G5965" s="9">
        <v>423</v>
      </c>
      <c r="H5965" s="5" t="s">
        <v>21</v>
      </c>
      <c r="I5965" s="5" t="s">
        <v>13256</v>
      </c>
      <c r="J5965" s="12" t="str">
        <f>HYPERLINK("https://www.boe.es/gazeta/dias/1801/04/24/pdfs/GMD-1801-33.pdf#page=7","Abrir facsímil")</f>
        <v>Abrir facsímil</v>
      </c>
      <c r="K5965" s="15" t="s">
        <v>23</v>
      </c>
    </row>
    <row r="5966" spans="1:11" ht="42" customHeight="1">
      <c r="A5966" s="4" t="s">
        <v>13257</v>
      </c>
      <c r="B5966" s="5" t="s">
        <v>13258</v>
      </c>
      <c r="C5966" s="5" t="s">
        <v>80</v>
      </c>
      <c r="D5966" s="5" t="s">
        <v>81</v>
      </c>
      <c r="E5966" s="5" t="s">
        <v>82</v>
      </c>
      <c r="F5966" s="9">
        <v>75</v>
      </c>
      <c r="G5966" s="9" t="s">
        <v>305</v>
      </c>
      <c r="H5966" s="5" t="s">
        <v>21</v>
      </c>
      <c r="I5966" s="5" t="s">
        <v>13259</v>
      </c>
      <c r="J5966" s="12" t="str">
        <f>HYPERLINK("https://www.boe.es/gazeta/dias/1801/08/04/pdfs/GMD-C-1801-75.pdf#page=4","Abrir facsímil")</f>
        <v>Abrir facsímil</v>
      </c>
      <c r="K5966" s="15" t="s">
        <v>23</v>
      </c>
    </row>
    <row r="5967" spans="1:11" ht="42" customHeight="1">
      <c r="A5967" s="4" t="s">
        <v>13260</v>
      </c>
      <c r="B5967" s="5" t="s">
        <v>13261</v>
      </c>
      <c r="C5967" s="5" t="s">
        <v>32</v>
      </c>
      <c r="D5967" s="5" t="s">
        <v>33</v>
      </c>
      <c r="E5967" s="5" t="s">
        <v>90</v>
      </c>
      <c r="F5967" s="9">
        <v>1</v>
      </c>
      <c r="G5967" s="9">
        <v>5</v>
      </c>
      <c r="H5967" s="5" t="s">
        <v>21</v>
      </c>
      <c r="I5967" s="5" t="s">
        <v>13262</v>
      </c>
      <c r="J5967" s="12" t="str">
        <f>HYPERLINK("https://www.boe.es/gazeta/dias/1801/01/02/pdfs/GMD-1801-1.pdf#page=5","Abrir facsímil")</f>
        <v>Abrir facsímil</v>
      </c>
      <c r="K5967" s="15" t="s">
        <v>23</v>
      </c>
    </row>
    <row r="5968" spans="1:11" ht="42" customHeight="1">
      <c r="A5968" s="4" t="s">
        <v>13260</v>
      </c>
      <c r="B5968" s="5" t="s">
        <v>13261</v>
      </c>
      <c r="C5968" s="5" t="s">
        <v>38</v>
      </c>
      <c r="D5968" s="5" t="s">
        <v>39</v>
      </c>
      <c r="E5968" s="5" t="s">
        <v>126</v>
      </c>
      <c r="F5968" s="9">
        <v>13</v>
      </c>
      <c r="G5968" s="9">
        <v>160</v>
      </c>
      <c r="H5968" s="5" t="s">
        <v>21</v>
      </c>
      <c r="I5968" s="5" t="s">
        <v>13263</v>
      </c>
      <c r="J5968" s="12" t="str">
        <f>HYPERLINK("https://www.boe.es/gazeta/dias/1801/02/13/pdfs/GMD-1801-13.pdf#page=7","Abrir facsímil")</f>
        <v>Abrir facsímil</v>
      </c>
      <c r="K5968" s="15" t="s">
        <v>23</v>
      </c>
    </row>
    <row r="5969" spans="1:11" ht="42" customHeight="1">
      <c r="A5969" s="4" t="s">
        <v>13260</v>
      </c>
      <c r="B5969" s="5" t="s">
        <v>13261</v>
      </c>
      <c r="C5969" s="5" t="s">
        <v>32</v>
      </c>
      <c r="D5969" s="5" t="s">
        <v>33</v>
      </c>
      <c r="E5969" s="5" t="s">
        <v>215</v>
      </c>
      <c r="F5969" s="9">
        <v>71</v>
      </c>
      <c r="G5969" s="9">
        <v>784</v>
      </c>
      <c r="H5969" s="5" t="s">
        <v>21</v>
      </c>
      <c r="I5969" s="5" t="s">
        <v>13264</v>
      </c>
      <c r="J5969" s="12" t="str">
        <f>HYPERLINK("https://www.boe.es/gazeta/dias/1801/07/21/pdfs/GMD-1801-71.pdf#page=5","Abrir facsímil")</f>
        <v>Abrir facsímil</v>
      </c>
      <c r="K5969" s="15" t="s">
        <v>23</v>
      </c>
    </row>
    <row r="5970" spans="1:11" ht="42" customHeight="1">
      <c r="A5970" s="4" t="s">
        <v>13260</v>
      </c>
      <c r="B5970" s="5" t="s">
        <v>13261</v>
      </c>
      <c r="C5970" s="5" t="s">
        <v>38</v>
      </c>
      <c r="D5970" s="5" t="s">
        <v>39</v>
      </c>
      <c r="E5970" s="5" t="s">
        <v>112</v>
      </c>
      <c r="F5970" s="9">
        <v>114</v>
      </c>
      <c r="G5970" s="9">
        <v>1245</v>
      </c>
      <c r="H5970" s="5" t="s">
        <v>21</v>
      </c>
      <c r="I5970" s="5" t="s">
        <v>13265</v>
      </c>
      <c r="J5970" s="12" t="str">
        <f>HYPERLINK("https://www.boe.es/gazeta/dias/1801/12/11/pdfs/GMD-1801-114.pdf#page=7","Abrir facsímil")</f>
        <v>Abrir facsímil</v>
      </c>
      <c r="K5970" s="15" t="s">
        <v>23</v>
      </c>
    </row>
    <row r="5971" spans="1:11" ht="42" customHeight="1">
      <c r="A5971" s="4" t="s">
        <v>13266</v>
      </c>
      <c r="B5971" s="5" t="s">
        <v>13267</v>
      </c>
      <c r="C5971" s="5" t="s">
        <v>32</v>
      </c>
      <c r="D5971" s="5" t="s">
        <v>33</v>
      </c>
      <c r="E5971" s="5" t="s">
        <v>120</v>
      </c>
      <c r="F5971" s="9">
        <v>7</v>
      </c>
      <c r="G5971" s="9">
        <v>82</v>
      </c>
      <c r="H5971" s="5" t="s">
        <v>21</v>
      </c>
      <c r="I5971" s="5" t="s">
        <v>13268</v>
      </c>
      <c r="J5971" s="12" t="str">
        <f>HYPERLINK("https://www.boe.es/gazeta/dias/1801/01/23/pdfs/GMD-1801-7.pdf#page=6","Abrir facsímil")</f>
        <v>Abrir facsímil</v>
      </c>
      <c r="K5971" s="15" t="s">
        <v>23</v>
      </c>
    </row>
    <row r="5972" spans="1:11" ht="42" customHeight="1">
      <c r="A5972" s="4" t="s">
        <v>13266</v>
      </c>
      <c r="B5972" s="5" t="s">
        <v>13267</v>
      </c>
      <c r="C5972" s="5" t="s">
        <v>32</v>
      </c>
      <c r="D5972" s="5" t="s">
        <v>33</v>
      </c>
      <c r="E5972" s="5" t="s">
        <v>781</v>
      </c>
      <c r="F5972" s="9">
        <v>14</v>
      </c>
      <c r="G5972" s="9">
        <v>171</v>
      </c>
      <c r="H5972" s="5" t="s">
        <v>21</v>
      </c>
      <c r="I5972" s="5" t="s">
        <v>13269</v>
      </c>
      <c r="J5972" s="12" t="str">
        <f>HYPERLINK("https://www.boe.es/gazeta/dias/1801/02/17/pdfs/GMD-1801-14.pdf#page=6","Abrir facsímil")</f>
        <v>Abrir facsímil</v>
      </c>
      <c r="K5972" s="15" t="s">
        <v>23</v>
      </c>
    </row>
    <row r="5973" spans="1:11" ht="42" customHeight="1">
      <c r="A5973" s="4" t="s">
        <v>13266</v>
      </c>
      <c r="B5973" s="5" t="s">
        <v>13267</v>
      </c>
      <c r="C5973" s="5" t="s">
        <v>32</v>
      </c>
      <c r="D5973" s="5" t="s">
        <v>33</v>
      </c>
      <c r="E5973" s="5" t="s">
        <v>190</v>
      </c>
      <c r="F5973" s="9">
        <v>16</v>
      </c>
      <c r="G5973" s="9">
        <v>198</v>
      </c>
      <c r="H5973" s="5" t="s">
        <v>21</v>
      </c>
      <c r="I5973" s="5" t="s">
        <v>13270</v>
      </c>
      <c r="J5973" s="12" t="str">
        <f>HYPERLINK("https://www.boe.es/gazeta/dias/1801/02/24/pdfs/GMD-1801-16.pdf#page=5","Abrir facsímil")</f>
        <v>Abrir facsímil</v>
      </c>
      <c r="K5973" s="15" t="s">
        <v>23</v>
      </c>
    </row>
    <row r="5974" spans="1:11" ht="42" customHeight="1">
      <c r="A5974" s="4" t="s">
        <v>13266</v>
      </c>
      <c r="B5974" s="5" t="s">
        <v>13267</v>
      </c>
      <c r="C5974" s="5" t="s">
        <v>32</v>
      </c>
      <c r="D5974" s="5" t="s">
        <v>33</v>
      </c>
      <c r="E5974" s="5" t="s">
        <v>34</v>
      </c>
      <c r="F5974" s="9">
        <v>38</v>
      </c>
      <c r="G5974" s="9">
        <v>491</v>
      </c>
      <c r="H5974" s="5" t="s">
        <v>21</v>
      </c>
      <c r="I5974" s="5" t="s">
        <v>13271</v>
      </c>
      <c r="J5974" s="12" t="str">
        <f>HYPERLINK("https://www.boe.es/gazeta/dias/1801/05/12/pdfs/GMD-1801-38.pdf#page=7","Abrir facsímil")</f>
        <v>Abrir facsímil</v>
      </c>
      <c r="K5974" s="15" t="s">
        <v>23</v>
      </c>
    </row>
    <row r="5975" spans="1:11" ht="42" customHeight="1">
      <c r="A5975" s="4" t="s">
        <v>13272</v>
      </c>
      <c r="B5975" s="5" t="s">
        <v>13273</v>
      </c>
      <c r="C5975" s="5" t="s">
        <v>515</v>
      </c>
      <c r="D5975" s="5" t="s">
        <v>516</v>
      </c>
      <c r="E5975" s="5" t="s">
        <v>143</v>
      </c>
      <c r="F5975" s="9">
        <v>34</v>
      </c>
      <c r="G5975" s="9">
        <v>441</v>
      </c>
      <c r="H5975" s="5" t="s">
        <v>21</v>
      </c>
      <c r="I5975" s="5" t="s">
        <v>13274</v>
      </c>
      <c r="J5975" s="12" t="str">
        <f>HYPERLINK("https://www.boe.es/gazeta/dias/1801/04/28/pdfs/GMD-C-1801-34.pdf#page=1","Abrir facsímil")</f>
        <v>Abrir facsímil</v>
      </c>
      <c r="K5975" s="15" t="s">
        <v>23</v>
      </c>
    </row>
    <row r="5976" spans="1:11" ht="42" customHeight="1">
      <c r="A5976" s="4" t="s">
        <v>13275</v>
      </c>
      <c r="B5976" s="5" t="s">
        <v>13276</v>
      </c>
      <c r="C5976" s="5" t="s">
        <v>38</v>
      </c>
      <c r="D5976" s="5" t="s">
        <v>39</v>
      </c>
      <c r="E5976" s="5" t="s">
        <v>201</v>
      </c>
      <c r="F5976" s="9">
        <v>79</v>
      </c>
      <c r="G5976" s="9">
        <v>888</v>
      </c>
      <c r="H5976" s="5" t="s">
        <v>21</v>
      </c>
      <c r="I5976" s="5" t="s">
        <v>13277</v>
      </c>
      <c r="J5976" s="12" t="str">
        <f>HYPERLINK("https://www.boe.es/gazeta/dias/1801/08/18/pdfs/GMD-1801-79.pdf#page=5","Abrir facsímil")</f>
        <v>Abrir facsímil</v>
      </c>
      <c r="K5976" s="15" t="s">
        <v>23</v>
      </c>
    </row>
    <row r="5977" spans="1:11" ht="42" customHeight="1">
      <c r="A5977" s="4" t="s">
        <v>13278</v>
      </c>
      <c r="B5977" s="5" t="s">
        <v>13279</v>
      </c>
      <c r="C5977" s="5" t="s">
        <v>32</v>
      </c>
      <c r="D5977" s="5" t="s">
        <v>33</v>
      </c>
      <c r="E5977" s="5" t="s">
        <v>90</v>
      </c>
      <c r="F5977" s="9">
        <v>1</v>
      </c>
      <c r="G5977" s="9">
        <v>9</v>
      </c>
      <c r="H5977" s="5" t="s">
        <v>21</v>
      </c>
      <c r="I5977" s="5" t="s">
        <v>13280</v>
      </c>
      <c r="J5977" s="12" t="str">
        <f>HYPERLINK("https://www.boe.es/gazeta/dias/1801/01/02/pdfs/GMD-1801-1.pdf#page=9","Abrir facsímil")</f>
        <v>Abrir facsímil</v>
      </c>
      <c r="K5977" s="15" t="s">
        <v>23</v>
      </c>
    </row>
    <row r="5978" spans="1:11" ht="42" customHeight="1">
      <c r="A5978" s="4" t="s">
        <v>13281</v>
      </c>
      <c r="B5978" s="5" t="s">
        <v>13282</v>
      </c>
      <c r="C5978" s="5" t="s">
        <v>32</v>
      </c>
      <c r="D5978" s="5" t="s">
        <v>33</v>
      </c>
      <c r="E5978" s="5" t="s">
        <v>723</v>
      </c>
      <c r="F5978" s="9">
        <v>113</v>
      </c>
      <c r="G5978" s="9">
        <v>1234</v>
      </c>
      <c r="H5978" s="5" t="s">
        <v>21</v>
      </c>
      <c r="I5978" s="5" t="s">
        <v>13283</v>
      </c>
      <c r="J5978" s="12" t="str">
        <f>HYPERLINK("https://www.boe.es/gazeta/dias/1801/12/08/pdfs/GMD-1801-113.pdf#page=7","Abrir facsímil")</f>
        <v>Abrir facsímil</v>
      </c>
      <c r="K5978" s="15" t="s">
        <v>23</v>
      </c>
    </row>
    <row r="5979" spans="1:11" ht="42" customHeight="1">
      <c r="A5979" s="4" t="s">
        <v>13284</v>
      </c>
      <c r="B5979" s="5" t="s">
        <v>13285</v>
      </c>
      <c r="C5979" s="5" t="s">
        <v>32</v>
      </c>
      <c r="D5979" s="5" t="s">
        <v>33</v>
      </c>
      <c r="E5979" s="5" t="s">
        <v>120</v>
      </c>
      <c r="F5979" s="9">
        <v>7</v>
      </c>
      <c r="G5979" s="9">
        <v>84</v>
      </c>
      <c r="H5979" s="5" t="s">
        <v>21</v>
      </c>
      <c r="I5979" s="5" t="s">
        <v>13286</v>
      </c>
      <c r="J5979" s="12" t="str">
        <f>HYPERLINK("https://www.boe.es/gazeta/dias/1801/01/23/pdfs/GMD-1801-7.pdf#page=8","Abrir facsímil")</f>
        <v>Abrir facsímil</v>
      </c>
      <c r="K5979" s="15" t="s">
        <v>23</v>
      </c>
    </row>
    <row r="5980" spans="1:11" ht="42" customHeight="1">
      <c r="A5980" s="4" t="s">
        <v>13287</v>
      </c>
      <c r="B5980" s="5" t="s">
        <v>13288</v>
      </c>
      <c r="C5980" s="5" t="s">
        <v>75</v>
      </c>
      <c r="D5980" s="5" t="s">
        <v>76</v>
      </c>
      <c r="E5980" s="5" t="s">
        <v>62</v>
      </c>
      <c r="F5980" s="9">
        <v>6</v>
      </c>
      <c r="G5980" s="9">
        <v>69</v>
      </c>
      <c r="H5980" s="5" t="s">
        <v>21</v>
      </c>
      <c r="I5980" s="5" t="s">
        <v>13289</v>
      </c>
      <c r="J5980" s="12" t="str">
        <f>HYPERLINK("https://www.boe.es/gazeta/dias/1801/01/20/pdfs/GMD-1801-6.pdf#page=5","Abrir facsímil")</f>
        <v>Abrir facsímil</v>
      </c>
      <c r="K5980" s="15" t="s">
        <v>23</v>
      </c>
    </row>
    <row r="5981" spans="1:11" ht="42" customHeight="1">
      <c r="A5981" s="4" t="s">
        <v>13290</v>
      </c>
      <c r="B5981" s="5" t="s">
        <v>13291</v>
      </c>
      <c r="C5981" s="5" t="s">
        <v>75</v>
      </c>
      <c r="D5981" s="5" t="s">
        <v>76</v>
      </c>
      <c r="E5981" s="5" t="s">
        <v>182</v>
      </c>
      <c r="F5981" s="9">
        <v>18</v>
      </c>
      <c r="G5981" s="9">
        <v>225</v>
      </c>
      <c r="H5981" s="5" t="s">
        <v>21</v>
      </c>
      <c r="I5981" s="5" t="s">
        <v>13292</v>
      </c>
      <c r="J5981" s="12" t="str">
        <f>HYPERLINK("https://www.boe.es/gazeta/dias/1801/03/03/pdfs/GMD-1801-18.pdf#page=6","Abrir facsímil")</f>
        <v>Abrir facsímil</v>
      </c>
      <c r="K5981" s="15" t="s">
        <v>23</v>
      </c>
    </row>
    <row r="5982" spans="1:11" ht="42" customHeight="1">
      <c r="A5982" s="4" t="s">
        <v>13293</v>
      </c>
      <c r="B5982" s="5" t="s">
        <v>13294</v>
      </c>
      <c r="C5982" s="5" t="s">
        <v>38</v>
      </c>
      <c r="D5982" s="5" t="s">
        <v>39</v>
      </c>
      <c r="E5982" s="5" t="s">
        <v>126</v>
      </c>
      <c r="F5982" s="9">
        <v>13</v>
      </c>
      <c r="G5982" s="9">
        <v>159</v>
      </c>
      <c r="H5982" s="5" t="s">
        <v>21</v>
      </c>
      <c r="I5982" s="5" t="s">
        <v>13295</v>
      </c>
      <c r="J5982" s="12" t="str">
        <f>HYPERLINK("https://www.boe.es/gazeta/dias/1801/02/13/pdfs/GMD-1801-13.pdf#page=6","Abrir facsímil")</f>
        <v>Abrir facsímil</v>
      </c>
      <c r="K5982" s="15" t="s">
        <v>23</v>
      </c>
    </row>
    <row r="5983" spans="1:11" ht="42" customHeight="1">
      <c r="A5983" s="4" t="s">
        <v>13293</v>
      </c>
      <c r="B5983" s="5" t="s">
        <v>13294</v>
      </c>
      <c r="C5983" s="5" t="s">
        <v>75</v>
      </c>
      <c r="D5983" s="5" t="s">
        <v>76</v>
      </c>
      <c r="E5983" s="5" t="s">
        <v>781</v>
      </c>
      <c r="F5983" s="9">
        <v>14</v>
      </c>
      <c r="G5983" s="9">
        <v>170</v>
      </c>
      <c r="H5983" s="5" t="s">
        <v>21</v>
      </c>
      <c r="I5983" s="5" t="s">
        <v>13296</v>
      </c>
      <c r="J5983" s="12" t="str">
        <f>HYPERLINK("https://www.boe.es/gazeta/dias/1801/02/17/pdfs/GMD-1801-14.pdf#page=5","Abrir facsímil")</f>
        <v>Abrir facsímil</v>
      </c>
      <c r="K5983" s="15" t="s">
        <v>23</v>
      </c>
    </row>
    <row r="5984" spans="1:11" ht="42" customHeight="1">
      <c r="A5984" s="4" t="s">
        <v>13293</v>
      </c>
      <c r="B5984" s="5" t="s">
        <v>13294</v>
      </c>
      <c r="C5984" s="5" t="s">
        <v>38</v>
      </c>
      <c r="D5984" s="5" t="s">
        <v>39</v>
      </c>
      <c r="E5984" s="5" t="s">
        <v>143</v>
      </c>
      <c r="F5984" s="9">
        <v>34</v>
      </c>
      <c r="G5984" s="9">
        <v>434</v>
      </c>
      <c r="H5984" s="5" t="s">
        <v>21</v>
      </c>
      <c r="I5984" s="5" t="s">
        <v>13297</v>
      </c>
      <c r="J5984" s="12" t="str">
        <f>HYPERLINK("https://www.boe.es/gazeta/dias/1801/04/28/pdfs/GMD-1801-34.pdf#page=6","Abrir facsímil")</f>
        <v>Abrir facsímil</v>
      </c>
      <c r="K5984" s="15" t="s">
        <v>23</v>
      </c>
    </row>
    <row r="5985" spans="1:11" ht="42" customHeight="1">
      <c r="A5985" s="4" t="s">
        <v>13298</v>
      </c>
      <c r="B5985" s="5" t="s">
        <v>13299</v>
      </c>
      <c r="C5985" s="5" t="s">
        <v>69</v>
      </c>
      <c r="D5985" s="5" t="s">
        <v>19</v>
      </c>
      <c r="E5985" s="5" t="s">
        <v>254</v>
      </c>
      <c r="F5985" s="9">
        <v>73</v>
      </c>
      <c r="G5985" s="9">
        <v>815</v>
      </c>
      <c r="H5985" s="5" t="s">
        <v>21</v>
      </c>
      <c r="I5985" s="5" t="s">
        <v>13300</v>
      </c>
      <c r="J5985" s="12" t="str">
        <f>HYPERLINK("https://www.boe.es/gazeta/dias/1801/07/28/pdfs/GMD-1801-73.pdf#page=8","Abrir facsímil")</f>
        <v>Abrir facsímil</v>
      </c>
      <c r="K5985" s="15" t="s">
        <v>23</v>
      </c>
    </row>
    <row r="5986" spans="1:11" ht="42" customHeight="1">
      <c r="A5986" s="4" t="s">
        <v>13301</v>
      </c>
      <c r="B5986" s="5" t="s">
        <v>13302</v>
      </c>
      <c r="C5986" s="5" t="s">
        <v>32</v>
      </c>
      <c r="D5986" s="5" t="s">
        <v>33</v>
      </c>
      <c r="E5986" s="5" t="s">
        <v>66</v>
      </c>
      <c r="F5986" s="9">
        <v>52</v>
      </c>
      <c r="G5986" s="9">
        <v>608</v>
      </c>
      <c r="H5986" s="5" t="s">
        <v>21</v>
      </c>
      <c r="I5986" s="5" t="s">
        <v>13303</v>
      </c>
      <c r="J5986" s="12" t="str">
        <f>HYPERLINK("https://www.boe.es/gazeta/dias/1801/06/12/pdfs/GMD-1801-52.pdf#page=7","Abrir facsímil")</f>
        <v>Abrir facsímil</v>
      </c>
      <c r="K5986" s="15" t="s">
        <v>23</v>
      </c>
    </row>
    <row r="5987" spans="1:11" ht="42" customHeight="1">
      <c r="A5987" s="4" t="s">
        <v>13304</v>
      </c>
      <c r="B5987" s="5" t="s">
        <v>13305</v>
      </c>
      <c r="C5987" s="5" t="s">
        <v>18</v>
      </c>
      <c r="D5987" s="5" t="s">
        <v>19</v>
      </c>
      <c r="E5987" s="5" t="s">
        <v>112</v>
      </c>
      <c r="F5987" s="9">
        <v>114</v>
      </c>
      <c r="G5987" s="9">
        <v>1249</v>
      </c>
      <c r="H5987" s="5" t="s">
        <v>21</v>
      </c>
      <c r="I5987" s="5" t="s">
        <v>13306</v>
      </c>
      <c r="J5987" s="12" t="str">
        <f>HYPERLINK("https://www.boe.es/gazeta/dias/1801/12/11/pdfs/GMD-1801-114.pdf#page=11","Abrir facsímil")</f>
        <v>Abrir facsímil</v>
      </c>
      <c r="K5987" s="15" t="s">
        <v>23</v>
      </c>
    </row>
    <row r="5988" spans="1:11" ht="42" customHeight="1">
      <c r="A5988" s="4" t="s">
        <v>13307</v>
      </c>
      <c r="B5988" s="5" t="s">
        <v>13308</v>
      </c>
      <c r="C5988" s="5" t="s">
        <v>38</v>
      </c>
      <c r="D5988" s="5" t="s">
        <v>39</v>
      </c>
      <c r="E5988" s="5" t="s">
        <v>112</v>
      </c>
      <c r="F5988" s="9">
        <v>114</v>
      </c>
      <c r="G5988" s="9">
        <v>1249</v>
      </c>
      <c r="H5988" s="5" t="s">
        <v>21</v>
      </c>
      <c r="I5988" s="5" t="s">
        <v>13309</v>
      </c>
      <c r="J5988" s="12" t="str">
        <f>HYPERLINK("https://www.boe.es/gazeta/dias/1801/12/11/pdfs/GMD-1801-114.pdf#page=11","Abrir facsímil")</f>
        <v>Abrir facsímil</v>
      </c>
      <c r="K5988" s="15" t="s">
        <v>23</v>
      </c>
    </row>
    <row r="5989" spans="1:11" ht="42" customHeight="1">
      <c r="A5989" s="4" t="s">
        <v>13310</v>
      </c>
      <c r="B5989" s="5" t="s">
        <v>13311</v>
      </c>
      <c r="C5989" s="5" t="s">
        <v>69</v>
      </c>
      <c r="D5989" s="5" t="s">
        <v>19</v>
      </c>
      <c r="E5989" s="5" t="s">
        <v>112</v>
      </c>
      <c r="F5989" s="9">
        <v>114</v>
      </c>
      <c r="G5989" s="9">
        <v>1249</v>
      </c>
      <c r="H5989" s="5" t="s">
        <v>21</v>
      </c>
      <c r="I5989" s="5" t="s">
        <v>13312</v>
      </c>
      <c r="J5989" s="12" t="str">
        <f>HYPERLINK("https://www.boe.es/gazeta/dias/1801/12/11/pdfs/GMD-1801-114.pdf#page=11","Abrir facsímil")</f>
        <v>Abrir facsímil</v>
      </c>
      <c r="K5989" s="15" t="s">
        <v>23</v>
      </c>
    </row>
    <row r="5990" spans="1:11" ht="42" customHeight="1">
      <c r="A5990" s="4" t="s">
        <v>13313</v>
      </c>
      <c r="B5990" s="5" t="s">
        <v>13314</v>
      </c>
      <c r="C5990" s="5" t="s">
        <v>38</v>
      </c>
      <c r="D5990" s="5" t="s">
        <v>39</v>
      </c>
      <c r="E5990" s="5" t="s">
        <v>112</v>
      </c>
      <c r="F5990" s="9">
        <v>114</v>
      </c>
      <c r="G5990" s="9">
        <v>1249</v>
      </c>
      <c r="H5990" s="5" t="s">
        <v>21</v>
      </c>
      <c r="I5990" s="5" t="s">
        <v>13315</v>
      </c>
      <c r="J5990" s="12" t="str">
        <f>HYPERLINK("https://www.boe.es/gazeta/dias/1801/12/11/pdfs/GMD-1801-114.pdf#page=11","Abrir facsímil")</f>
        <v>Abrir facsímil</v>
      </c>
      <c r="K5990" s="15" t="s">
        <v>23</v>
      </c>
    </row>
    <row r="5991" spans="1:11" ht="42" customHeight="1">
      <c r="A5991" s="4" t="s">
        <v>13316</v>
      </c>
      <c r="B5991" s="5" t="s">
        <v>13317</v>
      </c>
      <c r="C5991" s="5" t="s">
        <v>38</v>
      </c>
      <c r="D5991" s="5" t="s">
        <v>39</v>
      </c>
      <c r="E5991" s="5" t="s">
        <v>112</v>
      </c>
      <c r="F5991" s="9">
        <v>114</v>
      </c>
      <c r="G5991" s="9">
        <v>1247</v>
      </c>
      <c r="H5991" s="5" t="s">
        <v>21</v>
      </c>
      <c r="I5991" s="5" t="s">
        <v>13318</v>
      </c>
      <c r="J5991" s="12" t="str">
        <f>HYPERLINK("https://www.boe.es/gazeta/dias/1801/12/11/pdfs/GMD-1801-114.pdf#page=9","Abrir facsímil")</f>
        <v>Abrir facsímil</v>
      </c>
      <c r="K5991" s="15" t="s">
        <v>23</v>
      </c>
    </row>
    <row r="5992" spans="1:11" ht="42" customHeight="1">
      <c r="A5992" s="4" t="s">
        <v>13319</v>
      </c>
      <c r="B5992" s="5" t="s">
        <v>13320</v>
      </c>
      <c r="C5992" s="5" t="s">
        <v>32</v>
      </c>
      <c r="D5992" s="5" t="s">
        <v>33</v>
      </c>
      <c r="E5992" s="5" t="s">
        <v>124</v>
      </c>
      <c r="F5992" s="9">
        <v>12</v>
      </c>
      <c r="G5992" s="9">
        <v>148</v>
      </c>
      <c r="H5992" s="5" t="s">
        <v>21</v>
      </c>
      <c r="I5992" s="5" t="s">
        <v>13321</v>
      </c>
      <c r="J5992" s="12" t="str">
        <f>HYPERLINK("https://www.boe.es/gazeta/dias/1801/02/10/pdfs/GMD-1801-12.pdf#page=9","Abrir facsímil")</f>
        <v>Abrir facsímil</v>
      </c>
      <c r="K5992" s="15" t="s">
        <v>23</v>
      </c>
    </row>
    <row r="5993" spans="1:11" ht="42" customHeight="1">
      <c r="A5993" s="4" t="s">
        <v>13322</v>
      </c>
      <c r="B5993" s="5" t="s">
        <v>13323</v>
      </c>
      <c r="C5993" s="5" t="s">
        <v>38</v>
      </c>
      <c r="D5993" s="5" t="s">
        <v>39</v>
      </c>
      <c r="E5993" s="5" t="s">
        <v>480</v>
      </c>
      <c r="F5993" s="9">
        <v>10</v>
      </c>
      <c r="G5993" s="9">
        <v>125</v>
      </c>
      <c r="H5993" s="5" t="s">
        <v>21</v>
      </c>
      <c r="I5993" s="5" t="s">
        <v>13324</v>
      </c>
      <c r="J5993" s="12" t="str">
        <f>HYPERLINK("https://www.boe.es/gazeta/dias/1801/02/03/pdfs/GMD-1801-10.pdf#page=10","Abrir facsímil")</f>
        <v>Abrir facsímil</v>
      </c>
      <c r="K5993" s="15" t="s">
        <v>23</v>
      </c>
    </row>
    <row r="5994" spans="1:11" ht="42" customHeight="1">
      <c r="A5994" s="4" t="s">
        <v>13325</v>
      </c>
      <c r="B5994" s="5" t="s">
        <v>13326</v>
      </c>
      <c r="C5994" s="5" t="s">
        <v>32</v>
      </c>
      <c r="D5994" s="5" t="s">
        <v>33</v>
      </c>
      <c r="E5994" s="5" t="s">
        <v>453</v>
      </c>
      <c r="F5994" s="9">
        <v>100</v>
      </c>
      <c r="G5994" s="9">
        <v>1100</v>
      </c>
      <c r="H5994" s="5" t="s">
        <v>21</v>
      </c>
      <c r="I5994" s="5" t="s">
        <v>13327</v>
      </c>
      <c r="J5994" s="12" t="str">
        <f>HYPERLINK("https://www.boe.es/gazeta/dias/1801/10/23/pdfs/GMD-1801-100.pdf#page=9","Abrir facsímil")</f>
        <v>Abrir facsímil</v>
      </c>
      <c r="K5994" s="15" t="s">
        <v>23</v>
      </c>
    </row>
    <row r="5995" spans="1:11" ht="42" customHeight="1">
      <c r="A5995" s="4" t="s">
        <v>13328</v>
      </c>
      <c r="B5995" s="5" t="s">
        <v>13329</v>
      </c>
      <c r="C5995" s="5" t="s">
        <v>32</v>
      </c>
      <c r="D5995" s="5" t="s">
        <v>33</v>
      </c>
      <c r="E5995" s="5" t="s">
        <v>309</v>
      </c>
      <c r="F5995" s="9">
        <v>118</v>
      </c>
      <c r="G5995" s="9">
        <v>1289</v>
      </c>
      <c r="H5995" s="5" t="s">
        <v>21</v>
      </c>
      <c r="I5995" s="5" t="s">
        <v>13330</v>
      </c>
      <c r="J5995" s="12" t="str">
        <f>HYPERLINK("https://www.boe.es/gazeta/dias/1801/12/25/pdfs/GMD-1801-118.pdf#page=4","Abrir facsímil")</f>
        <v>Abrir facsímil</v>
      </c>
      <c r="K5995" s="15" t="s">
        <v>23</v>
      </c>
    </row>
    <row r="5996" spans="1:11" ht="42" customHeight="1">
      <c r="A5996" s="4" t="s">
        <v>13331</v>
      </c>
      <c r="B5996" s="5" t="s">
        <v>13332</v>
      </c>
      <c r="C5996" s="5" t="s">
        <v>38</v>
      </c>
      <c r="D5996" s="5" t="s">
        <v>39</v>
      </c>
      <c r="E5996" s="5" t="s">
        <v>266</v>
      </c>
      <c r="F5996" s="9">
        <v>119</v>
      </c>
      <c r="G5996" s="9">
        <v>1300</v>
      </c>
      <c r="H5996" s="5" t="s">
        <v>21</v>
      </c>
      <c r="I5996" s="5" t="s">
        <v>13333</v>
      </c>
      <c r="J5996" s="12" t="str">
        <f>HYPERLINK("https://www.boe.es/gazeta/dias/1801/12/29/pdfs/GMD-1801-119.pdf#page=4","Abrir facsímil")</f>
        <v>Abrir facsímil</v>
      </c>
      <c r="K5996" s="15" t="s">
        <v>23</v>
      </c>
    </row>
    <row r="5997" spans="1:11" ht="42" customHeight="1">
      <c r="A5997" s="4" t="s">
        <v>13334</v>
      </c>
      <c r="B5997" s="5" t="s">
        <v>13335</v>
      </c>
      <c r="C5997" s="5" t="s">
        <v>80</v>
      </c>
      <c r="D5997" s="5" t="s">
        <v>81</v>
      </c>
      <c r="E5997" s="5" t="s">
        <v>289</v>
      </c>
      <c r="F5997" s="9">
        <v>40</v>
      </c>
      <c r="G5997" s="9" t="s">
        <v>305</v>
      </c>
      <c r="H5997" s="5" t="s">
        <v>21</v>
      </c>
      <c r="I5997" s="5" t="s">
        <v>13336</v>
      </c>
      <c r="J5997" s="12" t="str">
        <f>HYPERLINK("https://www.boe.es/gazeta/dias/1801/05/19/pdfs/GMD-C-1801-40.pdf#page=4","Abrir facsímil")</f>
        <v>Abrir facsímil</v>
      </c>
      <c r="K5997" s="15" t="s">
        <v>23</v>
      </c>
    </row>
    <row r="5998" spans="1:11" ht="42" customHeight="1">
      <c r="A5998" s="4" t="s">
        <v>13337</v>
      </c>
      <c r="B5998" s="5" t="s">
        <v>13338</v>
      </c>
      <c r="C5998" s="5" t="s">
        <v>80</v>
      </c>
      <c r="D5998" s="5" t="s">
        <v>81</v>
      </c>
      <c r="E5998" s="5" t="s">
        <v>82</v>
      </c>
      <c r="F5998" s="9">
        <v>75</v>
      </c>
      <c r="G5998" s="9" t="s">
        <v>996</v>
      </c>
      <c r="H5998" s="5" t="s">
        <v>21</v>
      </c>
      <c r="I5998" s="5" t="s">
        <v>13339</v>
      </c>
      <c r="J5998" s="12" t="str">
        <f>HYPERLINK("https://www.boe.es/gazeta/dias/1801/08/04/pdfs/GMD-C-1801-75.pdf#page=6","Abrir facsímil")</f>
        <v>Abrir facsímil</v>
      </c>
      <c r="K5998" s="15" t="s">
        <v>23</v>
      </c>
    </row>
    <row r="5999" spans="1:11" ht="42" customHeight="1">
      <c r="A5999" s="4" t="s">
        <v>13340</v>
      </c>
      <c r="B5999" s="5" t="s">
        <v>13341</v>
      </c>
      <c r="C5999" s="5" t="s">
        <v>32</v>
      </c>
      <c r="D5999" s="5" t="s">
        <v>33</v>
      </c>
      <c r="E5999" s="5" t="s">
        <v>313</v>
      </c>
      <c r="F5999" s="9">
        <v>39</v>
      </c>
      <c r="G5999" s="9">
        <v>505</v>
      </c>
      <c r="H5999" s="5" t="s">
        <v>21</v>
      </c>
      <c r="I5999" s="5" t="s">
        <v>13342</v>
      </c>
      <c r="J5999" s="12" t="str">
        <f>HYPERLINK("https://www.boe.es/gazeta/dias/1801/05/15/pdfs/GMD-1801-39.pdf#page=9","Abrir facsímil")</f>
        <v>Abrir facsímil</v>
      </c>
      <c r="K5999" s="15" t="s">
        <v>23</v>
      </c>
    </row>
    <row r="6000" spans="1:11" ht="42" customHeight="1">
      <c r="A6000" s="4" t="s">
        <v>13343</v>
      </c>
      <c r="B6000" s="5" t="s">
        <v>13344</v>
      </c>
      <c r="C6000" s="5" t="s">
        <v>38</v>
      </c>
      <c r="D6000" s="5" t="s">
        <v>39</v>
      </c>
      <c r="E6000" s="5" t="s">
        <v>122</v>
      </c>
      <c r="F6000" s="9">
        <v>8</v>
      </c>
      <c r="G6000" s="9">
        <v>100</v>
      </c>
      <c r="H6000" s="5" t="s">
        <v>21</v>
      </c>
      <c r="I6000" s="5" t="s">
        <v>13345</v>
      </c>
      <c r="J6000" s="12" t="str">
        <f>HYPERLINK("https://www.boe.es/gazeta/dias/1801/01/27/pdfs/GMD-1801-8.pdf#page=12","Abrir facsímil")</f>
        <v>Abrir facsímil</v>
      </c>
      <c r="K6000" s="15" t="s">
        <v>23</v>
      </c>
    </row>
    <row r="6001" spans="1:11" ht="42" customHeight="1">
      <c r="A6001" s="4" t="s">
        <v>13343</v>
      </c>
      <c r="B6001" s="5" t="s">
        <v>13344</v>
      </c>
      <c r="C6001" s="5" t="s">
        <v>26</v>
      </c>
      <c r="D6001" s="5" t="s">
        <v>27</v>
      </c>
      <c r="E6001" s="5" t="s">
        <v>211</v>
      </c>
      <c r="F6001" s="9">
        <v>87</v>
      </c>
      <c r="G6001" s="9">
        <v>969</v>
      </c>
      <c r="H6001" s="5" t="s">
        <v>21</v>
      </c>
      <c r="I6001" s="5" t="s">
        <v>13346</v>
      </c>
      <c r="J6001" s="12" t="str">
        <f>HYPERLINK("https://www.boe.es/gazeta/dias/1801/09/11/pdfs/GMD-1801-87.pdf#page=12","Abrir facsímil")</f>
        <v>Abrir facsímil</v>
      </c>
      <c r="K6001" s="15" t="s">
        <v>23</v>
      </c>
    </row>
    <row r="6002" spans="1:11" ht="42" customHeight="1">
      <c r="A6002" s="4" t="s">
        <v>13347</v>
      </c>
      <c r="B6002" s="5" t="s">
        <v>13348</v>
      </c>
      <c r="C6002" s="5" t="s">
        <v>32</v>
      </c>
      <c r="D6002" s="5" t="s">
        <v>33</v>
      </c>
      <c r="E6002" s="5" t="s">
        <v>640</v>
      </c>
      <c r="F6002" s="9">
        <v>81</v>
      </c>
      <c r="G6002" s="9">
        <v>910</v>
      </c>
      <c r="H6002" s="5" t="s">
        <v>21</v>
      </c>
      <c r="I6002" s="5" t="s">
        <v>13349</v>
      </c>
      <c r="J6002" s="12" t="str">
        <f>HYPERLINK("https://www.boe.es/gazeta/dias/1801/08/25/pdfs/GMD-1801-81.pdf#page=7","Abrir facsímil")</f>
        <v>Abrir facsímil</v>
      </c>
      <c r="K6002" s="15" t="s">
        <v>23</v>
      </c>
    </row>
    <row r="6003" spans="1:11" ht="42" customHeight="1">
      <c r="A6003" s="4" t="s">
        <v>13350</v>
      </c>
      <c r="B6003" s="5" t="s">
        <v>13351</v>
      </c>
      <c r="C6003" s="5" t="s">
        <v>38</v>
      </c>
      <c r="D6003" s="5" t="s">
        <v>39</v>
      </c>
      <c r="E6003" s="5" t="s">
        <v>151</v>
      </c>
      <c r="F6003" s="9">
        <v>45</v>
      </c>
      <c r="G6003" s="9">
        <v>561</v>
      </c>
      <c r="H6003" s="5" t="s">
        <v>21</v>
      </c>
      <c r="I6003" s="5" t="s">
        <v>13352</v>
      </c>
      <c r="J6003" s="12" t="str">
        <f>HYPERLINK("https://www.boe.es/gazeta/dias/1801/06/02/pdfs/GMD-1801-45.pdf#page=9","Abrir facsímil")</f>
        <v>Abrir facsímil</v>
      </c>
      <c r="K6003" s="15" t="s">
        <v>23</v>
      </c>
    </row>
    <row r="6004" spans="1:11" ht="42" customHeight="1">
      <c r="A6004" s="4" t="s">
        <v>13353</v>
      </c>
      <c r="B6004" s="5" t="s">
        <v>13354</v>
      </c>
      <c r="C6004" s="5" t="s">
        <v>18</v>
      </c>
      <c r="D6004" s="5" t="s">
        <v>19</v>
      </c>
      <c r="E6004" s="5" t="s">
        <v>352</v>
      </c>
      <c r="F6004" s="9">
        <v>43</v>
      </c>
      <c r="G6004" s="9">
        <v>539</v>
      </c>
      <c r="H6004" s="5" t="s">
        <v>21</v>
      </c>
      <c r="I6004" s="5" t="s">
        <v>13355</v>
      </c>
      <c r="J6004" s="12" t="str">
        <f>HYPERLINK("https://www.boe.es/gazeta/dias/1801/05/26/pdfs/GMD-1801-43.pdf#page=11","Abrir facsímil")</f>
        <v>Abrir facsímil</v>
      </c>
      <c r="K6004" s="15" t="s">
        <v>23</v>
      </c>
    </row>
    <row r="6005" spans="1:11" ht="42" customHeight="1">
      <c r="A6005" s="4" t="s">
        <v>13356</v>
      </c>
      <c r="B6005" s="5" t="s">
        <v>13357</v>
      </c>
      <c r="C6005" s="5" t="s">
        <v>32</v>
      </c>
      <c r="D6005" s="5" t="s">
        <v>33</v>
      </c>
      <c r="E6005" s="5" t="s">
        <v>70</v>
      </c>
      <c r="F6005" s="9">
        <v>2</v>
      </c>
      <c r="G6005" s="9">
        <v>21</v>
      </c>
      <c r="H6005" s="5" t="s">
        <v>21</v>
      </c>
      <c r="I6005" s="5" t="s">
        <v>13358</v>
      </c>
      <c r="J6005" s="12" t="str">
        <f>HYPERLINK("https://www.boe.es/gazeta/dias/1801/01/06/pdfs/GMD-1801-2.pdf#page=9","Abrir facsímil")</f>
        <v>Abrir facsímil</v>
      </c>
      <c r="K6005" s="15" t="s">
        <v>23</v>
      </c>
    </row>
    <row r="6006" spans="1:11" ht="42" customHeight="1">
      <c r="A6006" s="4" t="s">
        <v>13359</v>
      </c>
      <c r="B6006" s="5" t="s">
        <v>13360</v>
      </c>
      <c r="C6006" s="5" t="s">
        <v>32</v>
      </c>
      <c r="D6006" s="5" t="s">
        <v>33</v>
      </c>
      <c r="E6006" s="5" t="s">
        <v>211</v>
      </c>
      <c r="F6006" s="9">
        <v>87</v>
      </c>
      <c r="G6006" s="9">
        <v>967</v>
      </c>
      <c r="H6006" s="5" t="s">
        <v>21</v>
      </c>
      <c r="I6006" s="5" t="s">
        <v>13361</v>
      </c>
      <c r="J6006" s="12" t="str">
        <f>HYPERLINK("https://www.boe.es/gazeta/dias/1801/09/11/pdfs/GMD-1801-87.pdf#page=10","Abrir facsímil")</f>
        <v>Abrir facsímil</v>
      </c>
      <c r="K6006" s="15" t="s">
        <v>23</v>
      </c>
    </row>
    <row r="6007" spans="1:11" ht="42" customHeight="1">
      <c r="A6007" s="4" t="s">
        <v>13362</v>
      </c>
      <c r="B6007" s="5" t="s">
        <v>13363</v>
      </c>
      <c r="C6007" s="5" t="s">
        <v>38</v>
      </c>
      <c r="D6007" s="5" t="s">
        <v>39</v>
      </c>
      <c r="E6007" s="5" t="s">
        <v>179</v>
      </c>
      <c r="F6007" s="9">
        <v>11</v>
      </c>
      <c r="G6007" s="9">
        <v>136</v>
      </c>
      <c r="H6007" s="5" t="s">
        <v>21</v>
      </c>
      <c r="I6007" s="5" t="s">
        <v>13364</v>
      </c>
      <c r="J6007" s="12" t="str">
        <f>HYPERLINK("https://www.boe.es/gazeta/dias/1801/02/06/pdfs/GMD-1801-11.pdf#page=9","Abrir facsímil")</f>
        <v>Abrir facsímil</v>
      </c>
      <c r="K6007" s="15" t="s">
        <v>23</v>
      </c>
    </row>
    <row r="6008" spans="1:11" ht="42" customHeight="1">
      <c r="A6008" s="4" t="s">
        <v>13365</v>
      </c>
      <c r="B6008" s="5" t="s">
        <v>13366</v>
      </c>
      <c r="C6008" s="5" t="s">
        <v>32</v>
      </c>
      <c r="D6008" s="5" t="s">
        <v>33</v>
      </c>
      <c r="E6008" s="5" t="s">
        <v>888</v>
      </c>
      <c r="F6008" s="9">
        <v>103</v>
      </c>
      <c r="G6008" s="9">
        <v>1130</v>
      </c>
      <c r="H6008" s="5" t="s">
        <v>21</v>
      </c>
      <c r="I6008" s="5" t="s">
        <v>13367</v>
      </c>
      <c r="J6008" s="12" t="str">
        <f>HYPERLINK("https://www.boe.es/gazeta/dias/1801/11/03/pdfs/GMD-1801-103.pdf#page=3","Abrir facsímil")</f>
        <v>Abrir facsímil</v>
      </c>
      <c r="K6008" s="15" t="s">
        <v>23</v>
      </c>
    </row>
    <row r="6009" spans="1:11" ht="42" customHeight="1">
      <c r="A6009" s="4" t="s">
        <v>13368</v>
      </c>
      <c r="B6009" s="5" t="s">
        <v>13368</v>
      </c>
      <c r="C6009" s="5" t="s">
        <v>26</v>
      </c>
      <c r="D6009" s="5" t="s">
        <v>27</v>
      </c>
      <c r="E6009" s="5" t="s">
        <v>151</v>
      </c>
      <c r="F6009" s="9">
        <v>45</v>
      </c>
      <c r="G6009" s="9">
        <v>564</v>
      </c>
      <c r="H6009" s="5" t="s">
        <v>21</v>
      </c>
      <c r="I6009" s="5" t="s">
        <v>13369</v>
      </c>
      <c r="J6009" s="12" t="str">
        <f>HYPERLINK("https://www.boe.es/gazeta/dias/1801/06/02/pdfs/GMD-1801-45.pdf#page=12","Abrir facsímil")</f>
        <v>Abrir facsímil</v>
      </c>
      <c r="K6009" s="15" t="s">
        <v>23</v>
      </c>
    </row>
    <row r="6010" spans="1:11" ht="42" customHeight="1">
      <c r="A6010" s="4" t="s">
        <v>13370</v>
      </c>
      <c r="B6010" s="5" t="s">
        <v>13371</v>
      </c>
      <c r="C6010" s="5" t="s">
        <v>38</v>
      </c>
      <c r="D6010" s="5" t="s">
        <v>39</v>
      </c>
      <c r="E6010" s="5" t="s">
        <v>143</v>
      </c>
      <c r="F6010" s="9">
        <v>34</v>
      </c>
      <c r="G6010" s="9">
        <v>432</v>
      </c>
      <c r="H6010" s="5" t="s">
        <v>21</v>
      </c>
      <c r="I6010" s="5" t="s">
        <v>13372</v>
      </c>
      <c r="J6010" s="12" t="str">
        <f>HYPERLINK("https://www.boe.es/gazeta/dias/1801/04/28/pdfs/GMD-1801-34.pdf#page=4","Abrir facsímil")</f>
        <v>Abrir facsímil</v>
      </c>
      <c r="K6010" s="15" t="s">
        <v>23</v>
      </c>
    </row>
    <row r="6011" spans="1:11" ht="42" customHeight="1">
      <c r="A6011" s="4" t="s">
        <v>13373</v>
      </c>
      <c r="B6011" s="5" t="s">
        <v>13374</v>
      </c>
      <c r="C6011" s="5" t="s">
        <v>75</v>
      </c>
      <c r="D6011" s="5" t="s">
        <v>76</v>
      </c>
      <c r="E6011" s="5" t="s">
        <v>158</v>
      </c>
      <c r="F6011" s="9">
        <v>55</v>
      </c>
      <c r="G6011" s="9">
        <v>625</v>
      </c>
      <c r="H6011" s="5" t="s">
        <v>21</v>
      </c>
      <c r="I6011" s="5" t="s">
        <v>13375</v>
      </c>
      <c r="J6011" s="12" t="str">
        <f>HYPERLINK("https://www.boe.es/gazeta/dias/1801/06/16/pdfs/GMD-1801-55.pdf#page=1","Abrir facsímil")</f>
        <v>Abrir facsímil</v>
      </c>
      <c r="K6011" s="15" t="s">
        <v>23</v>
      </c>
    </row>
    <row r="6012" spans="1:11" ht="42" customHeight="1">
      <c r="A6012" s="4" t="s">
        <v>13373</v>
      </c>
      <c r="B6012" s="5" t="s">
        <v>13374</v>
      </c>
      <c r="C6012" s="5" t="s">
        <v>32</v>
      </c>
      <c r="D6012" s="5" t="s">
        <v>33</v>
      </c>
      <c r="E6012" s="5" t="s">
        <v>417</v>
      </c>
      <c r="F6012" s="9">
        <v>64</v>
      </c>
      <c r="G6012" s="9">
        <v>723</v>
      </c>
      <c r="H6012" s="5" t="s">
        <v>21</v>
      </c>
      <c r="I6012" s="5" t="s">
        <v>13376</v>
      </c>
      <c r="J6012" s="12" t="str">
        <f>HYPERLINK("https://www.boe.es/gazeta/dias/1801/07/07/pdfs/GMD-1801-64.pdf#page=4","Abrir facsímil")</f>
        <v>Abrir facsímil</v>
      </c>
      <c r="K6012" s="15" t="s">
        <v>23</v>
      </c>
    </row>
    <row r="6013" spans="1:11" ht="42" customHeight="1">
      <c r="A6013" s="4" t="s">
        <v>13373</v>
      </c>
      <c r="B6013" s="5" t="s">
        <v>13374</v>
      </c>
      <c r="C6013" s="5" t="s">
        <v>75</v>
      </c>
      <c r="D6013" s="5" t="s">
        <v>76</v>
      </c>
      <c r="E6013" s="5" t="s">
        <v>112</v>
      </c>
      <c r="F6013" s="9">
        <v>114</v>
      </c>
      <c r="G6013" s="9">
        <v>1242</v>
      </c>
      <c r="H6013" s="5" t="s">
        <v>21</v>
      </c>
      <c r="I6013" s="5" t="s">
        <v>13377</v>
      </c>
      <c r="J6013" s="12" t="str">
        <f>HYPERLINK("https://www.boe.es/gazeta/dias/1801/12/11/pdfs/GMD-1801-114.pdf#page=4","Abrir facsímil")</f>
        <v>Abrir facsímil</v>
      </c>
      <c r="K6013" s="15" t="s">
        <v>23</v>
      </c>
    </row>
    <row r="6014" spans="1:11" ht="42" customHeight="1">
      <c r="A6014" s="4" t="s">
        <v>13378</v>
      </c>
      <c r="B6014" s="5" t="s">
        <v>13379</v>
      </c>
      <c r="C6014" s="5" t="s">
        <v>26</v>
      </c>
      <c r="D6014" s="5" t="s">
        <v>27</v>
      </c>
      <c r="E6014" s="5" t="s">
        <v>122</v>
      </c>
      <c r="F6014" s="9">
        <v>8</v>
      </c>
      <c r="G6014" s="9">
        <v>100</v>
      </c>
      <c r="H6014" s="5" t="s">
        <v>21</v>
      </c>
      <c r="I6014" s="5" t="s">
        <v>13380</v>
      </c>
      <c r="J6014" s="12" t="str">
        <f>HYPERLINK("https://www.boe.es/gazeta/dias/1801/01/27/pdfs/GMD-1801-8.pdf#page=12","Abrir facsímil")</f>
        <v>Abrir facsímil</v>
      </c>
      <c r="K6014" s="15" t="s">
        <v>23</v>
      </c>
    </row>
    <row r="6015" spans="1:11" ht="42" customHeight="1">
      <c r="A6015" s="4" t="s">
        <v>13381</v>
      </c>
      <c r="B6015" s="5" t="s">
        <v>13382</v>
      </c>
      <c r="C6015" s="5" t="s">
        <v>69</v>
      </c>
      <c r="D6015" s="5" t="s">
        <v>19</v>
      </c>
      <c r="E6015" s="5" t="s">
        <v>112</v>
      </c>
      <c r="F6015" s="9">
        <v>114</v>
      </c>
      <c r="G6015" s="9">
        <v>1247</v>
      </c>
      <c r="H6015" s="5" t="s">
        <v>21</v>
      </c>
      <c r="I6015" s="5" t="s">
        <v>13383</v>
      </c>
      <c r="J6015" s="12" t="str">
        <f>HYPERLINK("https://www.boe.es/gazeta/dias/1801/12/11/pdfs/GMD-1801-114.pdf#page=9","Abrir facsímil")</f>
        <v>Abrir facsímil</v>
      </c>
      <c r="K6015" s="15" t="s">
        <v>23</v>
      </c>
    </row>
    <row r="6016" spans="1:11" ht="42" customHeight="1">
      <c r="A6016" s="4" t="s">
        <v>13384</v>
      </c>
      <c r="B6016" s="5" t="s">
        <v>13385</v>
      </c>
      <c r="C6016" s="5" t="s">
        <v>69</v>
      </c>
      <c r="D6016" s="5" t="s">
        <v>19</v>
      </c>
      <c r="E6016" s="5" t="s">
        <v>359</v>
      </c>
      <c r="F6016" s="9">
        <v>101</v>
      </c>
      <c r="G6016" s="9">
        <v>1113</v>
      </c>
      <c r="H6016" s="5" t="s">
        <v>21</v>
      </c>
      <c r="I6016" s="5" t="s">
        <v>13386</v>
      </c>
      <c r="J6016" s="12" t="str">
        <f>HYPERLINK("https://www.boe.es/gazeta/dias/1801/10/27/pdfs/GMD-1801-101.pdf#page=6","Abrir facsímil")</f>
        <v>Abrir facsímil</v>
      </c>
      <c r="K6016" s="15" t="s">
        <v>23</v>
      </c>
    </row>
    <row r="6017" spans="1:11" ht="42" customHeight="1">
      <c r="A6017" s="4" t="s">
        <v>13387</v>
      </c>
      <c r="B6017" s="5" t="s">
        <v>13388</v>
      </c>
      <c r="C6017" s="5" t="s">
        <v>32</v>
      </c>
      <c r="D6017" s="5" t="s">
        <v>33</v>
      </c>
      <c r="E6017" s="5" t="s">
        <v>201</v>
      </c>
      <c r="F6017" s="9">
        <v>79</v>
      </c>
      <c r="G6017" s="9">
        <v>889</v>
      </c>
      <c r="H6017" s="5" t="s">
        <v>21</v>
      </c>
      <c r="I6017" s="5" t="s">
        <v>13389</v>
      </c>
      <c r="J6017" s="12" t="str">
        <f>HYPERLINK("https://www.boe.es/gazeta/dias/1801/08/18/pdfs/GMD-1801-79.pdf#page=6","Abrir facsímil")</f>
        <v>Abrir facsímil</v>
      </c>
      <c r="K6017" s="15" t="s">
        <v>23</v>
      </c>
    </row>
    <row r="6018" spans="1:11" ht="42" customHeight="1">
      <c r="A6018" s="4" t="s">
        <v>13390</v>
      </c>
      <c r="B6018" s="5" t="s">
        <v>13391</v>
      </c>
      <c r="C6018" s="5" t="s">
        <v>32</v>
      </c>
      <c r="D6018" s="5" t="s">
        <v>33</v>
      </c>
      <c r="E6018" s="5" t="s">
        <v>44</v>
      </c>
      <c r="F6018" s="9">
        <v>117</v>
      </c>
      <c r="G6018" s="9">
        <v>1282</v>
      </c>
      <c r="H6018" s="5" t="s">
        <v>21</v>
      </c>
      <c r="I6018" s="5" t="s">
        <v>13392</v>
      </c>
      <c r="J6018" s="12" t="str">
        <f>HYPERLINK("https://www.boe.es/gazeta/dias/1801/12/22/pdfs/GMD-1801-117.pdf#page=9","Abrir facsímil")</f>
        <v>Abrir facsímil</v>
      </c>
      <c r="K6018" s="15" t="s">
        <v>23</v>
      </c>
    </row>
    <row r="6019" spans="1:11" ht="42" customHeight="1">
      <c r="A6019" s="4" t="s">
        <v>13393</v>
      </c>
      <c r="B6019" s="5" t="s">
        <v>13394</v>
      </c>
      <c r="C6019" s="5" t="s">
        <v>32</v>
      </c>
      <c r="D6019" s="5" t="s">
        <v>33</v>
      </c>
      <c r="E6019" s="5" t="s">
        <v>186</v>
      </c>
      <c r="F6019" s="9">
        <v>21</v>
      </c>
      <c r="G6019" s="9">
        <v>280</v>
      </c>
      <c r="H6019" s="5" t="s">
        <v>21</v>
      </c>
      <c r="I6019" s="5" t="s">
        <v>13395</v>
      </c>
      <c r="J6019" s="12" t="str">
        <f>HYPERLINK("https://www.boe.es/gazeta/dias/1801/03/13/pdfs/GMD-1801-21.pdf#page=9","Abrir facsímil")</f>
        <v>Abrir facsímil</v>
      </c>
      <c r="K6019" s="15" t="s">
        <v>23</v>
      </c>
    </row>
    <row r="6020" spans="1:11" ht="42" customHeight="1">
      <c r="A6020" s="4" t="s">
        <v>13393</v>
      </c>
      <c r="B6020" s="5" t="s">
        <v>13394</v>
      </c>
      <c r="C6020" s="5" t="s">
        <v>38</v>
      </c>
      <c r="D6020" s="5" t="s">
        <v>39</v>
      </c>
      <c r="E6020" s="5" t="s">
        <v>292</v>
      </c>
      <c r="F6020" s="9">
        <v>25</v>
      </c>
      <c r="G6020" s="9">
        <v>332</v>
      </c>
      <c r="H6020" s="5" t="s">
        <v>21</v>
      </c>
      <c r="I6020" s="5" t="s">
        <v>13396</v>
      </c>
      <c r="J6020" s="12" t="str">
        <f>HYPERLINK("https://www.boe.es/gazeta/dias/1801/03/27/pdfs/GMD-1801-25.pdf#page=11","Abrir facsímil")</f>
        <v>Abrir facsímil</v>
      </c>
      <c r="K6020" s="15" t="s">
        <v>23</v>
      </c>
    </row>
    <row r="6021" spans="1:11" ht="42" customHeight="1">
      <c r="A6021" s="4" t="s">
        <v>13397</v>
      </c>
      <c r="B6021" s="5" t="s">
        <v>13398</v>
      </c>
      <c r="C6021" s="5" t="s">
        <v>32</v>
      </c>
      <c r="D6021" s="5" t="s">
        <v>33</v>
      </c>
      <c r="E6021" s="5" t="s">
        <v>201</v>
      </c>
      <c r="F6021" s="9">
        <v>79</v>
      </c>
      <c r="G6021" s="9">
        <v>889</v>
      </c>
      <c r="H6021" s="5" t="s">
        <v>21</v>
      </c>
      <c r="I6021" s="5" t="s">
        <v>13399</v>
      </c>
      <c r="J6021" s="12" t="str">
        <f>HYPERLINK("https://www.boe.es/gazeta/dias/1801/08/18/pdfs/GMD-1801-79.pdf#page=6","Abrir facsímil")</f>
        <v>Abrir facsímil</v>
      </c>
      <c r="K6021" s="15" t="s">
        <v>23</v>
      </c>
    </row>
    <row r="6022" spans="1:11" ht="42" customHeight="1">
      <c r="A6022" s="4" t="s">
        <v>13400</v>
      </c>
      <c r="B6022" s="5" t="s">
        <v>13401</v>
      </c>
      <c r="C6022" s="5" t="s">
        <v>32</v>
      </c>
      <c r="D6022" s="5" t="s">
        <v>33</v>
      </c>
      <c r="E6022" s="5" t="s">
        <v>155</v>
      </c>
      <c r="F6022" s="9">
        <v>50</v>
      </c>
      <c r="G6022" s="9">
        <v>597</v>
      </c>
      <c r="H6022" s="5" t="s">
        <v>21</v>
      </c>
      <c r="I6022" s="5" t="s">
        <v>13402</v>
      </c>
      <c r="J6022" s="12" t="str">
        <f>HYPERLINK("https://www.boe.es/gazeta/dias/1801/06/09/pdfs/GMD-1801-50.pdf#page=9","Abrir facsímil")</f>
        <v>Abrir facsímil</v>
      </c>
      <c r="K6022" s="15" t="s">
        <v>23</v>
      </c>
    </row>
    <row r="6023" spans="1:11" ht="42" customHeight="1">
      <c r="A6023" s="4" t="s">
        <v>13403</v>
      </c>
      <c r="B6023" s="5" t="s">
        <v>13404</v>
      </c>
      <c r="C6023" s="5" t="s">
        <v>32</v>
      </c>
      <c r="D6023" s="5" t="s">
        <v>33</v>
      </c>
      <c r="E6023" s="5" t="s">
        <v>62</v>
      </c>
      <c r="F6023" s="9">
        <v>6</v>
      </c>
      <c r="G6023" s="9">
        <v>74</v>
      </c>
      <c r="H6023" s="5" t="s">
        <v>21</v>
      </c>
      <c r="I6023" s="5" t="s">
        <v>13405</v>
      </c>
      <c r="J6023" s="12" t="str">
        <f>HYPERLINK("https://www.boe.es/gazeta/dias/1801/01/20/pdfs/GMD-1801-6.pdf#page=10","Abrir facsímil")</f>
        <v>Abrir facsímil</v>
      </c>
      <c r="K6023" s="15" t="s">
        <v>23</v>
      </c>
    </row>
    <row r="6024" spans="1:11" ht="42" customHeight="1">
      <c r="A6024" s="4" t="s">
        <v>13406</v>
      </c>
      <c r="B6024" s="5" t="s">
        <v>13407</v>
      </c>
      <c r="C6024" s="5" t="s">
        <v>38</v>
      </c>
      <c r="D6024" s="5" t="s">
        <v>39</v>
      </c>
      <c r="E6024" s="5" t="s">
        <v>72</v>
      </c>
      <c r="F6024" s="9">
        <v>60</v>
      </c>
      <c r="G6024" s="9">
        <v>687</v>
      </c>
      <c r="H6024" s="5" t="s">
        <v>21</v>
      </c>
      <c r="I6024" s="5" t="s">
        <v>13408</v>
      </c>
      <c r="J6024" s="12" t="str">
        <f>HYPERLINK("https://www.boe.es/gazeta/dias/1801/06/26/pdfs/GMD-1801-60.pdf#page=8","Abrir facsímil")</f>
        <v>Abrir facsímil</v>
      </c>
      <c r="K6024" s="15" t="s">
        <v>23</v>
      </c>
    </row>
    <row r="6025" spans="1:11" ht="42" customHeight="1">
      <c r="A6025" s="4" t="s">
        <v>13409</v>
      </c>
      <c r="B6025" s="5" t="s">
        <v>13409</v>
      </c>
      <c r="C6025" s="5" t="s">
        <v>75</v>
      </c>
      <c r="D6025" s="5" t="s">
        <v>76</v>
      </c>
      <c r="E6025" s="5" t="s">
        <v>77</v>
      </c>
      <c r="F6025" s="9">
        <v>93</v>
      </c>
      <c r="G6025" s="9">
        <v>1017</v>
      </c>
      <c r="H6025" s="5" t="s">
        <v>21</v>
      </c>
      <c r="I6025" s="5" t="s">
        <v>13410</v>
      </c>
      <c r="J6025" s="12" t="str">
        <f>HYPERLINK("https://www.boe.es/gazeta/dias/1801/09/29/pdfs/GMD-1801-93.pdf#page=4","Abrir facsímil")</f>
        <v>Abrir facsímil</v>
      </c>
      <c r="K6025" s="15" t="s">
        <v>23</v>
      </c>
    </row>
    <row r="6026" spans="1:11" ht="42" customHeight="1">
      <c r="A6026" s="4" t="s">
        <v>13411</v>
      </c>
      <c r="B6026" s="5" t="s">
        <v>13412</v>
      </c>
      <c r="C6026" s="5" t="s">
        <v>75</v>
      </c>
      <c r="D6026" s="5" t="s">
        <v>76</v>
      </c>
      <c r="E6026" s="5" t="s">
        <v>1015</v>
      </c>
      <c r="F6026" s="9">
        <v>15</v>
      </c>
      <c r="G6026" s="9">
        <v>185</v>
      </c>
      <c r="H6026" s="5" t="s">
        <v>21</v>
      </c>
      <c r="I6026" s="5" t="s">
        <v>13413</v>
      </c>
      <c r="J6026" s="12" t="str">
        <f>HYPERLINK("https://www.boe.es/gazeta/dias/1801/02/20/pdfs/GMD-1801-15.pdf#page=4","Abrir facsímil")</f>
        <v>Abrir facsímil</v>
      </c>
      <c r="K6026" s="15" t="s">
        <v>23</v>
      </c>
    </row>
    <row r="6027" spans="1:11" ht="42" customHeight="1">
      <c r="A6027" s="4" t="s">
        <v>13414</v>
      </c>
      <c r="B6027" s="5" t="s">
        <v>13415</v>
      </c>
      <c r="C6027" s="5" t="s">
        <v>32</v>
      </c>
      <c r="D6027" s="5" t="s">
        <v>33</v>
      </c>
      <c r="E6027" s="5" t="s">
        <v>453</v>
      </c>
      <c r="F6027" s="9">
        <v>100</v>
      </c>
      <c r="G6027" s="9">
        <v>1100</v>
      </c>
      <c r="H6027" s="5" t="s">
        <v>21</v>
      </c>
      <c r="I6027" s="5" t="s">
        <v>13416</v>
      </c>
      <c r="J6027" s="12" t="str">
        <f>HYPERLINK("https://www.boe.es/gazeta/dias/1801/10/23/pdfs/GMD-1801-100.pdf#page=9","Abrir facsímil")</f>
        <v>Abrir facsímil</v>
      </c>
      <c r="K6027" s="15" t="s">
        <v>23</v>
      </c>
    </row>
    <row r="6028" spans="1:11" ht="42" customHeight="1">
      <c r="A6028" s="4" t="s">
        <v>13417</v>
      </c>
      <c r="B6028" s="5" t="s">
        <v>13417</v>
      </c>
      <c r="C6028" s="5" t="s">
        <v>18</v>
      </c>
      <c r="D6028" s="5" t="s">
        <v>19</v>
      </c>
      <c r="E6028" s="5" t="s">
        <v>349</v>
      </c>
      <c r="F6028" s="9">
        <v>112</v>
      </c>
      <c r="G6028" s="9">
        <v>1225</v>
      </c>
      <c r="H6028" s="5" t="s">
        <v>21</v>
      </c>
      <c r="I6028" s="5" t="s">
        <v>13418</v>
      </c>
      <c r="J6028" s="12" t="str">
        <f>HYPERLINK("https://www.boe.es/gazeta/dias/1801/12/04/pdfs/GMD-1801-112.pdf#page=6","Abrir facsímil")</f>
        <v>Abrir facsímil</v>
      </c>
      <c r="K6028" s="15" t="s">
        <v>23</v>
      </c>
    </row>
    <row r="6029" spans="1:11" ht="42" customHeight="1">
      <c r="A6029" s="4" t="s">
        <v>13419</v>
      </c>
      <c r="B6029" s="5" t="s">
        <v>13420</v>
      </c>
      <c r="C6029" s="5" t="s">
        <v>75</v>
      </c>
      <c r="D6029" s="5" t="s">
        <v>76</v>
      </c>
      <c r="E6029" s="5" t="s">
        <v>122</v>
      </c>
      <c r="F6029" s="9">
        <v>8</v>
      </c>
      <c r="G6029" s="9">
        <v>92</v>
      </c>
      <c r="H6029" s="5" t="s">
        <v>21</v>
      </c>
      <c r="I6029" s="5" t="s">
        <v>13421</v>
      </c>
      <c r="J6029" s="12" t="str">
        <f>HYPERLINK("https://www.boe.es/gazeta/dias/1801/01/27/pdfs/GMD-1801-8.pdf#page=4","Abrir facsímil")</f>
        <v>Abrir facsímil</v>
      </c>
      <c r="K6029" s="15" t="s">
        <v>23</v>
      </c>
    </row>
    <row r="6030" spans="1:11" ht="42" customHeight="1">
      <c r="A6030" s="4" t="s">
        <v>13422</v>
      </c>
      <c r="B6030" s="5" t="s">
        <v>13423</v>
      </c>
      <c r="C6030" s="5" t="s">
        <v>18</v>
      </c>
      <c r="D6030" s="5" t="s">
        <v>19</v>
      </c>
      <c r="E6030" s="5" t="s">
        <v>90</v>
      </c>
      <c r="F6030" s="9">
        <v>1</v>
      </c>
      <c r="G6030" s="9">
        <v>5</v>
      </c>
      <c r="H6030" s="5" t="s">
        <v>21</v>
      </c>
      <c r="I6030" s="5" t="s">
        <v>13424</v>
      </c>
      <c r="J6030" s="12" t="str">
        <f>HYPERLINK("https://www.boe.es/gazeta/dias/1801/01/02/pdfs/GMD-1801-1.pdf#page=5","Abrir facsímil")</f>
        <v>Abrir facsímil</v>
      </c>
      <c r="K6030" s="15" t="s">
        <v>23</v>
      </c>
    </row>
    <row r="6031" spans="1:11" ht="42" customHeight="1">
      <c r="A6031" s="4" t="s">
        <v>13422</v>
      </c>
      <c r="B6031" s="5" t="s">
        <v>13423</v>
      </c>
      <c r="C6031" s="5" t="s">
        <v>75</v>
      </c>
      <c r="D6031" s="5" t="s">
        <v>76</v>
      </c>
      <c r="E6031" s="5" t="s">
        <v>70</v>
      </c>
      <c r="F6031" s="9">
        <v>2</v>
      </c>
      <c r="G6031" s="9">
        <v>18</v>
      </c>
      <c r="H6031" s="5" t="s">
        <v>21</v>
      </c>
      <c r="I6031" s="5" t="s">
        <v>13425</v>
      </c>
      <c r="J6031" s="12" t="str">
        <f>HYPERLINK("https://www.boe.es/gazeta/dias/1801/01/06/pdfs/GMD-1801-2.pdf#page=6","Abrir facsímil")</f>
        <v>Abrir facsímil</v>
      </c>
      <c r="K6031" s="15" t="s">
        <v>23</v>
      </c>
    </row>
    <row r="6032" spans="1:11" ht="42" customHeight="1">
      <c r="A6032" s="4" t="s">
        <v>13422</v>
      </c>
      <c r="B6032" s="5" t="s">
        <v>13423</v>
      </c>
      <c r="C6032" s="5" t="s">
        <v>75</v>
      </c>
      <c r="D6032" s="5" t="s">
        <v>76</v>
      </c>
      <c r="E6032" s="5" t="s">
        <v>321</v>
      </c>
      <c r="F6032" s="9">
        <v>3</v>
      </c>
      <c r="G6032" s="9">
        <v>27</v>
      </c>
      <c r="H6032" s="5" t="s">
        <v>21</v>
      </c>
      <c r="I6032" s="5" t="s">
        <v>13426</v>
      </c>
      <c r="J6032" s="12" t="str">
        <f>HYPERLINK("https://www.boe.es/gazeta/dias/1801/01/09/pdfs/GMD-1801-3.pdf#page=3","Abrir facsímil")</f>
        <v>Abrir facsímil</v>
      </c>
      <c r="K6032" s="15" t="s">
        <v>23</v>
      </c>
    </row>
    <row r="6033" spans="1:11" ht="42" customHeight="1">
      <c r="A6033" s="4" t="s">
        <v>13422</v>
      </c>
      <c r="B6033" s="5" t="s">
        <v>13423</v>
      </c>
      <c r="C6033" s="5" t="s">
        <v>75</v>
      </c>
      <c r="D6033" s="5" t="s">
        <v>76</v>
      </c>
      <c r="E6033" s="5" t="s">
        <v>321</v>
      </c>
      <c r="F6033" s="9">
        <v>3</v>
      </c>
      <c r="G6033" s="9">
        <v>29</v>
      </c>
      <c r="H6033" s="5" t="s">
        <v>21</v>
      </c>
      <c r="I6033" s="5" t="s">
        <v>13427</v>
      </c>
      <c r="J6033" s="12" t="str">
        <f>HYPERLINK("https://www.boe.es/gazeta/dias/1801/01/09/pdfs/GMD-1801-3.pdf#page=5","Abrir facsímil")</f>
        <v>Abrir facsímil</v>
      </c>
      <c r="K6033" s="15" t="s">
        <v>23</v>
      </c>
    </row>
    <row r="6034" spans="1:11" ht="42" customHeight="1">
      <c r="A6034" s="4" t="s">
        <v>13428</v>
      </c>
      <c r="B6034" s="5" t="s">
        <v>13429</v>
      </c>
      <c r="C6034" s="5" t="s">
        <v>75</v>
      </c>
      <c r="D6034" s="5" t="s">
        <v>76</v>
      </c>
      <c r="E6034" s="5" t="s">
        <v>465</v>
      </c>
      <c r="F6034" s="9">
        <v>4</v>
      </c>
      <c r="G6034" s="9">
        <v>41</v>
      </c>
      <c r="H6034" s="5" t="s">
        <v>21</v>
      </c>
      <c r="I6034" s="5" t="s">
        <v>13430</v>
      </c>
      <c r="J6034" s="12" t="str">
        <f>HYPERLINK("https://www.boe.es/gazeta/dias/1801/01/13/pdfs/GMD-1801-4.pdf#page=5","Abrir facsímil")</f>
        <v>Abrir facsímil</v>
      </c>
      <c r="K6034" s="15" t="s">
        <v>23</v>
      </c>
    </row>
    <row r="6035" spans="1:11" ht="42" customHeight="1">
      <c r="A6035" s="4" t="s">
        <v>13422</v>
      </c>
      <c r="B6035" s="5" t="s">
        <v>13423</v>
      </c>
      <c r="C6035" s="5" t="s">
        <v>75</v>
      </c>
      <c r="D6035" s="5" t="s">
        <v>76</v>
      </c>
      <c r="E6035" s="5" t="s">
        <v>462</v>
      </c>
      <c r="F6035" s="9">
        <v>5</v>
      </c>
      <c r="G6035" s="9">
        <v>54</v>
      </c>
      <c r="H6035" s="5" t="s">
        <v>21</v>
      </c>
      <c r="I6035" s="5" t="s">
        <v>13431</v>
      </c>
      <c r="J6035" s="12" t="str">
        <f>HYPERLINK("https://www.boe.es/gazeta/dias/1801/01/16/pdfs/GMD-1801-5.pdf#page=6","Abrir facsímil")</f>
        <v>Abrir facsímil</v>
      </c>
      <c r="K6035" s="15" t="s">
        <v>23</v>
      </c>
    </row>
    <row r="6036" spans="1:11" ht="42" customHeight="1">
      <c r="A6036" s="4" t="s">
        <v>13422</v>
      </c>
      <c r="B6036" s="5" t="s">
        <v>13423</v>
      </c>
      <c r="C6036" s="5" t="s">
        <v>75</v>
      </c>
      <c r="D6036" s="5" t="s">
        <v>76</v>
      </c>
      <c r="E6036" s="5" t="s">
        <v>62</v>
      </c>
      <c r="F6036" s="9">
        <v>6</v>
      </c>
      <c r="G6036" s="9">
        <v>66</v>
      </c>
      <c r="H6036" s="5" t="s">
        <v>21</v>
      </c>
      <c r="I6036" s="5" t="s">
        <v>13432</v>
      </c>
      <c r="J6036" s="12" t="str">
        <f>HYPERLINK("https://www.boe.es/gazeta/dias/1801/01/20/pdfs/GMD-1801-6.pdf#page=2","Abrir facsímil")</f>
        <v>Abrir facsímil</v>
      </c>
      <c r="K6036" s="15" t="s">
        <v>23</v>
      </c>
    </row>
    <row r="6037" spans="1:11" ht="42" customHeight="1">
      <c r="A6037" s="4" t="s">
        <v>13433</v>
      </c>
      <c r="B6037" s="5" t="s">
        <v>13434</v>
      </c>
      <c r="C6037" s="5" t="s">
        <v>75</v>
      </c>
      <c r="D6037" s="5" t="s">
        <v>76</v>
      </c>
      <c r="E6037" s="5" t="s">
        <v>62</v>
      </c>
      <c r="F6037" s="9">
        <v>6</v>
      </c>
      <c r="G6037" s="9">
        <v>68</v>
      </c>
      <c r="H6037" s="5" t="s">
        <v>21</v>
      </c>
      <c r="I6037" s="5" t="s">
        <v>13435</v>
      </c>
      <c r="J6037" s="12" t="str">
        <f>HYPERLINK("https://www.boe.es/gazeta/dias/1801/01/20/pdfs/GMD-1801-6.pdf#page=4","Abrir facsímil")</f>
        <v>Abrir facsímil</v>
      </c>
      <c r="K6037" s="15" t="s">
        <v>23</v>
      </c>
    </row>
    <row r="6038" spans="1:11" ht="42" customHeight="1">
      <c r="A6038" s="4" t="s">
        <v>13422</v>
      </c>
      <c r="B6038" s="5" t="s">
        <v>13423</v>
      </c>
      <c r="C6038" s="5" t="s">
        <v>75</v>
      </c>
      <c r="D6038" s="5" t="s">
        <v>76</v>
      </c>
      <c r="E6038" s="5" t="s">
        <v>120</v>
      </c>
      <c r="F6038" s="9">
        <v>7</v>
      </c>
      <c r="G6038" s="9">
        <v>81</v>
      </c>
      <c r="H6038" s="5" t="s">
        <v>21</v>
      </c>
      <c r="I6038" s="5" t="s">
        <v>13436</v>
      </c>
      <c r="J6038" s="12" t="str">
        <f>HYPERLINK("https://www.boe.es/gazeta/dias/1801/01/23/pdfs/GMD-1801-7.pdf#page=5","Abrir facsímil")</f>
        <v>Abrir facsímil</v>
      </c>
      <c r="K6038" s="15" t="s">
        <v>23</v>
      </c>
    </row>
    <row r="6039" spans="1:11" ht="42" customHeight="1">
      <c r="A6039" s="4" t="s">
        <v>13437</v>
      </c>
      <c r="B6039" s="5" t="s">
        <v>13438</v>
      </c>
      <c r="C6039" s="5" t="s">
        <v>75</v>
      </c>
      <c r="D6039" s="5" t="s">
        <v>76</v>
      </c>
      <c r="E6039" s="5" t="s">
        <v>122</v>
      </c>
      <c r="F6039" s="9">
        <v>8</v>
      </c>
      <c r="G6039" s="9">
        <v>90</v>
      </c>
      <c r="H6039" s="5" t="s">
        <v>21</v>
      </c>
      <c r="I6039" s="5" t="s">
        <v>13439</v>
      </c>
      <c r="J6039" s="12" t="str">
        <f>HYPERLINK("https://www.boe.es/gazeta/dias/1801/01/27/pdfs/GMD-1801-8.pdf#page=2","Abrir facsímil")</f>
        <v>Abrir facsímil</v>
      </c>
      <c r="K6039" s="15" t="s">
        <v>23</v>
      </c>
    </row>
    <row r="6040" spans="1:11" ht="42" customHeight="1">
      <c r="A6040" s="4" t="s">
        <v>13422</v>
      </c>
      <c r="B6040" s="5" t="s">
        <v>13423</v>
      </c>
      <c r="C6040" s="5" t="s">
        <v>75</v>
      </c>
      <c r="D6040" s="5" t="s">
        <v>76</v>
      </c>
      <c r="E6040" s="5" t="s">
        <v>480</v>
      </c>
      <c r="F6040" s="9">
        <v>10</v>
      </c>
      <c r="G6040" s="9">
        <v>120</v>
      </c>
      <c r="H6040" s="5" t="s">
        <v>21</v>
      </c>
      <c r="I6040" s="5" t="s">
        <v>13440</v>
      </c>
      <c r="J6040" s="12" t="str">
        <f>HYPERLINK("https://www.boe.es/gazeta/dias/1801/02/03/pdfs/GMD-1801-10.pdf#page=5","Abrir facsímil")</f>
        <v>Abrir facsímil</v>
      </c>
      <c r="K6040" s="15" t="s">
        <v>23</v>
      </c>
    </row>
    <row r="6041" spans="1:11" ht="42" customHeight="1">
      <c r="A6041" s="4" t="s">
        <v>13422</v>
      </c>
      <c r="B6041" s="5" t="s">
        <v>13423</v>
      </c>
      <c r="C6041" s="5" t="s">
        <v>75</v>
      </c>
      <c r="D6041" s="5" t="s">
        <v>76</v>
      </c>
      <c r="E6041" s="5" t="s">
        <v>179</v>
      </c>
      <c r="F6041" s="9">
        <v>11</v>
      </c>
      <c r="G6041" s="9">
        <v>130</v>
      </c>
      <c r="H6041" s="5" t="s">
        <v>21</v>
      </c>
      <c r="I6041" s="5" t="s">
        <v>13441</v>
      </c>
      <c r="J6041" s="12" t="str">
        <f>HYPERLINK("https://www.boe.es/gazeta/dias/1801/02/06/pdfs/GMD-1801-11.pdf#page=3","Abrir facsímil")</f>
        <v>Abrir facsímil</v>
      </c>
      <c r="K6041" s="15" t="s">
        <v>23</v>
      </c>
    </row>
    <row r="6042" spans="1:11" ht="42" customHeight="1">
      <c r="A6042" s="4" t="s">
        <v>13422</v>
      </c>
      <c r="B6042" s="5" t="s">
        <v>13423</v>
      </c>
      <c r="C6042" s="5" t="s">
        <v>75</v>
      </c>
      <c r="D6042" s="5" t="s">
        <v>76</v>
      </c>
      <c r="E6042" s="5" t="s">
        <v>179</v>
      </c>
      <c r="F6042" s="9">
        <v>11</v>
      </c>
      <c r="G6042" s="9">
        <v>134</v>
      </c>
      <c r="H6042" s="5" t="s">
        <v>21</v>
      </c>
      <c r="I6042" s="5" t="s">
        <v>13442</v>
      </c>
      <c r="J6042" s="12" t="str">
        <f>HYPERLINK("https://www.boe.es/gazeta/dias/1801/02/06/pdfs/GMD-1801-11.pdf#page=7","Abrir facsímil")</f>
        <v>Abrir facsímil</v>
      </c>
      <c r="K6042" s="15" t="s">
        <v>23</v>
      </c>
    </row>
    <row r="6043" spans="1:11" ht="42" customHeight="1">
      <c r="A6043" s="4" t="s">
        <v>13422</v>
      </c>
      <c r="B6043" s="5" t="s">
        <v>13423</v>
      </c>
      <c r="C6043" s="5" t="s">
        <v>75</v>
      </c>
      <c r="D6043" s="5" t="s">
        <v>76</v>
      </c>
      <c r="E6043" s="5" t="s">
        <v>1015</v>
      </c>
      <c r="F6043" s="9">
        <v>15</v>
      </c>
      <c r="G6043" s="9">
        <v>185</v>
      </c>
      <c r="H6043" s="5" t="s">
        <v>21</v>
      </c>
      <c r="I6043" s="5" t="s">
        <v>13443</v>
      </c>
      <c r="J6043" s="12" t="str">
        <f>HYPERLINK("https://www.boe.es/gazeta/dias/1801/02/20/pdfs/GMD-1801-15.pdf#page=4","Abrir facsímil")</f>
        <v>Abrir facsímil</v>
      </c>
      <c r="K6043" s="15" t="s">
        <v>23</v>
      </c>
    </row>
    <row r="6044" spans="1:11" ht="42" customHeight="1">
      <c r="A6044" s="4" t="s">
        <v>13422</v>
      </c>
      <c r="B6044" s="5" t="s">
        <v>13423</v>
      </c>
      <c r="C6044" s="5" t="s">
        <v>75</v>
      </c>
      <c r="D6044" s="5" t="s">
        <v>76</v>
      </c>
      <c r="E6044" s="5" t="s">
        <v>1015</v>
      </c>
      <c r="F6044" s="9">
        <v>15</v>
      </c>
      <c r="G6044" s="9">
        <v>187</v>
      </c>
      <c r="H6044" s="5" t="s">
        <v>21</v>
      </c>
      <c r="I6044" s="5" t="s">
        <v>13444</v>
      </c>
      <c r="J6044" s="12" t="str">
        <f>HYPERLINK("https://www.boe.es/gazeta/dias/1801/02/20/pdfs/GMD-1801-15.pdf#page=6","Abrir facsímil")</f>
        <v>Abrir facsímil</v>
      </c>
      <c r="K6044" s="15" t="s">
        <v>23</v>
      </c>
    </row>
    <row r="6045" spans="1:11" ht="42" customHeight="1">
      <c r="A6045" s="4" t="s">
        <v>13422</v>
      </c>
      <c r="B6045" s="5" t="s">
        <v>13423</v>
      </c>
      <c r="C6045" s="5" t="s">
        <v>75</v>
      </c>
      <c r="D6045" s="5" t="s">
        <v>76</v>
      </c>
      <c r="E6045" s="5" t="s">
        <v>1015</v>
      </c>
      <c r="F6045" s="9">
        <v>15</v>
      </c>
      <c r="G6045" s="9">
        <v>188</v>
      </c>
      <c r="H6045" s="5" t="s">
        <v>21</v>
      </c>
      <c r="I6045" s="5" t="s">
        <v>13445</v>
      </c>
      <c r="J6045" s="12" t="str">
        <f>HYPERLINK("https://www.boe.es/gazeta/dias/1801/02/20/pdfs/GMD-1801-15.pdf#page=7","Abrir facsímil")</f>
        <v>Abrir facsímil</v>
      </c>
      <c r="K6045" s="15" t="s">
        <v>23</v>
      </c>
    </row>
    <row r="6046" spans="1:11" ht="42" customHeight="1">
      <c r="A6046" s="4" t="s">
        <v>13422</v>
      </c>
      <c r="B6046" s="5" t="s">
        <v>13423</v>
      </c>
      <c r="C6046" s="5" t="s">
        <v>75</v>
      </c>
      <c r="D6046" s="5" t="s">
        <v>76</v>
      </c>
      <c r="E6046" s="5" t="s">
        <v>190</v>
      </c>
      <c r="F6046" s="9">
        <v>16</v>
      </c>
      <c r="G6046" s="9">
        <v>195</v>
      </c>
      <c r="H6046" s="5" t="s">
        <v>21</v>
      </c>
      <c r="I6046" s="5" t="s">
        <v>13446</v>
      </c>
      <c r="J6046" s="12" t="str">
        <f>HYPERLINK("https://www.boe.es/gazeta/dias/1801/02/24/pdfs/GMD-1801-16.pdf#page=2","Abrir facsímil")</f>
        <v>Abrir facsímil</v>
      </c>
      <c r="K6046" s="15" t="s">
        <v>23</v>
      </c>
    </row>
    <row r="6047" spans="1:11" ht="42" customHeight="1">
      <c r="A6047" s="4" t="s">
        <v>13422</v>
      </c>
      <c r="B6047" s="5" t="s">
        <v>13423</v>
      </c>
      <c r="C6047" s="5" t="s">
        <v>75</v>
      </c>
      <c r="D6047" s="5" t="s">
        <v>76</v>
      </c>
      <c r="E6047" s="5" t="s">
        <v>128</v>
      </c>
      <c r="F6047" s="9">
        <v>17</v>
      </c>
      <c r="G6047" s="9">
        <v>209</v>
      </c>
      <c r="H6047" s="5" t="s">
        <v>21</v>
      </c>
      <c r="I6047" s="5" t="s">
        <v>13447</v>
      </c>
      <c r="J6047" s="12" t="str">
        <f>HYPERLINK("https://www.boe.es/gazeta/dias/1801/02/27/pdfs/GMD-1801-17.pdf#page=4","Abrir facsímil")</f>
        <v>Abrir facsímil</v>
      </c>
      <c r="K6047" s="15" t="s">
        <v>23</v>
      </c>
    </row>
    <row r="6048" spans="1:11" ht="42" customHeight="1">
      <c r="A6048" s="4" t="s">
        <v>13422</v>
      </c>
      <c r="B6048" s="5" t="s">
        <v>13423</v>
      </c>
      <c r="C6048" s="5" t="s">
        <v>75</v>
      </c>
      <c r="D6048" s="5" t="s">
        <v>76</v>
      </c>
      <c r="E6048" s="5" t="s">
        <v>94</v>
      </c>
      <c r="F6048" s="9">
        <v>19</v>
      </c>
      <c r="G6048" s="9">
        <v>238</v>
      </c>
      <c r="H6048" s="5" t="s">
        <v>21</v>
      </c>
      <c r="I6048" s="5" t="s">
        <v>13448</v>
      </c>
      <c r="J6048" s="12" t="str">
        <f>HYPERLINK("https://www.boe.es/gazeta/dias/1801/03/06/pdfs/GMD-1801-19.pdf#page=3","Abrir facsímil")</f>
        <v>Abrir facsímil</v>
      </c>
      <c r="K6048" s="15" t="s">
        <v>23</v>
      </c>
    </row>
    <row r="6049" spans="1:11" ht="42" customHeight="1">
      <c r="A6049" s="4" t="s">
        <v>13422</v>
      </c>
      <c r="B6049" s="5" t="s">
        <v>13423</v>
      </c>
      <c r="C6049" s="5" t="s">
        <v>75</v>
      </c>
      <c r="D6049" s="5" t="s">
        <v>76</v>
      </c>
      <c r="E6049" s="5" t="s">
        <v>292</v>
      </c>
      <c r="F6049" s="9">
        <v>25</v>
      </c>
      <c r="G6049" s="9">
        <v>325</v>
      </c>
      <c r="H6049" s="5" t="s">
        <v>21</v>
      </c>
      <c r="I6049" s="5" t="s">
        <v>13449</v>
      </c>
      <c r="J6049" s="12" t="str">
        <f>HYPERLINK("https://www.boe.es/gazeta/dias/1801/03/27/pdfs/GMD-1801-25.pdf#page=4","Abrir facsímil")</f>
        <v>Abrir facsímil</v>
      </c>
      <c r="K6049" s="15" t="s">
        <v>23</v>
      </c>
    </row>
    <row r="6050" spans="1:11" ht="42" customHeight="1">
      <c r="A6050" s="4" t="s">
        <v>13422</v>
      </c>
      <c r="B6050" s="5" t="s">
        <v>13423</v>
      </c>
      <c r="C6050" s="5" t="s">
        <v>38</v>
      </c>
      <c r="D6050" s="5" t="s">
        <v>39</v>
      </c>
      <c r="E6050" s="5" t="s">
        <v>219</v>
      </c>
      <c r="F6050" s="9">
        <v>26</v>
      </c>
      <c r="G6050" s="9">
        <v>343</v>
      </c>
      <c r="H6050" s="5" t="s">
        <v>21</v>
      </c>
      <c r="I6050" s="5" t="s">
        <v>13450</v>
      </c>
      <c r="J6050" s="12" t="str">
        <f>HYPERLINK("https://www.boe.es/gazeta/dias/1801/03/31/pdfs/GMD-1801-26.pdf#page=7","Abrir facsímil")</f>
        <v>Abrir facsímil</v>
      </c>
      <c r="K6050" s="15" t="s">
        <v>23</v>
      </c>
    </row>
    <row r="6051" spans="1:11" ht="42" customHeight="1">
      <c r="A6051" s="4" t="s">
        <v>13422</v>
      </c>
      <c r="B6051" s="5" t="s">
        <v>13423</v>
      </c>
      <c r="C6051" s="5" t="s">
        <v>75</v>
      </c>
      <c r="D6051" s="5" t="s">
        <v>76</v>
      </c>
      <c r="E6051" s="5" t="s">
        <v>448</v>
      </c>
      <c r="F6051" s="9">
        <v>35</v>
      </c>
      <c r="G6051" s="9">
        <v>447</v>
      </c>
      <c r="H6051" s="5" t="s">
        <v>21</v>
      </c>
      <c r="I6051" s="5" t="s">
        <v>13451</v>
      </c>
      <c r="J6051" s="12" t="str">
        <f>HYPERLINK("https://www.boe.es/gazeta/dias/1801/05/01/pdfs/GMD-1801-35.pdf#page=3","Abrir facsímil")</f>
        <v>Abrir facsímil</v>
      </c>
      <c r="K6051" s="15" t="s">
        <v>23</v>
      </c>
    </row>
    <row r="6052" spans="1:11" ht="42" customHeight="1">
      <c r="A6052" s="4" t="s">
        <v>13422</v>
      </c>
      <c r="B6052" s="5" t="s">
        <v>13423</v>
      </c>
      <c r="C6052" s="5" t="s">
        <v>75</v>
      </c>
      <c r="D6052" s="5" t="s">
        <v>76</v>
      </c>
      <c r="E6052" s="5" t="s">
        <v>352</v>
      </c>
      <c r="F6052" s="9">
        <v>43</v>
      </c>
      <c r="G6052" s="9">
        <v>532</v>
      </c>
      <c r="H6052" s="5" t="s">
        <v>21</v>
      </c>
      <c r="I6052" s="5" t="s">
        <v>13452</v>
      </c>
      <c r="J6052" s="12" t="str">
        <f>HYPERLINK("https://www.boe.es/gazeta/dias/1801/05/26/pdfs/GMD-1801-43.pdf#page=4","Abrir facsímil")</f>
        <v>Abrir facsímil</v>
      </c>
      <c r="K6052" s="15" t="s">
        <v>23</v>
      </c>
    </row>
    <row r="6053" spans="1:11" ht="42" customHeight="1">
      <c r="A6053" s="4" t="s">
        <v>13422</v>
      </c>
      <c r="B6053" s="5" t="s">
        <v>13423</v>
      </c>
      <c r="C6053" s="5" t="s">
        <v>75</v>
      </c>
      <c r="D6053" s="5" t="s">
        <v>76</v>
      </c>
      <c r="E6053" s="5" t="s">
        <v>105</v>
      </c>
      <c r="F6053" s="9">
        <v>44</v>
      </c>
      <c r="G6053" s="9">
        <v>543</v>
      </c>
      <c r="H6053" s="5" t="s">
        <v>21</v>
      </c>
      <c r="I6053" s="5" t="s">
        <v>13453</v>
      </c>
      <c r="J6053" s="12" t="str">
        <f>HYPERLINK("https://www.boe.es/gazeta/dias/1801/05/29/pdfs/GMD-1801-44.pdf#page=3","Abrir facsímil")</f>
        <v>Abrir facsímil</v>
      </c>
      <c r="K6053" s="15" t="s">
        <v>23</v>
      </c>
    </row>
    <row r="6054" spans="1:11" ht="42" customHeight="1">
      <c r="A6054" s="4" t="s">
        <v>13422</v>
      </c>
      <c r="B6054" s="5" t="s">
        <v>13423</v>
      </c>
      <c r="C6054" s="5" t="s">
        <v>75</v>
      </c>
      <c r="D6054" s="5" t="s">
        <v>76</v>
      </c>
      <c r="E6054" s="5" t="s">
        <v>151</v>
      </c>
      <c r="F6054" s="9">
        <v>45</v>
      </c>
      <c r="G6054" s="9">
        <v>559</v>
      </c>
      <c r="H6054" s="5" t="s">
        <v>21</v>
      </c>
      <c r="I6054" s="5" t="s">
        <v>13454</v>
      </c>
      <c r="J6054" s="12" t="str">
        <f>HYPERLINK("https://www.boe.es/gazeta/dias/1801/06/02/pdfs/GMD-1801-45.pdf#page=7","Abrir facsímil")</f>
        <v>Abrir facsímil</v>
      </c>
      <c r="K6054" s="15" t="s">
        <v>23</v>
      </c>
    </row>
    <row r="6055" spans="1:11" ht="42" customHeight="1">
      <c r="A6055" s="4" t="s">
        <v>13422</v>
      </c>
      <c r="B6055" s="5" t="s">
        <v>13423</v>
      </c>
      <c r="C6055" s="5" t="s">
        <v>38</v>
      </c>
      <c r="D6055" s="5" t="s">
        <v>39</v>
      </c>
      <c r="E6055" s="5" t="s">
        <v>158</v>
      </c>
      <c r="F6055" s="9">
        <v>55</v>
      </c>
      <c r="G6055" s="9">
        <v>630</v>
      </c>
      <c r="H6055" s="5" t="s">
        <v>21</v>
      </c>
      <c r="I6055" s="5" t="s">
        <v>13455</v>
      </c>
      <c r="J6055" s="12" t="str">
        <f>HYPERLINK("https://www.boe.es/gazeta/dias/1801/06/16/pdfs/GMD-1801-55.pdf#page=6","Abrir facsímil")</f>
        <v>Abrir facsímil</v>
      </c>
      <c r="K6055" s="15" t="s">
        <v>23</v>
      </c>
    </row>
    <row r="6056" spans="1:11" ht="42" customHeight="1">
      <c r="A6056" s="4" t="s">
        <v>13456</v>
      </c>
      <c r="B6056" s="5" t="s">
        <v>13457</v>
      </c>
      <c r="C6056" s="5" t="s">
        <v>75</v>
      </c>
      <c r="D6056" s="5" t="s">
        <v>76</v>
      </c>
      <c r="E6056" s="5" t="s">
        <v>62</v>
      </c>
      <c r="F6056" s="9">
        <v>6</v>
      </c>
      <c r="G6056" s="9">
        <v>70</v>
      </c>
      <c r="H6056" s="5" t="s">
        <v>21</v>
      </c>
      <c r="I6056" s="5" t="s">
        <v>13458</v>
      </c>
      <c r="J6056" s="12" t="str">
        <f>HYPERLINK("https://www.boe.es/gazeta/dias/1801/01/20/pdfs/GMD-1801-6.pdf#page=6","Abrir facsímil")</f>
        <v>Abrir facsímil</v>
      </c>
      <c r="K6056" s="15" t="s">
        <v>23</v>
      </c>
    </row>
    <row r="6057" spans="1:11" ht="42" customHeight="1">
      <c r="A6057" s="4" t="s">
        <v>13459</v>
      </c>
      <c r="B6057" s="5" t="s">
        <v>13460</v>
      </c>
      <c r="C6057" s="5" t="s">
        <v>32</v>
      </c>
      <c r="D6057" s="5" t="s">
        <v>33</v>
      </c>
      <c r="E6057" s="5" t="s">
        <v>90</v>
      </c>
      <c r="F6057" s="9">
        <v>1</v>
      </c>
      <c r="G6057" s="9">
        <v>8</v>
      </c>
      <c r="H6057" s="5" t="s">
        <v>21</v>
      </c>
      <c r="I6057" s="5" t="s">
        <v>13461</v>
      </c>
      <c r="J6057" s="12" t="str">
        <f>HYPERLINK("https://www.boe.es/gazeta/dias/1801/01/02/pdfs/GMD-1801-1.pdf#page=8","Abrir facsímil")</f>
        <v>Abrir facsímil</v>
      </c>
      <c r="K6057" s="15" t="s">
        <v>23</v>
      </c>
    </row>
    <row r="6058" spans="1:11" ht="42" customHeight="1">
      <c r="A6058" s="4" t="s">
        <v>13462</v>
      </c>
      <c r="B6058" s="5" t="s">
        <v>13463</v>
      </c>
      <c r="C6058" s="5" t="s">
        <v>69</v>
      </c>
      <c r="D6058" s="5" t="s">
        <v>19</v>
      </c>
      <c r="E6058" s="5" t="s">
        <v>1058</v>
      </c>
      <c r="F6058" s="9">
        <v>108</v>
      </c>
      <c r="G6058" s="9">
        <v>1191</v>
      </c>
      <c r="H6058" s="5" t="s">
        <v>21</v>
      </c>
      <c r="I6058" s="5" t="s">
        <v>13464</v>
      </c>
      <c r="J6058" s="12" t="str">
        <f>HYPERLINK("https://www.boe.es/gazeta/dias/1801/11/20/pdfs/GMD-1801-108.pdf#page=8","Abrir facsímil")</f>
        <v>Abrir facsímil</v>
      </c>
      <c r="K6058" s="15" t="s">
        <v>23</v>
      </c>
    </row>
    <row r="6059" spans="1:11" ht="42" customHeight="1">
      <c r="A6059" s="4" t="s">
        <v>13465</v>
      </c>
      <c r="B6059" s="5" t="s">
        <v>13466</v>
      </c>
      <c r="C6059" s="5" t="s">
        <v>32</v>
      </c>
      <c r="D6059" s="5" t="s">
        <v>33</v>
      </c>
      <c r="E6059" s="5" t="s">
        <v>275</v>
      </c>
      <c r="F6059" s="9">
        <v>9</v>
      </c>
      <c r="G6059" s="9">
        <v>112</v>
      </c>
      <c r="H6059" s="5" t="s">
        <v>21</v>
      </c>
      <c r="I6059" s="5" t="s">
        <v>13467</v>
      </c>
      <c r="J6059" s="12" t="str">
        <f>HYPERLINK("https://www.boe.es/gazeta/dias/1801/01/30/pdfs/GMD-1801-9.pdf#page=9","Abrir facsímil")</f>
        <v>Abrir facsímil</v>
      </c>
      <c r="K6059" s="15" t="s">
        <v>23</v>
      </c>
    </row>
    <row r="6060" spans="1:11" ht="42" customHeight="1">
      <c r="A6060" s="4" t="s">
        <v>13468</v>
      </c>
      <c r="B6060" s="5" t="s">
        <v>13469</v>
      </c>
      <c r="C6060" s="5" t="s">
        <v>26</v>
      </c>
      <c r="D6060" s="5" t="s">
        <v>27</v>
      </c>
      <c r="E6060" s="5" t="s">
        <v>2185</v>
      </c>
      <c r="F6060" s="9">
        <v>84</v>
      </c>
      <c r="G6060" s="9">
        <v>945</v>
      </c>
      <c r="H6060" s="5" t="s">
        <v>21</v>
      </c>
      <c r="I6060" s="5" t="s">
        <v>13470</v>
      </c>
      <c r="J6060" s="12" t="str">
        <f>HYPERLINK("https://www.boe.es/gazeta/dias/1801/09/04/pdfs/GMD-1801-84.pdf#page=8","Abrir facsímil")</f>
        <v>Abrir facsímil</v>
      </c>
      <c r="K6060" s="15" t="s">
        <v>23</v>
      </c>
    </row>
    <row r="6061" spans="1:11" ht="42" customHeight="1">
      <c r="A6061" s="4" t="s">
        <v>13471</v>
      </c>
      <c r="B6061" s="5" t="s">
        <v>13472</v>
      </c>
      <c r="C6061" s="5" t="s">
        <v>38</v>
      </c>
      <c r="D6061" s="5" t="s">
        <v>39</v>
      </c>
      <c r="E6061" s="5" t="s">
        <v>131</v>
      </c>
      <c r="F6061" s="9">
        <v>22</v>
      </c>
      <c r="G6061" s="9">
        <v>289</v>
      </c>
      <c r="H6061" s="5" t="s">
        <v>21</v>
      </c>
      <c r="I6061" s="5" t="s">
        <v>13473</v>
      </c>
      <c r="J6061" s="12" t="str">
        <f>HYPERLINK("https://www.boe.es/gazeta/dias/1801/03/17/pdfs/GMD-1801-22.pdf#page=6","Abrir facsímil")</f>
        <v>Abrir facsímil</v>
      </c>
      <c r="K6061" s="15" t="s">
        <v>23</v>
      </c>
    </row>
    <row r="6062" spans="1:11" ht="42" customHeight="1">
      <c r="A6062" s="4" t="s">
        <v>13474</v>
      </c>
      <c r="B6062" s="5" t="s">
        <v>13475</v>
      </c>
      <c r="C6062" s="5" t="s">
        <v>69</v>
      </c>
      <c r="D6062" s="5" t="s">
        <v>19</v>
      </c>
      <c r="E6062" s="5" t="s">
        <v>275</v>
      </c>
      <c r="F6062" s="9">
        <v>9</v>
      </c>
      <c r="G6062" s="9">
        <v>112</v>
      </c>
      <c r="H6062" s="5" t="s">
        <v>21</v>
      </c>
      <c r="I6062" s="5" t="s">
        <v>13476</v>
      </c>
      <c r="J6062" s="12" t="str">
        <f>HYPERLINK("https://www.boe.es/gazeta/dias/1801/01/30/pdfs/GMD-1801-9.pdf#page=9","Abrir facsímil")</f>
        <v>Abrir facsímil</v>
      </c>
      <c r="K6062" s="15" t="s">
        <v>23</v>
      </c>
    </row>
    <row r="6063" spans="1:11" ht="42" customHeight="1">
      <c r="A6063" s="4" t="s">
        <v>13477</v>
      </c>
      <c r="B6063" s="5" t="s">
        <v>13478</v>
      </c>
      <c r="C6063" s="5" t="s">
        <v>18</v>
      </c>
      <c r="D6063" s="5" t="s">
        <v>19</v>
      </c>
      <c r="E6063" s="5" t="s">
        <v>135</v>
      </c>
      <c r="F6063" s="9">
        <v>24</v>
      </c>
      <c r="G6063" s="9">
        <v>319</v>
      </c>
      <c r="H6063" s="5" t="s">
        <v>21</v>
      </c>
      <c r="I6063" s="5" t="s">
        <v>13479</v>
      </c>
      <c r="J6063" s="12" t="str">
        <f>HYPERLINK("https://www.boe.es/gazeta/dias/1801/03/24/pdfs/GMD-1801-24.pdf#page=10","Abrir facsímil")</f>
        <v>Abrir facsímil</v>
      </c>
      <c r="K6063" s="15" t="s">
        <v>23</v>
      </c>
    </row>
    <row r="6064" spans="1:11" ht="42" customHeight="1">
      <c r="A6064" s="4" t="s">
        <v>13480</v>
      </c>
      <c r="B6064" s="5" t="s">
        <v>13481</v>
      </c>
      <c r="C6064" s="5" t="s">
        <v>32</v>
      </c>
      <c r="D6064" s="5" t="s">
        <v>33</v>
      </c>
      <c r="E6064" s="5" t="s">
        <v>128</v>
      </c>
      <c r="F6064" s="9">
        <v>17</v>
      </c>
      <c r="G6064" s="9">
        <v>214</v>
      </c>
      <c r="H6064" s="5" t="s">
        <v>21</v>
      </c>
      <c r="I6064" s="5" t="s">
        <v>13482</v>
      </c>
      <c r="J6064" s="12" t="str">
        <f>HYPERLINK("https://www.boe.es/gazeta/dias/1801/02/27/pdfs/GMD-1801-17.pdf#page=9","Abrir facsímil")</f>
        <v>Abrir facsímil</v>
      </c>
      <c r="K6064" s="15" t="s">
        <v>23</v>
      </c>
    </row>
    <row r="6065" spans="1:11" ht="42" customHeight="1">
      <c r="A6065" s="4" t="s">
        <v>13483</v>
      </c>
      <c r="B6065" s="5" t="s">
        <v>13484</v>
      </c>
      <c r="C6065" s="5" t="s">
        <v>32</v>
      </c>
      <c r="D6065" s="5" t="s">
        <v>33</v>
      </c>
      <c r="E6065" s="5" t="s">
        <v>137</v>
      </c>
      <c r="F6065" s="9">
        <v>30</v>
      </c>
      <c r="G6065" s="9">
        <v>394</v>
      </c>
      <c r="H6065" s="5" t="s">
        <v>21</v>
      </c>
      <c r="I6065" s="5" t="s">
        <v>13485</v>
      </c>
      <c r="J6065" s="12" t="str">
        <f>HYPERLINK("https://www.boe.es/gazeta/dias/1801/04/14/pdfs/GMD-1801-30.pdf#page=10","Abrir facsímil")</f>
        <v>Abrir facsímil</v>
      </c>
      <c r="K6065" s="15" t="s">
        <v>23</v>
      </c>
    </row>
    <row r="6066" spans="1:11" ht="42" customHeight="1">
      <c r="A6066" s="4" t="s">
        <v>13486</v>
      </c>
      <c r="B6066" s="5" t="s">
        <v>13487</v>
      </c>
      <c r="C6066" s="5" t="s">
        <v>32</v>
      </c>
      <c r="D6066" s="5" t="s">
        <v>33</v>
      </c>
      <c r="E6066" s="5" t="s">
        <v>153</v>
      </c>
      <c r="F6066" s="9">
        <v>48</v>
      </c>
      <c r="G6066" s="9">
        <v>584</v>
      </c>
      <c r="H6066" s="5" t="s">
        <v>21</v>
      </c>
      <c r="I6066" s="5" t="s">
        <v>13488</v>
      </c>
      <c r="J6066" s="12" t="str">
        <f>HYPERLINK("https://www.boe.es/gazeta/dias/1801/06/05/pdfs/GMD-1801-48.pdf#page=6","Abrir facsímil")</f>
        <v>Abrir facsímil</v>
      </c>
      <c r="K6066" s="15" t="s">
        <v>23</v>
      </c>
    </row>
    <row r="6067" spans="1:11" ht="42" customHeight="1">
      <c r="A6067" s="4" t="s">
        <v>13489</v>
      </c>
      <c r="B6067" s="5" t="s">
        <v>13490</v>
      </c>
      <c r="C6067" s="5" t="s">
        <v>32</v>
      </c>
      <c r="D6067" s="5" t="s">
        <v>33</v>
      </c>
      <c r="E6067" s="5" t="s">
        <v>165</v>
      </c>
      <c r="F6067" s="9">
        <v>59</v>
      </c>
      <c r="G6067" s="9">
        <v>676</v>
      </c>
      <c r="H6067" s="5" t="s">
        <v>21</v>
      </c>
      <c r="I6067" s="5" t="s">
        <v>13491</v>
      </c>
      <c r="J6067" s="12" t="str">
        <f>HYPERLINK("https://www.boe.es/gazeta/dias/1801/06/23/pdfs/GMD-1801-59.pdf#page=9","Abrir facsímil")</f>
        <v>Abrir facsímil</v>
      </c>
      <c r="K6067" s="15" t="s">
        <v>23</v>
      </c>
    </row>
    <row r="6068" spans="1:11" ht="42" customHeight="1">
      <c r="A6068" s="4" t="s">
        <v>13492</v>
      </c>
      <c r="B6068" s="5" t="s">
        <v>13493</v>
      </c>
      <c r="C6068" s="5" t="s">
        <v>32</v>
      </c>
      <c r="D6068" s="5" t="s">
        <v>33</v>
      </c>
      <c r="E6068" s="5" t="s">
        <v>275</v>
      </c>
      <c r="F6068" s="9">
        <v>9</v>
      </c>
      <c r="G6068" s="9">
        <v>111</v>
      </c>
      <c r="H6068" s="5" t="s">
        <v>21</v>
      </c>
      <c r="I6068" s="5" t="s">
        <v>13494</v>
      </c>
      <c r="J6068" s="12" t="str">
        <f>HYPERLINK("https://www.boe.es/gazeta/dias/1801/01/30/pdfs/GMD-1801-9.pdf#page=8","Abrir facsímil")</f>
        <v>Abrir facsímil</v>
      </c>
      <c r="K6068" s="15" t="s">
        <v>23</v>
      </c>
    </row>
    <row r="6069" spans="1:11" ht="42" customHeight="1">
      <c r="A6069" s="4" t="s">
        <v>13495</v>
      </c>
      <c r="B6069" s="5" t="s">
        <v>13496</v>
      </c>
      <c r="C6069" s="5" t="s">
        <v>32</v>
      </c>
      <c r="D6069" s="5" t="s">
        <v>33</v>
      </c>
      <c r="E6069" s="5" t="s">
        <v>640</v>
      </c>
      <c r="F6069" s="9">
        <v>81</v>
      </c>
      <c r="G6069" s="9">
        <v>909</v>
      </c>
      <c r="H6069" s="5" t="s">
        <v>21</v>
      </c>
      <c r="I6069" s="5" t="s">
        <v>13497</v>
      </c>
      <c r="J6069" s="12" t="str">
        <f>HYPERLINK("https://www.boe.es/gazeta/dias/1801/08/25/pdfs/GMD-1801-81.pdf#page=6","Abrir facsímil")</f>
        <v>Abrir facsímil</v>
      </c>
      <c r="K6069" s="15" t="s">
        <v>23</v>
      </c>
    </row>
    <row r="6070" spans="1:11" ht="42" customHeight="1">
      <c r="A6070" s="4" t="s">
        <v>13498</v>
      </c>
      <c r="B6070" s="5" t="s">
        <v>13499</v>
      </c>
      <c r="C6070" s="5" t="s">
        <v>69</v>
      </c>
      <c r="D6070" s="5" t="s">
        <v>19</v>
      </c>
      <c r="E6070" s="5" t="s">
        <v>262</v>
      </c>
      <c r="F6070" s="9">
        <v>109</v>
      </c>
      <c r="G6070" s="9">
        <v>1205</v>
      </c>
      <c r="H6070" s="5" t="s">
        <v>21</v>
      </c>
      <c r="I6070" s="5" t="s">
        <v>13500</v>
      </c>
      <c r="J6070" s="12" t="str">
        <f>HYPERLINK("https://www.boe.es/gazeta/dias/1801/11/24/pdfs/GMD-1801-109.pdf#page=10","Abrir facsímil")</f>
        <v>Abrir facsímil</v>
      </c>
      <c r="K6070" s="15" t="s">
        <v>23</v>
      </c>
    </row>
    <row r="6071" spans="1:11" ht="42" customHeight="1">
      <c r="A6071" s="4" t="s">
        <v>13501</v>
      </c>
      <c r="B6071" s="5" t="s">
        <v>13502</v>
      </c>
      <c r="C6071" s="5" t="s">
        <v>32</v>
      </c>
      <c r="D6071" s="5" t="s">
        <v>33</v>
      </c>
      <c r="E6071" s="5" t="s">
        <v>256</v>
      </c>
      <c r="F6071" s="9">
        <v>78</v>
      </c>
      <c r="G6071" s="9">
        <v>881</v>
      </c>
      <c r="H6071" s="5" t="s">
        <v>21</v>
      </c>
      <c r="I6071" s="5" t="s">
        <v>13503</v>
      </c>
      <c r="J6071" s="12" t="str">
        <f>HYPERLINK("https://www.boe.es/gazeta/dias/1801/08/14/pdfs/GMD-1801-78.pdf#page=10","Abrir facsímil")</f>
        <v>Abrir facsímil</v>
      </c>
      <c r="K6071" s="15" t="s">
        <v>23</v>
      </c>
    </row>
    <row r="6072" spans="1:11" ht="42" customHeight="1">
      <c r="A6072" s="4" t="s">
        <v>13504</v>
      </c>
      <c r="B6072" s="5" t="s">
        <v>13504</v>
      </c>
      <c r="C6072" s="5" t="s">
        <v>75</v>
      </c>
      <c r="D6072" s="5" t="s">
        <v>76</v>
      </c>
      <c r="E6072" s="5" t="s">
        <v>328</v>
      </c>
      <c r="F6072" s="9">
        <v>89</v>
      </c>
      <c r="G6072" s="9">
        <v>976</v>
      </c>
      <c r="H6072" s="5" t="s">
        <v>21</v>
      </c>
      <c r="I6072" s="5" t="s">
        <v>13505</v>
      </c>
      <c r="J6072" s="12" t="str">
        <f>HYPERLINK("https://www.boe.es/gazeta/dias/1801/09/15/pdfs/GMD-1801-89.pdf#page=3","Abrir facsímil")</f>
        <v>Abrir facsímil</v>
      </c>
      <c r="K6072" s="15" t="s">
        <v>23</v>
      </c>
    </row>
    <row r="6073" spans="1:11" ht="42" customHeight="1">
      <c r="A6073" s="4" t="s">
        <v>13506</v>
      </c>
      <c r="B6073" s="5" t="s">
        <v>13507</v>
      </c>
      <c r="C6073" s="5" t="s">
        <v>32</v>
      </c>
      <c r="D6073" s="5" t="s">
        <v>33</v>
      </c>
      <c r="E6073" s="5" t="s">
        <v>62</v>
      </c>
      <c r="F6073" s="9">
        <v>6</v>
      </c>
      <c r="G6073" s="9">
        <v>72</v>
      </c>
      <c r="H6073" s="5" t="s">
        <v>21</v>
      </c>
      <c r="I6073" s="5" t="s">
        <v>13508</v>
      </c>
      <c r="J6073" s="12" t="str">
        <f>HYPERLINK("https://www.boe.es/gazeta/dias/1801/01/20/pdfs/GMD-1801-6.pdf#page=8","Abrir facsímil")</f>
        <v>Abrir facsímil</v>
      </c>
      <c r="K6073" s="15" t="s">
        <v>23</v>
      </c>
    </row>
    <row r="6074" spans="1:11" ht="42" customHeight="1">
      <c r="A6074" s="4" t="s">
        <v>13509</v>
      </c>
      <c r="B6074" s="5" t="s">
        <v>13510</v>
      </c>
      <c r="C6074" s="5" t="s">
        <v>69</v>
      </c>
      <c r="D6074" s="5" t="s">
        <v>19</v>
      </c>
      <c r="E6074" s="5" t="s">
        <v>55</v>
      </c>
      <c r="F6074" s="9">
        <v>104</v>
      </c>
      <c r="G6074" s="9">
        <v>1146</v>
      </c>
      <c r="H6074" s="5" t="s">
        <v>21</v>
      </c>
      <c r="I6074" s="5" t="s">
        <v>13511</v>
      </c>
      <c r="J6074" s="12" t="str">
        <f>HYPERLINK("https://www.boe.es/gazeta/dias/1801/11/06/pdfs/GMD-1801-104.pdf#page=7","Abrir facsímil")</f>
        <v>Abrir facsímil</v>
      </c>
      <c r="K6074" s="15" t="s">
        <v>23</v>
      </c>
    </row>
    <row r="6075" spans="1:11" ht="42" customHeight="1">
      <c r="A6075" s="4" t="s">
        <v>13512</v>
      </c>
      <c r="B6075" s="5" t="s">
        <v>13513</v>
      </c>
      <c r="C6075" s="5" t="s">
        <v>75</v>
      </c>
      <c r="D6075" s="5" t="s">
        <v>76</v>
      </c>
      <c r="E6075" s="5" t="s">
        <v>190</v>
      </c>
      <c r="F6075" s="9">
        <v>16</v>
      </c>
      <c r="G6075" s="9">
        <v>197</v>
      </c>
      <c r="H6075" s="5" t="s">
        <v>21</v>
      </c>
      <c r="I6075" s="5" t="s">
        <v>13514</v>
      </c>
      <c r="J6075" s="12" t="str">
        <f>HYPERLINK("https://www.boe.es/gazeta/dias/1801/02/24/pdfs/GMD-1801-16.pdf#page=4","Abrir facsímil")</f>
        <v>Abrir facsímil</v>
      </c>
      <c r="K6075" s="15" t="s">
        <v>23</v>
      </c>
    </row>
    <row r="6076" spans="1:11" ht="42" customHeight="1">
      <c r="A6076" s="4" t="s">
        <v>13515</v>
      </c>
      <c r="B6076" s="5" t="s">
        <v>13516</v>
      </c>
      <c r="C6076" s="5" t="s">
        <v>32</v>
      </c>
      <c r="D6076" s="5" t="s">
        <v>33</v>
      </c>
      <c r="E6076" s="5" t="s">
        <v>781</v>
      </c>
      <c r="F6076" s="9">
        <v>14</v>
      </c>
      <c r="G6076" s="9">
        <v>174</v>
      </c>
      <c r="H6076" s="5" t="s">
        <v>21</v>
      </c>
      <c r="I6076" s="5" t="s">
        <v>13517</v>
      </c>
      <c r="J6076" s="12" t="str">
        <f>HYPERLINK("https://www.boe.es/gazeta/dias/1801/02/17/pdfs/GMD-1801-14.pdf#page=9","Abrir facsímil")</f>
        <v>Abrir facsímil</v>
      </c>
      <c r="K6076" s="15" t="s">
        <v>23</v>
      </c>
    </row>
    <row r="6077" spans="1:11" ht="42" customHeight="1">
      <c r="A6077" s="4" t="s">
        <v>13518</v>
      </c>
      <c r="B6077" s="5" t="s">
        <v>13519</v>
      </c>
      <c r="C6077" s="5" t="s">
        <v>75</v>
      </c>
      <c r="D6077" s="5" t="s">
        <v>76</v>
      </c>
      <c r="E6077" s="5" t="s">
        <v>182</v>
      </c>
      <c r="F6077" s="9">
        <v>18</v>
      </c>
      <c r="G6077" s="9">
        <v>224</v>
      </c>
      <c r="H6077" s="5" t="s">
        <v>21</v>
      </c>
      <c r="I6077" s="5" t="s">
        <v>13520</v>
      </c>
      <c r="J6077" s="12" t="str">
        <f>HYPERLINK("https://www.boe.es/gazeta/dias/1801/03/03/pdfs/GMD-1801-18.pdf#page=5","Abrir facsímil")</f>
        <v>Abrir facsímil</v>
      </c>
      <c r="K6077" s="15" t="s">
        <v>23</v>
      </c>
    </row>
    <row r="6078" spans="1:11" ht="42" customHeight="1">
      <c r="A6078" s="4" t="s">
        <v>13521</v>
      </c>
      <c r="B6078" s="5" t="s">
        <v>13522</v>
      </c>
      <c r="C6078" s="5" t="s">
        <v>32</v>
      </c>
      <c r="D6078" s="5" t="s">
        <v>33</v>
      </c>
      <c r="E6078" s="5" t="s">
        <v>219</v>
      </c>
      <c r="F6078" s="9">
        <v>26</v>
      </c>
      <c r="G6078" s="9">
        <v>339</v>
      </c>
      <c r="H6078" s="5" t="s">
        <v>21</v>
      </c>
      <c r="I6078" s="5" t="s">
        <v>13523</v>
      </c>
      <c r="J6078" s="12" t="str">
        <f>HYPERLINK("https://www.boe.es/gazeta/dias/1801/03/31/pdfs/GMD-1801-26.pdf#page=3","Abrir facsímil")</f>
        <v>Abrir facsímil</v>
      </c>
      <c r="K6078" s="15" t="s">
        <v>23</v>
      </c>
    </row>
    <row r="6079" spans="1:11" ht="42" customHeight="1">
      <c r="A6079" s="4" t="s">
        <v>13524</v>
      </c>
      <c r="B6079" s="5" t="s">
        <v>13525</v>
      </c>
      <c r="C6079" s="5" t="s">
        <v>32</v>
      </c>
      <c r="D6079" s="5" t="s">
        <v>33</v>
      </c>
      <c r="E6079" s="5" t="s">
        <v>349</v>
      </c>
      <c r="F6079" s="9">
        <v>112</v>
      </c>
      <c r="G6079" s="9">
        <v>1225</v>
      </c>
      <c r="H6079" s="5" t="s">
        <v>21</v>
      </c>
      <c r="I6079" s="5" t="s">
        <v>13526</v>
      </c>
      <c r="J6079" s="12" t="str">
        <f>HYPERLINK("https://www.boe.es/gazeta/dias/1801/12/04/pdfs/GMD-1801-112.pdf#page=6","Abrir facsímil")</f>
        <v>Abrir facsímil</v>
      </c>
      <c r="K6079" s="15" t="s">
        <v>23</v>
      </c>
    </row>
    <row r="6080" spans="1:11" ht="42" customHeight="1">
      <c r="A6080" s="4" t="s">
        <v>13527</v>
      </c>
      <c r="B6080" s="5" t="s">
        <v>13528</v>
      </c>
      <c r="C6080" s="5" t="s">
        <v>69</v>
      </c>
      <c r="D6080" s="5" t="s">
        <v>19</v>
      </c>
      <c r="E6080" s="5" t="s">
        <v>723</v>
      </c>
      <c r="F6080" s="9">
        <v>113</v>
      </c>
      <c r="G6080" s="9">
        <v>1234</v>
      </c>
      <c r="H6080" s="5" t="s">
        <v>21</v>
      </c>
      <c r="I6080" s="5" t="s">
        <v>13529</v>
      </c>
      <c r="J6080" s="12" t="str">
        <f>HYPERLINK("https://www.boe.es/gazeta/dias/1801/12/08/pdfs/GMD-1801-113.pdf#page=7","Abrir facsímil")</f>
        <v>Abrir facsímil</v>
      </c>
      <c r="K6080" s="15" t="s">
        <v>23</v>
      </c>
    </row>
    <row r="6081" spans="1:11" ht="42" customHeight="1">
      <c r="A6081" s="4" t="s">
        <v>13530</v>
      </c>
      <c r="B6081" s="5" t="s">
        <v>13530</v>
      </c>
      <c r="C6081" s="5" t="s">
        <v>75</v>
      </c>
      <c r="D6081" s="5" t="s">
        <v>76</v>
      </c>
      <c r="E6081" s="5" t="s">
        <v>99</v>
      </c>
      <c r="F6081" s="9">
        <v>32</v>
      </c>
      <c r="G6081" s="9">
        <v>405</v>
      </c>
      <c r="H6081" s="5" t="s">
        <v>21</v>
      </c>
      <c r="I6081" s="5" t="s">
        <v>13531</v>
      </c>
      <c r="J6081" s="12" t="str">
        <f>HYPERLINK("https://www.boe.es/gazeta/dias/1801/04/21/pdfs/GMD-1801-32.pdf#page=1","Abrir facsímil")</f>
        <v>Abrir facsímil</v>
      </c>
      <c r="K6081" s="15" t="s">
        <v>23</v>
      </c>
    </row>
    <row r="6082" spans="1:11" ht="42" customHeight="1">
      <c r="A6082" s="4" t="s">
        <v>13532</v>
      </c>
      <c r="B6082" s="5" t="s">
        <v>13532</v>
      </c>
      <c r="C6082" s="5" t="s">
        <v>75</v>
      </c>
      <c r="D6082" s="5" t="s">
        <v>76</v>
      </c>
      <c r="E6082" s="5" t="s">
        <v>108</v>
      </c>
      <c r="F6082" s="9">
        <v>61</v>
      </c>
      <c r="G6082" s="9">
        <v>694</v>
      </c>
      <c r="H6082" s="5" t="s">
        <v>21</v>
      </c>
      <c r="I6082" s="5" t="s">
        <v>13533</v>
      </c>
      <c r="J6082" s="12" t="str">
        <f>HYPERLINK("https://www.boe.es/gazeta/dias/1801/06/30/pdfs/GMD-1801-61.pdf#page=3","Abrir facsímil")</f>
        <v>Abrir facsímil</v>
      </c>
      <c r="K6082" s="15" t="s">
        <v>23</v>
      </c>
    </row>
    <row r="6083" spans="1:11" ht="42" customHeight="1">
      <c r="A6083" s="4" t="s">
        <v>13534</v>
      </c>
      <c r="B6083" s="5" t="s">
        <v>13535</v>
      </c>
      <c r="C6083" s="5" t="s">
        <v>38</v>
      </c>
      <c r="D6083" s="5" t="s">
        <v>39</v>
      </c>
      <c r="E6083" s="5" t="s">
        <v>131</v>
      </c>
      <c r="F6083" s="9">
        <v>22</v>
      </c>
      <c r="G6083" s="9">
        <v>290</v>
      </c>
      <c r="H6083" s="5" t="s">
        <v>21</v>
      </c>
      <c r="I6083" s="5" t="s">
        <v>13536</v>
      </c>
      <c r="J6083" s="12" t="str">
        <f>HYPERLINK("https://www.boe.es/gazeta/dias/1801/03/17/pdfs/GMD-1801-22.pdf#page=7","Abrir facsímil")</f>
        <v>Abrir facsímil</v>
      </c>
      <c r="K6083" s="15" t="s">
        <v>23</v>
      </c>
    </row>
    <row r="6084" spans="1:11" ht="42" customHeight="1">
      <c r="A6084" s="4" t="s">
        <v>13537</v>
      </c>
      <c r="B6084" s="5" t="s">
        <v>13538</v>
      </c>
      <c r="C6084" s="5" t="s">
        <v>38</v>
      </c>
      <c r="D6084" s="5" t="s">
        <v>39</v>
      </c>
      <c r="E6084" s="5" t="s">
        <v>131</v>
      </c>
      <c r="F6084" s="9">
        <v>22</v>
      </c>
      <c r="G6084" s="9">
        <v>289</v>
      </c>
      <c r="H6084" s="5" t="s">
        <v>21</v>
      </c>
      <c r="I6084" s="5" t="s">
        <v>13539</v>
      </c>
      <c r="J6084" s="12" t="str">
        <f>HYPERLINK("https://www.boe.es/gazeta/dias/1801/03/17/pdfs/GMD-1801-22.pdf#page=6","Abrir facsímil")</f>
        <v>Abrir facsímil</v>
      </c>
      <c r="K6084" s="15" t="s">
        <v>23</v>
      </c>
    </row>
    <row r="6085" spans="1:11" ht="42" customHeight="1">
      <c r="A6085" s="4" t="s">
        <v>13540</v>
      </c>
      <c r="B6085" s="5" t="s">
        <v>13541</v>
      </c>
      <c r="C6085" s="5" t="s">
        <v>75</v>
      </c>
      <c r="D6085" s="5" t="s">
        <v>76</v>
      </c>
      <c r="E6085" s="5" t="s">
        <v>781</v>
      </c>
      <c r="F6085" s="9">
        <v>14</v>
      </c>
      <c r="G6085" s="9">
        <v>171</v>
      </c>
      <c r="H6085" s="5" t="s">
        <v>21</v>
      </c>
      <c r="I6085" s="5" t="s">
        <v>13542</v>
      </c>
      <c r="J6085" s="12" t="str">
        <f>HYPERLINK("https://www.boe.es/gazeta/dias/1801/02/17/pdfs/GMD-1801-14.pdf#page=6","Abrir facsímil")</f>
        <v>Abrir facsímil</v>
      </c>
      <c r="K6085" s="15" t="s">
        <v>23</v>
      </c>
    </row>
    <row r="6086" spans="1:11" ht="42" customHeight="1">
      <c r="A6086" s="4" t="s">
        <v>13543</v>
      </c>
      <c r="B6086" s="5" t="s">
        <v>13544</v>
      </c>
      <c r="C6086" s="5" t="s">
        <v>32</v>
      </c>
      <c r="D6086" s="5" t="s">
        <v>33</v>
      </c>
      <c r="E6086" s="5" t="s">
        <v>1939</v>
      </c>
      <c r="F6086" s="9">
        <v>107</v>
      </c>
      <c r="G6086" s="9">
        <v>1178</v>
      </c>
      <c r="H6086" s="5" t="s">
        <v>21</v>
      </c>
      <c r="I6086" s="5" t="s">
        <v>13545</v>
      </c>
      <c r="J6086" s="12" t="str">
        <f>HYPERLINK("https://www.boe.es/gazeta/dias/1801/11/17/pdfs/GMD-1801-107.pdf#page=7","Abrir facsímil")</f>
        <v>Abrir facsímil</v>
      </c>
      <c r="K6086" s="15" t="s">
        <v>23</v>
      </c>
    </row>
    <row r="6087" spans="1:11" ht="42" customHeight="1">
      <c r="A6087" s="4" t="s">
        <v>13546</v>
      </c>
      <c r="B6087" s="5" t="s">
        <v>13546</v>
      </c>
      <c r="C6087" s="5" t="s">
        <v>32</v>
      </c>
      <c r="D6087" s="5" t="s">
        <v>33</v>
      </c>
      <c r="E6087" s="5" t="s">
        <v>20</v>
      </c>
      <c r="F6087" s="9">
        <v>37</v>
      </c>
      <c r="G6087" s="9">
        <v>479</v>
      </c>
      <c r="H6087" s="5" t="s">
        <v>21</v>
      </c>
      <c r="I6087" s="5" t="s">
        <v>13547</v>
      </c>
      <c r="J6087" s="12" t="str">
        <f>HYPERLINK("https://www.boe.es/gazeta/dias/1801/05/08/pdfs/GMD-1801-37.pdf#page=7","Abrir facsímil")</f>
        <v>Abrir facsímil</v>
      </c>
      <c r="K6087" s="15" t="s">
        <v>23</v>
      </c>
    </row>
    <row r="6088" spans="1:11" ht="42" customHeight="1">
      <c r="A6088" s="4" t="s">
        <v>13548</v>
      </c>
      <c r="B6088" s="5" t="s">
        <v>13549</v>
      </c>
      <c r="C6088" s="5" t="s">
        <v>32</v>
      </c>
      <c r="D6088" s="5" t="s">
        <v>33</v>
      </c>
      <c r="E6088" s="5" t="s">
        <v>70</v>
      </c>
      <c r="F6088" s="9">
        <v>2</v>
      </c>
      <c r="G6088" s="9">
        <v>21</v>
      </c>
      <c r="H6088" s="5" t="s">
        <v>21</v>
      </c>
      <c r="I6088" s="5" t="s">
        <v>13550</v>
      </c>
      <c r="J6088" s="12" t="str">
        <f>HYPERLINK("https://www.boe.es/gazeta/dias/1801/01/06/pdfs/GMD-1801-2.pdf#page=9","Abrir facsímil")</f>
        <v>Abrir facsímil</v>
      </c>
      <c r="K6088" s="15" t="s">
        <v>23</v>
      </c>
    </row>
    <row r="6089" spans="1:11" ht="42" customHeight="1">
      <c r="A6089" s="4" t="s">
        <v>13548</v>
      </c>
      <c r="B6089" s="5" t="s">
        <v>13549</v>
      </c>
      <c r="C6089" s="5" t="s">
        <v>32</v>
      </c>
      <c r="D6089" s="5" t="s">
        <v>33</v>
      </c>
      <c r="E6089" s="5" t="s">
        <v>124</v>
      </c>
      <c r="F6089" s="9">
        <v>12</v>
      </c>
      <c r="G6089" s="9">
        <v>149</v>
      </c>
      <c r="H6089" s="5" t="s">
        <v>21</v>
      </c>
      <c r="I6089" s="5" t="s">
        <v>13551</v>
      </c>
      <c r="J6089" s="12" t="str">
        <f>HYPERLINK("https://www.boe.es/gazeta/dias/1801/02/10/pdfs/GMD-1801-12.pdf#page=10","Abrir facsímil")</f>
        <v>Abrir facsímil</v>
      </c>
      <c r="K6089" s="15" t="s">
        <v>23</v>
      </c>
    </row>
    <row r="6090" spans="1:11" ht="42" customHeight="1">
      <c r="A6090" s="4" t="s">
        <v>13552</v>
      </c>
      <c r="B6090" s="5" t="s">
        <v>13553</v>
      </c>
      <c r="C6090" s="5" t="s">
        <v>69</v>
      </c>
      <c r="D6090" s="5" t="s">
        <v>19</v>
      </c>
      <c r="E6090" s="5" t="s">
        <v>309</v>
      </c>
      <c r="F6090" s="9">
        <v>118</v>
      </c>
      <c r="G6090" s="9">
        <v>1292</v>
      </c>
      <c r="H6090" s="5" t="s">
        <v>21</v>
      </c>
      <c r="I6090" s="5" t="s">
        <v>13554</v>
      </c>
      <c r="J6090" s="12" t="str">
        <f>HYPERLINK("https://www.boe.es/gazeta/dias/1801/12/25/pdfs/GMD-1801-118.pdf#page=7","Abrir facsímil")</f>
        <v>Abrir facsímil</v>
      </c>
      <c r="K6090" s="15" t="s">
        <v>23</v>
      </c>
    </row>
    <row r="6091" spans="1:11" ht="42" customHeight="1">
      <c r="A6091" s="4" t="s">
        <v>13555</v>
      </c>
      <c r="B6091" s="5" t="s">
        <v>13555</v>
      </c>
      <c r="C6091" s="5" t="s">
        <v>75</v>
      </c>
      <c r="D6091" s="5" t="s">
        <v>76</v>
      </c>
      <c r="E6091" s="5" t="s">
        <v>266</v>
      </c>
      <c r="F6091" s="9">
        <v>119</v>
      </c>
      <c r="G6091" s="9">
        <v>1298</v>
      </c>
      <c r="H6091" s="5" t="s">
        <v>21</v>
      </c>
      <c r="I6091" s="5" t="s">
        <v>13556</v>
      </c>
      <c r="J6091" s="12" t="str">
        <f>HYPERLINK("https://www.boe.es/gazeta/dias/1801/12/29/pdfs/GMD-1801-119.pdf#page=2","Abrir facsímil")</f>
        <v>Abrir facsímil</v>
      </c>
      <c r="K6091" s="15" t="s">
        <v>23</v>
      </c>
    </row>
    <row r="6092" spans="1:11" ht="42" customHeight="1">
      <c r="A6092" s="4" t="s">
        <v>13557</v>
      </c>
      <c r="B6092" s="5" t="s">
        <v>13558</v>
      </c>
      <c r="C6092" s="5" t="s">
        <v>38</v>
      </c>
      <c r="D6092" s="5" t="s">
        <v>39</v>
      </c>
      <c r="E6092" s="5" t="s">
        <v>2430</v>
      </c>
      <c r="F6092" s="9">
        <v>27</v>
      </c>
      <c r="G6092" s="9">
        <v>354</v>
      </c>
      <c r="H6092" s="5" t="s">
        <v>21</v>
      </c>
      <c r="I6092" s="5" t="s">
        <v>13559</v>
      </c>
      <c r="J6092" s="12" t="str">
        <f>HYPERLINK("https://www.boe.es/gazeta/dias/1801/04/03/pdfs/GMD-1801-27.pdf#page=6","Abrir facsímil")</f>
        <v>Abrir facsímil</v>
      </c>
      <c r="K6092" s="15" t="s">
        <v>23</v>
      </c>
    </row>
    <row r="6093" spans="1:11" ht="42" customHeight="1">
      <c r="A6093" s="4" t="s">
        <v>13557</v>
      </c>
      <c r="B6093" s="5" t="s">
        <v>13558</v>
      </c>
      <c r="C6093" s="5" t="s">
        <v>32</v>
      </c>
      <c r="D6093" s="5" t="s">
        <v>33</v>
      </c>
      <c r="E6093" s="5" t="s">
        <v>221</v>
      </c>
      <c r="F6093" s="9">
        <v>28</v>
      </c>
      <c r="G6093" s="9">
        <v>364</v>
      </c>
      <c r="H6093" s="5" t="s">
        <v>21</v>
      </c>
      <c r="I6093" s="5" t="s">
        <v>13560</v>
      </c>
      <c r="J6093" s="12" t="str">
        <f>HYPERLINK("https://www.boe.es/gazeta/dias/1801/04/07/pdfs/GMD-1801-28.pdf#page=4","Abrir facsímil")</f>
        <v>Abrir facsímil</v>
      </c>
      <c r="K6093" s="15" t="s">
        <v>23</v>
      </c>
    </row>
    <row r="6094" spans="1:11" ht="42" customHeight="1">
      <c r="A6094" s="4" t="s">
        <v>13557</v>
      </c>
      <c r="B6094" s="5" t="s">
        <v>13558</v>
      </c>
      <c r="C6094" s="5" t="s">
        <v>32</v>
      </c>
      <c r="D6094" s="5" t="s">
        <v>33</v>
      </c>
      <c r="E6094" s="5" t="s">
        <v>264</v>
      </c>
      <c r="F6094" s="9">
        <v>111</v>
      </c>
      <c r="G6094" s="9">
        <v>1216</v>
      </c>
      <c r="H6094" s="5" t="s">
        <v>21</v>
      </c>
      <c r="I6094" s="5" t="s">
        <v>13561</v>
      </c>
      <c r="J6094" s="12" t="str">
        <f>HYPERLINK("https://www.boe.es/gazeta/dias/1801/12/01/pdfs/GMD-1801-111.pdf#page=5","Abrir facsímil")</f>
        <v>Abrir facsímil</v>
      </c>
      <c r="K6094" s="15" t="s">
        <v>23</v>
      </c>
    </row>
    <row r="6095" spans="1:11" ht="42" customHeight="1">
      <c r="A6095" s="4" t="s">
        <v>13562</v>
      </c>
      <c r="B6095" s="5" t="s">
        <v>13563</v>
      </c>
      <c r="C6095" s="5" t="s">
        <v>32</v>
      </c>
      <c r="D6095" s="5" t="s">
        <v>33</v>
      </c>
      <c r="E6095" s="5" t="s">
        <v>171</v>
      </c>
      <c r="F6095" s="9">
        <v>76</v>
      </c>
      <c r="G6095" s="9">
        <v>853</v>
      </c>
      <c r="H6095" s="5" t="s">
        <v>21</v>
      </c>
      <c r="I6095" s="5" t="s">
        <v>13564</v>
      </c>
      <c r="J6095" s="12" t="str">
        <f>HYPERLINK("https://www.boe.es/gazeta/dias/1801/08/07/pdfs/GMD-1801-76.pdf#page=10","Abrir facsímil")</f>
        <v>Abrir facsímil</v>
      </c>
      <c r="K6095" s="15" t="s">
        <v>23</v>
      </c>
    </row>
    <row r="6096" spans="1:11" ht="42" customHeight="1">
      <c r="A6096" s="4" t="s">
        <v>13565</v>
      </c>
      <c r="B6096" s="5" t="s">
        <v>13566</v>
      </c>
      <c r="C6096" s="5" t="s">
        <v>38</v>
      </c>
      <c r="D6096" s="5" t="s">
        <v>39</v>
      </c>
      <c r="E6096" s="5" t="s">
        <v>702</v>
      </c>
      <c r="F6096" s="9">
        <v>69</v>
      </c>
      <c r="G6096" s="9">
        <v>767</v>
      </c>
      <c r="H6096" s="5" t="s">
        <v>21</v>
      </c>
      <c r="I6096" s="5" t="s">
        <v>13567</v>
      </c>
      <c r="J6096" s="12" t="str">
        <f>HYPERLINK("https://www.boe.es/gazeta/dias/1801/07/14/pdfs/GMD-1801-69.pdf#page=12","Abrir facsímil")</f>
        <v>Abrir facsímil</v>
      </c>
      <c r="K6096" s="15" t="s">
        <v>23</v>
      </c>
    </row>
    <row r="6097" spans="1:11" ht="42" customHeight="1">
      <c r="A6097" s="4" t="s">
        <v>13568</v>
      </c>
      <c r="B6097" s="5" t="s">
        <v>13569</v>
      </c>
      <c r="C6097" s="5" t="s">
        <v>18</v>
      </c>
      <c r="D6097" s="5" t="s">
        <v>19</v>
      </c>
      <c r="E6097" s="5" t="s">
        <v>309</v>
      </c>
      <c r="F6097" s="9">
        <v>118</v>
      </c>
      <c r="G6097" s="9">
        <v>1293</v>
      </c>
      <c r="H6097" s="5" t="s">
        <v>21</v>
      </c>
      <c r="I6097" s="5" t="s">
        <v>13570</v>
      </c>
      <c r="J6097" s="12" t="str">
        <f>HYPERLINK("https://www.boe.es/gazeta/dias/1801/12/25/pdfs/GMD-1801-118.pdf#page=8","Abrir facsímil")</f>
        <v>Abrir facsímil</v>
      </c>
      <c r="K6097" s="15" t="s">
        <v>23</v>
      </c>
    </row>
    <row r="6098" spans="1:11" ht="42" customHeight="1">
      <c r="A6098" s="4" t="s">
        <v>13571</v>
      </c>
      <c r="B6098" s="5" t="s">
        <v>13572</v>
      </c>
      <c r="C6098" s="5" t="s">
        <v>38</v>
      </c>
      <c r="D6098" s="5" t="s">
        <v>39</v>
      </c>
      <c r="E6098" s="5" t="s">
        <v>171</v>
      </c>
      <c r="F6098" s="9">
        <v>76</v>
      </c>
      <c r="G6098" s="9">
        <v>851</v>
      </c>
      <c r="H6098" s="5" t="s">
        <v>21</v>
      </c>
      <c r="I6098" s="5" t="s">
        <v>13573</v>
      </c>
      <c r="J6098" s="12" t="str">
        <f>HYPERLINK("https://www.boe.es/gazeta/dias/1801/08/07/pdfs/GMD-1801-76.pdf#page=8","Abrir facsímil")</f>
        <v>Abrir facsímil</v>
      </c>
      <c r="K6098" s="15" t="s">
        <v>23</v>
      </c>
    </row>
    <row r="6099" spans="1:11" ht="42" customHeight="1">
      <c r="A6099" s="4" t="s">
        <v>13574</v>
      </c>
      <c r="B6099" s="5" t="s">
        <v>13575</v>
      </c>
      <c r="C6099" s="5" t="s">
        <v>32</v>
      </c>
      <c r="D6099" s="5" t="s">
        <v>33</v>
      </c>
      <c r="E6099" s="5" t="s">
        <v>505</v>
      </c>
      <c r="F6099" s="9">
        <v>94</v>
      </c>
      <c r="G6099" s="9">
        <v>1033</v>
      </c>
      <c r="H6099" s="5" t="s">
        <v>21</v>
      </c>
      <c r="I6099" s="5" t="s">
        <v>13576</v>
      </c>
      <c r="J6099" s="12" t="str">
        <f>HYPERLINK("https://www.boe.es/gazeta/dias/1801/10/02/pdfs/GMD-1801-94.pdf#page=9","Abrir facsímil")</f>
        <v>Abrir facsímil</v>
      </c>
      <c r="K6099" s="15" t="s">
        <v>23</v>
      </c>
    </row>
    <row r="6100" spans="1:11" ht="42" customHeight="1">
      <c r="A6100" s="4" t="s">
        <v>13577</v>
      </c>
      <c r="B6100" s="5" t="s">
        <v>13578</v>
      </c>
      <c r="C6100" s="5" t="s">
        <v>18</v>
      </c>
      <c r="D6100" s="5" t="s">
        <v>19</v>
      </c>
      <c r="E6100" s="5" t="s">
        <v>919</v>
      </c>
      <c r="F6100" s="9">
        <v>91</v>
      </c>
      <c r="G6100" s="9">
        <v>1004</v>
      </c>
      <c r="H6100" s="5" t="s">
        <v>21</v>
      </c>
      <c r="I6100" s="5" t="s">
        <v>13579</v>
      </c>
      <c r="J6100" s="12" t="str">
        <f>HYPERLINK("https://www.boe.es/gazeta/dias/1801/09/22/pdfs/GMD-1801-91.pdf#page=7","Abrir facsímil")</f>
        <v>Abrir facsímil</v>
      </c>
      <c r="K6100" s="15" t="s">
        <v>23</v>
      </c>
    </row>
    <row r="6101" spans="1:11" ht="42" customHeight="1">
      <c r="A6101" s="4" t="s">
        <v>13580</v>
      </c>
      <c r="B6101" s="5" t="s">
        <v>13581</v>
      </c>
      <c r="C6101" s="5" t="s">
        <v>32</v>
      </c>
      <c r="D6101" s="5" t="s">
        <v>33</v>
      </c>
      <c r="E6101" s="5" t="s">
        <v>275</v>
      </c>
      <c r="F6101" s="9">
        <v>9</v>
      </c>
      <c r="G6101" s="9">
        <v>112</v>
      </c>
      <c r="H6101" s="5" t="s">
        <v>21</v>
      </c>
      <c r="I6101" s="5" t="s">
        <v>13582</v>
      </c>
      <c r="J6101" s="12" t="str">
        <f>HYPERLINK("https://www.boe.es/gazeta/dias/1801/01/30/pdfs/GMD-1801-9.pdf#page=9","Abrir facsímil")</f>
        <v>Abrir facsímil</v>
      </c>
      <c r="K6101" s="15" t="s">
        <v>23</v>
      </c>
    </row>
    <row r="6102" spans="1:11" ht="42" customHeight="1">
      <c r="A6102" s="4" t="s">
        <v>13583</v>
      </c>
      <c r="B6102" s="5" t="s">
        <v>13584</v>
      </c>
      <c r="C6102" s="5" t="s">
        <v>32</v>
      </c>
      <c r="D6102" s="5" t="s">
        <v>33</v>
      </c>
      <c r="E6102" s="5" t="s">
        <v>155</v>
      </c>
      <c r="F6102" s="9">
        <v>50</v>
      </c>
      <c r="G6102" s="9">
        <v>598</v>
      </c>
      <c r="H6102" s="5" t="s">
        <v>21</v>
      </c>
      <c r="I6102" s="5" t="s">
        <v>13585</v>
      </c>
      <c r="J6102" s="12" t="str">
        <f>HYPERLINK("https://www.boe.es/gazeta/dias/1801/06/09/pdfs/GMD-1801-50.pdf#page=10","Abrir facsímil")</f>
        <v>Abrir facsímil</v>
      </c>
      <c r="K6102" s="15" t="s">
        <v>23</v>
      </c>
    </row>
    <row r="6103" spans="1:11" ht="42" customHeight="1">
      <c r="A6103" s="4" t="s">
        <v>13586</v>
      </c>
      <c r="B6103" s="5" t="s">
        <v>13587</v>
      </c>
      <c r="C6103" s="5" t="s">
        <v>32</v>
      </c>
      <c r="D6103" s="5" t="s">
        <v>33</v>
      </c>
      <c r="E6103" s="5" t="s">
        <v>1058</v>
      </c>
      <c r="F6103" s="9">
        <v>108</v>
      </c>
      <c r="G6103" s="9">
        <v>1191</v>
      </c>
      <c r="H6103" s="5" t="s">
        <v>21</v>
      </c>
      <c r="I6103" s="5" t="s">
        <v>13588</v>
      </c>
      <c r="J6103" s="12" t="str">
        <f>HYPERLINK("https://www.boe.es/gazeta/dias/1801/11/20/pdfs/GMD-1801-108.pdf#page=8","Abrir facsímil")</f>
        <v>Abrir facsímil</v>
      </c>
      <c r="K6103" s="15" t="s">
        <v>23</v>
      </c>
    </row>
    <row r="6104" spans="1:11" ht="42" customHeight="1">
      <c r="A6104" s="4" t="s">
        <v>13589</v>
      </c>
      <c r="B6104" s="5" t="s">
        <v>13590</v>
      </c>
      <c r="C6104" s="5" t="s">
        <v>69</v>
      </c>
      <c r="D6104" s="5" t="s">
        <v>19</v>
      </c>
      <c r="E6104" s="5" t="s">
        <v>328</v>
      </c>
      <c r="F6104" s="9">
        <v>89</v>
      </c>
      <c r="G6104" s="9">
        <v>981</v>
      </c>
      <c r="H6104" s="5" t="s">
        <v>21</v>
      </c>
      <c r="I6104" s="5" t="s">
        <v>13591</v>
      </c>
      <c r="J6104" s="12" t="str">
        <f>HYPERLINK("https://www.boe.es/gazeta/dias/1801/09/15/pdfs/GMD-1801-89.pdf#page=8","Abrir facsímil")</f>
        <v>Abrir facsímil</v>
      </c>
      <c r="K6104" s="15" t="s">
        <v>23</v>
      </c>
    </row>
    <row r="6105" spans="1:11" ht="42" customHeight="1">
      <c r="A6105" s="4" t="s">
        <v>13592</v>
      </c>
      <c r="B6105" s="5" t="s">
        <v>13593</v>
      </c>
      <c r="C6105" s="5" t="s">
        <v>32</v>
      </c>
      <c r="D6105" s="5" t="s">
        <v>33</v>
      </c>
      <c r="E6105" s="5" t="s">
        <v>313</v>
      </c>
      <c r="F6105" s="9">
        <v>39</v>
      </c>
      <c r="G6105" s="9">
        <v>506</v>
      </c>
      <c r="H6105" s="5" t="s">
        <v>21</v>
      </c>
      <c r="I6105" s="5" t="s">
        <v>13594</v>
      </c>
      <c r="J6105" s="12" t="str">
        <f>HYPERLINK("https://www.boe.es/gazeta/dias/1801/05/15/pdfs/GMD-1801-39.pdf#page=10","Abrir facsímil")</f>
        <v>Abrir facsímil</v>
      </c>
      <c r="K6105" s="15" t="s">
        <v>23</v>
      </c>
    </row>
    <row r="6106" spans="1:11" ht="42" customHeight="1">
      <c r="A6106" s="4" t="s">
        <v>13595</v>
      </c>
      <c r="B6106" s="5" t="s">
        <v>13596</v>
      </c>
      <c r="C6106" s="5" t="s">
        <v>32</v>
      </c>
      <c r="D6106" s="5" t="s">
        <v>33</v>
      </c>
      <c r="E6106" s="5" t="s">
        <v>256</v>
      </c>
      <c r="F6106" s="9">
        <v>78</v>
      </c>
      <c r="G6106" s="9">
        <v>881</v>
      </c>
      <c r="H6106" s="5" t="s">
        <v>21</v>
      </c>
      <c r="I6106" s="5" t="s">
        <v>13597</v>
      </c>
      <c r="J6106" s="12" t="str">
        <f>HYPERLINK("https://www.boe.es/gazeta/dias/1801/08/14/pdfs/GMD-1801-78.pdf#page=10","Abrir facsímil")</f>
        <v>Abrir facsímil</v>
      </c>
      <c r="K6106" s="15" t="s">
        <v>23</v>
      </c>
    </row>
    <row r="6107" spans="1:11" ht="42" customHeight="1">
      <c r="A6107" s="4" t="s">
        <v>13598</v>
      </c>
      <c r="B6107" s="5" t="s">
        <v>13599</v>
      </c>
      <c r="C6107" s="5" t="s">
        <v>18</v>
      </c>
      <c r="D6107" s="5" t="s">
        <v>19</v>
      </c>
      <c r="E6107" s="5" t="s">
        <v>258</v>
      </c>
      <c r="F6107" s="9">
        <v>96</v>
      </c>
      <c r="G6107" s="9">
        <v>1055</v>
      </c>
      <c r="H6107" s="5" t="s">
        <v>21</v>
      </c>
      <c r="I6107" s="5" t="s">
        <v>13600</v>
      </c>
      <c r="J6107" s="12" t="str">
        <f>HYPERLINK("https://www.boe.es/gazeta/dias/1801/10/09/pdfs/GMD-1801-96.pdf#page=11","Abrir facsímil")</f>
        <v>Abrir facsímil</v>
      </c>
      <c r="K6107" s="15" t="s">
        <v>23</v>
      </c>
    </row>
    <row r="6108" spans="1:11" ht="42" customHeight="1">
      <c r="A6108" s="4" t="s">
        <v>13601</v>
      </c>
      <c r="B6108" s="5" t="s">
        <v>13602</v>
      </c>
      <c r="C6108" s="5" t="s">
        <v>32</v>
      </c>
      <c r="D6108" s="5" t="s">
        <v>33</v>
      </c>
      <c r="E6108" s="5" t="s">
        <v>120</v>
      </c>
      <c r="F6108" s="9">
        <v>7</v>
      </c>
      <c r="G6108" s="9">
        <v>84</v>
      </c>
      <c r="H6108" s="5" t="s">
        <v>21</v>
      </c>
      <c r="I6108" s="5" t="s">
        <v>13603</v>
      </c>
      <c r="J6108" s="12" t="str">
        <f>HYPERLINK("https://www.boe.es/gazeta/dias/1801/01/23/pdfs/GMD-1801-7.pdf#page=8","Abrir facsímil")</f>
        <v>Abrir facsímil</v>
      </c>
      <c r="K6108" s="15" t="s">
        <v>23</v>
      </c>
    </row>
    <row r="6109" spans="1:11" ht="42" customHeight="1">
      <c r="A6109" s="4" t="s">
        <v>13601</v>
      </c>
      <c r="B6109" s="5" t="s">
        <v>13602</v>
      </c>
      <c r="C6109" s="5" t="s">
        <v>32</v>
      </c>
      <c r="D6109" s="5" t="s">
        <v>33</v>
      </c>
      <c r="E6109" s="5" t="s">
        <v>256</v>
      </c>
      <c r="F6109" s="9">
        <v>78</v>
      </c>
      <c r="G6109" s="9">
        <v>881</v>
      </c>
      <c r="H6109" s="5" t="s">
        <v>21</v>
      </c>
      <c r="I6109" s="5" t="s">
        <v>13604</v>
      </c>
      <c r="J6109" s="12" t="str">
        <f>HYPERLINK("https://www.boe.es/gazeta/dias/1801/08/14/pdfs/GMD-1801-78.pdf#page=10","Abrir facsímil")</f>
        <v>Abrir facsímil</v>
      </c>
      <c r="K6109" s="15" t="s">
        <v>23</v>
      </c>
    </row>
    <row r="6110" spans="1:11" ht="42" customHeight="1">
      <c r="A6110" s="4" t="s">
        <v>13605</v>
      </c>
      <c r="B6110" s="5" t="s">
        <v>13606</v>
      </c>
      <c r="C6110" s="5" t="s">
        <v>26</v>
      </c>
      <c r="D6110" s="5" t="s">
        <v>27</v>
      </c>
      <c r="E6110" s="5" t="s">
        <v>131</v>
      </c>
      <c r="F6110" s="9">
        <v>22</v>
      </c>
      <c r="G6110" s="9">
        <v>294</v>
      </c>
      <c r="H6110" s="5" t="s">
        <v>21</v>
      </c>
      <c r="I6110" s="5" t="s">
        <v>13607</v>
      </c>
      <c r="J6110" s="12" t="str">
        <f>HYPERLINK("https://www.boe.es/gazeta/dias/1801/03/17/pdfs/GMD-1801-22.pdf#page=11","Abrir facsímil")</f>
        <v>Abrir facsímil</v>
      </c>
      <c r="K6110" s="15" t="s">
        <v>23</v>
      </c>
    </row>
    <row r="6111" spans="1:11" ht="42" customHeight="1">
      <c r="A6111" s="4" t="s">
        <v>13608</v>
      </c>
      <c r="B6111" s="5" t="s">
        <v>13609</v>
      </c>
      <c r="C6111" s="5" t="s">
        <v>18</v>
      </c>
      <c r="D6111" s="5" t="s">
        <v>19</v>
      </c>
      <c r="E6111" s="5" t="s">
        <v>256</v>
      </c>
      <c r="F6111" s="9">
        <v>78</v>
      </c>
      <c r="G6111" s="9">
        <v>882</v>
      </c>
      <c r="H6111" s="5" t="s">
        <v>21</v>
      </c>
      <c r="I6111" s="5" t="s">
        <v>13610</v>
      </c>
      <c r="J6111" s="12" t="str">
        <f>HYPERLINK("https://www.boe.es/gazeta/dias/1801/08/14/pdfs/GMD-1801-78.pdf#page=11","Abrir facsímil")</f>
        <v>Abrir facsímil</v>
      </c>
      <c r="K6111" s="15" t="s">
        <v>23</v>
      </c>
    </row>
    <row r="6112" spans="1:11" ht="42" customHeight="1">
      <c r="A6112" s="4" t="s">
        <v>13611</v>
      </c>
      <c r="B6112" s="5" t="s">
        <v>13612</v>
      </c>
      <c r="C6112" s="5" t="s">
        <v>32</v>
      </c>
      <c r="D6112" s="5" t="s">
        <v>33</v>
      </c>
      <c r="E6112" s="5" t="s">
        <v>313</v>
      </c>
      <c r="F6112" s="9">
        <v>39</v>
      </c>
      <c r="G6112" s="9">
        <v>506</v>
      </c>
      <c r="H6112" s="5" t="s">
        <v>21</v>
      </c>
      <c r="I6112" s="5" t="s">
        <v>13613</v>
      </c>
      <c r="J6112" s="12" t="str">
        <f>HYPERLINK("https://www.boe.es/gazeta/dias/1801/05/15/pdfs/GMD-1801-39.pdf#page=10","Abrir facsímil")</f>
        <v>Abrir facsímil</v>
      </c>
      <c r="K6112" s="15" t="s">
        <v>23</v>
      </c>
    </row>
    <row r="6113" spans="1:11" ht="42" customHeight="1">
      <c r="A6113" s="4" t="s">
        <v>13614</v>
      </c>
      <c r="B6113" s="5" t="s">
        <v>13615</v>
      </c>
      <c r="C6113" s="5" t="s">
        <v>80</v>
      </c>
      <c r="D6113" s="5" t="s">
        <v>81</v>
      </c>
      <c r="E6113" s="5" t="s">
        <v>82</v>
      </c>
      <c r="F6113" s="9">
        <v>75</v>
      </c>
      <c r="G6113" s="9" t="s">
        <v>996</v>
      </c>
      <c r="H6113" s="5" t="s">
        <v>21</v>
      </c>
      <c r="I6113" s="5" t="s">
        <v>13616</v>
      </c>
      <c r="J6113" s="12" t="str">
        <f>HYPERLINK("https://www.boe.es/gazeta/dias/1801/08/04/pdfs/GMD-C-1801-75.pdf#page=6","Abrir facsímil")</f>
        <v>Abrir facsímil</v>
      </c>
      <c r="K6113" s="15" t="s">
        <v>23</v>
      </c>
    </row>
    <row r="6114" spans="1:11" ht="42" customHeight="1">
      <c r="A6114" s="4" t="s">
        <v>13617</v>
      </c>
      <c r="B6114" s="5" t="s">
        <v>13618</v>
      </c>
      <c r="C6114" s="5" t="s">
        <v>75</v>
      </c>
      <c r="D6114" s="5" t="s">
        <v>76</v>
      </c>
      <c r="E6114" s="5" t="s">
        <v>321</v>
      </c>
      <c r="F6114" s="9">
        <v>3</v>
      </c>
      <c r="G6114" s="9">
        <v>28</v>
      </c>
      <c r="H6114" s="5" t="s">
        <v>21</v>
      </c>
      <c r="I6114" s="5" t="s">
        <v>13619</v>
      </c>
      <c r="J6114" s="12" t="str">
        <f>HYPERLINK("https://www.boe.es/gazeta/dias/1801/01/09/pdfs/GMD-1801-3.pdf#page=4","Abrir facsímil")</f>
        <v>Abrir facsímil</v>
      </c>
      <c r="K6114" s="15" t="s">
        <v>23</v>
      </c>
    </row>
    <row r="6115" spans="1:11" ht="42" customHeight="1">
      <c r="A6115" s="4" t="s">
        <v>13617</v>
      </c>
      <c r="B6115" s="5" t="s">
        <v>13618</v>
      </c>
      <c r="C6115" s="5" t="s">
        <v>38</v>
      </c>
      <c r="D6115" s="5" t="s">
        <v>39</v>
      </c>
      <c r="E6115" s="5" t="s">
        <v>1058</v>
      </c>
      <c r="F6115" s="9">
        <v>108</v>
      </c>
      <c r="G6115" s="9">
        <v>1187</v>
      </c>
      <c r="H6115" s="5" t="s">
        <v>21</v>
      </c>
      <c r="I6115" s="5" t="s">
        <v>13620</v>
      </c>
      <c r="J6115" s="12" t="str">
        <f>HYPERLINK("https://www.boe.es/gazeta/dias/1801/11/20/pdfs/GMD-1801-108.pdf#page=4","Abrir facsímil")</f>
        <v>Abrir facsímil</v>
      </c>
      <c r="K6115" s="15" t="s">
        <v>23</v>
      </c>
    </row>
    <row r="6116" spans="1:11" ht="42" customHeight="1">
      <c r="A6116" s="4" t="s">
        <v>13621</v>
      </c>
      <c r="B6116" s="5" t="s">
        <v>13622</v>
      </c>
      <c r="C6116" s="5" t="s">
        <v>75</v>
      </c>
      <c r="D6116" s="5" t="s">
        <v>76</v>
      </c>
      <c r="E6116" s="5" t="s">
        <v>465</v>
      </c>
      <c r="F6116" s="9">
        <v>4</v>
      </c>
      <c r="G6116" s="9">
        <v>42</v>
      </c>
      <c r="H6116" s="5" t="s">
        <v>21</v>
      </c>
      <c r="I6116" s="5" t="s">
        <v>13623</v>
      </c>
      <c r="J6116" s="12" t="str">
        <f>HYPERLINK("https://www.boe.es/gazeta/dias/1801/01/13/pdfs/GMD-1801-4.pdf#page=6","Abrir facsímil")</f>
        <v>Abrir facsímil</v>
      </c>
      <c r="K6116" s="15" t="s">
        <v>23</v>
      </c>
    </row>
    <row r="6117" spans="1:11" ht="42" customHeight="1">
      <c r="A6117" s="4" t="s">
        <v>13621</v>
      </c>
      <c r="B6117" s="5" t="s">
        <v>13622</v>
      </c>
      <c r="C6117" s="5" t="s">
        <v>75</v>
      </c>
      <c r="D6117" s="5" t="s">
        <v>76</v>
      </c>
      <c r="E6117" s="5" t="s">
        <v>465</v>
      </c>
      <c r="F6117" s="9">
        <v>4</v>
      </c>
      <c r="G6117" s="9">
        <v>43</v>
      </c>
      <c r="H6117" s="5" t="s">
        <v>21</v>
      </c>
      <c r="I6117" s="5" t="s">
        <v>13624</v>
      </c>
      <c r="J6117" s="12" t="str">
        <f>HYPERLINK("https://www.boe.es/gazeta/dias/1801/01/13/pdfs/GMD-1801-4.pdf#page=7","Abrir facsímil")</f>
        <v>Abrir facsímil</v>
      </c>
      <c r="K6117" s="15" t="s">
        <v>23</v>
      </c>
    </row>
    <row r="6118" spans="1:11" ht="42" customHeight="1">
      <c r="A6118" s="4" t="s">
        <v>13621</v>
      </c>
      <c r="B6118" s="5" t="s">
        <v>13622</v>
      </c>
      <c r="C6118" s="5" t="s">
        <v>32</v>
      </c>
      <c r="D6118" s="5" t="s">
        <v>33</v>
      </c>
      <c r="E6118" s="5" t="s">
        <v>124</v>
      </c>
      <c r="F6118" s="9">
        <v>12</v>
      </c>
      <c r="G6118" s="9">
        <v>145</v>
      </c>
      <c r="H6118" s="5" t="s">
        <v>21</v>
      </c>
      <c r="I6118" s="5" t="s">
        <v>13625</v>
      </c>
      <c r="J6118" s="12" t="str">
        <f>HYPERLINK("https://www.boe.es/gazeta/dias/1801/02/10/pdfs/GMD-1801-12.pdf#page=6","Abrir facsímil")</f>
        <v>Abrir facsímil</v>
      </c>
      <c r="K6118" s="15" t="s">
        <v>23</v>
      </c>
    </row>
    <row r="6119" spans="1:11" ht="42" customHeight="1">
      <c r="A6119" s="4" t="s">
        <v>13621</v>
      </c>
      <c r="B6119" s="5" t="s">
        <v>13622</v>
      </c>
      <c r="C6119" s="5" t="s">
        <v>38</v>
      </c>
      <c r="D6119" s="5" t="s">
        <v>39</v>
      </c>
      <c r="E6119" s="5" t="s">
        <v>126</v>
      </c>
      <c r="F6119" s="9">
        <v>13</v>
      </c>
      <c r="G6119" s="9">
        <v>159</v>
      </c>
      <c r="H6119" s="5" t="s">
        <v>21</v>
      </c>
      <c r="I6119" s="5" t="s">
        <v>13626</v>
      </c>
      <c r="J6119" s="12" t="str">
        <f>HYPERLINK("https://www.boe.es/gazeta/dias/1801/02/13/pdfs/GMD-1801-13.pdf#page=6","Abrir facsímil")</f>
        <v>Abrir facsímil</v>
      </c>
      <c r="K6119" s="15" t="s">
        <v>23</v>
      </c>
    </row>
    <row r="6120" spans="1:11" ht="42" customHeight="1">
      <c r="A6120" s="4" t="s">
        <v>13621</v>
      </c>
      <c r="B6120" s="5" t="s">
        <v>13622</v>
      </c>
      <c r="C6120" s="5" t="s">
        <v>75</v>
      </c>
      <c r="D6120" s="5" t="s">
        <v>76</v>
      </c>
      <c r="E6120" s="5" t="s">
        <v>781</v>
      </c>
      <c r="F6120" s="9">
        <v>14</v>
      </c>
      <c r="G6120" s="9">
        <v>171</v>
      </c>
      <c r="H6120" s="5" t="s">
        <v>21</v>
      </c>
      <c r="I6120" s="5" t="s">
        <v>13627</v>
      </c>
      <c r="J6120" s="12" t="str">
        <f>HYPERLINK("https://www.boe.es/gazeta/dias/1801/02/17/pdfs/GMD-1801-14.pdf#page=6","Abrir facsímil")</f>
        <v>Abrir facsímil</v>
      </c>
      <c r="K6120" s="15" t="s">
        <v>23</v>
      </c>
    </row>
    <row r="6121" spans="1:11" ht="42" customHeight="1">
      <c r="A6121" s="4" t="s">
        <v>13621</v>
      </c>
      <c r="B6121" s="5" t="s">
        <v>13622</v>
      </c>
      <c r="C6121" s="5" t="s">
        <v>75</v>
      </c>
      <c r="D6121" s="5" t="s">
        <v>76</v>
      </c>
      <c r="E6121" s="5" t="s">
        <v>1015</v>
      </c>
      <c r="F6121" s="9">
        <v>15</v>
      </c>
      <c r="G6121" s="9">
        <v>187</v>
      </c>
      <c r="H6121" s="5" t="s">
        <v>21</v>
      </c>
      <c r="I6121" s="5" t="s">
        <v>13628</v>
      </c>
      <c r="J6121" s="12" t="str">
        <f>HYPERLINK("https://www.boe.es/gazeta/dias/1801/02/20/pdfs/GMD-1801-15.pdf#page=6","Abrir facsímil")</f>
        <v>Abrir facsímil</v>
      </c>
      <c r="K6121" s="15" t="s">
        <v>23</v>
      </c>
    </row>
    <row r="6122" spans="1:11" ht="42" customHeight="1">
      <c r="A6122" s="4" t="s">
        <v>13621</v>
      </c>
      <c r="B6122" s="5" t="s">
        <v>13622</v>
      </c>
      <c r="C6122" s="5" t="s">
        <v>75</v>
      </c>
      <c r="D6122" s="5" t="s">
        <v>76</v>
      </c>
      <c r="E6122" s="5" t="s">
        <v>94</v>
      </c>
      <c r="F6122" s="9">
        <v>19</v>
      </c>
      <c r="G6122" s="9">
        <v>243</v>
      </c>
      <c r="H6122" s="5" t="s">
        <v>21</v>
      </c>
      <c r="I6122" s="5" t="s">
        <v>13629</v>
      </c>
      <c r="J6122" s="12" t="str">
        <f>HYPERLINK("https://www.boe.es/gazeta/dias/1801/03/06/pdfs/GMD-1801-19.pdf#page=8","Abrir facsímil")</f>
        <v>Abrir facsímil</v>
      </c>
      <c r="K6122" s="15" t="s">
        <v>23</v>
      </c>
    </row>
    <row r="6123" spans="1:11" ht="42" customHeight="1">
      <c r="A6123" s="4" t="s">
        <v>13621</v>
      </c>
      <c r="B6123" s="5" t="s">
        <v>13622</v>
      </c>
      <c r="C6123" s="5" t="s">
        <v>75</v>
      </c>
      <c r="D6123" s="5" t="s">
        <v>76</v>
      </c>
      <c r="E6123" s="5" t="s">
        <v>48</v>
      </c>
      <c r="F6123" s="9">
        <v>20</v>
      </c>
      <c r="G6123" s="9">
        <v>260</v>
      </c>
      <c r="H6123" s="5" t="s">
        <v>21</v>
      </c>
      <c r="I6123" s="5" t="s">
        <v>13630</v>
      </c>
      <c r="J6123" s="12" t="str">
        <f>HYPERLINK("https://www.boe.es/gazeta/dias/1801/03/10/pdfs/GMD-1801-20.pdf#page=5","Abrir facsímil")</f>
        <v>Abrir facsímil</v>
      </c>
      <c r="K6123" s="15" t="s">
        <v>23</v>
      </c>
    </row>
    <row r="6124" spans="1:11" ht="42" customHeight="1">
      <c r="A6124" s="4" t="s">
        <v>13621</v>
      </c>
      <c r="B6124" s="5" t="s">
        <v>13622</v>
      </c>
      <c r="C6124" s="5" t="s">
        <v>75</v>
      </c>
      <c r="D6124" s="5" t="s">
        <v>76</v>
      </c>
      <c r="E6124" s="5" t="s">
        <v>186</v>
      </c>
      <c r="F6124" s="9">
        <v>21</v>
      </c>
      <c r="G6124" s="9">
        <v>278</v>
      </c>
      <c r="H6124" s="5" t="s">
        <v>21</v>
      </c>
      <c r="I6124" s="5" t="s">
        <v>13631</v>
      </c>
      <c r="J6124" s="12" t="str">
        <f>HYPERLINK("https://www.boe.es/gazeta/dias/1801/03/13/pdfs/GMD-1801-21.pdf#page=7","Abrir facsímil")</f>
        <v>Abrir facsímil</v>
      </c>
      <c r="K6124" s="15" t="s">
        <v>23</v>
      </c>
    </row>
    <row r="6125" spans="1:11" ht="42" customHeight="1">
      <c r="A6125" s="4" t="s">
        <v>13621</v>
      </c>
      <c r="B6125" s="5" t="s">
        <v>13622</v>
      </c>
      <c r="C6125" s="5" t="s">
        <v>75</v>
      </c>
      <c r="D6125" s="5" t="s">
        <v>76</v>
      </c>
      <c r="E6125" s="5" t="s">
        <v>135</v>
      </c>
      <c r="F6125" s="9">
        <v>24</v>
      </c>
      <c r="G6125" s="9">
        <v>314</v>
      </c>
      <c r="H6125" s="5" t="s">
        <v>21</v>
      </c>
      <c r="I6125" s="5" t="s">
        <v>13632</v>
      </c>
      <c r="J6125" s="12" t="str">
        <f>HYPERLINK("https://www.boe.es/gazeta/dias/1801/03/24/pdfs/GMD-1801-24.pdf#page=5","Abrir facsímil")</f>
        <v>Abrir facsímil</v>
      </c>
      <c r="K6125" s="15" t="s">
        <v>23</v>
      </c>
    </row>
    <row r="6126" spans="1:11" ht="42" customHeight="1">
      <c r="A6126" s="4" t="s">
        <v>13621</v>
      </c>
      <c r="B6126" s="5" t="s">
        <v>13622</v>
      </c>
      <c r="C6126" s="5" t="s">
        <v>38</v>
      </c>
      <c r="D6126" s="5" t="s">
        <v>39</v>
      </c>
      <c r="E6126" s="5" t="s">
        <v>219</v>
      </c>
      <c r="F6126" s="9">
        <v>26</v>
      </c>
      <c r="G6126" s="9">
        <v>342</v>
      </c>
      <c r="H6126" s="5" t="s">
        <v>21</v>
      </c>
      <c r="I6126" s="5" t="s">
        <v>13633</v>
      </c>
      <c r="J6126" s="12" t="str">
        <f>HYPERLINK("https://www.boe.es/gazeta/dias/1801/03/31/pdfs/GMD-1801-26.pdf#page=6","Abrir facsímil")</f>
        <v>Abrir facsímil</v>
      </c>
      <c r="K6126" s="15" t="s">
        <v>23</v>
      </c>
    </row>
    <row r="6127" spans="1:11" ht="42" customHeight="1">
      <c r="A6127" s="4" t="s">
        <v>13621</v>
      </c>
      <c r="B6127" s="5" t="s">
        <v>13622</v>
      </c>
      <c r="C6127" s="5" t="s">
        <v>32</v>
      </c>
      <c r="D6127" s="5" t="s">
        <v>33</v>
      </c>
      <c r="E6127" s="5" t="s">
        <v>221</v>
      </c>
      <c r="F6127" s="9">
        <v>28</v>
      </c>
      <c r="G6127" s="9">
        <v>366</v>
      </c>
      <c r="H6127" s="5" t="s">
        <v>21</v>
      </c>
      <c r="I6127" s="5" t="s">
        <v>13634</v>
      </c>
      <c r="J6127" s="12" t="str">
        <f>HYPERLINK("https://www.boe.es/gazeta/dias/1801/04/07/pdfs/GMD-1801-28.pdf#page=6","Abrir facsímil")</f>
        <v>Abrir facsímil</v>
      </c>
      <c r="K6127" s="15" t="s">
        <v>23</v>
      </c>
    </row>
    <row r="6128" spans="1:11" ht="42" customHeight="1">
      <c r="A6128" s="4" t="s">
        <v>13621</v>
      </c>
      <c r="B6128" s="5" t="s">
        <v>13622</v>
      </c>
      <c r="C6128" s="5" t="s">
        <v>38</v>
      </c>
      <c r="D6128" s="5" t="s">
        <v>39</v>
      </c>
      <c r="E6128" s="5" t="s">
        <v>221</v>
      </c>
      <c r="F6128" s="9">
        <v>28</v>
      </c>
      <c r="G6128" s="9">
        <v>369</v>
      </c>
      <c r="H6128" s="5" t="s">
        <v>21</v>
      </c>
      <c r="I6128" s="5" t="s">
        <v>13635</v>
      </c>
      <c r="J6128" s="12" t="str">
        <f>HYPERLINK("https://www.boe.es/gazeta/dias/1801/04/07/pdfs/GMD-1801-28.pdf#page=9","Abrir facsímil")</f>
        <v>Abrir facsímil</v>
      </c>
      <c r="K6128" s="15" t="s">
        <v>23</v>
      </c>
    </row>
    <row r="6129" spans="1:11" ht="42" customHeight="1">
      <c r="A6129" s="4" t="s">
        <v>13621</v>
      </c>
      <c r="B6129" s="5" t="s">
        <v>13622</v>
      </c>
      <c r="C6129" s="5" t="s">
        <v>75</v>
      </c>
      <c r="D6129" s="5" t="s">
        <v>76</v>
      </c>
      <c r="E6129" s="5" t="s">
        <v>137</v>
      </c>
      <c r="F6129" s="9">
        <v>30</v>
      </c>
      <c r="G6129" s="9">
        <v>391</v>
      </c>
      <c r="H6129" s="5" t="s">
        <v>21</v>
      </c>
      <c r="I6129" s="5" t="s">
        <v>13636</v>
      </c>
      <c r="J6129" s="12" t="str">
        <f>HYPERLINK("https://www.boe.es/gazeta/dias/1801/04/14/pdfs/GMD-1801-30.pdf#page=7","Abrir facsímil")</f>
        <v>Abrir facsímil</v>
      </c>
      <c r="K6129" s="15" t="s">
        <v>23</v>
      </c>
    </row>
    <row r="6130" spans="1:11" ht="42" customHeight="1">
      <c r="A6130" s="4" t="s">
        <v>13621</v>
      </c>
      <c r="B6130" s="5" t="s">
        <v>13622</v>
      </c>
      <c r="C6130" s="5" t="s">
        <v>38</v>
      </c>
      <c r="D6130" s="5" t="s">
        <v>39</v>
      </c>
      <c r="E6130" s="5" t="s">
        <v>97</v>
      </c>
      <c r="F6130" s="9">
        <v>31</v>
      </c>
      <c r="G6130" s="9">
        <v>400</v>
      </c>
      <c r="H6130" s="5" t="s">
        <v>21</v>
      </c>
      <c r="I6130" s="5" t="s">
        <v>13637</v>
      </c>
      <c r="J6130" s="12" t="str">
        <f>HYPERLINK("https://www.boe.es/gazeta/dias/1801/04/17/pdfs/GMD-1801-31.pdf#page=4","Abrir facsímil")</f>
        <v>Abrir facsímil</v>
      </c>
      <c r="K6130" s="15" t="s">
        <v>23</v>
      </c>
    </row>
    <row r="6131" spans="1:11" ht="42" customHeight="1">
      <c r="A6131" s="4" t="s">
        <v>13621</v>
      </c>
      <c r="B6131" s="5" t="s">
        <v>13622</v>
      </c>
      <c r="C6131" s="5" t="s">
        <v>75</v>
      </c>
      <c r="D6131" s="5" t="s">
        <v>76</v>
      </c>
      <c r="E6131" s="5" t="s">
        <v>99</v>
      </c>
      <c r="F6131" s="9">
        <v>32</v>
      </c>
      <c r="G6131" s="9">
        <v>409</v>
      </c>
      <c r="H6131" s="5" t="s">
        <v>21</v>
      </c>
      <c r="I6131" s="5" t="s">
        <v>13638</v>
      </c>
      <c r="J6131" s="12" t="str">
        <f>HYPERLINK("https://www.boe.es/gazeta/dias/1801/04/21/pdfs/GMD-1801-32.pdf#page=5","Abrir facsímil")</f>
        <v>Abrir facsímil</v>
      </c>
      <c r="K6131" s="15" t="s">
        <v>23</v>
      </c>
    </row>
    <row r="6132" spans="1:11" ht="42" customHeight="1">
      <c r="A6132" s="4" t="s">
        <v>13621</v>
      </c>
      <c r="B6132" s="5" t="s">
        <v>13622</v>
      </c>
      <c r="C6132" s="5" t="s">
        <v>38</v>
      </c>
      <c r="D6132" s="5" t="s">
        <v>39</v>
      </c>
      <c r="E6132" s="5" t="s">
        <v>143</v>
      </c>
      <c r="F6132" s="9">
        <v>34</v>
      </c>
      <c r="G6132" s="9">
        <v>434</v>
      </c>
      <c r="H6132" s="5" t="s">
        <v>21</v>
      </c>
      <c r="I6132" s="5" t="s">
        <v>13639</v>
      </c>
      <c r="J6132" s="12" t="str">
        <f>HYPERLINK("https://www.boe.es/gazeta/dias/1801/04/28/pdfs/GMD-1801-34.pdf#page=6","Abrir facsímil")</f>
        <v>Abrir facsímil</v>
      </c>
      <c r="K6132" s="15" t="s">
        <v>23</v>
      </c>
    </row>
    <row r="6133" spans="1:11" ht="42" customHeight="1">
      <c r="A6133" s="4" t="s">
        <v>13621</v>
      </c>
      <c r="B6133" s="5" t="s">
        <v>13622</v>
      </c>
      <c r="C6133" s="5" t="s">
        <v>75</v>
      </c>
      <c r="D6133" s="5" t="s">
        <v>76</v>
      </c>
      <c r="E6133" s="5" t="s">
        <v>145</v>
      </c>
      <c r="F6133" s="9">
        <v>36</v>
      </c>
      <c r="G6133" s="9">
        <v>464</v>
      </c>
      <c r="H6133" s="5" t="s">
        <v>21</v>
      </c>
      <c r="I6133" s="5" t="s">
        <v>13640</v>
      </c>
      <c r="J6133" s="12" t="str">
        <f>HYPERLINK("https://www.boe.es/gazeta/dias/1801/05/05/pdfs/GMD-1801-36.pdf#page=8","Abrir facsímil")</f>
        <v>Abrir facsímil</v>
      </c>
      <c r="K6133" s="15" t="s">
        <v>23</v>
      </c>
    </row>
    <row r="6134" spans="1:11" ht="42" customHeight="1">
      <c r="A6134" s="4" t="s">
        <v>13621</v>
      </c>
      <c r="B6134" s="5" t="s">
        <v>13622</v>
      </c>
      <c r="C6134" s="5" t="s">
        <v>75</v>
      </c>
      <c r="D6134" s="5" t="s">
        <v>76</v>
      </c>
      <c r="E6134" s="5" t="s">
        <v>20</v>
      </c>
      <c r="F6134" s="9">
        <v>37</v>
      </c>
      <c r="G6134" s="9">
        <v>480</v>
      </c>
      <c r="H6134" s="5" t="s">
        <v>21</v>
      </c>
      <c r="I6134" s="5" t="s">
        <v>13641</v>
      </c>
      <c r="J6134" s="12" t="str">
        <f>HYPERLINK("https://www.boe.es/gazeta/dias/1801/05/08/pdfs/GMD-1801-37.pdf#page=8","Abrir facsímil")</f>
        <v>Abrir facsímil</v>
      </c>
      <c r="K6134" s="15" t="s">
        <v>23</v>
      </c>
    </row>
    <row r="6135" spans="1:11" ht="42" customHeight="1">
      <c r="A6135" s="4" t="s">
        <v>13621</v>
      </c>
      <c r="B6135" s="5" t="s">
        <v>13622</v>
      </c>
      <c r="C6135" s="5" t="s">
        <v>32</v>
      </c>
      <c r="D6135" s="5" t="s">
        <v>33</v>
      </c>
      <c r="E6135" s="5" t="s">
        <v>155</v>
      </c>
      <c r="F6135" s="9">
        <v>50</v>
      </c>
      <c r="G6135" s="9">
        <v>594</v>
      </c>
      <c r="H6135" s="5" t="s">
        <v>21</v>
      </c>
      <c r="I6135" s="5" t="s">
        <v>13642</v>
      </c>
      <c r="J6135" s="12" t="str">
        <f>HYPERLINK("https://www.boe.es/gazeta/dias/1801/06/09/pdfs/GMD-1801-50.pdf#page=6","Abrir facsímil")</f>
        <v>Abrir facsímil</v>
      </c>
      <c r="K6135" s="15" t="s">
        <v>23</v>
      </c>
    </row>
    <row r="6136" spans="1:11" ht="42" customHeight="1">
      <c r="A6136" s="4" t="s">
        <v>13621</v>
      </c>
      <c r="B6136" s="5" t="s">
        <v>13622</v>
      </c>
      <c r="C6136" s="5" t="s">
        <v>26</v>
      </c>
      <c r="D6136" s="5" t="s">
        <v>27</v>
      </c>
      <c r="E6136" s="5" t="s">
        <v>171</v>
      </c>
      <c r="F6136" s="9">
        <v>76</v>
      </c>
      <c r="G6136" s="9">
        <v>849</v>
      </c>
      <c r="H6136" s="5" t="s">
        <v>21</v>
      </c>
      <c r="I6136" s="5" t="s">
        <v>13643</v>
      </c>
      <c r="J6136" s="12" t="str">
        <f>HYPERLINK("https://www.boe.es/gazeta/dias/1801/08/07/pdfs/GMD-1801-76.pdf#page=6","Abrir facsímil")</f>
        <v>Abrir facsímil</v>
      </c>
      <c r="K6136" s="15" t="s">
        <v>23</v>
      </c>
    </row>
    <row r="6137" spans="1:11" ht="42" customHeight="1">
      <c r="A6137" s="4" t="s">
        <v>13621</v>
      </c>
      <c r="B6137" s="5" t="s">
        <v>13622</v>
      </c>
      <c r="C6137" s="5" t="s">
        <v>75</v>
      </c>
      <c r="D6137" s="5" t="s">
        <v>76</v>
      </c>
      <c r="E6137" s="5" t="s">
        <v>328</v>
      </c>
      <c r="F6137" s="9">
        <v>89</v>
      </c>
      <c r="G6137" s="9">
        <v>978</v>
      </c>
      <c r="H6137" s="5" t="s">
        <v>21</v>
      </c>
      <c r="I6137" s="5" t="s">
        <v>13644</v>
      </c>
      <c r="J6137" s="12" t="str">
        <f>HYPERLINK("https://www.boe.es/gazeta/dias/1801/09/15/pdfs/GMD-1801-89.pdf#page=5","Abrir facsímil")</f>
        <v>Abrir facsímil</v>
      </c>
      <c r="K6137" s="15" t="s">
        <v>23</v>
      </c>
    </row>
    <row r="6138" spans="1:11" ht="42" customHeight="1">
      <c r="A6138" s="4" t="s">
        <v>13621</v>
      </c>
      <c r="B6138" s="5" t="s">
        <v>13622</v>
      </c>
      <c r="C6138" s="5" t="s">
        <v>75</v>
      </c>
      <c r="D6138" s="5" t="s">
        <v>76</v>
      </c>
      <c r="E6138" s="5" t="s">
        <v>924</v>
      </c>
      <c r="F6138" s="9">
        <v>90</v>
      </c>
      <c r="G6138" s="9">
        <v>991</v>
      </c>
      <c r="H6138" s="5" t="s">
        <v>21</v>
      </c>
      <c r="I6138" s="5" t="s">
        <v>13645</v>
      </c>
      <c r="J6138" s="12" t="str">
        <f>HYPERLINK("https://www.boe.es/gazeta/dias/1801/09/18/pdfs/GMD-1801-90.pdf#page=6","Abrir facsímil")</f>
        <v>Abrir facsímil</v>
      </c>
      <c r="K6138" s="15" t="s">
        <v>23</v>
      </c>
    </row>
    <row r="6139" spans="1:11" ht="42" customHeight="1">
      <c r="A6139" s="4" t="s">
        <v>13621</v>
      </c>
      <c r="B6139" s="5" t="s">
        <v>13622</v>
      </c>
      <c r="C6139" s="5" t="s">
        <v>69</v>
      </c>
      <c r="D6139" s="5" t="s">
        <v>19</v>
      </c>
      <c r="E6139" s="5" t="s">
        <v>919</v>
      </c>
      <c r="F6139" s="9">
        <v>91</v>
      </c>
      <c r="G6139" s="9">
        <v>1002</v>
      </c>
      <c r="H6139" s="5" t="s">
        <v>21</v>
      </c>
      <c r="I6139" s="5" t="s">
        <v>13646</v>
      </c>
      <c r="J6139" s="12" t="str">
        <f>HYPERLINK("https://www.boe.es/gazeta/dias/1801/09/22/pdfs/GMD-1801-91.pdf#page=5","Abrir facsímil")</f>
        <v>Abrir facsímil</v>
      </c>
      <c r="K6139" s="15" t="s">
        <v>23</v>
      </c>
    </row>
    <row r="6140" spans="1:11" ht="42" customHeight="1">
      <c r="A6140" s="4" t="s">
        <v>13647</v>
      </c>
      <c r="B6140" s="5" t="s">
        <v>13648</v>
      </c>
      <c r="C6140" s="5" t="s">
        <v>32</v>
      </c>
      <c r="D6140" s="5" t="s">
        <v>33</v>
      </c>
      <c r="E6140" s="5" t="s">
        <v>182</v>
      </c>
      <c r="F6140" s="9">
        <v>18</v>
      </c>
      <c r="G6140" s="9">
        <v>223</v>
      </c>
      <c r="H6140" s="5" t="s">
        <v>21</v>
      </c>
      <c r="I6140" s="5" t="s">
        <v>13649</v>
      </c>
      <c r="J6140" s="12" t="str">
        <f>HYPERLINK("https://www.boe.es/gazeta/dias/1801/03/03/pdfs/GMD-1801-18.pdf#page=4","Abrir facsímil")</f>
        <v>Abrir facsímil</v>
      </c>
      <c r="K6140" s="15" t="s">
        <v>23</v>
      </c>
    </row>
    <row r="6141" spans="1:11" ht="42" customHeight="1">
      <c r="A6141" s="4" t="s">
        <v>13647</v>
      </c>
      <c r="B6141" s="5" t="s">
        <v>13648</v>
      </c>
      <c r="C6141" s="5" t="s">
        <v>32</v>
      </c>
      <c r="D6141" s="5" t="s">
        <v>33</v>
      </c>
      <c r="E6141" s="5" t="s">
        <v>94</v>
      </c>
      <c r="F6141" s="9">
        <v>19</v>
      </c>
      <c r="G6141" s="9">
        <v>242</v>
      </c>
      <c r="H6141" s="5" t="s">
        <v>21</v>
      </c>
      <c r="I6141" s="5" t="s">
        <v>13650</v>
      </c>
      <c r="J6141" s="12" t="str">
        <f>HYPERLINK("https://www.boe.es/gazeta/dias/1801/03/06/pdfs/GMD-1801-19.pdf#page=7","Abrir facsímil")</f>
        <v>Abrir facsímil</v>
      </c>
      <c r="K6141" s="15" t="s">
        <v>23</v>
      </c>
    </row>
    <row r="6142" spans="1:11" ht="42" customHeight="1">
      <c r="A6142" s="4" t="s">
        <v>13651</v>
      </c>
      <c r="B6142" s="5" t="s">
        <v>13652</v>
      </c>
      <c r="C6142" s="5" t="s">
        <v>38</v>
      </c>
      <c r="D6142" s="5" t="s">
        <v>39</v>
      </c>
      <c r="E6142" s="5" t="s">
        <v>131</v>
      </c>
      <c r="F6142" s="9">
        <v>22</v>
      </c>
      <c r="G6142" s="9">
        <v>287</v>
      </c>
      <c r="H6142" s="5" t="s">
        <v>21</v>
      </c>
      <c r="I6142" s="5" t="s">
        <v>13653</v>
      </c>
      <c r="J6142" s="12" t="str">
        <f>HYPERLINK("https://www.boe.es/gazeta/dias/1801/03/17/pdfs/GMD-1801-22.pdf#page=4","Abrir facsímil")</f>
        <v>Abrir facsímil</v>
      </c>
      <c r="K6142" s="15" t="s">
        <v>23</v>
      </c>
    </row>
    <row r="6143" spans="1:11" ht="42" customHeight="1">
      <c r="A6143" s="4" t="s">
        <v>13654</v>
      </c>
      <c r="B6143" s="5" t="s">
        <v>13655</v>
      </c>
      <c r="C6143" s="5" t="s">
        <v>69</v>
      </c>
      <c r="D6143" s="5" t="s">
        <v>19</v>
      </c>
      <c r="E6143" s="5" t="s">
        <v>275</v>
      </c>
      <c r="F6143" s="9">
        <v>9</v>
      </c>
      <c r="G6143" s="9">
        <v>112</v>
      </c>
      <c r="H6143" s="5" t="s">
        <v>21</v>
      </c>
      <c r="I6143" s="5" t="s">
        <v>13656</v>
      </c>
      <c r="J6143" s="12" t="str">
        <f>HYPERLINK("https://www.boe.es/gazeta/dias/1801/01/30/pdfs/GMD-1801-9.pdf#page=9","Abrir facsímil")</f>
        <v>Abrir facsímil</v>
      </c>
      <c r="K6143" s="15" t="s">
        <v>23</v>
      </c>
    </row>
    <row r="6144" spans="1:11" ht="42" customHeight="1">
      <c r="A6144" s="4" t="s">
        <v>13657</v>
      </c>
      <c r="B6144" s="5" t="s">
        <v>13657</v>
      </c>
      <c r="C6144" s="5" t="s">
        <v>75</v>
      </c>
      <c r="D6144" s="5" t="s">
        <v>76</v>
      </c>
      <c r="E6144" s="5" t="s">
        <v>161</v>
      </c>
      <c r="F6144" s="9">
        <v>58</v>
      </c>
      <c r="G6144" s="9">
        <v>660</v>
      </c>
      <c r="H6144" s="5" t="s">
        <v>21</v>
      </c>
      <c r="I6144" s="5" t="s">
        <v>13658</v>
      </c>
      <c r="J6144" s="12" t="str">
        <f>HYPERLINK("https://www.boe.es/gazeta/dias/1801/06/19/pdfs/GMD-1801-58.pdf#page=5","Abrir facsímil")</f>
        <v>Abrir facsímil</v>
      </c>
      <c r="K6144" s="15" t="s">
        <v>23</v>
      </c>
    </row>
    <row r="6145" spans="1:11" ht="42" customHeight="1">
      <c r="A6145" s="4" t="s">
        <v>13657</v>
      </c>
      <c r="B6145" s="5" t="s">
        <v>13657</v>
      </c>
      <c r="C6145" s="5" t="s">
        <v>75</v>
      </c>
      <c r="D6145" s="5" t="s">
        <v>76</v>
      </c>
      <c r="E6145" s="5" t="s">
        <v>2237</v>
      </c>
      <c r="F6145" s="9">
        <v>82</v>
      </c>
      <c r="G6145" s="9">
        <v>916</v>
      </c>
      <c r="H6145" s="5" t="s">
        <v>21</v>
      </c>
      <c r="I6145" s="5" t="s">
        <v>13659</v>
      </c>
      <c r="J6145" s="12" t="str">
        <f>HYPERLINK("https://www.boe.es/gazeta/dias/1801/08/28/pdfs/GMD-1801-82.pdf#page=5","Abrir facsímil")</f>
        <v>Abrir facsímil</v>
      </c>
      <c r="K6145" s="15" t="s">
        <v>23</v>
      </c>
    </row>
    <row r="6146" spans="1:11" ht="42" customHeight="1">
      <c r="A6146" s="4" t="s">
        <v>13660</v>
      </c>
      <c r="B6146" s="5" t="s">
        <v>13661</v>
      </c>
      <c r="C6146" s="5" t="s">
        <v>18</v>
      </c>
      <c r="D6146" s="5" t="s">
        <v>19</v>
      </c>
      <c r="E6146" s="5" t="s">
        <v>215</v>
      </c>
      <c r="F6146" s="9">
        <v>71</v>
      </c>
      <c r="G6146" s="9">
        <v>783</v>
      </c>
      <c r="H6146" s="5" t="s">
        <v>21</v>
      </c>
      <c r="I6146" s="5" t="s">
        <v>13662</v>
      </c>
      <c r="J6146" s="12" t="str">
        <f>HYPERLINK("https://www.boe.es/gazeta/dias/1801/07/21/pdfs/GMD-1801-71.pdf#page=4","Abrir facsímil")</f>
        <v>Abrir facsímil</v>
      </c>
      <c r="K6146" s="15" t="s">
        <v>23</v>
      </c>
    </row>
    <row r="6147" spans="1:11" ht="42" customHeight="1">
      <c r="A6147" s="4" t="s">
        <v>13660</v>
      </c>
      <c r="B6147" s="5" t="s">
        <v>13661</v>
      </c>
      <c r="C6147" s="5" t="s">
        <v>32</v>
      </c>
      <c r="D6147" s="5" t="s">
        <v>33</v>
      </c>
      <c r="E6147" s="5" t="s">
        <v>201</v>
      </c>
      <c r="F6147" s="9">
        <v>79</v>
      </c>
      <c r="G6147" s="9">
        <v>888</v>
      </c>
      <c r="H6147" s="5" t="s">
        <v>21</v>
      </c>
      <c r="I6147" s="5" t="s">
        <v>13663</v>
      </c>
      <c r="J6147" s="12" t="str">
        <f>HYPERLINK("https://www.boe.es/gazeta/dias/1801/08/18/pdfs/GMD-1801-79.pdf#page=5","Abrir facsímil")</f>
        <v>Abrir facsímil</v>
      </c>
      <c r="K6147" s="15" t="s">
        <v>23</v>
      </c>
    </row>
    <row r="6148" spans="1:11" ht="42" customHeight="1">
      <c r="A6148" s="4" t="s">
        <v>13664</v>
      </c>
      <c r="B6148" s="5" t="s">
        <v>13665</v>
      </c>
      <c r="C6148" s="5" t="s">
        <v>32</v>
      </c>
      <c r="D6148" s="5" t="s">
        <v>33</v>
      </c>
      <c r="E6148" s="5" t="s">
        <v>179</v>
      </c>
      <c r="F6148" s="9">
        <v>11</v>
      </c>
      <c r="G6148" s="9">
        <v>136</v>
      </c>
      <c r="H6148" s="5" t="s">
        <v>21</v>
      </c>
      <c r="I6148" s="5" t="s">
        <v>13666</v>
      </c>
      <c r="J6148" s="12" t="str">
        <f>HYPERLINK("https://www.boe.es/gazeta/dias/1801/02/06/pdfs/GMD-1801-11.pdf#page=9","Abrir facsímil")</f>
        <v>Abrir facsímil</v>
      </c>
      <c r="K6148" s="15" t="s">
        <v>23</v>
      </c>
    </row>
    <row r="6149" spans="1:11" ht="42" customHeight="1">
      <c r="A6149" s="4" t="s">
        <v>13664</v>
      </c>
      <c r="B6149" s="5" t="s">
        <v>13665</v>
      </c>
      <c r="C6149" s="5" t="s">
        <v>38</v>
      </c>
      <c r="D6149" s="5" t="s">
        <v>39</v>
      </c>
      <c r="E6149" s="5" t="s">
        <v>258</v>
      </c>
      <c r="F6149" s="9">
        <v>96</v>
      </c>
      <c r="G6149" s="9">
        <v>1050</v>
      </c>
      <c r="H6149" s="5" t="s">
        <v>21</v>
      </c>
      <c r="I6149" s="5" t="s">
        <v>13667</v>
      </c>
      <c r="J6149" s="12" t="str">
        <f>HYPERLINK("https://www.boe.es/gazeta/dias/1801/10/09/pdfs/GMD-1801-96.pdf#page=6","Abrir facsímil")</f>
        <v>Abrir facsímil</v>
      </c>
      <c r="K6149" s="15" t="s">
        <v>23</v>
      </c>
    </row>
    <row r="6150" spans="1:11" ht="42" customHeight="1">
      <c r="A6150" s="4" t="s">
        <v>13668</v>
      </c>
      <c r="B6150" s="5" t="s">
        <v>13668</v>
      </c>
      <c r="C6150" s="5" t="s">
        <v>75</v>
      </c>
      <c r="D6150" s="5" t="s">
        <v>76</v>
      </c>
      <c r="E6150" s="5" t="s">
        <v>165</v>
      </c>
      <c r="F6150" s="9">
        <v>59</v>
      </c>
      <c r="G6150" s="9">
        <v>673</v>
      </c>
      <c r="H6150" s="5" t="s">
        <v>21</v>
      </c>
      <c r="I6150" s="5" t="s">
        <v>13669</v>
      </c>
      <c r="J6150" s="12" t="str">
        <f>HYPERLINK("https://www.boe.es/gazeta/dias/1801/06/23/pdfs/GMD-1801-59.pdf#page=6","Abrir facsímil")</f>
        <v>Abrir facsímil</v>
      </c>
      <c r="K6150" s="15" t="s">
        <v>23</v>
      </c>
    </row>
    <row r="6151" spans="1:11" ht="42" customHeight="1">
      <c r="A6151" s="4" t="s">
        <v>13670</v>
      </c>
      <c r="B6151" s="5" t="s">
        <v>13671</v>
      </c>
      <c r="C6151" s="5" t="s">
        <v>38</v>
      </c>
      <c r="D6151" s="5" t="s">
        <v>39</v>
      </c>
      <c r="E6151" s="5" t="s">
        <v>1085</v>
      </c>
      <c r="F6151" s="9">
        <v>99</v>
      </c>
      <c r="G6151" s="9">
        <v>1090</v>
      </c>
      <c r="H6151" s="5" t="s">
        <v>21</v>
      </c>
      <c r="I6151" s="5" t="s">
        <v>13672</v>
      </c>
      <c r="J6151" s="12" t="str">
        <f>HYPERLINK("https://www.boe.es/gazeta/dias/1801/10/20/pdfs/GMD-1801-99.pdf#page=7","Abrir facsímil")</f>
        <v>Abrir facsímil</v>
      </c>
      <c r="K6151" s="15" t="s">
        <v>23</v>
      </c>
    </row>
    <row r="6152" spans="1:11" ht="42" customHeight="1">
      <c r="A6152" s="4" t="s">
        <v>13673</v>
      </c>
      <c r="B6152" s="5" t="s">
        <v>13674</v>
      </c>
      <c r="C6152" s="5" t="s">
        <v>32</v>
      </c>
      <c r="D6152" s="5" t="s">
        <v>33</v>
      </c>
      <c r="E6152" s="5" t="s">
        <v>90</v>
      </c>
      <c r="F6152" s="9">
        <v>1</v>
      </c>
      <c r="G6152" s="9">
        <v>9</v>
      </c>
      <c r="H6152" s="5" t="s">
        <v>21</v>
      </c>
      <c r="I6152" s="5" t="s">
        <v>13675</v>
      </c>
      <c r="J6152" s="12" t="str">
        <f>HYPERLINK("https://www.boe.es/gazeta/dias/1801/01/02/pdfs/GMD-1801-1.pdf#page=9","Abrir facsímil")</f>
        <v>Abrir facsímil</v>
      </c>
      <c r="K6152" s="15" t="s">
        <v>23</v>
      </c>
    </row>
    <row r="6153" spans="1:11" ht="42" customHeight="1">
      <c r="A6153" s="4" t="s">
        <v>13676</v>
      </c>
      <c r="B6153" s="5" t="s">
        <v>13677</v>
      </c>
      <c r="C6153" s="5" t="s">
        <v>38</v>
      </c>
      <c r="D6153" s="5" t="s">
        <v>39</v>
      </c>
      <c r="E6153" s="5" t="s">
        <v>97</v>
      </c>
      <c r="F6153" s="9">
        <v>31</v>
      </c>
      <c r="G6153" s="9">
        <v>401</v>
      </c>
      <c r="H6153" s="5" t="s">
        <v>21</v>
      </c>
      <c r="I6153" s="5" t="s">
        <v>13678</v>
      </c>
      <c r="J6153" s="12" t="str">
        <f>HYPERLINK("https://www.boe.es/gazeta/dias/1801/04/17/pdfs/GMD-1801-31.pdf#page=5","Abrir facsímil")</f>
        <v>Abrir facsímil</v>
      </c>
      <c r="K6153" s="15" t="s">
        <v>23</v>
      </c>
    </row>
    <row r="6154" spans="1:11" ht="42" customHeight="1">
      <c r="A6154" s="4" t="s">
        <v>13679</v>
      </c>
      <c r="B6154" s="5" t="s">
        <v>13680</v>
      </c>
      <c r="C6154" s="5" t="s">
        <v>26</v>
      </c>
      <c r="D6154" s="5" t="s">
        <v>27</v>
      </c>
      <c r="E6154" s="5" t="s">
        <v>145</v>
      </c>
      <c r="F6154" s="9">
        <v>36</v>
      </c>
      <c r="G6154" s="9">
        <v>470</v>
      </c>
      <c r="H6154" s="5" t="s">
        <v>21</v>
      </c>
      <c r="I6154" s="5" t="s">
        <v>13681</v>
      </c>
      <c r="J6154" s="12" t="str">
        <f>HYPERLINK("https://www.boe.es/gazeta/dias/1801/05/05/pdfs/GMD-1801-36.pdf#page=14","Abrir facsímil")</f>
        <v>Abrir facsímil</v>
      </c>
      <c r="K6154" s="15" t="s">
        <v>23</v>
      </c>
    </row>
    <row r="6155" spans="1:11" ht="42" customHeight="1">
      <c r="A6155" s="4" t="s">
        <v>13682</v>
      </c>
      <c r="B6155" s="5" t="s">
        <v>13683</v>
      </c>
      <c r="C6155" s="5" t="s">
        <v>32</v>
      </c>
      <c r="D6155" s="5" t="s">
        <v>33</v>
      </c>
      <c r="E6155" s="5" t="s">
        <v>131</v>
      </c>
      <c r="F6155" s="9">
        <v>22</v>
      </c>
      <c r="G6155" s="9">
        <v>290</v>
      </c>
      <c r="H6155" s="5" t="s">
        <v>21</v>
      </c>
      <c r="I6155" s="5" t="s">
        <v>13684</v>
      </c>
      <c r="J6155" s="12" t="str">
        <f>HYPERLINK("https://www.boe.es/gazeta/dias/1801/03/17/pdfs/GMD-1801-22.pdf#page=7","Abrir facsímil")</f>
        <v>Abrir facsímil</v>
      </c>
      <c r="K6155" s="15" t="s">
        <v>23</v>
      </c>
    </row>
    <row r="6156" spans="1:11" ht="42" customHeight="1">
      <c r="A6156" s="4" t="s">
        <v>13685</v>
      </c>
      <c r="B6156" s="5" t="s">
        <v>13685</v>
      </c>
      <c r="C6156" s="5" t="s">
        <v>80</v>
      </c>
      <c r="D6156" s="5" t="s">
        <v>81</v>
      </c>
      <c r="E6156" s="5" t="s">
        <v>289</v>
      </c>
      <c r="F6156" s="9">
        <v>40</v>
      </c>
      <c r="G6156" s="9" t="s">
        <v>502</v>
      </c>
      <c r="H6156" s="5" t="s">
        <v>21</v>
      </c>
      <c r="I6156" s="5" t="s">
        <v>13686</v>
      </c>
      <c r="J6156" s="12" t="str">
        <f>HYPERLINK("https://www.boe.es/gazeta/dias/1801/05/19/pdfs/GMD-C-1801-40.pdf#page=8","Abrir facsímil")</f>
        <v>Abrir facsímil</v>
      </c>
      <c r="K6156" s="15" t="s">
        <v>23</v>
      </c>
    </row>
    <row r="6157" spans="1:11" ht="42" customHeight="1">
      <c r="A6157" s="4" t="s">
        <v>13687</v>
      </c>
      <c r="B6157" s="5" t="s">
        <v>13688</v>
      </c>
      <c r="C6157" s="5" t="s">
        <v>32</v>
      </c>
      <c r="D6157" s="5" t="s">
        <v>33</v>
      </c>
      <c r="E6157" s="5" t="s">
        <v>122</v>
      </c>
      <c r="F6157" s="9">
        <v>8</v>
      </c>
      <c r="G6157" s="9">
        <v>97</v>
      </c>
      <c r="H6157" s="5" t="s">
        <v>21</v>
      </c>
      <c r="I6157" s="5" t="s">
        <v>13689</v>
      </c>
      <c r="J6157" s="12" t="str">
        <f>HYPERLINK("https://www.boe.es/gazeta/dias/1801/01/27/pdfs/GMD-1801-8.pdf#page=9","Abrir facsímil")</f>
        <v>Abrir facsímil</v>
      </c>
      <c r="K6157" s="15" t="s">
        <v>23</v>
      </c>
    </row>
    <row r="6158" spans="1:11" ht="42" customHeight="1">
      <c r="A6158" s="4" t="s">
        <v>13690</v>
      </c>
      <c r="B6158" s="5" t="s">
        <v>13690</v>
      </c>
      <c r="C6158" s="5" t="s">
        <v>38</v>
      </c>
      <c r="D6158" s="5" t="s">
        <v>39</v>
      </c>
      <c r="E6158" s="5" t="s">
        <v>90</v>
      </c>
      <c r="F6158" s="9">
        <v>1</v>
      </c>
      <c r="G6158" s="9">
        <v>9</v>
      </c>
      <c r="H6158" s="5" t="s">
        <v>21</v>
      </c>
      <c r="I6158" s="5" t="s">
        <v>13691</v>
      </c>
      <c r="J6158" s="12" t="str">
        <f>HYPERLINK("https://www.boe.es/gazeta/dias/1801/01/02/pdfs/GMD-1801-1.pdf#page=9","Abrir facsímil")</f>
        <v>Abrir facsímil</v>
      </c>
      <c r="K6158" s="15" t="s">
        <v>23</v>
      </c>
    </row>
    <row r="6159" spans="1:11" ht="42" customHeight="1">
      <c r="A6159" s="4" t="s">
        <v>13692</v>
      </c>
      <c r="B6159" s="5" t="s">
        <v>13692</v>
      </c>
      <c r="C6159" s="5" t="s">
        <v>38</v>
      </c>
      <c r="D6159" s="5" t="s">
        <v>39</v>
      </c>
      <c r="E6159" s="5" t="s">
        <v>328</v>
      </c>
      <c r="F6159" s="9">
        <v>89</v>
      </c>
      <c r="G6159" s="9">
        <v>981</v>
      </c>
      <c r="H6159" s="5" t="s">
        <v>21</v>
      </c>
      <c r="I6159" s="5" t="s">
        <v>13693</v>
      </c>
      <c r="J6159" s="12" t="str">
        <f>HYPERLINK("https://www.boe.es/gazeta/dias/1801/09/15/pdfs/GMD-1801-89.pdf#page=8","Abrir facsímil")</f>
        <v>Abrir facsímil</v>
      </c>
      <c r="K6159" s="15" t="s">
        <v>23</v>
      </c>
    </row>
    <row r="6160" spans="1:11" ht="42" customHeight="1">
      <c r="A6160" s="4" t="s">
        <v>13694</v>
      </c>
      <c r="B6160" s="5" t="s">
        <v>13694</v>
      </c>
      <c r="C6160" s="5" t="s">
        <v>38</v>
      </c>
      <c r="D6160" s="5" t="s">
        <v>39</v>
      </c>
      <c r="E6160" s="5" t="s">
        <v>90</v>
      </c>
      <c r="F6160" s="9">
        <v>1</v>
      </c>
      <c r="G6160" s="9">
        <v>9</v>
      </c>
      <c r="H6160" s="5" t="s">
        <v>21</v>
      </c>
      <c r="I6160" s="5" t="s">
        <v>13695</v>
      </c>
      <c r="J6160" s="12" t="str">
        <f>HYPERLINK("https://www.boe.es/gazeta/dias/1801/01/02/pdfs/GMD-1801-1.pdf#page=9","Abrir facsímil")</f>
        <v>Abrir facsímil</v>
      </c>
      <c r="K6160" s="15" t="s">
        <v>23</v>
      </c>
    </row>
    <row r="6161" spans="1:11" ht="42" customHeight="1">
      <c r="A6161" s="4" t="s">
        <v>13696</v>
      </c>
      <c r="B6161" s="5" t="s">
        <v>13697</v>
      </c>
      <c r="C6161" s="5" t="s">
        <v>26</v>
      </c>
      <c r="D6161" s="5" t="s">
        <v>27</v>
      </c>
      <c r="E6161" s="5" t="s">
        <v>366</v>
      </c>
      <c r="F6161" s="9">
        <v>86</v>
      </c>
      <c r="G6161" s="9">
        <v>957</v>
      </c>
      <c r="H6161" s="5" t="s">
        <v>21</v>
      </c>
      <c r="I6161" s="5" t="s">
        <v>13698</v>
      </c>
      <c r="J6161" s="12" t="str">
        <f>HYPERLINK("https://www.boe.es/gazeta/dias/1801/09/08/pdfs/GMD-1801-86.pdf#page=8","Abrir facsímil")</f>
        <v>Abrir facsímil</v>
      </c>
      <c r="K6161" s="15" t="s">
        <v>23</v>
      </c>
    </row>
    <row r="6162" spans="1:11" ht="42" customHeight="1">
      <c r="A6162" s="4" t="s">
        <v>13699</v>
      </c>
      <c r="B6162" s="5" t="s">
        <v>13700</v>
      </c>
      <c r="C6162" s="5" t="s">
        <v>32</v>
      </c>
      <c r="D6162" s="5" t="s">
        <v>33</v>
      </c>
      <c r="E6162" s="5" t="s">
        <v>462</v>
      </c>
      <c r="F6162" s="9">
        <v>5</v>
      </c>
      <c r="G6162" s="9">
        <v>57</v>
      </c>
      <c r="H6162" s="5" t="s">
        <v>21</v>
      </c>
      <c r="I6162" s="5" t="s">
        <v>13701</v>
      </c>
      <c r="J6162" s="12" t="str">
        <f>HYPERLINK("https://www.boe.es/gazeta/dias/1801/01/16/pdfs/GMD-1801-5.pdf#page=9","Abrir facsímil")</f>
        <v>Abrir facsímil</v>
      </c>
      <c r="K6162" s="15" t="s">
        <v>23</v>
      </c>
    </row>
    <row r="6163" spans="1:11" ht="42" customHeight="1">
      <c r="A6163" s="4" t="s">
        <v>13702</v>
      </c>
      <c r="B6163" s="5" t="s">
        <v>13703</v>
      </c>
      <c r="C6163" s="5" t="s">
        <v>32</v>
      </c>
      <c r="D6163" s="5" t="s">
        <v>33</v>
      </c>
      <c r="E6163" s="5" t="s">
        <v>453</v>
      </c>
      <c r="F6163" s="9">
        <v>100</v>
      </c>
      <c r="G6163" s="9">
        <v>1100</v>
      </c>
      <c r="H6163" s="5" t="s">
        <v>21</v>
      </c>
      <c r="I6163" s="5" t="s">
        <v>13704</v>
      </c>
      <c r="J6163" s="12" t="str">
        <f>HYPERLINK("https://www.boe.es/gazeta/dias/1801/10/23/pdfs/GMD-1801-100.pdf#page=9","Abrir facsímil")</f>
        <v>Abrir facsímil</v>
      </c>
      <c r="K6163" s="15" t="s">
        <v>23</v>
      </c>
    </row>
    <row r="6164" spans="1:11" ht="42" customHeight="1">
      <c r="A6164" s="4" t="s">
        <v>13705</v>
      </c>
      <c r="B6164" s="5" t="s">
        <v>13706</v>
      </c>
      <c r="C6164" s="5" t="s">
        <v>32</v>
      </c>
      <c r="D6164" s="5" t="s">
        <v>33</v>
      </c>
      <c r="E6164" s="5" t="s">
        <v>194</v>
      </c>
      <c r="F6164" s="9">
        <v>92</v>
      </c>
      <c r="G6164" s="9">
        <v>1011</v>
      </c>
      <c r="H6164" s="5" t="s">
        <v>21</v>
      </c>
      <c r="I6164" s="5" t="s">
        <v>13707</v>
      </c>
      <c r="J6164" s="12" t="str">
        <f>HYPERLINK("https://www.boe.es/gazeta/dias/1801/09/25/pdfs/GMD-1801-92.pdf#page=6","Abrir facsímil")</f>
        <v>Abrir facsímil</v>
      </c>
      <c r="K6164" s="15" t="s">
        <v>23</v>
      </c>
    </row>
    <row r="6165" spans="1:11" ht="42" customHeight="1">
      <c r="A6165" s="4" t="s">
        <v>13708</v>
      </c>
      <c r="B6165" s="5" t="s">
        <v>13709</v>
      </c>
      <c r="C6165" s="5" t="s">
        <v>32</v>
      </c>
      <c r="D6165" s="5" t="s">
        <v>33</v>
      </c>
      <c r="E6165" s="5" t="s">
        <v>90</v>
      </c>
      <c r="F6165" s="9">
        <v>1</v>
      </c>
      <c r="G6165" s="9">
        <v>8</v>
      </c>
      <c r="H6165" s="5" t="s">
        <v>21</v>
      </c>
      <c r="I6165" s="5" t="s">
        <v>13710</v>
      </c>
      <c r="J6165" s="12" t="str">
        <f>HYPERLINK("https://www.boe.es/gazeta/dias/1801/01/02/pdfs/GMD-1801-1.pdf#page=8","Abrir facsímil")</f>
        <v>Abrir facsímil</v>
      </c>
      <c r="K6165" s="15" t="s">
        <v>23</v>
      </c>
    </row>
    <row r="6166" spans="1:11" ht="42" customHeight="1">
      <c r="A6166" s="4" t="s">
        <v>13711</v>
      </c>
      <c r="B6166" s="5" t="s">
        <v>13712</v>
      </c>
      <c r="C6166" s="5" t="s">
        <v>32</v>
      </c>
      <c r="D6166" s="5" t="s">
        <v>33</v>
      </c>
      <c r="E6166" s="5" t="s">
        <v>266</v>
      </c>
      <c r="F6166" s="9">
        <v>119</v>
      </c>
      <c r="G6166" s="9">
        <v>1304</v>
      </c>
      <c r="H6166" s="5" t="s">
        <v>21</v>
      </c>
      <c r="I6166" s="5" t="s">
        <v>13713</v>
      </c>
      <c r="J6166" s="12" t="str">
        <f>HYPERLINK("https://www.boe.es/gazeta/dias/1801/12/29/pdfs/GMD-1801-119.pdf#page=8","Abrir facsímil")</f>
        <v>Abrir facsímil</v>
      </c>
      <c r="K6166" s="15" t="s">
        <v>23</v>
      </c>
    </row>
    <row r="6167" spans="1:11" ht="42" customHeight="1">
      <c r="A6167" s="4" t="s">
        <v>13714</v>
      </c>
      <c r="B6167" s="5" t="s">
        <v>13715</v>
      </c>
      <c r="C6167" s="5" t="s">
        <v>18</v>
      </c>
      <c r="D6167" s="5" t="s">
        <v>19</v>
      </c>
      <c r="E6167" s="5" t="s">
        <v>99</v>
      </c>
      <c r="F6167" s="9">
        <v>32</v>
      </c>
      <c r="G6167" s="9">
        <v>415</v>
      </c>
      <c r="H6167" s="5" t="s">
        <v>21</v>
      </c>
      <c r="I6167" s="5" t="s">
        <v>13716</v>
      </c>
      <c r="J6167" s="12" t="str">
        <f>HYPERLINK("https://www.boe.es/gazeta/dias/1801/04/21/pdfs/GMD-1801-32.pdf#page=11","Abrir facsímil")</f>
        <v>Abrir facsímil</v>
      </c>
      <c r="K6167" s="15" t="s">
        <v>23</v>
      </c>
    </row>
    <row r="6168" spans="1:11" ht="42" customHeight="1">
      <c r="A6168" s="4" t="s">
        <v>13717</v>
      </c>
      <c r="B6168" s="5" t="s">
        <v>13718</v>
      </c>
      <c r="C6168" s="5" t="s">
        <v>18</v>
      </c>
      <c r="D6168" s="5" t="s">
        <v>19</v>
      </c>
      <c r="E6168" s="5" t="s">
        <v>72</v>
      </c>
      <c r="F6168" s="9">
        <v>60</v>
      </c>
      <c r="G6168" s="9">
        <v>690</v>
      </c>
      <c r="H6168" s="5" t="s">
        <v>21</v>
      </c>
      <c r="I6168" s="5" t="s">
        <v>13719</v>
      </c>
      <c r="J6168" s="12" t="str">
        <f>HYPERLINK("https://www.boe.es/gazeta/dias/1801/06/26/pdfs/GMD-1801-60.pdf#page=11","Abrir facsímil")</f>
        <v>Abrir facsímil</v>
      </c>
      <c r="K6168" s="15" t="s">
        <v>23</v>
      </c>
    </row>
    <row r="6169" spans="1:11" ht="42" customHeight="1">
      <c r="A6169" s="4" t="s">
        <v>13720</v>
      </c>
      <c r="B6169" s="5" t="s">
        <v>13721</v>
      </c>
      <c r="C6169" s="5" t="s">
        <v>32</v>
      </c>
      <c r="D6169" s="5" t="s">
        <v>33</v>
      </c>
      <c r="E6169" s="5" t="s">
        <v>165</v>
      </c>
      <c r="F6169" s="9">
        <v>59</v>
      </c>
      <c r="G6169" s="9">
        <v>676</v>
      </c>
      <c r="H6169" s="5" t="s">
        <v>21</v>
      </c>
      <c r="I6169" s="5" t="s">
        <v>13722</v>
      </c>
      <c r="J6169" s="12" t="str">
        <f>HYPERLINK("https://www.boe.es/gazeta/dias/1801/06/23/pdfs/GMD-1801-59.pdf#page=9","Abrir facsímil")</f>
        <v>Abrir facsímil</v>
      </c>
      <c r="K6169" s="15" t="s">
        <v>23</v>
      </c>
    </row>
    <row r="6170" spans="1:11" ht="42" customHeight="1">
      <c r="A6170" s="4" t="s">
        <v>13723</v>
      </c>
      <c r="B6170" s="5" t="s">
        <v>13724</v>
      </c>
      <c r="C6170" s="5" t="s">
        <v>32</v>
      </c>
      <c r="D6170" s="5" t="s">
        <v>33</v>
      </c>
      <c r="E6170" s="5" t="s">
        <v>90</v>
      </c>
      <c r="F6170" s="9">
        <v>1</v>
      </c>
      <c r="G6170" s="9">
        <v>8</v>
      </c>
      <c r="H6170" s="5" t="s">
        <v>21</v>
      </c>
      <c r="I6170" s="5" t="s">
        <v>13725</v>
      </c>
      <c r="J6170" s="12" t="str">
        <f>HYPERLINK("https://www.boe.es/gazeta/dias/1801/01/02/pdfs/GMD-1801-1.pdf#page=8","Abrir facsímil")</f>
        <v>Abrir facsímil</v>
      </c>
      <c r="K6170" s="15" t="s">
        <v>23</v>
      </c>
    </row>
    <row r="6171" spans="1:11" ht="42" customHeight="1">
      <c r="A6171" s="4" t="s">
        <v>13723</v>
      </c>
      <c r="B6171" s="5" t="s">
        <v>13724</v>
      </c>
      <c r="C6171" s="5" t="s">
        <v>18</v>
      </c>
      <c r="D6171" s="5" t="s">
        <v>19</v>
      </c>
      <c r="E6171" s="5" t="s">
        <v>462</v>
      </c>
      <c r="F6171" s="9">
        <v>5</v>
      </c>
      <c r="G6171" s="9">
        <v>58</v>
      </c>
      <c r="H6171" s="5" t="s">
        <v>21</v>
      </c>
      <c r="I6171" s="5" t="s">
        <v>13726</v>
      </c>
      <c r="J6171" s="12" t="str">
        <f>HYPERLINK("https://www.boe.es/gazeta/dias/1801/01/16/pdfs/GMD-1801-5.pdf#page=10","Abrir facsímil")</f>
        <v>Abrir facsímil</v>
      </c>
      <c r="K6171" s="15" t="s">
        <v>23</v>
      </c>
    </row>
    <row r="6172" spans="1:11" ht="42" customHeight="1">
      <c r="A6172" s="4" t="s">
        <v>13723</v>
      </c>
      <c r="B6172" s="5" t="s">
        <v>13724</v>
      </c>
      <c r="C6172" s="5" t="s">
        <v>32</v>
      </c>
      <c r="D6172" s="5" t="s">
        <v>33</v>
      </c>
      <c r="E6172" s="5" t="s">
        <v>781</v>
      </c>
      <c r="F6172" s="9">
        <v>14</v>
      </c>
      <c r="G6172" s="9">
        <v>173</v>
      </c>
      <c r="H6172" s="5" t="s">
        <v>21</v>
      </c>
      <c r="I6172" s="5" t="s">
        <v>13727</v>
      </c>
      <c r="J6172" s="12" t="str">
        <f>HYPERLINK("https://www.boe.es/gazeta/dias/1801/02/17/pdfs/GMD-1801-14.pdf#page=8","Abrir facsímil")</f>
        <v>Abrir facsímil</v>
      </c>
      <c r="K6172" s="15" t="s">
        <v>23</v>
      </c>
    </row>
    <row r="6173" spans="1:11" ht="42" customHeight="1">
      <c r="A6173" s="4" t="s">
        <v>13723</v>
      </c>
      <c r="B6173" s="5" t="s">
        <v>13724</v>
      </c>
      <c r="C6173" s="5" t="s">
        <v>18</v>
      </c>
      <c r="D6173" s="5" t="s">
        <v>19</v>
      </c>
      <c r="E6173" s="5" t="s">
        <v>219</v>
      </c>
      <c r="F6173" s="9">
        <v>26</v>
      </c>
      <c r="G6173" s="9">
        <v>347</v>
      </c>
      <c r="H6173" s="5" t="s">
        <v>21</v>
      </c>
      <c r="I6173" s="5" t="s">
        <v>13728</v>
      </c>
      <c r="J6173" s="12" t="str">
        <f>HYPERLINK("https://www.boe.es/gazeta/dias/1801/03/31/pdfs/GMD-1801-26.pdf#page=11","Abrir facsímil")</f>
        <v>Abrir facsímil</v>
      </c>
      <c r="K6173" s="15" t="s">
        <v>23</v>
      </c>
    </row>
    <row r="6174" spans="1:11" ht="42" customHeight="1">
      <c r="A6174" s="4" t="s">
        <v>13729</v>
      </c>
      <c r="B6174" s="5" t="s">
        <v>13730</v>
      </c>
      <c r="C6174" s="5" t="s">
        <v>26</v>
      </c>
      <c r="D6174" s="5" t="s">
        <v>27</v>
      </c>
      <c r="E6174" s="5" t="s">
        <v>179</v>
      </c>
      <c r="F6174" s="9">
        <v>11</v>
      </c>
      <c r="G6174" s="9">
        <v>138</v>
      </c>
      <c r="H6174" s="5" t="s">
        <v>21</v>
      </c>
      <c r="I6174" s="5" t="s">
        <v>13731</v>
      </c>
      <c r="J6174" s="12" t="str">
        <f>HYPERLINK("https://www.boe.es/gazeta/dias/1801/02/06/pdfs/GMD-1801-11.pdf#page=11","Abrir facsímil")</f>
        <v>Abrir facsímil</v>
      </c>
      <c r="K6174" s="15" t="s">
        <v>23</v>
      </c>
    </row>
    <row r="6175" spans="1:11" ht="42" customHeight="1">
      <c r="A6175" s="4" t="s">
        <v>13729</v>
      </c>
      <c r="B6175" s="5" t="s">
        <v>13730</v>
      </c>
      <c r="C6175" s="5" t="s">
        <v>26</v>
      </c>
      <c r="D6175" s="5" t="s">
        <v>27</v>
      </c>
      <c r="E6175" s="5" t="s">
        <v>48</v>
      </c>
      <c r="F6175" s="9">
        <v>20</v>
      </c>
      <c r="G6175" s="9">
        <v>267</v>
      </c>
      <c r="H6175" s="5" t="s">
        <v>21</v>
      </c>
      <c r="I6175" s="5" t="s">
        <v>13732</v>
      </c>
      <c r="J6175" s="12" t="str">
        <f>HYPERLINK("https://www.boe.es/gazeta/dias/1801/03/10/pdfs/GMD-1801-20.pdf#page=12","Abrir facsímil")</f>
        <v>Abrir facsímil</v>
      </c>
      <c r="K6175" s="15" t="s">
        <v>23</v>
      </c>
    </row>
    <row r="6176" spans="1:11" ht="42" customHeight="1">
      <c r="A6176" s="4" t="s">
        <v>13733</v>
      </c>
      <c r="B6176" s="5" t="s">
        <v>13734</v>
      </c>
      <c r="C6176" s="5" t="s">
        <v>32</v>
      </c>
      <c r="D6176" s="5" t="s">
        <v>33</v>
      </c>
      <c r="E6176" s="5" t="s">
        <v>262</v>
      </c>
      <c r="F6176" s="9">
        <v>109</v>
      </c>
      <c r="G6176" s="9">
        <v>1204</v>
      </c>
      <c r="H6176" s="5" t="s">
        <v>21</v>
      </c>
      <c r="I6176" s="5" t="s">
        <v>13735</v>
      </c>
      <c r="J6176" s="12" t="str">
        <f>HYPERLINK("https://www.boe.es/gazeta/dias/1801/11/24/pdfs/GMD-1801-109.pdf#page=9","Abrir facsímil")</f>
        <v>Abrir facsímil</v>
      </c>
      <c r="K6176" s="15" t="s">
        <v>23</v>
      </c>
    </row>
    <row r="6177" spans="1:11" ht="42" customHeight="1">
      <c r="A6177" s="4" t="s">
        <v>13736</v>
      </c>
      <c r="B6177" s="5" t="s">
        <v>13737</v>
      </c>
      <c r="C6177" s="5" t="s">
        <v>32</v>
      </c>
      <c r="D6177" s="5" t="s">
        <v>33</v>
      </c>
      <c r="E6177" s="5" t="s">
        <v>44</v>
      </c>
      <c r="F6177" s="9">
        <v>117</v>
      </c>
      <c r="G6177" s="9">
        <v>1282</v>
      </c>
      <c r="H6177" s="5" t="s">
        <v>21</v>
      </c>
      <c r="I6177" s="5" t="s">
        <v>13738</v>
      </c>
      <c r="J6177" s="12" t="str">
        <f>HYPERLINK("https://www.boe.es/gazeta/dias/1801/12/22/pdfs/GMD-1801-117.pdf#page=9","Abrir facsímil")</f>
        <v>Abrir facsímil</v>
      </c>
      <c r="K6177" s="15" t="s">
        <v>23</v>
      </c>
    </row>
    <row r="6178" spans="1:11" ht="42" customHeight="1">
      <c r="A6178" s="4" t="s">
        <v>13739</v>
      </c>
      <c r="B6178" s="5" t="s">
        <v>13740</v>
      </c>
      <c r="C6178" s="5" t="s">
        <v>80</v>
      </c>
      <c r="D6178" s="5" t="s">
        <v>81</v>
      </c>
      <c r="E6178" s="5" t="s">
        <v>289</v>
      </c>
      <c r="F6178" s="9">
        <v>40</v>
      </c>
      <c r="G6178" s="9" t="s">
        <v>86</v>
      </c>
      <c r="H6178" s="5" t="s">
        <v>21</v>
      </c>
      <c r="I6178" s="5" t="s">
        <v>13741</v>
      </c>
      <c r="J6178" s="12" t="str">
        <f>HYPERLINK("https://www.boe.es/gazeta/dias/1801/05/19/pdfs/GMD-C-1801-40.pdf#page=3","Abrir facsímil")</f>
        <v>Abrir facsímil</v>
      </c>
      <c r="K6178" s="15" t="s">
        <v>23</v>
      </c>
    </row>
    <row r="6179" spans="1:11" ht="42" customHeight="1">
      <c r="A6179" s="4" t="s">
        <v>13742</v>
      </c>
      <c r="B6179" s="5" t="s">
        <v>13743</v>
      </c>
      <c r="C6179" s="5" t="s">
        <v>18</v>
      </c>
      <c r="D6179" s="5" t="s">
        <v>19</v>
      </c>
      <c r="E6179" s="5" t="s">
        <v>34</v>
      </c>
      <c r="F6179" s="9">
        <v>38</v>
      </c>
      <c r="G6179" s="9">
        <v>495</v>
      </c>
      <c r="H6179" s="5" t="s">
        <v>21</v>
      </c>
      <c r="I6179" s="5" t="s">
        <v>13744</v>
      </c>
      <c r="J6179" s="12" t="str">
        <f>HYPERLINK("https://www.boe.es/gazeta/dias/1801/05/12/pdfs/GMD-1801-38.pdf#page=11","Abrir facsímil")</f>
        <v>Abrir facsímil</v>
      </c>
      <c r="K6179" s="15" t="s">
        <v>23</v>
      </c>
    </row>
    <row r="6180" spans="1:11" ht="42" customHeight="1">
      <c r="A6180" s="4" t="s">
        <v>13745</v>
      </c>
      <c r="B6180" s="5" t="s">
        <v>13746</v>
      </c>
      <c r="C6180" s="5" t="s">
        <v>32</v>
      </c>
      <c r="D6180" s="5" t="s">
        <v>33</v>
      </c>
      <c r="E6180" s="5" t="s">
        <v>48</v>
      </c>
      <c r="F6180" s="9">
        <v>20</v>
      </c>
      <c r="G6180" s="9">
        <v>265</v>
      </c>
      <c r="H6180" s="5" t="s">
        <v>21</v>
      </c>
      <c r="I6180" s="5" t="s">
        <v>13747</v>
      </c>
      <c r="J6180" s="12" t="str">
        <f>HYPERLINK("https://www.boe.es/gazeta/dias/1801/03/10/pdfs/GMD-1801-20.pdf#page=10","Abrir facsímil")</f>
        <v>Abrir facsímil</v>
      </c>
      <c r="K6180" s="15" t="s">
        <v>23</v>
      </c>
    </row>
    <row r="6181" spans="1:11" ht="42" customHeight="1">
      <c r="A6181" s="4" t="s">
        <v>13748</v>
      </c>
      <c r="B6181" s="5" t="s">
        <v>13749</v>
      </c>
      <c r="C6181" s="5" t="s">
        <v>32</v>
      </c>
      <c r="D6181" s="5" t="s">
        <v>33</v>
      </c>
      <c r="E6181" s="5" t="s">
        <v>615</v>
      </c>
      <c r="F6181" s="9">
        <v>72</v>
      </c>
      <c r="G6181" s="9">
        <v>805</v>
      </c>
      <c r="H6181" s="5" t="s">
        <v>21</v>
      </c>
      <c r="I6181" s="5" t="s">
        <v>13750</v>
      </c>
      <c r="J6181" s="12" t="str">
        <f>HYPERLINK("https://www.boe.es/gazeta/dias/1801/07/24/pdfs/GMD-1801-72.pdf#page=10","Abrir facsímil")</f>
        <v>Abrir facsímil</v>
      </c>
      <c r="K6181" s="15" t="s">
        <v>23</v>
      </c>
    </row>
    <row r="6182" spans="1:11" ht="42" customHeight="1">
      <c r="A6182" s="4" t="s">
        <v>13751</v>
      </c>
      <c r="B6182" s="5" t="s">
        <v>13752</v>
      </c>
      <c r="C6182" s="5" t="s">
        <v>80</v>
      </c>
      <c r="D6182" s="5" t="s">
        <v>81</v>
      </c>
      <c r="E6182" s="5" t="s">
        <v>82</v>
      </c>
      <c r="F6182" s="9">
        <v>75</v>
      </c>
      <c r="G6182" s="9" t="s">
        <v>668</v>
      </c>
      <c r="H6182" s="5" t="s">
        <v>21</v>
      </c>
      <c r="I6182" s="5" t="s">
        <v>13753</v>
      </c>
      <c r="J6182" s="12" t="str">
        <f>HYPERLINK("https://www.boe.es/gazeta/dias/1801/08/04/pdfs/GMD-C-1801-75.pdf#page=1","Abrir facsímil")</f>
        <v>Abrir facsímil</v>
      </c>
      <c r="K6182" s="15" t="s">
        <v>23</v>
      </c>
    </row>
    <row r="6183" spans="1:11" ht="42" customHeight="1">
      <c r="A6183" s="4" t="s">
        <v>13751</v>
      </c>
      <c r="B6183" s="5" t="s">
        <v>13752</v>
      </c>
      <c r="C6183" s="5" t="s">
        <v>80</v>
      </c>
      <c r="D6183" s="5" t="s">
        <v>81</v>
      </c>
      <c r="E6183" s="5" t="s">
        <v>82</v>
      </c>
      <c r="F6183" s="9">
        <v>75</v>
      </c>
      <c r="G6183" s="9" t="s">
        <v>299</v>
      </c>
      <c r="H6183" s="5" t="s">
        <v>21</v>
      </c>
      <c r="I6183" s="5" t="s">
        <v>13754</v>
      </c>
      <c r="J6183" s="12" t="str">
        <f>HYPERLINK("https://www.boe.es/gazeta/dias/1801/08/04/pdfs/GMD-C-1801-75.pdf#page=5","Abrir facsímil")</f>
        <v>Abrir facsímil</v>
      </c>
      <c r="K6183" s="15" t="s">
        <v>23</v>
      </c>
    </row>
    <row r="6184" spans="1:11" ht="42" customHeight="1">
      <c r="A6184" s="4" t="s">
        <v>13755</v>
      </c>
      <c r="B6184" s="5" t="s">
        <v>13756</v>
      </c>
      <c r="C6184" s="5" t="s">
        <v>75</v>
      </c>
      <c r="D6184" s="5" t="s">
        <v>76</v>
      </c>
      <c r="E6184" s="5" t="s">
        <v>161</v>
      </c>
      <c r="F6184" s="9">
        <v>58</v>
      </c>
      <c r="G6184" s="9">
        <v>657</v>
      </c>
      <c r="H6184" s="5" t="s">
        <v>21</v>
      </c>
      <c r="I6184" s="5" t="s">
        <v>13757</v>
      </c>
      <c r="J6184" s="12" t="str">
        <f>HYPERLINK("https://www.boe.es/gazeta/dias/1801/06/19/pdfs/GMD-1801-58.pdf#page=2","Abrir facsímil")</f>
        <v>Abrir facsímil</v>
      </c>
      <c r="K6184" s="15" t="s">
        <v>23</v>
      </c>
    </row>
    <row r="6185" spans="1:11" ht="42" customHeight="1">
      <c r="A6185" s="4" t="s">
        <v>13758</v>
      </c>
      <c r="B6185" s="5" t="s">
        <v>13759</v>
      </c>
      <c r="C6185" s="5" t="s">
        <v>32</v>
      </c>
      <c r="D6185" s="5" t="s">
        <v>33</v>
      </c>
      <c r="E6185" s="5" t="s">
        <v>702</v>
      </c>
      <c r="F6185" s="9">
        <v>69</v>
      </c>
      <c r="G6185" s="9">
        <v>757</v>
      </c>
      <c r="H6185" s="5" t="s">
        <v>21</v>
      </c>
      <c r="I6185" s="5" t="s">
        <v>13760</v>
      </c>
      <c r="J6185" s="12" t="str">
        <f>HYPERLINK("https://www.boe.es/gazeta/dias/1801/07/14/pdfs/GMD-1801-69.pdf#page=2","Abrir facsímil")</f>
        <v>Abrir facsímil</v>
      </c>
      <c r="K6185" s="15" t="s">
        <v>23</v>
      </c>
    </row>
    <row r="6186" spans="1:11" ht="42" customHeight="1">
      <c r="A6186" s="4" t="s">
        <v>13761</v>
      </c>
      <c r="B6186" s="5" t="s">
        <v>13761</v>
      </c>
      <c r="C6186" s="5" t="s">
        <v>32</v>
      </c>
      <c r="D6186" s="5" t="s">
        <v>33</v>
      </c>
      <c r="E6186" s="5" t="s">
        <v>194</v>
      </c>
      <c r="F6186" s="9">
        <v>92</v>
      </c>
      <c r="G6186" s="9">
        <v>1007</v>
      </c>
      <c r="H6186" s="5" t="s">
        <v>21</v>
      </c>
      <c r="I6186" s="5" t="s">
        <v>13762</v>
      </c>
      <c r="J6186" s="12" t="str">
        <f>HYPERLINK("https://www.boe.es/gazeta/dias/1801/09/25/pdfs/GMD-1801-92.pdf#page=2","Abrir facsímil")</f>
        <v>Abrir facsímil</v>
      </c>
      <c r="K6186" s="15" t="s">
        <v>23</v>
      </c>
    </row>
    <row r="6187" spans="1:11" ht="42" customHeight="1">
      <c r="A6187" s="4" t="s">
        <v>13763</v>
      </c>
      <c r="B6187" s="5" t="s">
        <v>13764</v>
      </c>
      <c r="C6187" s="5" t="s">
        <v>75</v>
      </c>
      <c r="D6187" s="5" t="s">
        <v>76</v>
      </c>
      <c r="E6187" s="5" t="s">
        <v>2185</v>
      </c>
      <c r="F6187" s="9">
        <v>84</v>
      </c>
      <c r="G6187" s="9">
        <v>939</v>
      </c>
      <c r="H6187" s="5" t="s">
        <v>21</v>
      </c>
      <c r="I6187" s="5" t="s">
        <v>13765</v>
      </c>
      <c r="J6187" s="12" t="str">
        <f>HYPERLINK("https://www.boe.es/gazeta/dias/1801/09/04/pdfs/GMD-1801-84.pdf#page=2","Abrir facsímil")</f>
        <v>Abrir facsímil</v>
      </c>
      <c r="K6187" s="15" t="s">
        <v>23</v>
      </c>
    </row>
    <row r="6188" spans="1:11" ht="42" customHeight="1">
      <c r="A6188" s="4" t="s">
        <v>13766</v>
      </c>
      <c r="B6188" s="5" t="s">
        <v>13766</v>
      </c>
      <c r="C6188" s="5" t="s">
        <v>26</v>
      </c>
      <c r="D6188" s="5" t="s">
        <v>27</v>
      </c>
      <c r="E6188" s="5" t="s">
        <v>480</v>
      </c>
      <c r="F6188" s="9">
        <v>10</v>
      </c>
      <c r="G6188" s="9">
        <v>120</v>
      </c>
      <c r="H6188" s="5" t="s">
        <v>21</v>
      </c>
      <c r="I6188" s="5" t="s">
        <v>13767</v>
      </c>
      <c r="J6188" s="12" t="str">
        <f>HYPERLINK("https://www.boe.es/gazeta/dias/1801/02/03/pdfs/GMD-1801-10.pdf#page=5","Abrir facsímil")</f>
        <v>Abrir facsímil</v>
      </c>
      <c r="K6188" s="15" t="s">
        <v>23</v>
      </c>
    </row>
    <row r="6189" spans="1:11" ht="42" customHeight="1">
      <c r="A6189" s="4" t="s">
        <v>13768</v>
      </c>
      <c r="B6189" s="5" t="s">
        <v>13769</v>
      </c>
      <c r="C6189" s="5" t="s">
        <v>1481</v>
      </c>
      <c r="D6189" s="5" t="s">
        <v>1482</v>
      </c>
      <c r="E6189" s="5" t="s">
        <v>151</v>
      </c>
      <c r="F6189" s="9" t="s">
        <v>1483</v>
      </c>
      <c r="G6189" s="9">
        <v>569</v>
      </c>
      <c r="H6189" s="5" t="s">
        <v>21</v>
      </c>
      <c r="I6189" s="5" t="s">
        <v>13770</v>
      </c>
      <c r="J6189" s="12" t="str">
        <f>HYPERLINK("https://www.boe.es/gazeta/dias/1801/06/02/pdfs/GMD-1801-46E.pdf#page=5","Abrir facsímil")</f>
        <v>Abrir facsímil</v>
      </c>
      <c r="K6189" s="15" t="s">
        <v>23</v>
      </c>
    </row>
    <row r="6190" spans="1:11" ht="42" customHeight="1">
      <c r="A6190" s="4" t="s">
        <v>13771</v>
      </c>
      <c r="B6190" s="5" t="s">
        <v>13772</v>
      </c>
      <c r="C6190" s="5" t="s">
        <v>32</v>
      </c>
      <c r="D6190" s="5" t="s">
        <v>33</v>
      </c>
      <c r="E6190" s="5" t="s">
        <v>131</v>
      </c>
      <c r="F6190" s="9">
        <v>22</v>
      </c>
      <c r="G6190" s="9">
        <v>290</v>
      </c>
      <c r="H6190" s="5" t="s">
        <v>21</v>
      </c>
      <c r="I6190" s="5" t="s">
        <v>13773</v>
      </c>
      <c r="J6190" s="12" t="str">
        <f>HYPERLINK("https://www.boe.es/gazeta/dias/1801/03/17/pdfs/GMD-1801-22.pdf#page=7","Abrir facsímil")</f>
        <v>Abrir facsímil</v>
      </c>
      <c r="K6190" s="15" t="s">
        <v>23</v>
      </c>
    </row>
    <row r="6191" spans="1:11" ht="42" customHeight="1">
      <c r="A6191" s="4" t="s">
        <v>13774</v>
      </c>
      <c r="B6191" s="5" t="s">
        <v>13775</v>
      </c>
      <c r="C6191" s="5" t="s">
        <v>75</v>
      </c>
      <c r="D6191" s="5" t="s">
        <v>76</v>
      </c>
      <c r="E6191" s="5" t="s">
        <v>338</v>
      </c>
      <c r="F6191" s="9">
        <v>83</v>
      </c>
      <c r="G6191" s="9">
        <v>932</v>
      </c>
      <c r="H6191" s="5" t="s">
        <v>21</v>
      </c>
      <c r="I6191" s="5" t="s">
        <v>13776</v>
      </c>
      <c r="J6191" s="12" t="str">
        <f>HYPERLINK("https://www.boe.es/gazeta/dias/1801/09/01/pdfs/GMD-1801-83.pdf#page=7","Abrir facsímil")</f>
        <v>Abrir facsímil</v>
      </c>
      <c r="K6191" s="15" t="s">
        <v>23</v>
      </c>
    </row>
    <row r="6192" spans="1:11" ht="42" customHeight="1">
      <c r="A6192" s="4" t="s">
        <v>13777</v>
      </c>
      <c r="B6192" s="5" t="s">
        <v>13778</v>
      </c>
      <c r="C6192" s="5" t="s">
        <v>18</v>
      </c>
      <c r="D6192" s="5" t="s">
        <v>19</v>
      </c>
      <c r="E6192" s="5" t="s">
        <v>137</v>
      </c>
      <c r="F6192" s="9">
        <v>30</v>
      </c>
      <c r="G6192" s="9">
        <v>390</v>
      </c>
      <c r="H6192" s="5" t="s">
        <v>21</v>
      </c>
      <c r="I6192" s="5" t="s">
        <v>13779</v>
      </c>
      <c r="J6192" s="12" t="str">
        <f>HYPERLINK("https://www.boe.es/gazeta/dias/1801/04/14/pdfs/GMD-1801-30.pdf#page=6","Abrir facsímil")</f>
        <v>Abrir facsímil</v>
      </c>
      <c r="K6192" s="15" t="s">
        <v>23</v>
      </c>
    </row>
    <row r="6193" spans="1:11" ht="42" customHeight="1">
      <c r="A6193" s="4" t="s">
        <v>13780</v>
      </c>
      <c r="B6193" s="5" t="s">
        <v>13781</v>
      </c>
      <c r="C6193" s="5" t="s">
        <v>38</v>
      </c>
      <c r="D6193" s="5" t="s">
        <v>39</v>
      </c>
      <c r="E6193" s="5" t="s">
        <v>417</v>
      </c>
      <c r="F6193" s="9">
        <v>64</v>
      </c>
      <c r="G6193" s="9">
        <v>724</v>
      </c>
      <c r="H6193" s="5" t="s">
        <v>21</v>
      </c>
      <c r="I6193" s="5" t="s">
        <v>13782</v>
      </c>
      <c r="J6193" s="12" t="str">
        <f>HYPERLINK("https://www.boe.es/gazeta/dias/1801/07/07/pdfs/GMD-1801-64.pdf#page=5","Abrir facsímil")</f>
        <v>Abrir facsímil</v>
      </c>
      <c r="K6193" s="15" t="s">
        <v>23</v>
      </c>
    </row>
    <row r="6194" spans="1:11" ht="42" customHeight="1">
      <c r="A6194" s="4" t="s">
        <v>13777</v>
      </c>
      <c r="B6194" s="5" t="s">
        <v>13778</v>
      </c>
      <c r="C6194" s="5" t="s">
        <v>75</v>
      </c>
      <c r="D6194" s="5" t="s">
        <v>76</v>
      </c>
      <c r="E6194" s="5" t="s">
        <v>338</v>
      </c>
      <c r="F6194" s="9">
        <v>83</v>
      </c>
      <c r="G6194" s="9">
        <v>932</v>
      </c>
      <c r="H6194" s="5" t="s">
        <v>21</v>
      </c>
      <c r="I6194" s="5" t="s">
        <v>13783</v>
      </c>
      <c r="J6194" s="12" t="str">
        <f>HYPERLINK("https://www.boe.es/gazeta/dias/1801/09/01/pdfs/GMD-1801-83.pdf#page=7","Abrir facsímil")</f>
        <v>Abrir facsímil</v>
      </c>
      <c r="K6194" s="15" t="s">
        <v>23</v>
      </c>
    </row>
    <row r="6195" spans="1:11" ht="42" customHeight="1">
      <c r="A6195" s="4" t="s">
        <v>13784</v>
      </c>
      <c r="B6195" s="5" t="s">
        <v>13785</v>
      </c>
      <c r="C6195" s="5" t="s">
        <v>75</v>
      </c>
      <c r="D6195" s="5" t="s">
        <v>76</v>
      </c>
      <c r="E6195" s="5" t="s">
        <v>70</v>
      </c>
      <c r="F6195" s="9">
        <v>2</v>
      </c>
      <c r="G6195" s="9">
        <v>15</v>
      </c>
      <c r="H6195" s="5" t="s">
        <v>21</v>
      </c>
      <c r="I6195" s="5" t="s">
        <v>13786</v>
      </c>
      <c r="J6195" s="12" t="str">
        <f>HYPERLINK("https://www.boe.es/gazeta/dias/1801/01/06/pdfs/GMD-1801-2.pdf#page=3","Abrir facsímil")</f>
        <v>Abrir facsímil</v>
      </c>
      <c r="K6195" s="15" t="s">
        <v>23</v>
      </c>
    </row>
    <row r="6196" spans="1:11" ht="42" customHeight="1">
      <c r="A6196" s="4" t="s">
        <v>13787</v>
      </c>
      <c r="B6196" s="5" t="s">
        <v>13788</v>
      </c>
      <c r="C6196" s="5" t="s">
        <v>75</v>
      </c>
      <c r="D6196" s="5" t="s">
        <v>76</v>
      </c>
      <c r="E6196" s="5" t="s">
        <v>161</v>
      </c>
      <c r="F6196" s="9">
        <v>58</v>
      </c>
      <c r="G6196" s="9">
        <v>660</v>
      </c>
      <c r="H6196" s="5" t="s">
        <v>21</v>
      </c>
      <c r="I6196" s="5" t="s">
        <v>13789</v>
      </c>
      <c r="J6196" s="12" t="str">
        <f>HYPERLINK("https://www.boe.es/gazeta/dias/1801/06/19/pdfs/GMD-1801-58.pdf#page=5","Abrir facsímil")</f>
        <v>Abrir facsímil</v>
      </c>
      <c r="K6196" s="15" t="s">
        <v>23</v>
      </c>
    </row>
    <row r="6197" spans="1:11" ht="42" customHeight="1">
      <c r="A6197" s="4" t="s">
        <v>13787</v>
      </c>
      <c r="B6197" s="5" t="s">
        <v>13788</v>
      </c>
      <c r="C6197" s="5" t="s">
        <v>75</v>
      </c>
      <c r="D6197" s="5" t="s">
        <v>76</v>
      </c>
      <c r="E6197" s="5" t="s">
        <v>615</v>
      </c>
      <c r="F6197" s="9">
        <v>72</v>
      </c>
      <c r="G6197" s="9">
        <v>797</v>
      </c>
      <c r="H6197" s="5" t="s">
        <v>21</v>
      </c>
      <c r="I6197" s="5" t="s">
        <v>13790</v>
      </c>
      <c r="J6197" s="12" t="str">
        <f>HYPERLINK("https://www.boe.es/gazeta/dias/1801/07/24/pdfs/GMD-1801-72.pdf#page=2","Abrir facsímil")</f>
        <v>Abrir facsímil</v>
      </c>
      <c r="K6197" s="15" t="s">
        <v>23</v>
      </c>
    </row>
    <row r="6198" spans="1:11" ht="42" customHeight="1">
      <c r="A6198" s="4" t="s">
        <v>13791</v>
      </c>
      <c r="B6198" s="5" t="s">
        <v>13792</v>
      </c>
      <c r="C6198" s="5" t="s">
        <v>75</v>
      </c>
      <c r="D6198" s="5" t="s">
        <v>76</v>
      </c>
      <c r="E6198" s="5" t="s">
        <v>20</v>
      </c>
      <c r="F6198" s="9">
        <v>37</v>
      </c>
      <c r="G6198" s="9">
        <v>474</v>
      </c>
      <c r="H6198" s="5" t="s">
        <v>21</v>
      </c>
      <c r="I6198" s="5" t="s">
        <v>13793</v>
      </c>
      <c r="J6198" s="12" t="str">
        <f>HYPERLINK("https://www.boe.es/gazeta/dias/1801/05/08/pdfs/GMD-1801-37.pdf#page=2","Abrir facsímil")</f>
        <v>Abrir facsímil</v>
      </c>
      <c r="K6198" s="15" t="s">
        <v>23</v>
      </c>
    </row>
    <row r="6199" spans="1:11" ht="42" customHeight="1">
      <c r="A6199" s="4" t="s">
        <v>13794</v>
      </c>
      <c r="B6199" s="5" t="s">
        <v>13795</v>
      </c>
      <c r="C6199" s="5" t="s">
        <v>18</v>
      </c>
      <c r="D6199" s="5" t="s">
        <v>19</v>
      </c>
      <c r="E6199" s="5" t="s">
        <v>77</v>
      </c>
      <c r="F6199" s="9">
        <v>93</v>
      </c>
      <c r="G6199" s="9">
        <v>1017</v>
      </c>
      <c r="H6199" s="5" t="s">
        <v>21</v>
      </c>
      <c r="I6199" s="5" t="s">
        <v>13796</v>
      </c>
      <c r="J6199" s="12" t="str">
        <f>HYPERLINK("https://www.boe.es/gazeta/dias/1801/09/29/pdfs/GMD-1801-93.pdf#page=4","Abrir facsímil")</f>
        <v>Abrir facsímil</v>
      </c>
      <c r="K6199" s="15" t="s">
        <v>23</v>
      </c>
    </row>
    <row r="6200" spans="1:11" ht="42" customHeight="1">
      <c r="A6200" s="4" t="s">
        <v>13797</v>
      </c>
      <c r="B6200" s="5" t="s">
        <v>13798</v>
      </c>
      <c r="C6200" s="5" t="s">
        <v>75</v>
      </c>
      <c r="D6200" s="5" t="s">
        <v>76</v>
      </c>
      <c r="E6200" s="5" t="s">
        <v>173</v>
      </c>
      <c r="F6200" s="9">
        <v>98</v>
      </c>
      <c r="G6200" s="9">
        <v>1071</v>
      </c>
      <c r="H6200" s="5" t="s">
        <v>21</v>
      </c>
      <c r="I6200" s="5" t="s">
        <v>13799</v>
      </c>
      <c r="J6200" s="12" t="str">
        <f>HYPERLINK("https://www.boe.es/gazeta/dias/1801/10/16/pdfs/GMD-1801-98.pdf#page=3","Abrir facsímil")</f>
        <v>Abrir facsímil</v>
      </c>
      <c r="K6200" s="15" t="s">
        <v>23</v>
      </c>
    </row>
    <row r="6201" spans="1:11" ht="42" customHeight="1">
      <c r="A6201" s="4" t="s">
        <v>13800</v>
      </c>
      <c r="B6201" s="5" t="s">
        <v>13800</v>
      </c>
      <c r="C6201" s="5" t="s">
        <v>32</v>
      </c>
      <c r="D6201" s="5" t="s">
        <v>33</v>
      </c>
      <c r="E6201" s="5" t="s">
        <v>20</v>
      </c>
      <c r="F6201" s="9">
        <v>37</v>
      </c>
      <c r="G6201" s="9">
        <v>475</v>
      </c>
      <c r="H6201" s="5" t="s">
        <v>21</v>
      </c>
      <c r="I6201" s="5" t="s">
        <v>13801</v>
      </c>
      <c r="J6201" s="12" t="str">
        <f>HYPERLINK("https://www.boe.es/gazeta/dias/1801/05/08/pdfs/GMD-1801-37.pdf#page=3","Abrir facsímil")</f>
        <v>Abrir facsímil</v>
      </c>
      <c r="K6201" s="15" t="s">
        <v>23</v>
      </c>
    </row>
    <row r="6202" spans="1:11" ht="42" customHeight="1">
      <c r="A6202" s="4" t="s">
        <v>13800</v>
      </c>
      <c r="B6202" s="5" t="s">
        <v>13800</v>
      </c>
      <c r="C6202" s="5" t="s">
        <v>75</v>
      </c>
      <c r="D6202" s="5" t="s">
        <v>76</v>
      </c>
      <c r="E6202" s="5" t="s">
        <v>289</v>
      </c>
      <c r="F6202" s="9">
        <v>40</v>
      </c>
      <c r="G6202" s="9">
        <v>510</v>
      </c>
      <c r="H6202" s="5" t="s">
        <v>21</v>
      </c>
      <c r="I6202" s="5" t="s">
        <v>13802</v>
      </c>
      <c r="J6202" s="12" t="str">
        <f>HYPERLINK("https://www.boe.es/gazeta/dias/1801/05/19/pdfs/GMD-1801-40.pdf#page=2","Abrir facsímil")</f>
        <v>Abrir facsímil</v>
      </c>
      <c r="K6202" s="15" t="s">
        <v>23</v>
      </c>
    </row>
    <row r="6203" spans="1:11" ht="42" customHeight="1">
      <c r="A6203" s="4" t="s">
        <v>13800</v>
      </c>
      <c r="B6203" s="5" t="s">
        <v>13800</v>
      </c>
      <c r="C6203" s="5" t="s">
        <v>18</v>
      </c>
      <c r="D6203" s="5" t="s">
        <v>19</v>
      </c>
      <c r="E6203" s="5" t="s">
        <v>158</v>
      </c>
      <c r="F6203" s="9">
        <v>55</v>
      </c>
      <c r="G6203" s="9">
        <v>625</v>
      </c>
      <c r="H6203" s="5" t="s">
        <v>21</v>
      </c>
      <c r="I6203" s="5" t="s">
        <v>13803</v>
      </c>
      <c r="J6203" s="12" t="str">
        <f>HYPERLINK("https://www.boe.es/gazeta/dias/1801/06/16/pdfs/GMD-1801-55.pdf#page=1","Abrir facsímil")</f>
        <v>Abrir facsímil</v>
      </c>
      <c r="K6203" s="15" t="s">
        <v>23</v>
      </c>
    </row>
    <row r="6204" spans="1:11" ht="42" customHeight="1">
      <c r="A6204" s="4" t="s">
        <v>13800</v>
      </c>
      <c r="B6204" s="5" t="s">
        <v>13800</v>
      </c>
      <c r="C6204" s="5" t="s">
        <v>75</v>
      </c>
      <c r="D6204" s="5" t="s">
        <v>76</v>
      </c>
      <c r="E6204" s="5" t="s">
        <v>338</v>
      </c>
      <c r="F6204" s="9">
        <v>83</v>
      </c>
      <c r="G6204" s="9">
        <v>930</v>
      </c>
      <c r="H6204" s="5" t="s">
        <v>21</v>
      </c>
      <c r="I6204" s="5" t="s">
        <v>13804</v>
      </c>
      <c r="J6204" s="12" t="str">
        <f>HYPERLINK("https://www.boe.es/gazeta/dias/1801/09/01/pdfs/GMD-1801-83.pdf#page=5","Abrir facsímil")</f>
        <v>Abrir facsímil</v>
      </c>
      <c r="K6204" s="15" t="s">
        <v>23</v>
      </c>
    </row>
    <row r="6205" spans="1:11" ht="42" customHeight="1">
      <c r="A6205" s="4" t="s">
        <v>13805</v>
      </c>
      <c r="B6205" s="5" t="s">
        <v>13806</v>
      </c>
      <c r="C6205" s="5" t="s">
        <v>75</v>
      </c>
      <c r="D6205" s="5" t="s">
        <v>76</v>
      </c>
      <c r="E6205" s="5" t="s">
        <v>20</v>
      </c>
      <c r="F6205" s="9">
        <v>37</v>
      </c>
      <c r="G6205" s="9">
        <v>474</v>
      </c>
      <c r="H6205" s="5" t="s">
        <v>21</v>
      </c>
      <c r="I6205" s="5" t="s">
        <v>13807</v>
      </c>
      <c r="J6205" s="12" t="str">
        <f>HYPERLINK("https://www.boe.es/gazeta/dias/1801/05/08/pdfs/GMD-1801-37.pdf#page=2","Abrir facsímil")</f>
        <v>Abrir facsímil</v>
      </c>
      <c r="K6205" s="15" t="s">
        <v>23</v>
      </c>
    </row>
    <row r="6206" spans="1:11" ht="42" customHeight="1">
      <c r="A6206" s="4" t="s">
        <v>13805</v>
      </c>
      <c r="B6206" s="5" t="s">
        <v>13806</v>
      </c>
      <c r="C6206" s="5" t="s">
        <v>75</v>
      </c>
      <c r="D6206" s="5" t="s">
        <v>76</v>
      </c>
      <c r="E6206" s="5" t="s">
        <v>34</v>
      </c>
      <c r="F6206" s="9">
        <v>38</v>
      </c>
      <c r="G6206" s="9">
        <v>487</v>
      </c>
      <c r="H6206" s="5" t="s">
        <v>21</v>
      </c>
      <c r="I6206" s="5" t="s">
        <v>13808</v>
      </c>
      <c r="J6206" s="12" t="str">
        <f>HYPERLINK("https://www.boe.es/gazeta/dias/1801/05/12/pdfs/GMD-1801-38.pdf#page=3","Abrir facsímil")</f>
        <v>Abrir facsímil</v>
      </c>
      <c r="K6206" s="15" t="s">
        <v>23</v>
      </c>
    </row>
    <row r="6207" spans="1:11" ht="42" customHeight="1">
      <c r="A6207" s="4" t="s">
        <v>13805</v>
      </c>
      <c r="B6207" s="5" t="s">
        <v>13806</v>
      </c>
      <c r="C6207" s="5" t="s">
        <v>75</v>
      </c>
      <c r="D6207" s="5" t="s">
        <v>76</v>
      </c>
      <c r="E6207" s="5" t="s">
        <v>313</v>
      </c>
      <c r="F6207" s="9">
        <v>39</v>
      </c>
      <c r="G6207" s="9">
        <v>497</v>
      </c>
      <c r="H6207" s="5" t="s">
        <v>21</v>
      </c>
      <c r="I6207" s="5" t="s">
        <v>13809</v>
      </c>
      <c r="J6207" s="12" t="str">
        <f>HYPERLINK("https://www.boe.es/gazeta/dias/1801/05/15/pdfs/GMD-1801-39.pdf#page=1","Abrir facsímil")</f>
        <v>Abrir facsímil</v>
      </c>
      <c r="K6207" s="15" t="s">
        <v>23</v>
      </c>
    </row>
    <row r="6208" spans="1:11" ht="42" customHeight="1">
      <c r="A6208" s="4" t="s">
        <v>13805</v>
      </c>
      <c r="B6208" s="5" t="s">
        <v>13806</v>
      </c>
      <c r="C6208" s="5" t="s">
        <v>75</v>
      </c>
      <c r="D6208" s="5" t="s">
        <v>76</v>
      </c>
      <c r="E6208" s="5" t="s">
        <v>313</v>
      </c>
      <c r="F6208" s="9">
        <v>39</v>
      </c>
      <c r="G6208" s="9">
        <v>498</v>
      </c>
      <c r="H6208" s="5" t="s">
        <v>21</v>
      </c>
      <c r="I6208" s="5" t="s">
        <v>13810</v>
      </c>
      <c r="J6208" s="12" t="str">
        <f>HYPERLINK("https://www.boe.es/gazeta/dias/1801/05/15/pdfs/GMD-1801-39.pdf#page=2","Abrir facsímil")</f>
        <v>Abrir facsímil</v>
      </c>
      <c r="K6208" s="15" t="s">
        <v>23</v>
      </c>
    </row>
    <row r="6209" spans="1:11" ht="42" customHeight="1">
      <c r="A6209" s="4" t="s">
        <v>13805</v>
      </c>
      <c r="B6209" s="5" t="s">
        <v>13806</v>
      </c>
      <c r="C6209" s="5" t="s">
        <v>75</v>
      </c>
      <c r="D6209" s="5" t="s">
        <v>76</v>
      </c>
      <c r="E6209" s="5" t="s">
        <v>313</v>
      </c>
      <c r="F6209" s="9">
        <v>39</v>
      </c>
      <c r="G6209" s="9">
        <v>499</v>
      </c>
      <c r="H6209" s="5" t="s">
        <v>21</v>
      </c>
      <c r="I6209" s="5" t="s">
        <v>13811</v>
      </c>
      <c r="J6209" s="12" t="str">
        <f>HYPERLINK("https://www.boe.es/gazeta/dias/1801/05/15/pdfs/GMD-1801-39.pdf#page=3","Abrir facsímil")</f>
        <v>Abrir facsímil</v>
      </c>
      <c r="K6209" s="15" t="s">
        <v>23</v>
      </c>
    </row>
    <row r="6210" spans="1:11" ht="42" customHeight="1">
      <c r="A6210" s="4" t="s">
        <v>13805</v>
      </c>
      <c r="B6210" s="5" t="s">
        <v>13806</v>
      </c>
      <c r="C6210" s="5" t="s">
        <v>32</v>
      </c>
      <c r="D6210" s="5" t="s">
        <v>33</v>
      </c>
      <c r="E6210" s="5" t="s">
        <v>313</v>
      </c>
      <c r="F6210" s="9">
        <v>39</v>
      </c>
      <c r="G6210" s="9">
        <v>501</v>
      </c>
      <c r="H6210" s="5" t="s">
        <v>21</v>
      </c>
      <c r="I6210" s="5" t="s">
        <v>13812</v>
      </c>
      <c r="J6210" s="12" t="str">
        <f>HYPERLINK("https://www.boe.es/gazeta/dias/1801/05/15/pdfs/GMD-1801-39.pdf#page=5","Abrir facsímil")</f>
        <v>Abrir facsímil</v>
      </c>
      <c r="K6210" s="15" t="s">
        <v>23</v>
      </c>
    </row>
    <row r="6211" spans="1:11" ht="42" customHeight="1">
      <c r="A6211" s="4" t="s">
        <v>13805</v>
      </c>
      <c r="B6211" s="5" t="s">
        <v>13806</v>
      </c>
      <c r="C6211" s="5" t="s">
        <v>75</v>
      </c>
      <c r="D6211" s="5" t="s">
        <v>76</v>
      </c>
      <c r="E6211" s="5" t="s">
        <v>289</v>
      </c>
      <c r="F6211" s="9">
        <v>40</v>
      </c>
      <c r="G6211" s="9">
        <v>510</v>
      </c>
      <c r="H6211" s="5" t="s">
        <v>21</v>
      </c>
      <c r="I6211" s="5" t="s">
        <v>13813</v>
      </c>
      <c r="J6211" s="12" t="str">
        <f>HYPERLINK("https://www.boe.es/gazeta/dias/1801/05/19/pdfs/GMD-1801-40.pdf#page=2","Abrir facsímil")</f>
        <v>Abrir facsímil</v>
      </c>
      <c r="K6211" s="15" t="s">
        <v>23</v>
      </c>
    </row>
    <row r="6212" spans="1:11" ht="42" customHeight="1">
      <c r="A6212" s="4" t="s">
        <v>13805</v>
      </c>
      <c r="B6212" s="5" t="s">
        <v>13806</v>
      </c>
      <c r="C6212" s="5" t="s">
        <v>32</v>
      </c>
      <c r="D6212" s="5" t="s">
        <v>33</v>
      </c>
      <c r="E6212" s="5" t="s">
        <v>105</v>
      </c>
      <c r="F6212" s="9">
        <v>44</v>
      </c>
      <c r="G6212" s="9">
        <v>546</v>
      </c>
      <c r="H6212" s="5" t="s">
        <v>21</v>
      </c>
      <c r="I6212" s="5" t="s">
        <v>13814</v>
      </c>
      <c r="J6212" s="12" t="str">
        <f>HYPERLINK("https://www.boe.es/gazeta/dias/1801/05/29/pdfs/GMD-1801-44.pdf#page=6","Abrir facsímil")</f>
        <v>Abrir facsímil</v>
      </c>
      <c r="K6212" s="15" t="s">
        <v>23</v>
      </c>
    </row>
    <row r="6213" spans="1:11" ht="42" customHeight="1">
      <c r="A6213" s="4" t="s">
        <v>13805</v>
      </c>
      <c r="B6213" s="5" t="s">
        <v>13806</v>
      </c>
      <c r="C6213" s="5" t="s">
        <v>75</v>
      </c>
      <c r="D6213" s="5" t="s">
        <v>76</v>
      </c>
      <c r="E6213" s="5" t="s">
        <v>158</v>
      </c>
      <c r="F6213" s="9">
        <v>55</v>
      </c>
      <c r="G6213" s="9">
        <v>625</v>
      </c>
      <c r="H6213" s="5" t="s">
        <v>21</v>
      </c>
      <c r="I6213" s="5" t="s">
        <v>13815</v>
      </c>
      <c r="J6213" s="12" t="str">
        <f>HYPERLINK("https://www.boe.es/gazeta/dias/1801/06/16/pdfs/GMD-1801-55.pdf#page=1","Abrir facsímil")</f>
        <v>Abrir facsímil</v>
      </c>
      <c r="K6213" s="15" t="s">
        <v>23</v>
      </c>
    </row>
    <row r="6214" spans="1:11" ht="42" customHeight="1">
      <c r="A6214" s="4" t="s">
        <v>13805</v>
      </c>
      <c r="B6214" s="5" t="s">
        <v>13806</v>
      </c>
      <c r="C6214" s="5" t="s">
        <v>75</v>
      </c>
      <c r="D6214" s="5" t="s">
        <v>76</v>
      </c>
      <c r="E6214" s="5" t="s">
        <v>108</v>
      </c>
      <c r="F6214" s="9">
        <v>61</v>
      </c>
      <c r="G6214" s="9">
        <v>692</v>
      </c>
      <c r="H6214" s="5" t="s">
        <v>21</v>
      </c>
      <c r="I6214" s="5" t="s">
        <v>13816</v>
      </c>
      <c r="J6214" s="12" t="str">
        <f>HYPERLINK("https://www.boe.es/gazeta/dias/1801/06/30/pdfs/GMD-1801-61.pdf#page=1","Abrir facsímil")</f>
        <v>Abrir facsímil</v>
      </c>
      <c r="K6214" s="15" t="s">
        <v>23</v>
      </c>
    </row>
    <row r="6215" spans="1:11" ht="42" customHeight="1">
      <c r="A6215" s="4" t="s">
        <v>13805</v>
      </c>
      <c r="B6215" s="5" t="s">
        <v>13806</v>
      </c>
      <c r="C6215" s="5" t="s">
        <v>38</v>
      </c>
      <c r="D6215" s="5" t="s">
        <v>39</v>
      </c>
      <c r="E6215" s="5" t="s">
        <v>108</v>
      </c>
      <c r="F6215" s="9">
        <v>61</v>
      </c>
      <c r="G6215" s="9">
        <v>696</v>
      </c>
      <c r="H6215" s="5" t="s">
        <v>21</v>
      </c>
      <c r="I6215" s="5" t="s">
        <v>13817</v>
      </c>
      <c r="J6215" s="12" t="str">
        <f>HYPERLINK("https://www.boe.es/gazeta/dias/1801/06/30/pdfs/GMD-1801-61.pdf#page=5","Abrir facsímil")</f>
        <v>Abrir facsímil</v>
      </c>
      <c r="K6215" s="15" t="s">
        <v>23</v>
      </c>
    </row>
    <row r="6216" spans="1:11" ht="42" customHeight="1">
      <c r="A6216" s="4" t="s">
        <v>13805</v>
      </c>
      <c r="B6216" s="5" t="s">
        <v>13806</v>
      </c>
      <c r="C6216" s="5" t="s">
        <v>75</v>
      </c>
      <c r="D6216" s="5" t="s">
        <v>76</v>
      </c>
      <c r="E6216" s="5" t="s">
        <v>40</v>
      </c>
      <c r="F6216" s="9">
        <v>63</v>
      </c>
      <c r="G6216" s="9">
        <v>705</v>
      </c>
      <c r="H6216" s="5" t="s">
        <v>21</v>
      </c>
      <c r="I6216" s="5" t="s">
        <v>13818</v>
      </c>
      <c r="J6216" s="12" t="str">
        <f>HYPERLINK("https://www.boe.es/gazeta/dias/1801/07/03/pdfs/GMD-1801-63.pdf#page=2","Abrir facsímil")</f>
        <v>Abrir facsímil</v>
      </c>
      <c r="K6216" s="15" t="s">
        <v>23</v>
      </c>
    </row>
    <row r="6217" spans="1:11" ht="42" customHeight="1">
      <c r="A6217" s="4" t="s">
        <v>13805</v>
      </c>
      <c r="B6217" s="5" t="s">
        <v>13806</v>
      </c>
      <c r="C6217" s="5" t="s">
        <v>75</v>
      </c>
      <c r="D6217" s="5" t="s">
        <v>76</v>
      </c>
      <c r="E6217" s="5" t="s">
        <v>169</v>
      </c>
      <c r="F6217" s="9">
        <v>70</v>
      </c>
      <c r="G6217" s="9">
        <v>769</v>
      </c>
      <c r="H6217" s="5" t="s">
        <v>21</v>
      </c>
      <c r="I6217" s="5" t="s">
        <v>13819</v>
      </c>
      <c r="J6217" s="12" t="str">
        <f>HYPERLINK("https://www.boe.es/gazeta/dias/1801/07/17/pdfs/GMD-1801-70.pdf#page=2","Abrir facsímil")</f>
        <v>Abrir facsímil</v>
      </c>
      <c r="K6217" s="15" t="s">
        <v>23</v>
      </c>
    </row>
    <row r="6218" spans="1:11" ht="42" customHeight="1">
      <c r="A6218" s="4" t="s">
        <v>13805</v>
      </c>
      <c r="B6218" s="5" t="s">
        <v>13806</v>
      </c>
      <c r="C6218" s="5" t="s">
        <v>26</v>
      </c>
      <c r="D6218" s="5" t="s">
        <v>27</v>
      </c>
      <c r="E6218" s="5" t="s">
        <v>254</v>
      </c>
      <c r="F6218" s="9">
        <v>73</v>
      </c>
      <c r="G6218" s="9">
        <v>808</v>
      </c>
      <c r="H6218" s="5" t="s">
        <v>21</v>
      </c>
      <c r="I6218" s="5" t="s">
        <v>13820</v>
      </c>
      <c r="J6218" s="12" t="str">
        <f>HYPERLINK("https://www.boe.es/gazeta/dias/1801/07/28/pdfs/GMD-1801-73.pdf#page=1","Abrir facsímil")</f>
        <v>Abrir facsímil</v>
      </c>
      <c r="K6218" s="15" t="s">
        <v>23</v>
      </c>
    </row>
    <row r="6219" spans="1:11" ht="42" customHeight="1">
      <c r="A6219" s="4" t="s">
        <v>13805</v>
      </c>
      <c r="B6219" s="5" t="s">
        <v>13806</v>
      </c>
      <c r="C6219" s="5" t="s">
        <v>75</v>
      </c>
      <c r="D6219" s="5" t="s">
        <v>76</v>
      </c>
      <c r="E6219" s="5" t="s">
        <v>2237</v>
      </c>
      <c r="F6219" s="9">
        <v>82</v>
      </c>
      <c r="G6219" s="9">
        <v>916</v>
      </c>
      <c r="H6219" s="5" t="s">
        <v>21</v>
      </c>
      <c r="I6219" s="5" t="s">
        <v>13821</v>
      </c>
      <c r="J6219" s="12" t="str">
        <f>HYPERLINK("https://www.boe.es/gazeta/dias/1801/08/28/pdfs/GMD-1801-82.pdf#page=5","Abrir facsímil")</f>
        <v>Abrir facsímil</v>
      </c>
      <c r="K6219" s="15" t="s">
        <v>23</v>
      </c>
    </row>
    <row r="6220" spans="1:11" ht="42" customHeight="1">
      <c r="A6220" s="4" t="s">
        <v>13805</v>
      </c>
      <c r="B6220" s="5" t="s">
        <v>13806</v>
      </c>
      <c r="C6220" s="5" t="s">
        <v>75</v>
      </c>
      <c r="D6220" s="5" t="s">
        <v>76</v>
      </c>
      <c r="E6220" s="5" t="s">
        <v>366</v>
      </c>
      <c r="F6220" s="9">
        <v>86</v>
      </c>
      <c r="G6220" s="9">
        <v>954</v>
      </c>
      <c r="H6220" s="5" t="s">
        <v>21</v>
      </c>
      <c r="I6220" s="5" t="s">
        <v>13822</v>
      </c>
      <c r="J6220" s="12" t="str">
        <f>HYPERLINK("https://www.boe.es/gazeta/dias/1801/09/08/pdfs/GMD-1801-86.pdf#page=5","Abrir facsímil")</f>
        <v>Abrir facsímil</v>
      </c>
      <c r="K6220" s="15" t="s">
        <v>23</v>
      </c>
    </row>
    <row r="6221" spans="1:11" ht="42" customHeight="1">
      <c r="A6221" s="4" t="s">
        <v>13805</v>
      </c>
      <c r="B6221" s="5" t="s">
        <v>13806</v>
      </c>
      <c r="C6221" s="5" t="s">
        <v>75</v>
      </c>
      <c r="D6221" s="5" t="s">
        <v>76</v>
      </c>
      <c r="E6221" s="5" t="s">
        <v>328</v>
      </c>
      <c r="F6221" s="9">
        <v>89</v>
      </c>
      <c r="G6221" s="9">
        <v>980</v>
      </c>
      <c r="H6221" s="5" t="s">
        <v>21</v>
      </c>
      <c r="I6221" s="5" t="s">
        <v>13823</v>
      </c>
      <c r="J6221" s="12" t="str">
        <f>HYPERLINK("https://www.boe.es/gazeta/dias/1801/09/15/pdfs/GMD-1801-89.pdf#page=7","Abrir facsímil")</f>
        <v>Abrir facsímil</v>
      </c>
      <c r="K6221" s="15" t="s">
        <v>23</v>
      </c>
    </row>
    <row r="6222" spans="1:11" ht="42" customHeight="1">
      <c r="A6222" s="4" t="s">
        <v>13805</v>
      </c>
      <c r="B6222" s="5" t="s">
        <v>13806</v>
      </c>
      <c r="C6222" s="5" t="s">
        <v>38</v>
      </c>
      <c r="D6222" s="5" t="s">
        <v>39</v>
      </c>
      <c r="E6222" s="5" t="s">
        <v>453</v>
      </c>
      <c r="F6222" s="9">
        <v>100</v>
      </c>
      <c r="G6222" s="9">
        <v>1096</v>
      </c>
      <c r="H6222" s="5" t="s">
        <v>21</v>
      </c>
      <c r="I6222" s="5" t="s">
        <v>13824</v>
      </c>
      <c r="J6222" s="12" t="str">
        <f>HYPERLINK("https://www.boe.es/gazeta/dias/1801/10/23/pdfs/GMD-1801-100.pdf#page=5","Abrir facsímil")</f>
        <v>Abrir facsímil</v>
      </c>
      <c r="K6222" s="15" t="s">
        <v>23</v>
      </c>
    </row>
    <row r="6223" spans="1:11" ht="42" customHeight="1">
      <c r="A6223" s="4" t="s">
        <v>13825</v>
      </c>
      <c r="B6223" s="5" t="s">
        <v>13826</v>
      </c>
      <c r="C6223" s="5" t="s">
        <v>32</v>
      </c>
      <c r="D6223" s="5" t="s">
        <v>33</v>
      </c>
      <c r="E6223" s="5" t="s">
        <v>126</v>
      </c>
      <c r="F6223" s="9">
        <v>13</v>
      </c>
      <c r="G6223" s="9">
        <v>156</v>
      </c>
      <c r="H6223" s="5" t="s">
        <v>21</v>
      </c>
      <c r="I6223" s="5" t="s">
        <v>13827</v>
      </c>
      <c r="J6223" s="12" t="str">
        <f>HYPERLINK("https://www.boe.es/gazeta/dias/1801/02/13/pdfs/GMD-1801-13.pdf#page=3","Abrir facsímil")</f>
        <v>Abrir facsímil</v>
      </c>
      <c r="K6223" s="15" t="s">
        <v>23</v>
      </c>
    </row>
    <row r="6224" spans="1:11" ht="42" customHeight="1">
      <c r="A6224" s="4" t="s">
        <v>13825</v>
      </c>
      <c r="B6224" s="5" t="s">
        <v>13826</v>
      </c>
      <c r="C6224" s="5" t="s">
        <v>75</v>
      </c>
      <c r="D6224" s="5" t="s">
        <v>76</v>
      </c>
      <c r="E6224" s="5" t="s">
        <v>781</v>
      </c>
      <c r="F6224" s="9">
        <v>14</v>
      </c>
      <c r="G6224" s="9">
        <v>169</v>
      </c>
      <c r="H6224" s="5" t="s">
        <v>21</v>
      </c>
      <c r="I6224" s="5" t="s">
        <v>13828</v>
      </c>
      <c r="J6224" s="12" t="str">
        <f>HYPERLINK("https://www.boe.es/gazeta/dias/1801/02/17/pdfs/GMD-1801-14.pdf#page=4","Abrir facsímil")</f>
        <v>Abrir facsímil</v>
      </c>
      <c r="K6224" s="15" t="s">
        <v>23</v>
      </c>
    </row>
    <row r="6225" spans="1:11" ht="42" customHeight="1">
      <c r="A6225" s="4" t="s">
        <v>13825</v>
      </c>
      <c r="B6225" s="5" t="s">
        <v>13826</v>
      </c>
      <c r="C6225" s="5" t="s">
        <v>75</v>
      </c>
      <c r="D6225" s="5" t="s">
        <v>76</v>
      </c>
      <c r="E6225" s="5" t="s">
        <v>94</v>
      </c>
      <c r="F6225" s="9">
        <v>19</v>
      </c>
      <c r="G6225" s="9">
        <v>239</v>
      </c>
      <c r="H6225" s="5" t="s">
        <v>21</v>
      </c>
      <c r="I6225" s="5" t="s">
        <v>13829</v>
      </c>
      <c r="J6225" s="12" t="str">
        <f>HYPERLINK("https://www.boe.es/gazeta/dias/1801/03/06/pdfs/GMD-1801-19.pdf#page=4","Abrir facsímil")</f>
        <v>Abrir facsímil</v>
      </c>
      <c r="K6225" s="15" t="s">
        <v>23</v>
      </c>
    </row>
    <row r="6226" spans="1:11" ht="42" customHeight="1">
      <c r="A6226" s="4" t="s">
        <v>13825</v>
      </c>
      <c r="B6226" s="5" t="s">
        <v>13826</v>
      </c>
      <c r="C6226" s="5" t="s">
        <v>75</v>
      </c>
      <c r="D6226" s="5" t="s">
        <v>76</v>
      </c>
      <c r="E6226" s="5" t="s">
        <v>221</v>
      </c>
      <c r="F6226" s="9">
        <v>28</v>
      </c>
      <c r="G6226" s="9">
        <v>364</v>
      </c>
      <c r="H6226" s="5" t="s">
        <v>21</v>
      </c>
      <c r="I6226" s="5" t="s">
        <v>13830</v>
      </c>
      <c r="J6226" s="12" t="str">
        <f>HYPERLINK("https://www.boe.es/gazeta/dias/1801/04/07/pdfs/GMD-1801-28.pdf#page=4","Abrir facsímil")</f>
        <v>Abrir facsímil</v>
      </c>
      <c r="K6226" s="15" t="s">
        <v>23</v>
      </c>
    </row>
    <row r="6227" spans="1:11" ht="42" customHeight="1">
      <c r="A6227" s="4" t="s">
        <v>13825</v>
      </c>
      <c r="B6227" s="5" t="s">
        <v>13826</v>
      </c>
      <c r="C6227" s="5" t="s">
        <v>75</v>
      </c>
      <c r="D6227" s="5" t="s">
        <v>76</v>
      </c>
      <c r="E6227" s="5" t="s">
        <v>34</v>
      </c>
      <c r="F6227" s="9">
        <v>38</v>
      </c>
      <c r="G6227" s="9">
        <v>486</v>
      </c>
      <c r="H6227" s="5" t="s">
        <v>21</v>
      </c>
      <c r="I6227" s="5" t="s">
        <v>13831</v>
      </c>
      <c r="J6227" s="12" t="str">
        <f>HYPERLINK("https://www.boe.es/gazeta/dias/1801/05/12/pdfs/GMD-1801-38.pdf#page=2","Abrir facsímil")</f>
        <v>Abrir facsímil</v>
      </c>
      <c r="K6227" s="15" t="s">
        <v>23</v>
      </c>
    </row>
    <row r="6228" spans="1:11" ht="42" customHeight="1">
      <c r="A6228" s="4" t="s">
        <v>13825</v>
      </c>
      <c r="B6228" s="5" t="s">
        <v>13826</v>
      </c>
      <c r="C6228" s="5" t="s">
        <v>75</v>
      </c>
      <c r="D6228" s="5" t="s">
        <v>76</v>
      </c>
      <c r="E6228" s="5" t="s">
        <v>34</v>
      </c>
      <c r="F6228" s="9">
        <v>38</v>
      </c>
      <c r="G6228" s="9">
        <v>487</v>
      </c>
      <c r="H6228" s="5" t="s">
        <v>21</v>
      </c>
      <c r="I6228" s="5" t="s">
        <v>13832</v>
      </c>
      <c r="J6228" s="12" t="str">
        <f>HYPERLINK("https://www.boe.es/gazeta/dias/1801/05/12/pdfs/GMD-1801-38.pdf#page=3","Abrir facsímil")</f>
        <v>Abrir facsímil</v>
      </c>
      <c r="K6228" s="15" t="s">
        <v>23</v>
      </c>
    </row>
    <row r="6229" spans="1:11" ht="42" customHeight="1">
      <c r="A6229" s="4" t="s">
        <v>13825</v>
      </c>
      <c r="B6229" s="5" t="s">
        <v>13826</v>
      </c>
      <c r="C6229" s="5" t="s">
        <v>75</v>
      </c>
      <c r="D6229" s="5" t="s">
        <v>76</v>
      </c>
      <c r="E6229" s="5" t="s">
        <v>352</v>
      </c>
      <c r="F6229" s="9">
        <v>43</v>
      </c>
      <c r="G6229" s="9">
        <v>532</v>
      </c>
      <c r="H6229" s="5" t="s">
        <v>21</v>
      </c>
      <c r="I6229" s="5" t="s">
        <v>13833</v>
      </c>
      <c r="J6229" s="12" t="str">
        <f>HYPERLINK("https://www.boe.es/gazeta/dias/1801/05/26/pdfs/GMD-1801-43.pdf#page=4","Abrir facsímil")</f>
        <v>Abrir facsímil</v>
      </c>
      <c r="K6229" s="15" t="s">
        <v>23</v>
      </c>
    </row>
    <row r="6230" spans="1:11" ht="42" customHeight="1">
      <c r="A6230" s="4" t="s">
        <v>13825</v>
      </c>
      <c r="B6230" s="5" t="s">
        <v>13826</v>
      </c>
      <c r="C6230" s="5" t="s">
        <v>38</v>
      </c>
      <c r="D6230" s="5" t="s">
        <v>39</v>
      </c>
      <c r="E6230" s="5" t="s">
        <v>72</v>
      </c>
      <c r="F6230" s="9">
        <v>60</v>
      </c>
      <c r="G6230" s="9">
        <v>681</v>
      </c>
      <c r="H6230" s="5" t="s">
        <v>21</v>
      </c>
      <c r="I6230" s="5" t="s">
        <v>13834</v>
      </c>
      <c r="J6230" s="12" t="str">
        <f>HYPERLINK("https://www.boe.es/gazeta/dias/1801/06/26/pdfs/GMD-1801-60.pdf#page=2","Abrir facsímil")</f>
        <v>Abrir facsímil</v>
      </c>
      <c r="K6230" s="15" t="s">
        <v>23</v>
      </c>
    </row>
    <row r="6231" spans="1:11" ht="42" customHeight="1">
      <c r="A6231" s="4" t="s">
        <v>13825</v>
      </c>
      <c r="B6231" s="5" t="s">
        <v>13826</v>
      </c>
      <c r="C6231" s="5" t="s">
        <v>75</v>
      </c>
      <c r="D6231" s="5" t="s">
        <v>76</v>
      </c>
      <c r="E6231" s="5" t="s">
        <v>40</v>
      </c>
      <c r="F6231" s="9">
        <v>63</v>
      </c>
      <c r="G6231" s="9">
        <v>707</v>
      </c>
      <c r="H6231" s="5" t="s">
        <v>21</v>
      </c>
      <c r="I6231" s="5" t="s">
        <v>13835</v>
      </c>
      <c r="J6231" s="12" t="str">
        <f>HYPERLINK("https://www.boe.es/gazeta/dias/1801/07/03/pdfs/GMD-1801-63.pdf#page=4","Abrir facsímil")</f>
        <v>Abrir facsímil</v>
      </c>
      <c r="K6231" s="15" t="s">
        <v>23</v>
      </c>
    </row>
    <row r="6232" spans="1:11" ht="42" customHeight="1">
      <c r="A6232" s="4" t="s">
        <v>13825</v>
      </c>
      <c r="B6232" s="5" t="s">
        <v>13826</v>
      </c>
      <c r="C6232" s="5" t="s">
        <v>75</v>
      </c>
      <c r="D6232" s="5" t="s">
        <v>76</v>
      </c>
      <c r="E6232" s="5" t="s">
        <v>40</v>
      </c>
      <c r="F6232" s="9">
        <v>63</v>
      </c>
      <c r="G6232" s="9">
        <v>708</v>
      </c>
      <c r="H6232" s="5" t="s">
        <v>21</v>
      </c>
      <c r="I6232" s="5" t="s">
        <v>13836</v>
      </c>
      <c r="J6232" s="12" t="str">
        <f>HYPERLINK("https://www.boe.es/gazeta/dias/1801/07/03/pdfs/GMD-1801-63.pdf#page=5","Abrir facsímil")</f>
        <v>Abrir facsímil</v>
      </c>
      <c r="K6232" s="15" t="s">
        <v>23</v>
      </c>
    </row>
    <row r="6233" spans="1:11" ht="42" customHeight="1">
      <c r="A6233" s="4" t="s">
        <v>13825</v>
      </c>
      <c r="B6233" s="5" t="s">
        <v>13826</v>
      </c>
      <c r="C6233" s="5" t="s">
        <v>75</v>
      </c>
      <c r="D6233" s="5" t="s">
        <v>76</v>
      </c>
      <c r="E6233" s="5" t="s">
        <v>40</v>
      </c>
      <c r="F6233" s="9">
        <v>63</v>
      </c>
      <c r="G6233" s="9">
        <v>709</v>
      </c>
      <c r="H6233" s="5" t="s">
        <v>21</v>
      </c>
      <c r="I6233" s="5" t="s">
        <v>13837</v>
      </c>
      <c r="J6233" s="12" t="str">
        <f>HYPERLINK("https://www.boe.es/gazeta/dias/1801/07/03/pdfs/GMD-1801-63.pdf#page=6","Abrir facsímil")</f>
        <v>Abrir facsímil</v>
      </c>
      <c r="K6233" s="15" t="s">
        <v>23</v>
      </c>
    </row>
    <row r="6234" spans="1:11" ht="42" customHeight="1">
      <c r="A6234" s="4" t="s">
        <v>13825</v>
      </c>
      <c r="B6234" s="5" t="s">
        <v>13826</v>
      </c>
      <c r="C6234" s="5" t="s">
        <v>32</v>
      </c>
      <c r="D6234" s="5" t="s">
        <v>33</v>
      </c>
      <c r="E6234" s="5" t="s">
        <v>417</v>
      </c>
      <c r="F6234" s="9">
        <v>64</v>
      </c>
      <c r="G6234" s="9">
        <v>720</v>
      </c>
      <c r="H6234" s="5" t="s">
        <v>21</v>
      </c>
      <c r="I6234" s="5" t="s">
        <v>13838</v>
      </c>
      <c r="J6234" s="12" t="str">
        <f>HYPERLINK("https://www.boe.es/gazeta/dias/1801/07/07/pdfs/GMD-1801-64.pdf#page=1","Abrir facsímil")</f>
        <v>Abrir facsímil</v>
      </c>
      <c r="K6234" s="15" t="s">
        <v>23</v>
      </c>
    </row>
    <row r="6235" spans="1:11" ht="42" customHeight="1">
      <c r="A6235" s="4" t="s">
        <v>13825</v>
      </c>
      <c r="B6235" s="5" t="s">
        <v>13826</v>
      </c>
      <c r="C6235" s="5" t="s">
        <v>75</v>
      </c>
      <c r="D6235" s="5" t="s">
        <v>76</v>
      </c>
      <c r="E6235" s="5" t="s">
        <v>702</v>
      </c>
      <c r="F6235" s="9">
        <v>69</v>
      </c>
      <c r="G6235" s="9">
        <v>757</v>
      </c>
      <c r="H6235" s="5" t="s">
        <v>21</v>
      </c>
      <c r="I6235" s="5" t="s">
        <v>13839</v>
      </c>
      <c r="J6235" s="12" t="str">
        <f>HYPERLINK("https://www.boe.es/gazeta/dias/1801/07/14/pdfs/GMD-1801-69.pdf#page=2","Abrir facsímil")</f>
        <v>Abrir facsímil</v>
      </c>
      <c r="K6235" s="15" t="s">
        <v>23</v>
      </c>
    </row>
    <row r="6236" spans="1:11" ht="42" customHeight="1">
      <c r="A6236" s="4" t="s">
        <v>13825</v>
      </c>
      <c r="B6236" s="5" t="s">
        <v>13826</v>
      </c>
      <c r="C6236" s="5" t="s">
        <v>75</v>
      </c>
      <c r="D6236" s="5" t="s">
        <v>76</v>
      </c>
      <c r="E6236" s="5" t="s">
        <v>702</v>
      </c>
      <c r="F6236" s="9">
        <v>69</v>
      </c>
      <c r="G6236" s="9">
        <v>760</v>
      </c>
      <c r="H6236" s="5" t="s">
        <v>21</v>
      </c>
      <c r="I6236" s="5" t="s">
        <v>13840</v>
      </c>
      <c r="J6236" s="12" t="str">
        <f>HYPERLINK("https://www.boe.es/gazeta/dias/1801/07/14/pdfs/GMD-1801-69.pdf#page=5","Abrir facsímil")</f>
        <v>Abrir facsímil</v>
      </c>
      <c r="K6236" s="15" t="s">
        <v>23</v>
      </c>
    </row>
    <row r="6237" spans="1:11" ht="42" customHeight="1">
      <c r="A6237" s="4" t="s">
        <v>13825</v>
      </c>
      <c r="B6237" s="5" t="s">
        <v>13826</v>
      </c>
      <c r="C6237" s="5" t="s">
        <v>75</v>
      </c>
      <c r="D6237" s="5" t="s">
        <v>76</v>
      </c>
      <c r="E6237" s="5" t="s">
        <v>169</v>
      </c>
      <c r="F6237" s="9">
        <v>70</v>
      </c>
      <c r="G6237" s="9">
        <v>769</v>
      </c>
      <c r="H6237" s="5" t="s">
        <v>21</v>
      </c>
      <c r="I6237" s="5" t="s">
        <v>13841</v>
      </c>
      <c r="J6237" s="12" t="str">
        <f>HYPERLINK("https://www.boe.es/gazeta/dias/1801/07/17/pdfs/GMD-1801-70.pdf#page=2","Abrir facsímil")</f>
        <v>Abrir facsímil</v>
      </c>
      <c r="K6237" s="15" t="s">
        <v>23</v>
      </c>
    </row>
    <row r="6238" spans="1:11" ht="42" customHeight="1">
      <c r="A6238" s="4" t="s">
        <v>13825</v>
      </c>
      <c r="B6238" s="5" t="s">
        <v>13826</v>
      </c>
      <c r="C6238" s="5" t="s">
        <v>26</v>
      </c>
      <c r="D6238" s="5" t="s">
        <v>27</v>
      </c>
      <c r="E6238" s="5" t="s">
        <v>215</v>
      </c>
      <c r="F6238" s="9">
        <v>71</v>
      </c>
      <c r="G6238" s="9">
        <v>783</v>
      </c>
      <c r="H6238" s="5" t="s">
        <v>21</v>
      </c>
      <c r="I6238" s="5" t="s">
        <v>13842</v>
      </c>
      <c r="J6238" s="12" t="str">
        <f>HYPERLINK("https://www.boe.es/gazeta/dias/1801/07/21/pdfs/GMD-1801-71.pdf#page=4","Abrir facsímil")</f>
        <v>Abrir facsímil</v>
      </c>
      <c r="K6238" s="15" t="s">
        <v>23</v>
      </c>
    </row>
    <row r="6239" spans="1:11" ht="42" customHeight="1">
      <c r="A6239" s="4" t="s">
        <v>13825</v>
      </c>
      <c r="B6239" s="5" t="s">
        <v>13826</v>
      </c>
      <c r="C6239" s="5" t="s">
        <v>75</v>
      </c>
      <c r="D6239" s="5" t="s">
        <v>76</v>
      </c>
      <c r="E6239" s="5" t="s">
        <v>223</v>
      </c>
      <c r="F6239" s="9">
        <v>74</v>
      </c>
      <c r="G6239" s="9">
        <v>823</v>
      </c>
      <c r="H6239" s="5" t="s">
        <v>21</v>
      </c>
      <c r="I6239" s="5" t="s">
        <v>13843</v>
      </c>
      <c r="J6239" s="12" t="str">
        <f>HYPERLINK("https://www.boe.es/gazeta/dias/1801/07/31/pdfs/GMD-1801-74.pdf#page=4","Abrir facsímil")</f>
        <v>Abrir facsímil</v>
      </c>
      <c r="K6239" s="15" t="s">
        <v>23</v>
      </c>
    </row>
    <row r="6240" spans="1:11" ht="42" customHeight="1">
      <c r="A6240" s="4" t="s">
        <v>13825</v>
      </c>
      <c r="B6240" s="5" t="s">
        <v>13826</v>
      </c>
      <c r="C6240" s="5" t="s">
        <v>32</v>
      </c>
      <c r="D6240" s="5" t="s">
        <v>33</v>
      </c>
      <c r="E6240" s="5" t="s">
        <v>201</v>
      </c>
      <c r="F6240" s="9">
        <v>79</v>
      </c>
      <c r="G6240" s="9">
        <v>885</v>
      </c>
      <c r="H6240" s="5" t="s">
        <v>21</v>
      </c>
      <c r="I6240" s="5" t="s">
        <v>13844</v>
      </c>
      <c r="J6240" s="12" t="str">
        <f>HYPERLINK("https://www.boe.es/gazeta/dias/1801/08/18/pdfs/GMD-1801-79.pdf#page=2","Abrir facsímil")</f>
        <v>Abrir facsímil</v>
      </c>
      <c r="K6240" s="15" t="s">
        <v>23</v>
      </c>
    </row>
    <row r="6241" spans="1:11" ht="42" customHeight="1">
      <c r="A6241" s="4" t="s">
        <v>13825</v>
      </c>
      <c r="B6241" s="5" t="s">
        <v>13826</v>
      </c>
      <c r="C6241" s="5" t="s">
        <v>75</v>
      </c>
      <c r="D6241" s="5" t="s">
        <v>76</v>
      </c>
      <c r="E6241" s="5" t="s">
        <v>2237</v>
      </c>
      <c r="F6241" s="9">
        <v>82</v>
      </c>
      <c r="G6241" s="9">
        <v>914</v>
      </c>
      <c r="H6241" s="5" t="s">
        <v>21</v>
      </c>
      <c r="I6241" s="5" t="s">
        <v>13845</v>
      </c>
      <c r="J6241" s="12" t="str">
        <f>HYPERLINK("https://www.boe.es/gazeta/dias/1801/08/28/pdfs/GMD-1801-82.pdf#page=3","Abrir facsímil")</f>
        <v>Abrir facsímil</v>
      </c>
      <c r="K6241" s="15" t="s">
        <v>23</v>
      </c>
    </row>
    <row r="6242" spans="1:11" ht="42" customHeight="1">
      <c r="A6242" s="4" t="s">
        <v>13825</v>
      </c>
      <c r="B6242" s="5" t="s">
        <v>13826</v>
      </c>
      <c r="C6242" s="5" t="s">
        <v>75</v>
      </c>
      <c r="D6242" s="5" t="s">
        <v>76</v>
      </c>
      <c r="E6242" s="5" t="s">
        <v>338</v>
      </c>
      <c r="F6242" s="9">
        <v>83</v>
      </c>
      <c r="G6242" s="9">
        <v>929</v>
      </c>
      <c r="H6242" s="5" t="s">
        <v>21</v>
      </c>
      <c r="I6242" s="5" t="s">
        <v>13846</v>
      </c>
      <c r="J6242" s="12" t="str">
        <f>HYPERLINK("https://www.boe.es/gazeta/dias/1801/09/01/pdfs/GMD-1801-83.pdf#page=4","Abrir facsímil")</f>
        <v>Abrir facsímil</v>
      </c>
      <c r="K6242" s="15" t="s">
        <v>23</v>
      </c>
    </row>
    <row r="6243" spans="1:11" ht="42" customHeight="1">
      <c r="A6243" s="4" t="s">
        <v>13825</v>
      </c>
      <c r="B6243" s="5" t="s">
        <v>13826</v>
      </c>
      <c r="C6243" s="5" t="s">
        <v>32</v>
      </c>
      <c r="D6243" s="5" t="s">
        <v>33</v>
      </c>
      <c r="E6243" s="5" t="s">
        <v>338</v>
      </c>
      <c r="F6243" s="9">
        <v>83</v>
      </c>
      <c r="G6243" s="9">
        <v>930</v>
      </c>
      <c r="H6243" s="5" t="s">
        <v>21</v>
      </c>
      <c r="I6243" s="5" t="s">
        <v>13847</v>
      </c>
      <c r="J6243" s="12" t="str">
        <f>HYPERLINK("https://www.boe.es/gazeta/dias/1801/09/01/pdfs/GMD-1801-83.pdf#page=5","Abrir facsímil")</f>
        <v>Abrir facsímil</v>
      </c>
      <c r="K6243" s="15" t="s">
        <v>23</v>
      </c>
    </row>
    <row r="6244" spans="1:11" ht="42" customHeight="1">
      <c r="A6244" s="4" t="s">
        <v>13825</v>
      </c>
      <c r="B6244" s="5" t="s">
        <v>13826</v>
      </c>
      <c r="C6244" s="5" t="s">
        <v>69</v>
      </c>
      <c r="D6244" s="5" t="s">
        <v>19</v>
      </c>
      <c r="E6244" s="5" t="s">
        <v>338</v>
      </c>
      <c r="F6244" s="9">
        <v>83</v>
      </c>
      <c r="G6244" s="9">
        <v>932</v>
      </c>
      <c r="H6244" s="5" t="s">
        <v>21</v>
      </c>
      <c r="I6244" s="5" t="s">
        <v>13848</v>
      </c>
      <c r="J6244" s="12" t="str">
        <f>HYPERLINK("https://www.boe.es/gazeta/dias/1801/09/01/pdfs/GMD-1801-83.pdf#page=7","Abrir facsímil")</f>
        <v>Abrir facsímil</v>
      </c>
      <c r="K6244" s="15" t="s">
        <v>23</v>
      </c>
    </row>
    <row r="6245" spans="1:11" ht="42" customHeight="1">
      <c r="A6245" s="4" t="s">
        <v>13825</v>
      </c>
      <c r="B6245" s="5" t="s">
        <v>13826</v>
      </c>
      <c r="C6245" s="5" t="s">
        <v>18</v>
      </c>
      <c r="D6245" s="5" t="s">
        <v>19</v>
      </c>
      <c r="E6245" s="5" t="s">
        <v>366</v>
      </c>
      <c r="F6245" s="9">
        <v>86</v>
      </c>
      <c r="G6245" s="9">
        <v>952</v>
      </c>
      <c r="H6245" s="5" t="s">
        <v>21</v>
      </c>
      <c r="I6245" s="5" t="s">
        <v>13849</v>
      </c>
      <c r="J6245" s="12" t="str">
        <f>HYPERLINK("https://www.boe.es/gazeta/dias/1801/09/08/pdfs/GMD-1801-86.pdf#page=3","Abrir facsímil")</f>
        <v>Abrir facsímil</v>
      </c>
      <c r="K6245" s="15" t="s">
        <v>23</v>
      </c>
    </row>
    <row r="6246" spans="1:11" ht="42" customHeight="1">
      <c r="A6246" s="4" t="s">
        <v>13825</v>
      </c>
      <c r="B6246" s="5" t="s">
        <v>13826</v>
      </c>
      <c r="C6246" s="5" t="s">
        <v>75</v>
      </c>
      <c r="D6246" s="5" t="s">
        <v>76</v>
      </c>
      <c r="E6246" s="5" t="s">
        <v>366</v>
      </c>
      <c r="F6246" s="9">
        <v>86</v>
      </c>
      <c r="G6246" s="9">
        <v>954</v>
      </c>
      <c r="H6246" s="5" t="s">
        <v>21</v>
      </c>
      <c r="I6246" s="5" t="s">
        <v>13850</v>
      </c>
      <c r="J6246" s="12" t="str">
        <f>HYPERLINK("https://www.boe.es/gazeta/dias/1801/09/08/pdfs/GMD-1801-86.pdf#page=5","Abrir facsímil")</f>
        <v>Abrir facsímil</v>
      </c>
      <c r="K6246" s="15" t="s">
        <v>23</v>
      </c>
    </row>
    <row r="6247" spans="1:11" ht="42" customHeight="1">
      <c r="A6247" s="4" t="s">
        <v>13825</v>
      </c>
      <c r="B6247" s="5" t="s">
        <v>13826</v>
      </c>
      <c r="C6247" s="5" t="s">
        <v>75</v>
      </c>
      <c r="D6247" s="5" t="s">
        <v>76</v>
      </c>
      <c r="E6247" s="5" t="s">
        <v>211</v>
      </c>
      <c r="F6247" s="9">
        <v>87</v>
      </c>
      <c r="G6247" s="9">
        <v>961</v>
      </c>
      <c r="H6247" s="5" t="s">
        <v>21</v>
      </c>
      <c r="I6247" s="5" t="s">
        <v>13851</v>
      </c>
      <c r="J6247" s="12" t="str">
        <f>HYPERLINK("https://www.boe.es/gazeta/dias/1801/09/11/pdfs/GMD-1801-87.pdf#page=4","Abrir facsímil")</f>
        <v>Abrir facsímil</v>
      </c>
      <c r="K6247" s="15" t="s">
        <v>23</v>
      </c>
    </row>
    <row r="6248" spans="1:11" ht="42" customHeight="1">
      <c r="A6248" s="4" t="s">
        <v>13852</v>
      </c>
      <c r="B6248" s="5" t="s">
        <v>13853</v>
      </c>
      <c r="C6248" s="5" t="s">
        <v>75</v>
      </c>
      <c r="D6248" s="5" t="s">
        <v>76</v>
      </c>
      <c r="E6248" s="5" t="s">
        <v>211</v>
      </c>
      <c r="F6248" s="9">
        <v>87</v>
      </c>
      <c r="G6248" s="9">
        <v>962</v>
      </c>
      <c r="H6248" s="5" t="s">
        <v>21</v>
      </c>
      <c r="I6248" s="5" t="s">
        <v>13854</v>
      </c>
      <c r="J6248" s="12" t="str">
        <f>HYPERLINK("https://www.boe.es/gazeta/dias/1801/09/11/pdfs/GMD-1801-87.pdf#page=5","Abrir facsímil")</f>
        <v>Abrir facsímil</v>
      </c>
      <c r="K6248" s="15" t="s">
        <v>23</v>
      </c>
    </row>
    <row r="6249" spans="1:11" ht="42" customHeight="1">
      <c r="A6249" s="4" t="s">
        <v>13825</v>
      </c>
      <c r="B6249" s="5" t="s">
        <v>13826</v>
      </c>
      <c r="C6249" s="5" t="s">
        <v>32</v>
      </c>
      <c r="D6249" s="5" t="s">
        <v>33</v>
      </c>
      <c r="E6249" s="5" t="s">
        <v>328</v>
      </c>
      <c r="F6249" s="9">
        <v>89</v>
      </c>
      <c r="G6249" s="9">
        <v>974</v>
      </c>
      <c r="H6249" s="5" t="s">
        <v>21</v>
      </c>
      <c r="I6249" s="5" t="s">
        <v>13855</v>
      </c>
      <c r="J6249" s="12" t="str">
        <f>HYPERLINK("https://www.boe.es/gazeta/dias/1801/09/15/pdfs/GMD-1801-89.pdf#page=1","Abrir facsímil")</f>
        <v>Abrir facsímil</v>
      </c>
      <c r="K6249" s="15" t="s">
        <v>23</v>
      </c>
    </row>
    <row r="6250" spans="1:11" ht="42" customHeight="1">
      <c r="A6250" s="4" t="s">
        <v>13825</v>
      </c>
      <c r="B6250" s="5" t="s">
        <v>13826</v>
      </c>
      <c r="C6250" s="5" t="s">
        <v>75</v>
      </c>
      <c r="D6250" s="5" t="s">
        <v>76</v>
      </c>
      <c r="E6250" s="5" t="s">
        <v>924</v>
      </c>
      <c r="F6250" s="9">
        <v>90</v>
      </c>
      <c r="G6250" s="9">
        <v>989</v>
      </c>
      <c r="H6250" s="5" t="s">
        <v>21</v>
      </c>
      <c r="I6250" s="5" t="s">
        <v>13856</v>
      </c>
      <c r="J6250" s="12" t="str">
        <f>HYPERLINK("https://www.boe.es/gazeta/dias/1801/09/18/pdfs/GMD-1801-90.pdf#page=4","Abrir facsímil")</f>
        <v>Abrir facsímil</v>
      </c>
      <c r="K6250" s="15" t="s">
        <v>23</v>
      </c>
    </row>
    <row r="6251" spans="1:11" ht="42" customHeight="1">
      <c r="A6251" s="4" t="s">
        <v>13825</v>
      </c>
      <c r="B6251" s="5" t="s">
        <v>13826</v>
      </c>
      <c r="C6251" s="5" t="s">
        <v>32</v>
      </c>
      <c r="D6251" s="5" t="s">
        <v>33</v>
      </c>
      <c r="E6251" s="5" t="s">
        <v>924</v>
      </c>
      <c r="F6251" s="9">
        <v>90</v>
      </c>
      <c r="G6251" s="9">
        <v>990</v>
      </c>
      <c r="H6251" s="5" t="s">
        <v>21</v>
      </c>
      <c r="I6251" s="5" t="s">
        <v>13857</v>
      </c>
      <c r="J6251" s="12" t="str">
        <f>HYPERLINK("https://www.boe.es/gazeta/dias/1801/09/18/pdfs/GMD-1801-90.pdf#page=5","Abrir facsímil")</f>
        <v>Abrir facsímil</v>
      </c>
      <c r="K6251" s="15" t="s">
        <v>23</v>
      </c>
    </row>
    <row r="6252" spans="1:11" ht="42" customHeight="1">
      <c r="A6252" s="4" t="s">
        <v>13825</v>
      </c>
      <c r="B6252" s="5" t="s">
        <v>13826</v>
      </c>
      <c r="C6252" s="5" t="s">
        <v>75</v>
      </c>
      <c r="D6252" s="5" t="s">
        <v>76</v>
      </c>
      <c r="E6252" s="5" t="s">
        <v>919</v>
      </c>
      <c r="F6252" s="9">
        <v>91</v>
      </c>
      <c r="G6252" s="9">
        <v>1000</v>
      </c>
      <c r="H6252" s="5" t="s">
        <v>21</v>
      </c>
      <c r="I6252" s="5" t="s">
        <v>13858</v>
      </c>
      <c r="J6252" s="12" t="str">
        <f>HYPERLINK("https://www.boe.es/gazeta/dias/1801/09/22/pdfs/GMD-1801-91.pdf#page=3","Abrir facsímil")</f>
        <v>Abrir facsímil</v>
      </c>
      <c r="K6252" s="15" t="s">
        <v>23</v>
      </c>
    </row>
    <row r="6253" spans="1:11" ht="42" customHeight="1">
      <c r="A6253" s="4" t="s">
        <v>13825</v>
      </c>
      <c r="B6253" s="5" t="s">
        <v>13826</v>
      </c>
      <c r="C6253" s="5" t="s">
        <v>38</v>
      </c>
      <c r="D6253" s="5" t="s">
        <v>39</v>
      </c>
      <c r="E6253" s="5" t="s">
        <v>919</v>
      </c>
      <c r="F6253" s="9">
        <v>91</v>
      </c>
      <c r="G6253" s="9">
        <v>1003</v>
      </c>
      <c r="H6253" s="5" t="s">
        <v>21</v>
      </c>
      <c r="I6253" s="5" t="s">
        <v>13859</v>
      </c>
      <c r="J6253" s="12" t="str">
        <f>HYPERLINK("https://www.boe.es/gazeta/dias/1801/09/22/pdfs/GMD-1801-91.pdf#page=6","Abrir facsímil")</f>
        <v>Abrir facsímil</v>
      </c>
      <c r="K6253" s="15" t="s">
        <v>23</v>
      </c>
    </row>
    <row r="6254" spans="1:11" ht="42" customHeight="1">
      <c r="A6254" s="4" t="s">
        <v>13825</v>
      </c>
      <c r="B6254" s="5" t="s">
        <v>13826</v>
      </c>
      <c r="C6254" s="5" t="s">
        <v>38</v>
      </c>
      <c r="D6254" s="5" t="s">
        <v>39</v>
      </c>
      <c r="E6254" s="5" t="s">
        <v>1436</v>
      </c>
      <c r="F6254" s="9">
        <v>95</v>
      </c>
      <c r="G6254" s="9">
        <v>1039</v>
      </c>
      <c r="H6254" s="5" t="s">
        <v>21</v>
      </c>
      <c r="I6254" s="5" t="s">
        <v>13860</v>
      </c>
      <c r="J6254" s="12" t="str">
        <f>HYPERLINK("https://www.boe.es/gazeta/dias/1801/10/06/pdfs/GMD-1801-95.pdf#page=3","Abrir facsímil")</f>
        <v>Abrir facsímil</v>
      </c>
      <c r="K6254" s="15" t="s">
        <v>23</v>
      </c>
    </row>
    <row r="6255" spans="1:11" ht="42" customHeight="1">
      <c r="A6255" s="4" t="s">
        <v>13825</v>
      </c>
      <c r="B6255" s="5" t="s">
        <v>13826</v>
      </c>
      <c r="C6255" s="5" t="s">
        <v>75</v>
      </c>
      <c r="D6255" s="5" t="s">
        <v>76</v>
      </c>
      <c r="E6255" s="5" t="s">
        <v>359</v>
      </c>
      <c r="F6255" s="9">
        <v>101</v>
      </c>
      <c r="G6255" s="9">
        <v>1110</v>
      </c>
      <c r="H6255" s="5" t="s">
        <v>21</v>
      </c>
      <c r="I6255" s="5" t="s">
        <v>13861</v>
      </c>
      <c r="J6255" s="12" t="str">
        <f>HYPERLINK("https://www.boe.es/gazeta/dias/1801/10/27/pdfs/GMD-1801-101.pdf#page=3","Abrir facsímil")</f>
        <v>Abrir facsímil</v>
      </c>
      <c r="K6255" s="15" t="s">
        <v>23</v>
      </c>
    </row>
    <row r="6256" spans="1:11" ht="42" customHeight="1">
      <c r="A6256" s="4" t="s">
        <v>13825</v>
      </c>
      <c r="B6256" s="5" t="s">
        <v>13826</v>
      </c>
      <c r="C6256" s="5" t="s">
        <v>75</v>
      </c>
      <c r="D6256" s="5" t="s">
        <v>76</v>
      </c>
      <c r="E6256" s="5" t="s">
        <v>888</v>
      </c>
      <c r="F6256" s="9">
        <v>103</v>
      </c>
      <c r="G6256" s="9">
        <v>1130</v>
      </c>
      <c r="H6256" s="5" t="s">
        <v>21</v>
      </c>
      <c r="I6256" s="5" t="s">
        <v>13862</v>
      </c>
      <c r="J6256" s="12" t="str">
        <f>HYPERLINK("https://www.boe.es/gazeta/dias/1801/11/03/pdfs/GMD-1801-103.pdf#page=3","Abrir facsímil")</f>
        <v>Abrir facsímil</v>
      </c>
      <c r="K6256" s="15" t="s">
        <v>23</v>
      </c>
    </row>
    <row r="6257" spans="1:11" ht="42" customHeight="1">
      <c r="A6257" s="4" t="s">
        <v>13825</v>
      </c>
      <c r="B6257" s="5" t="s">
        <v>13826</v>
      </c>
      <c r="C6257" s="5" t="s">
        <v>75</v>
      </c>
      <c r="D6257" s="5" t="s">
        <v>76</v>
      </c>
      <c r="E6257" s="5" t="s">
        <v>349</v>
      </c>
      <c r="F6257" s="9">
        <v>112</v>
      </c>
      <c r="G6257" s="9">
        <v>1223</v>
      </c>
      <c r="H6257" s="5" t="s">
        <v>21</v>
      </c>
      <c r="I6257" s="5" t="s">
        <v>13863</v>
      </c>
      <c r="J6257" s="12" t="str">
        <f>HYPERLINK("https://www.boe.es/gazeta/dias/1801/12/04/pdfs/GMD-1801-112.pdf#page=4","Abrir facsímil")</f>
        <v>Abrir facsímil</v>
      </c>
      <c r="K6257" s="15" t="s">
        <v>23</v>
      </c>
    </row>
    <row r="6258" spans="1:11" ht="42" customHeight="1">
      <c r="A6258" s="4" t="s">
        <v>13825</v>
      </c>
      <c r="B6258" s="5" t="s">
        <v>13826</v>
      </c>
      <c r="C6258" s="5" t="s">
        <v>75</v>
      </c>
      <c r="D6258" s="5" t="s">
        <v>76</v>
      </c>
      <c r="E6258" s="5" t="s">
        <v>501</v>
      </c>
      <c r="F6258" s="9">
        <v>115</v>
      </c>
      <c r="G6258" s="9">
        <v>1254</v>
      </c>
      <c r="H6258" s="5" t="s">
        <v>21</v>
      </c>
      <c r="I6258" s="5" t="s">
        <v>13864</v>
      </c>
      <c r="J6258" s="12" t="str">
        <f>HYPERLINK("https://www.boe.es/gazeta/dias/1801/12/15/pdfs/GMD-1801-115.pdf#page=4","Abrir facsímil")</f>
        <v>Abrir facsímil</v>
      </c>
      <c r="K6258" s="15" t="s">
        <v>23</v>
      </c>
    </row>
    <row r="6259" spans="1:11" ht="42" customHeight="1">
      <c r="A6259" s="4" t="s">
        <v>13825</v>
      </c>
      <c r="B6259" s="5" t="s">
        <v>13826</v>
      </c>
      <c r="C6259" s="5" t="s">
        <v>38</v>
      </c>
      <c r="D6259" s="5" t="s">
        <v>39</v>
      </c>
      <c r="E6259" s="5" t="s">
        <v>309</v>
      </c>
      <c r="F6259" s="9">
        <v>118</v>
      </c>
      <c r="G6259" s="9">
        <v>1288</v>
      </c>
      <c r="H6259" s="5" t="s">
        <v>21</v>
      </c>
      <c r="I6259" s="5" t="s">
        <v>13865</v>
      </c>
      <c r="J6259" s="12" t="str">
        <f>HYPERLINK("https://www.boe.es/gazeta/dias/1801/12/25/pdfs/GMD-1801-118.pdf#page=3","Abrir facsímil")</f>
        <v>Abrir facsímil</v>
      </c>
      <c r="K6259" s="15" t="s">
        <v>23</v>
      </c>
    </row>
    <row r="6260" spans="1:11" ht="42" customHeight="1">
      <c r="A6260" s="4" t="s">
        <v>13866</v>
      </c>
      <c r="B6260" s="5" t="s">
        <v>13867</v>
      </c>
      <c r="C6260" s="5" t="s">
        <v>38</v>
      </c>
      <c r="D6260" s="5" t="s">
        <v>39</v>
      </c>
      <c r="E6260" s="5" t="s">
        <v>155</v>
      </c>
      <c r="F6260" s="9">
        <v>50</v>
      </c>
      <c r="G6260" s="9">
        <v>590</v>
      </c>
      <c r="H6260" s="5" t="s">
        <v>21</v>
      </c>
      <c r="I6260" s="5" t="s">
        <v>13868</v>
      </c>
      <c r="J6260" s="12" t="str">
        <f>HYPERLINK("https://www.boe.es/gazeta/dias/1801/06/09/pdfs/GMD-1801-50.pdf#page=2","Abrir facsímil")</f>
        <v>Abrir facsímil</v>
      </c>
      <c r="K6260" s="15" t="s">
        <v>23</v>
      </c>
    </row>
    <row r="6261" spans="1:11" ht="42" customHeight="1">
      <c r="A6261" s="4" t="s">
        <v>13869</v>
      </c>
      <c r="B6261" s="5" t="s">
        <v>13870</v>
      </c>
      <c r="C6261" s="5" t="s">
        <v>75</v>
      </c>
      <c r="D6261" s="5" t="s">
        <v>76</v>
      </c>
      <c r="E6261" s="5" t="s">
        <v>735</v>
      </c>
      <c r="F6261" s="9">
        <v>97</v>
      </c>
      <c r="G6261" s="9">
        <v>1060</v>
      </c>
      <c r="H6261" s="5" t="s">
        <v>21</v>
      </c>
      <c r="I6261" s="5" t="s">
        <v>13871</v>
      </c>
      <c r="J6261" s="12" t="str">
        <f>HYPERLINK("https://www.boe.es/gazeta/dias/1801/10/13/pdfs/GMD-1801-97.pdf#page=4","Abrir facsímil")</f>
        <v>Abrir facsímil</v>
      </c>
      <c r="K6261" s="15" t="s">
        <v>23</v>
      </c>
    </row>
    <row r="6262" spans="1:11" ht="42" customHeight="1">
      <c r="A6262" s="4" t="s">
        <v>13872</v>
      </c>
      <c r="B6262" s="5" t="s">
        <v>13872</v>
      </c>
      <c r="C6262" s="5" t="s">
        <v>75</v>
      </c>
      <c r="D6262" s="5" t="s">
        <v>76</v>
      </c>
      <c r="E6262" s="5" t="s">
        <v>153</v>
      </c>
      <c r="F6262" s="9">
        <v>48</v>
      </c>
      <c r="G6262" s="9">
        <v>582</v>
      </c>
      <c r="H6262" s="5" t="s">
        <v>21</v>
      </c>
      <c r="I6262" s="5" t="s">
        <v>13873</v>
      </c>
      <c r="J6262" s="12" t="str">
        <f>HYPERLINK("https://www.boe.es/gazeta/dias/1801/06/05/pdfs/GMD-1801-48.pdf#page=4","Abrir facsímil")</f>
        <v>Abrir facsímil</v>
      </c>
      <c r="K6262" s="15" t="s">
        <v>23</v>
      </c>
    </row>
    <row r="6263" spans="1:11" ht="42" customHeight="1">
      <c r="A6263" s="4" t="s">
        <v>13874</v>
      </c>
      <c r="B6263" s="5" t="s">
        <v>13874</v>
      </c>
      <c r="C6263" s="5" t="s">
        <v>75</v>
      </c>
      <c r="D6263" s="5" t="s">
        <v>76</v>
      </c>
      <c r="E6263" s="5" t="s">
        <v>97</v>
      </c>
      <c r="F6263" s="9">
        <v>31</v>
      </c>
      <c r="G6263" s="9">
        <v>397</v>
      </c>
      <c r="H6263" s="5" t="s">
        <v>21</v>
      </c>
      <c r="I6263" s="5" t="s">
        <v>13875</v>
      </c>
      <c r="J6263" s="12" t="str">
        <f>HYPERLINK("https://www.boe.es/gazeta/dias/1801/04/17/pdfs/GMD-1801-31.pdf#page=1","Abrir facsímil")</f>
        <v>Abrir facsímil</v>
      </c>
      <c r="K6263" s="15" t="s">
        <v>23</v>
      </c>
    </row>
    <row r="6264" spans="1:11" ht="42" customHeight="1">
      <c r="A6264" s="4" t="s">
        <v>13876</v>
      </c>
      <c r="B6264" s="5" t="s">
        <v>13876</v>
      </c>
      <c r="C6264" s="5" t="s">
        <v>75</v>
      </c>
      <c r="D6264" s="5" t="s">
        <v>76</v>
      </c>
      <c r="E6264" s="5" t="s">
        <v>97</v>
      </c>
      <c r="F6264" s="9">
        <v>31</v>
      </c>
      <c r="G6264" s="9">
        <v>397</v>
      </c>
      <c r="H6264" s="5" t="s">
        <v>21</v>
      </c>
      <c r="I6264" s="5" t="s">
        <v>13877</v>
      </c>
      <c r="J6264" s="12" t="str">
        <f>HYPERLINK("https://www.boe.es/gazeta/dias/1801/04/17/pdfs/GMD-1801-31.pdf#page=1","Abrir facsímil")</f>
        <v>Abrir facsímil</v>
      </c>
      <c r="K6264" s="15" t="s">
        <v>23</v>
      </c>
    </row>
    <row r="6265" spans="1:11" ht="42" customHeight="1">
      <c r="A6265" s="4" t="s">
        <v>13878</v>
      </c>
      <c r="B6265" s="5" t="s">
        <v>13879</v>
      </c>
      <c r="C6265" s="5" t="s">
        <v>75</v>
      </c>
      <c r="D6265" s="5" t="s">
        <v>76</v>
      </c>
      <c r="E6265" s="5" t="s">
        <v>90</v>
      </c>
      <c r="F6265" s="9">
        <v>1</v>
      </c>
      <c r="G6265" s="9">
        <v>6</v>
      </c>
      <c r="H6265" s="5" t="s">
        <v>21</v>
      </c>
      <c r="I6265" s="5" t="s">
        <v>13880</v>
      </c>
      <c r="J6265" s="12" t="str">
        <f>HYPERLINK("https://www.boe.es/gazeta/dias/1801/01/02/pdfs/GMD-1801-1.pdf#page=6","Abrir facsímil")</f>
        <v>Abrir facsímil</v>
      </c>
      <c r="K6265" s="15" t="s">
        <v>23</v>
      </c>
    </row>
    <row r="6266" spans="1:11" ht="42" customHeight="1">
      <c r="A6266" s="4" t="s">
        <v>13878</v>
      </c>
      <c r="B6266" s="5" t="s">
        <v>13879</v>
      </c>
      <c r="C6266" s="5" t="s">
        <v>75</v>
      </c>
      <c r="D6266" s="5" t="s">
        <v>76</v>
      </c>
      <c r="E6266" s="5" t="s">
        <v>120</v>
      </c>
      <c r="F6266" s="9">
        <v>7</v>
      </c>
      <c r="G6266" s="9">
        <v>81</v>
      </c>
      <c r="H6266" s="5" t="s">
        <v>21</v>
      </c>
      <c r="I6266" s="5" t="s">
        <v>13881</v>
      </c>
      <c r="J6266" s="12" t="str">
        <f>HYPERLINK("https://www.boe.es/gazeta/dias/1801/01/23/pdfs/GMD-1801-7.pdf#page=5","Abrir facsímil")</f>
        <v>Abrir facsímil</v>
      </c>
      <c r="K6266" s="15" t="s">
        <v>23</v>
      </c>
    </row>
    <row r="6267" spans="1:11" ht="42" customHeight="1">
      <c r="A6267" s="4" t="s">
        <v>13882</v>
      </c>
      <c r="B6267" s="5" t="s">
        <v>13883</v>
      </c>
      <c r="C6267" s="5" t="s">
        <v>515</v>
      </c>
      <c r="D6267" s="5" t="s">
        <v>516</v>
      </c>
      <c r="E6267" s="5" t="s">
        <v>501</v>
      </c>
      <c r="F6267" s="9">
        <v>115</v>
      </c>
      <c r="G6267" s="9" t="s">
        <v>668</v>
      </c>
      <c r="H6267" s="5" t="s">
        <v>21</v>
      </c>
      <c r="I6267" s="5" t="s">
        <v>13884</v>
      </c>
      <c r="J6267" s="12" t="str">
        <f>HYPERLINK("https://www.boe.es/gazeta/dias/1801/12/15/pdfs/GMD-C-1801-115.pdf#page=1","Abrir facsímil")</f>
        <v>Abrir facsímil</v>
      </c>
      <c r="K6267" s="15" t="s">
        <v>23</v>
      </c>
    </row>
    <row r="6268" spans="1:11" ht="42" customHeight="1">
      <c r="A6268" s="4" t="s">
        <v>13885</v>
      </c>
      <c r="B6268" s="5" t="s">
        <v>13886</v>
      </c>
      <c r="C6268" s="5" t="s">
        <v>18</v>
      </c>
      <c r="D6268" s="5" t="s">
        <v>19</v>
      </c>
      <c r="E6268" s="5" t="s">
        <v>120</v>
      </c>
      <c r="F6268" s="9">
        <v>7</v>
      </c>
      <c r="G6268" s="9">
        <v>87</v>
      </c>
      <c r="H6268" s="5" t="s">
        <v>21</v>
      </c>
      <c r="I6268" s="5" t="s">
        <v>13887</v>
      </c>
      <c r="J6268" s="12" t="str">
        <f>HYPERLINK("https://www.boe.es/gazeta/dias/1801/01/23/pdfs/GMD-1801-7.pdf#page=11","Abrir facsímil")</f>
        <v>Abrir facsímil</v>
      </c>
      <c r="K6268" s="15" t="s">
        <v>23</v>
      </c>
    </row>
    <row r="6269" spans="1:11" ht="42" customHeight="1">
      <c r="A6269" s="4" t="s">
        <v>13888</v>
      </c>
      <c r="B6269" s="5" t="s">
        <v>13889</v>
      </c>
      <c r="C6269" s="5" t="s">
        <v>18</v>
      </c>
      <c r="D6269" s="5" t="s">
        <v>19</v>
      </c>
      <c r="E6269" s="5" t="s">
        <v>352</v>
      </c>
      <c r="F6269" s="9">
        <v>43</v>
      </c>
      <c r="G6269" s="9">
        <v>539</v>
      </c>
      <c r="H6269" s="5" t="s">
        <v>21</v>
      </c>
      <c r="I6269" s="5" t="s">
        <v>13890</v>
      </c>
      <c r="J6269" s="12" t="str">
        <f>HYPERLINK("https://www.boe.es/gazeta/dias/1801/05/26/pdfs/GMD-1801-43.pdf#page=11","Abrir facsímil")</f>
        <v>Abrir facsímil</v>
      </c>
      <c r="K6269" s="15" t="s">
        <v>23</v>
      </c>
    </row>
    <row r="6270" spans="1:11" ht="42" customHeight="1">
      <c r="A6270" s="4" t="s">
        <v>13891</v>
      </c>
      <c r="B6270" s="5" t="s">
        <v>13892</v>
      </c>
      <c r="C6270" s="5" t="s">
        <v>18</v>
      </c>
      <c r="D6270" s="5" t="s">
        <v>19</v>
      </c>
      <c r="E6270" s="5" t="s">
        <v>62</v>
      </c>
      <c r="F6270" s="9">
        <v>6</v>
      </c>
      <c r="G6270" s="9">
        <v>75</v>
      </c>
      <c r="H6270" s="5" t="s">
        <v>21</v>
      </c>
      <c r="I6270" s="5" t="s">
        <v>13893</v>
      </c>
      <c r="J6270" s="12" t="str">
        <f>HYPERLINK("https://www.boe.es/gazeta/dias/1801/01/20/pdfs/GMD-1801-6.pdf#page=11","Abrir facsímil")</f>
        <v>Abrir facsímil</v>
      </c>
      <c r="K6270" s="15" t="s">
        <v>23</v>
      </c>
    </row>
    <row r="6271" spans="1:11" ht="42" customHeight="1">
      <c r="A6271" s="4" t="s">
        <v>13891</v>
      </c>
      <c r="B6271" s="5" t="s">
        <v>13892</v>
      </c>
      <c r="C6271" s="5" t="s">
        <v>18</v>
      </c>
      <c r="D6271" s="5" t="s">
        <v>19</v>
      </c>
      <c r="E6271" s="5" t="s">
        <v>781</v>
      </c>
      <c r="F6271" s="9">
        <v>14</v>
      </c>
      <c r="G6271" s="9">
        <v>175</v>
      </c>
      <c r="H6271" s="5" t="s">
        <v>21</v>
      </c>
      <c r="I6271" s="5" t="s">
        <v>13894</v>
      </c>
      <c r="J6271" s="12" t="str">
        <f>HYPERLINK("https://www.boe.es/gazeta/dias/1801/02/17/pdfs/GMD-1801-14.pdf#page=10","Abrir facsímil")</f>
        <v>Abrir facsímil</v>
      </c>
      <c r="K6271" s="15" t="s">
        <v>23</v>
      </c>
    </row>
    <row r="6272" spans="1:11" ht="42" customHeight="1">
      <c r="A6272" s="4" t="s">
        <v>13891</v>
      </c>
      <c r="B6272" s="5" t="s">
        <v>13892</v>
      </c>
      <c r="C6272" s="5" t="s">
        <v>18</v>
      </c>
      <c r="D6272" s="5" t="s">
        <v>19</v>
      </c>
      <c r="E6272" s="5" t="s">
        <v>190</v>
      </c>
      <c r="F6272" s="9">
        <v>16</v>
      </c>
      <c r="G6272" s="9">
        <v>204</v>
      </c>
      <c r="H6272" s="5" t="s">
        <v>21</v>
      </c>
      <c r="I6272" s="5" t="s">
        <v>13895</v>
      </c>
      <c r="J6272" s="12" t="str">
        <f>HYPERLINK("https://www.boe.es/gazeta/dias/1801/02/24/pdfs/GMD-1801-16.pdf#page=11","Abrir facsímil")</f>
        <v>Abrir facsímil</v>
      </c>
      <c r="K6272" s="15" t="s">
        <v>23</v>
      </c>
    </row>
    <row r="6273" spans="1:11" ht="42" customHeight="1">
      <c r="A6273" s="4" t="s">
        <v>13891</v>
      </c>
      <c r="B6273" s="5" t="s">
        <v>13892</v>
      </c>
      <c r="C6273" s="5" t="s">
        <v>18</v>
      </c>
      <c r="D6273" s="5" t="s">
        <v>19</v>
      </c>
      <c r="E6273" s="5" t="s">
        <v>888</v>
      </c>
      <c r="F6273" s="9">
        <v>103</v>
      </c>
      <c r="G6273" s="9">
        <v>1136</v>
      </c>
      <c r="H6273" s="5" t="s">
        <v>21</v>
      </c>
      <c r="I6273" s="5" t="s">
        <v>13896</v>
      </c>
      <c r="J6273" s="12" t="str">
        <f>HYPERLINK("https://www.boe.es/gazeta/dias/1801/11/03/pdfs/GMD-1801-103.pdf#page=9","Abrir facsímil")</f>
        <v>Abrir facsímil</v>
      </c>
      <c r="K6273" s="15" t="s">
        <v>23</v>
      </c>
    </row>
    <row r="6274" spans="1:11" ht="42" customHeight="1">
      <c r="A6274" s="4" t="s">
        <v>13897</v>
      </c>
      <c r="B6274" s="5" t="s">
        <v>13898</v>
      </c>
      <c r="C6274" s="5" t="s">
        <v>18</v>
      </c>
      <c r="D6274" s="5" t="s">
        <v>19</v>
      </c>
      <c r="E6274" s="5" t="s">
        <v>462</v>
      </c>
      <c r="F6274" s="9">
        <v>5</v>
      </c>
      <c r="G6274" s="9">
        <v>58</v>
      </c>
      <c r="H6274" s="5" t="s">
        <v>21</v>
      </c>
      <c r="I6274" s="5" t="s">
        <v>13899</v>
      </c>
      <c r="J6274" s="12" t="str">
        <f>HYPERLINK("https://www.boe.es/gazeta/dias/1801/01/16/pdfs/GMD-1801-5.pdf#page=10","Abrir facsímil")</f>
        <v>Abrir facsímil</v>
      </c>
      <c r="K6274" s="15" t="s">
        <v>23</v>
      </c>
    </row>
    <row r="6275" spans="1:11" ht="42" customHeight="1">
      <c r="A6275" s="4" t="s">
        <v>13900</v>
      </c>
      <c r="B6275" s="5" t="s">
        <v>13901</v>
      </c>
      <c r="C6275" s="5" t="s">
        <v>18</v>
      </c>
      <c r="D6275" s="5" t="s">
        <v>19</v>
      </c>
      <c r="E6275" s="5" t="s">
        <v>66</v>
      </c>
      <c r="F6275" s="9">
        <v>52</v>
      </c>
      <c r="G6275" s="9">
        <v>609</v>
      </c>
      <c r="H6275" s="5" t="s">
        <v>21</v>
      </c>
      <c r="I6275" s="5" t="s">
        <v>13902</v>
      </c>
      <c r="J6275" s="12" t="str">
        <f>HYPERLINK("https://www.boe.es/gazeta/dias/1801/06/12/pdfs/GMD-1801-52.pdf#page=8","Abrir facsímil")</f>
        <v>Abrir facsímil</v>
      </c>
      <c r="K6275" s="15" t="s">
        <v>23</v>
      </c>
    </row>
    <row r="6276" spans="1:11" ht="42" customHeight="1">
      <c r="A6276" s="4" t="s">
        <v>13903</v>
      </c>
      <c r="B6276" s="5" t="s">
        <v>13903</v>
      </c>
      <c r="C6276" s="5" t="s">
        <v>75</v>
      </c>
      <c r="D6276" s="5" t="s">
        <v>76</v>
      </c>
      <c r="E6276" s="5" t="s">
        <v>462</v>
      </c>
      <c r="F6276" s="9">
        <v>5</v>
      </c>
      <c r="G6276" s="9">
        <v>51</v>
      </c>
      <c r="H6276" s="5" t="s">
        <v>21</v>
      </c>
      <c r="I6276" s="5" t="s">
        <v>13904</v>
      </c>
      <c r="J6276" s="12" t="str">
        <f>HYPERLINK("https://www.boe.es/gazeta/dias/1801/01/16/pdfs/GMD-1801-5.pdf#page=3","Abrir facsímil")</f>
        <v>Abrir facsímil</v>
      </c>
      <c r="K6276" s="15" t="s">
        <v>23</v>
      </c>
    </row>
    <row r="6277" spans="1:11" ht="42" customHeight="1">
      <c r="A6277" s="4" t="s">
        <v>13903</v>
      </c>
      <c r="B6277" s="5" t="s">
        <v>13903</v>
      </c>
      <c r="C6277" s="5" t="s">
        <v>32</v>
      </c>
      <c r="D6277" s="5" t="s">
        <v>33</v>
      </c>
      <c r="E6277" s="5" t="s">
        <v>126</v>
      </c>
      <c r="F6277" s="9">
        <v>13</v>
      </c>
      <c r="G6277" s="9">
        <v>156</v>
      </c>
      <c r="H6277" s="5" t="s">
        <v>21</v>
      </c>
      <c r="I6277" s="5" t="s">
        <v>13905</v>
      </c>
      <c r="J6277" s="12" t="str">
        <f>HYPERLINK("https://www.boe.es/gazeta/dias/1801/02/13/pdfs/GMD-1801-13.pdf#page=3","Abrir facsímil")</f>
        <v>Abrir facsímil</v>
      </c>
      <c r="K6277" s="15" t="s">
        <v>23</v>
      </c>
    </row>
    <row r="6278" spans="1:11" ht="42" customHeight="1">
      <c r="A6278" s="4" t="s">
        <v>13903</v>
      </c>
      <c r="B6278" s="5" t="s">
        <v>13903</v>
      </c>
      <c r="C6278" s="5" t="s">
        <v>38</v>
      </c>
      <c r="D6278" s="5" t="s">
        <v>39</v>
      </c>
      <c r="E6278" s="5" t="s">
        <v>126</v>
      </c>
      <c r="F6278" s="9">
        <v>13</v>
      </c>
      <c r="G6278" s="9">
        <v>157</v>
      </c>
      <c r="H6278" s="5" t="s">
        <v>21</v>
      </c>
      <c r="I6278" s="5" t="s">
        <v>13906</v>
      </c>
      <c r="J6278" s="12" t="str">
        <f>HYPERLINK("https://www.boe.es/gazeta/dias/1801/02/13/pdfs/GMD-1801-13.pdf#page=4","Abrir facsímil")</f>
        <v>Abrir facsímil</v>
      </c>
      <c r="K6278" s="15" t="s">
        <v>23</v>
      </c>
    </row>
    <row r="6279" spans="1:11" ht="42" customHeight="1">
      <c r="A6279" s="4" t="s">
        <v>13903</v>
      </c>
      <c r="B6279" s="5" t="s">
        <v>13903</v>
      </c>
      <c r="C6279" s="5" t="s">
        <v>75</v>
      </c>
      <c r="D6279" s="5" t="s">
        <v>76</v>
      </c>
      <c r="E6279" s="5" t="s">
        <v>2430</v>
      </c>
      <c r="F6279" s="9">
        <v>27</v>
      </c>
      <c r="G6279" s="9">
        <v>351</v>
      </c>
      <c r="H6279" s="5" t="s">
        <v>21</v>
      </c>
      <c r="I6279" s="5" t="s">
        <v>13907</v>
      </c>
      <c r="J6279" s="12" t="str">
        <f>HYPERLINK("https://www.boe.es/gazeta/dias/1801/04/03/pdfs/GMD-1801-27.pdf#page=3","Abrir facsímil")</f>
        <v>Abrir facsímil</v>
      </c>
      <c r="K6279" s="15" t="s">
        <v>23</v>
      </c>
    </row>
    <row r="6280" spans="1:11" ht="42" customHeight="1">
      <c r="A6280" s="4" t="s">
        <v>13908</v>
      </c>
      <c r="B6280" s="5" t="s">
        <v>13908</v>
      </c>
      <c r="C6280" s="5" t="s">
        <v>75</v>
      </c>
      <c r="D6280" s="5" t="s">
        <v>76</v>
      </c>
      <c r="E6280" s="5" t="s">
        <v>292</v>
      </c>
      <c r="F6280" s="9">
        <v>25</v>
      </c>
      <c r="G6280" s="9">
        <v>327</v>
      </c>
      <c r="H6280" s="5" t="s">
        <v>21</v>
      </c>
      <c r="I6280" s="5" t="s">
        <v>13909</v>
      </c>
      <c r="J6280" s="12" t="str">
        <f>HYPERLINK("https://www.boe.es/gazeta/dias/1801/03/27/pdfs/GMD-1801-25.pdf#page=6","Abrir facsímil")</f>
        <v>Abrir facsímil</v>
      </c>
      <c r="K6280" s="15" t="s">
        <v>23</v>
      </c>
    </row>
    <row r="6281" spans="1:11" ht="42" customHeight="1">
      <c r="A6281" s="4" t="s">
        <v>13908</v>
      </c>
      <c r="B6281" s="5" t="s">
        <v>13908</v>
      </c>
      <c r="C6281" s="5" t="s">
        <v>75</v>
      </c>
      <c r="D6281" s="5" t="s">
        <v>76</v>
      </c>
      <c r="E6281" s="5" t="s">
        <v>292</v>
      </c>
      <c r="F6281" s="9">
        <v>25</v>
      </c>
      <c r="G6281" s="9">
        <v>328</v>
      </c>
      <c r="H6281" s="5" t="s">
        <v>21</v>
      </c>
      <c r="I6281" s="5" t="s">
        <v>13910</v>
      </c>
      <c r="J6281" s="12" t="str">
        <f>HYPERLINK("https://www.boe.es/gazeta/dias/1801/03/27/pdfs/GMD-1801-25.pdf#page=7","Abrir facsímil")</f>
        <v>Abrir facsímil</v>
      </c>
      <c r="K6281" s="15" t="s">
        <v>23</v>
      </c>
    </row>
    <row r="6282" spans="1:11" ht="42" customHeight="1">
      <c r="A6282" s="4" t="s">
        <v>13911</v>
      </c>
      <c r="B6282" s="5" t="s">
        <v>13911</v>
      </c>
      <c r="C6282" s="5" t="s">
        <v>69</v>
      </c>
      <c r="D6282" s="5" t="s">
        <v>19</v>
      </c>
      <c r="E6282" s="5" t="s">
        <v>105</v>
      </c>
      <c r="F6282" s="9">
        <v>44</v>
      </c>
      <c r="G6282" s="9">
        <v>549</v>
      </c>
      <c r="H6282" s="5" t="s">
        <v>21</v>
      </c>
      <c r="I6282" s="5" t="s">
        <v>13912</v>
      </c>
      <c r="J6282" s="12" t="str">
        <f>HYPERLINK("https://www.boe.es/gazeta/dias/1801/05/29/pdfs/GMD-1801-44.pdf#page=9","Abrir facsímil")</f>
        <v>Abrir facsímil</v>
      </c>
      <c r="K6282" s="15" t="s">
        <v>23</v>
      </c>
    </row>
    <row r="6283" spans="1:11" ht="42" customHeight="1">
      <c r="A6283" s="4" t="s">
        <v>13913</v>
      </c>
      <c r="B6283" s="5" t="s">
        <v>13913</v>
      </c>
      <c r="C6283" s="5" t="s">
        <v>75</v>
      </c>
      <c r="D6283" s="5" t="s">
        <v>76</v>
      </c>
      <c r="E6283" s="5" t="s">
        <v>94</v>
      </c>
      <c r="F6283" s="9">
        <v>19</v>
      </c>
      <c r="G6283" s="9">
        <v>246</v>
      </c>
      <c r="H6283" s="5" t="s">
        <v>21</v>
      </c>
      <c r="I6283" s="5" t="s">
        <v>13914</v>
      </c>
      <c r="J6283" s="12" t="str">
        <f>HYPERLINK("https://www.boe.es/gazeta/dias/1801/03/06/pdfs/GMD-1801-19.pdf#page=11","Abrir facsímil")</f>
        <v>Abrir facsímil</v>
      </c>
      <c r="K6283" s="15" t="s">
        <v>23</v>
      </c>
    </row>
    <row r="6284" spans="1:11" ht="42" customHeight="1">
      <c r="A6284" s="4" t="s">
        <v>13915</v>
      </c>
      <c r="B6284" s="5" t="s">
        <v>13915</v>
      </c>
      <c r="C6284" s="5" t="s">
        <v>80</v>
      </c>
      <c r="D6284" s="5" t="s">
        <v>81</v>
      </c>
      <c r="E6284" s="5" t="s">
        <v>289</v>
      </c>
      <c r="F6284" s="9">
        <v>40</v>
      </c>
      <c r="G6284" s="9" t="s">
        <v>996</v>
      </c>
      <c r="H6284" s="5" t="s">
        <v>21</v>
      </c>
      <c r="I6284" s="5" t="s">
        <v>13916</v>
      </c>
      <c r="J6284" s="12" t="str">
        <f>HYPERLINK("https://www.boe.es/gazeta/dias/1801/05/19/pdfs/GMD-C-1801-40.pdf#page=6","Abrir facsímil")</f>
        <v>Abrir facsímil</v>
      </c>
      <c r="K6284" s="15" t="s">
        <v>23</v>
      </c>
    </row>
    <row r="6285" spans="1:11" ht="42" customHeight="1">
      <c r="A6285" s="4" t="s">
        <v>13917</v>
      </c>
      <c r="B6285" s="5" t="s">
        <v>13917</v>
      </c>
      <c r="C6285" s="5" t="s">
        <v>26</v>
      </c>
      <c r="D6285" s="5" t="s">
        <v>27</v>
      </c>
      <c r="E6285" s="5" t="s">
        <v>124</v>
      </c>
      <c r="F6285" s="9">
        <v>12</v>
      </c>
      <c r="G6285" s="9">
        <v>151</v>
      </c>
      <c r="H6285" s="5" t="s">
        <v>21</v>
      </c>
      <c r="I6285" s="5" t="s">
        <v>13918</v>
      </c>
      <c r="J6285" s="12" t="str">
        <f>HYPERLINK("https://www.boe.es/gazeta/dias/1801/02/10/pdfs/GMD-1801-12.pdf#page=12","Abrir facsímil")</f>
        <v>Abrir facsímil</v>
      </c>
      <c r="K6285" s="15" t="s">
        <v>23</v>
      </c>
    </row>
    <row r="6286" spans="1:11" ht="42" customHeight="1">
      <c r="A6286" s="4" t="s">
        <v>13917</v>
      </c>
      <c r="B6286" s="5" t="s">
        <v>13917</v>
      </c>
      <c r="C6286" s="5" t="s">
        <v>32</v>
      </c>
      <c r="D6286" s="5" t="s">
        <v>33</v>
      </c>
      <c r="E6286" s="5" t="s">
        <v>501</v>
      </c>
      <c r="F6286" s="9">
        <v>115</v>
      </c>
      <c r="G6286" s="9" t="s">
        <v>517</v>
      </c>
      <c r="H6286" s="5" t="s">
        <v>21</v>
      </c>
      <c r="I6286" s="5" t="s">
        <v>13919</v>
      </c>
      <c r="J6286" s="12" t="str">
        <f>HYPERLINK("https://www.boe.es/gazeta/dias/1801/12/15/pdfs/GMD-C-1801-115.pdf#page=7","Abrir facsímil")</f>
        <v>Abrir facsímil</v>
      </c>
      <c r="K6286" s="15" t="s">
        <v>23</v>
      </c>
    </row>
    <row r="6287" spans="1:11" ht="42" customHeight="1">
      <c r="A6287" s="4" t="s">
        <v>13920</v>
      </c>
      <c r="B6287" s="5" t="s">
        <v>13921</v>
      </c>
      <c r="C6287" s="5" t="s">
        <v>75</v>
      </c>
      <c r="D6287" s="5" t="s">
        <v>76</v>
      </c>
      <c r="E6287" s="5" t="s">
        <v>313</v>
      </c>
      <c r="F6287" s="9">
        <v>39</v>
      </c>
      <c r="G6287" s="9">
        <v>504</v>
      </c>
      <c r="H6287" s="5" t="s">
        <v>21</v>
      </c>
      <c r="I6287" s="5" t="s">
        <v>13922</v>
      </c>
      <c r="J6287" s="12" t="str">
        <f>HYPERLINK("https://www.boe.es/gazeta/dias/1801/05/15/pdfs/GMD-1801-39.pdf#page=8","Abrir facsímil")</f>
        <v>Abrir facsímil</v>
      </c>
      <c r="K6287" s="15" t="s">
        <v>23</v>
      </c>
    </row>
    <row r="6288" spans="1:11" ht="42" customHeight="1">
      <c r="A6288" s="4" t="s">
        <v>13923</v>
      </c>
      <c r="B6288" s="5" t="s">
        <v>13924</v>
      </c>
      <c r="C6288" s="5" t="s">
        <v>32</v>
      </c>
      <c r="D6288" s="5" t="s">
        <v>33</v>
      </c>
      <c r="E6288" s="5" t="s">
        <v>462</v>
      </c>
      <c r="F6288" s="9">
        <v>5</v>
      </c>
      <c r="G6288" s="9">
        <v>57</v>
      </c>
      <c r="H6288" s="5" t="s">
        <v>21</v>
      </c>
      <c r="I6288" s="5" t="s">
        <v>13925</v>
      </c>
      <c r="J6288" s="12" t="str">
        <f>HYPERLINK("https://www.boe.es/gazeta/dias/1801/01/16/pdfs/GMD-1801-5.pdf#page=9","Abrir facsímil")</f>
        <v>Abrir facsímil</v>
      </c>
      <c r="K6288" s="15" t="s">
        <v>23</v>
      </c>
    </row>
    <row r="6289" spans="1:11" ht="42" customHeight="1">
      <c r="A6289" s="4" t="s">
        <v>13926</v>
      </c>
      <c r="B6289" s="5" t="s">
        <v>13927</v>
      </c>
      <c r="C6289" s="5" t="s">
        <v>80</v>
      </c>
      <c r="D6289" s="5" t="s">
        <v>81</v>
      </c>
      <c r="E6289" s="5" t="s">
        <v>289</v>
      </c>
      <c r="F6289" s="9">
        <v>40</v>
      </c>
      <c r="G6289" s="9" t="s">
        <v>299</v>
      </c>
      <c r="H6289" s="5" t="s">
        <v>21</v>
      </c>
      <c r="I6289" s="5" t="s">
        <v>13928</v>
      </c>
      <c r="J6289" s="12" t="str">
        <f>HYPERLINK("https://www.boe.es/gazeta/dias/1801/05/19/pdfs/GMD-C-1801-40.pdf#page=5","Abrir facsímil")</f>
        <v>Abrir facsímil</v>
      </c>
      <c r="K6289" s="15" t="s">
        <v>23</v>
      </c>
    </row>
    <row r="6290" spans="1:11" ht="42" customHeight="1">
      <c r="A6290" s="4" t="s">
        <v>13929</v>
      </c>
      <c r="B6290" s="5" t="s">
        <v>13930</v>
      </c>
      <c r="C6290" s="5" t="s">
        <v>32</v>
      </c>
      <c r="D6290" s="5" t="s">
        <v>33</v>
      </c>
      <c r="E6290" s="5" t="s">
        <v>99</v>
      </c>
      <c r="F6290" s="9">
        <v>32</v>
      </c>
      <c r="G6290" s="9">
        <v>405</v>
      </c>
      <c r="H6290" s="5" t="s">
        <v>21</v>
      </c>
      <c r="I6290" s="5" t="s">
        <v>13931</v>
      </c>
      <c r="J6290" s="12" t="str">
        <f>HYPERLINK("https://www.boe.es/gazeta/dias/1801/04/21/pdfs/GMD-1801-32.pdf#page=1","Abrir facsímil")</f>
        <v>Abrir facsímil</v>
      </c>
      <c r="K6290" s="15" t="s">
        <v>23</v>
      </c>
    </row>
    <row r="6291" spans="1:11" ht="42" customHeight="1">
      <c r="A6291" s="4" t="s">
        <v>13932</v>
      </c>
      <c r="B6291" s="5" t="s">
        <v>13933</v>
      </c>
      <c r="C6291" s="5" t="s">
        <v>18</v>
      </c>
      <c r="D6291" s="5" t="s">
        <v>19</v>
      </c>
      <c r="E6291" s="5" t="s">
        <v>124</v>
      </c>
      <c r="F6291" s="9">
        <v>12</v>
      </c>
      <c r="G6291" s="9">
        <v>150</v>
      </c>
      <c r="H6291" s="5" t="s">
        <v>21</v>
      </c>
      <c r="I6291" s="5" t="s">
        <v>13934</v>
      </c>
      <c r="J6291" s="12" t="str">
        <f>HYPERLINK("https://www.boe.es/gazeta/dias/1801/02/10/pdfs/GMD-1801-12.pdf#page=11","Abrir facsímil")</f>
        <v>Abrir facsímil</v>
      </c>
      <c r="K6291" s="15" t="s">
        <v>23</v>
      </c>
    </row>
    <row r="6292" spans="1:11" ht="42" customHeight="1">
      <c r="A6292" s="4" t="s">
        <v>13935</v>
      </c>
      <c r="B6292" s="5" t="s">
        <v>13936</v>
      </c>
      <c r="C6292" s="5" t="s">
        <v>32</v>
      </c>
      <c r="D6292" s="5" t="s">
        <v>33</v>
      </c>
      <c r="E6292" s="5" t="s">
        <v>1015</v>
      </c>
      <c r="F6292" s="9">
        <v>15</v>
      </c>
      <c r="G6292" s="9">
        <v>191</v>
      </c>
      <c r="H6292" s="5" t="s">
        <v>21</v>
      </c>
      <c r="I6292" s="5" t="s">
        <v>13937</v>
      </c>
      <c r="J6292" s="12" t="str">
        <f>HYPERLINK("https://www.boe.es/gazeta/dias/1801/02/20/pdfs/GMD-1801-15.pdf#page=10","Abrir facsímil")</f>
        <v>Abrir facsímil</v>
      </c>
      <c r="K6292" s="15" t="s">
        <v>23</v>
      </c>
    </row>
    <row r="6293" spans="1:11" ht="42" customHeight="1">
      <c r="A6293" s="4" t="s">
        <v>13938</v>
      </c>
      <c r="B6293" s="5" t="s">
        <v>13939</v>
      </c>
      <c r="C6293" s="5" t="s">
        <v>80</v>
      </c>
      <c r="D6293" s="5" t="s">
        <v>81</v>
      </c>
      <c r="E6293" s="5" t="s">
        <v>289</v>
      </c>
      <c r="F6293" s="9">
        <v>40</v>
      </c>
      <c r="G6293" s="9" t="s">
        <v>517</v>
      </c>
      <c r="H6293" s="5" t="s">
        <v>21</v>
      </c>
      <c r="I6293" s="5" t="s">
        <v>13940</v>
      </c>
      <c r="J6293" s="12" t="str">
        <f>HYPERLINK("https://www.boe.es/gazeta/dias/1801/05/19/pdfs/GMD-C-1801-40.pdf#page=7","Abrir facsímil")</f>
        <v>Abrir facsímil</v>
      </c>
      <c r="K6293" s="15" t="s">
        <v>23</v>
      </c>
    </row>
    <row r="6294" spans="1:11" ht="42" customHeight="1">
      <c r="A6294" s="4" t="s">
        <v>13941</v>
      </c>
      <c r="B6294" s="5" t="s">
        <v>13942</v>
      </c>
      <c r="C6294" s="5" t="s">
        <v>80</v>
      </c>
      <c r="D6294" s="5" t="s">
        <v>81</v>
      </c>
      <c r="E6294" s="5" t="s">
        <v>289</v>
      </c>
      <c r="F6294" s="9">
        <v>40</v>
      </c>
      <c r="G6294" s="9" t="s">
        <v>83</v>
      </c>
      <c r="H6294" s="5" t="s">
        <v>21</v>
      </c>
      <c r="I6294" s="5" t="s">
        <v>13943</v>
      </c>
      <c r="J6294" s="12" t="str">
        <f>HYPERLINK("https://www.boe.es/gazeta/dias/1801/05/19/pdfs/GMD-C-1801-40.pdf#page=2","Abrir facsímil")</f>
        <v>Abrir facsímil</v>
      </c>
      <c r="K6294" s="15" t="s">
        <v>23</v>
      </c>
    </row>
    <row r="6295" spans="1:11" ht="42" customHeight="1">
      <c r="A6295" s="4" t="s">
        <v>13944</v>
      </c>
      <c r="B6295" s="5" t="s">
        <v>13945</v>
      </c>
      <c r="C6295" s="5" t="s">
        <v>38</v>
      </c>
      <c r="D6295" s="5" t="s">
        <v>39</v>
      </c>
      <c r="E6295" s="5" t="s">
        <v>124</v>
      </c>
      <c r="F6295" s="9">
        <v>12</v>
      </c>
      <c r="G6295" s="9">
        <v>148</v>
      </c>
      <c r="H6295" s="5" t="s">
        <v>21</v>
      </c>
      <c r="I6295" s="5" t="s">
        <v>13946</v>
      </c>
      <c r="J6295" s="12" t="str">
        <f>HYPERLINK("https://www.boe.es/gazeta/dias/1801/02/10/pdfs/GMD-1801-12.pdf#page=9","Abrir facsímil")</f>
        <v>Abrir facsímil</v>
      </c>
      <c r="K6295" s="15" t="s">
        <v>23</v>
      </c>
    </row>
    <row r="6296" spans="1:11" ht="42" customHeight="1">
      <c r="A6296" s="4" t="s">
        <v>13947</v>
      </c>
      <c r="B6296" s="5" t="s">
        <v>13948</v>
      </c>
      <c r="C6296" s="5" t="s">
        <v>515</v>
      </c>
      <c r="D6296" s="5" t="s">
        <v>516</v>
      </c>
      <c r="E6296" s="5" t="s">
        <v>182</v>
      </c>
      <c r="F6296" s="9">
        <v>18</v>
      </c>
      <c r="G6296" s="9">
        <v>235</v>
      </c>
      <c r="H6296" s="5" t="s">
        <v>21</v>
      </c>
      <c r="I6296" s="5" t="s">
        <v>13949</v>
      </c>
      <c r="J6296" s="12" t="str">
        <f>HYPERLINK("https://www.boe.es/gazeta/dias/1801/03/03/pdfs/GMD-C-1801-18.pdf#page=4","Abrir facsímil")</f>
        <v>Abrir facsímil</v>
      </c>
      <c r="K6296" s="15" t="s">
        <v>23</v>
      </c>
    </row>
    <row r="6297" spans="1:11" ht="42" customHeight="1">
      <c r="A6297" s="4" t="s">
        <v>13947</v>
      </c>
      <c r="B6297" s="5" t="s">
        <v>13948</v>
      </c>
      <c r="C6297" s="5" t="s">
        <v>18</v>
      </c>
      <c r="D6297" s="5" t="s">
        <v>19</v>
      </c>
      <c r="E6297" s="5" t="s">
        <v>94</v>
      </c>
      <c r="F6297" s="9">
        <v>19</v>
      </c>
      <c r="G6297" s="9">
        <v>253</v>
      </c>
      <c r="H6297" s="5" t="s">
        <v>21</v>
      </c>
      <c r="I6297" s="5" t="s">
        <v>13950</v>
      </c>
      <c r="J6297" s="12" t="str">
        <f>HYPERLINK("https://www.boe.es/gazeta/dias/1801/03/06/pdfs/GMD-C-1801-19.pdf#page=6","Abrir facsímil")</f>
        <v>Abrir facsímil</v>
      </c>
      <c r="K6297" s="15" t="s">
        <v>23</v>
      </c>
    </row>
    <row r="6298" spans="1:11" ht="42" customHeight="1">
      <c r="A6298" s="4" t="s">
        <v>13951</v>
      </c>
      <c r="B6298" s="5" t="s">
        <v>13951</v>
      </c>
      <c r="C6298" s="5" t="s">
        <v>18</v>
      </c>
      <c r="D6298" s="5" t="s">
        <v>19</v>
      </c>
      <c r="E6298" s="5" t="s">
        <v>141</v>
      </c>
      <c r="F6298" s="9">
        <v>33</v>
      </c>
      <c r="G6298" s="9">
        <v>419</v>
      </c>
      <c r="H6298" s="5" t="s">
        <v>21</v>
      </c>
      <c r="I6298" s="5" t="s">
        <v>13952</v>
      </c>
      <c r="J6298" s="12" t="str">
        <f>HYPERLINK("https://www.boe.es/gazeta/dias/1801/04/24/pdfs/GMD-1801-33.pdf#page=3","Abrir facsímil")</f>
        <v>Abrir facsímil</v>
      </c>
      <c r="K6298" s="15" t="s">
        <v>23</v>
      </c>
    </row>
    <row r="6299" spans="1:11" ht="42" customHeight="1">
      <c r="A6299" s="4" t="s">
        <v>13953</v>
      </c>
      <c r="B6299" s="5" t="s">
        <v>13954</v>
      </c>
      <c r="C6299" s="5" t="s">
        <v>32</v>
      </c>
      <c r="D6299" s="5" t="s">
        <v>33</v>
      </c>
      <c r="E6299" s="5" t="s">
        <v>256</v>
      </c>
      <c r="F6299" s="9">
        <v>78</v>
      </c>
      <c r="G6299" s="9">
        <v>880</v>
      </c>
      <c r="H6299" s="5" t="s">
        <v>21</v>
      </c>
      <c r="I6299" s="5" t="s">
        <v>13955</v>
      </c>
      <c r="J6299" s="12" t="str">
        <f>HYPERLINK("https://www.boe.es/gazeta/dias/1801/08/14/pdfs/GMD-1801-78.pdf#page=9","Abrir facsímil")</f>
        <v>Abrir facsímil</v>
      </c>
      <c r="K6299" s="15" t="s">
        <v>23</v>
      </c>
    </row>
    <row r="6300" spans="1:11" ht="42" customHeight="1">
      <c r="A6300" s="4" t="s">
        <v>13953</v>
      </c>
      <c r="B6300" s="5" t="s">
        <v>13954</v>
      </c>
      <c r="C6300" s="5" t="s">
        <v>38</v>
      </c>
      <c r="D6300" s="5" t="s">
        <v>39</v>
      </c>
      <c r="E6300" s="5" t="s">
        <v>44</v>
      </c>
      <c r="F6300" s="9">
        <v>117</v>
      </c>
      <c r="G6300" s="9">
        <v>1280</v>
      </c>
      <c r="H6300" s="5" t="s">
        <v>21</v>
      </c>
      <c r="I6300" s="5" t="s">
        <v>13956</v>
      </c>
      <c r="J6300" s="12" t="str">
        <f>HYPERLINK("https://www.boe.es/gazeta/dias/1801/12/22/pdfs/GMD-1801-117.pdf#page=7","Abrir facsímil")</f>
        <v>Abrir facsímil</v>
      </c>
      <c r="K6300" s="15" t="s">
        <v>23</v>
      </c>
    </row>
    <row r="6301" spans="1:11" ht="42" customHeight="1">
      <c r="A6301" s="4" t="s">
        <v>13953</v>
      </c>
      <c r="B6301" s="5" t="s">
        <v>13954</v>
      </c>
      <c r="C6301" s="5" t="s">
        <v>32</v>
      </c>
      <c r="D6301" s="5" t="s">
        <v>33</v>
      </c>
      <c r="E6301" s="5" t="s">
        <v>266</v>
      </c>
      <c r="F6301" s="9">
        <v>119</v>
      </c>
      <c r="G6301" s="9">
        <v>1303</v>
      </c>
      <c r="H6301" s="5" t="s">
        <v>21</v>
      </c>
      <c r="I6301" s="5" t="s">
        <v>13957</v>
      </c>
      <c r="J6301" s="12" t="str">
        <f>HYPERLINK("https://www.boe.es/gazeta/dias/1801/12/29/pdfs/GMD-1801-119.pdf#page=7","Abrir facsímil")</f>
        <v>Abrir facsímil</v>
      </c>
      <c r="K6301" s="15" t="s">
        <v>23</v>
      </c>
    </row>
    <row r="6302" spans="1:11" ht="42" customHeight="1">
      <c r="A6302" s="4" t="s">
        <v>13958</v>
      </c>
      <c r="B6302" s="5" t="s">
        <v>13959</v>
      </c>
      <c r="C6302" s="5" t="s">
        <v>26</v>
      </c>
      <c r="D6302" s="5" t="s">
        <v>27</v>
      </c>
      <c r="E6302" s="5" t="s">
        <v>20</v>
      </c>
      <c r="F6302" s="9">
        <v>37</v>
      </c>
      <c r="G6302" s="9">
        <v>484</v>
      </c>
      <c r="H6302" s="5" t="s">
        <v>21</v>
      </c>
      <c r="I6302" s="5" t="s">
        <v>13960</v>
      </c>
      <c r="J6302" s="12" t="str">
        <f>HYPERLINK("https://www.boe.es/gazeta/dias/1801/05/08/pdfs/GMD-1801-37.pdf#page=12","Abrir facsímil")</f>
        <v>Abrir facsímil</v>
      </c>
      <c r="K6302" s="15" t="s">
        <v>23</v>
      </c>
    </row>
    <row r="6303" spans="1:11" ht="42" customHeight="1">
      <c r="A6303" s="4" t="s">
        <v>13961</v>
      </c>
      <c r="B6303" s="5" t="s">
        <v>13962</v>
      </c>
      <c r="C6303" s="5" t="s">
        <v>75</v>
      </c>
      <c r="D6303" s="5" t="s">
        <v>76</v>
      </c>
      <c r="E6303" s="5" t="s">
        <v>145</v>
      </c>
      <c r="F6303" s="9">
        <v>36</v>
      </c>
      <c r="G6303" s="9">
        <v>469</v>
      </c>
      <c r="H6303" s="5" t="s">
        <v>21</v>
      </c>
      <c r="I6303" s="5" t="s">
        <v>13963</v>
      </c>
      <c r="J6303" s="12" t="str">
        <f>HYPERLINK("https://www.boe.es/gazeta/dias/1801/05/05/pdfs/GMD-1801-36.pdf#page=13","Abrir facsímil")</f>
        <v>Abrir facsímil</v>
      </c>
      <c r="K6303" s="15" t="s">
        <v>23</v>
      </c>
    </row>
    <row r="6304" spans="1:11" ht="42" customHeight="1">
      <c r="A6304" s="4" t="s">
        <v>13964</v>
      </c>
      <c r="B6304" s="5" t="s">
        <v>13965</v>
      </c>
      <c r="C6304" s="5" t="s">
        <v>80</v>
      </c>
      <c r="D6304" s="5" t="s">
        <v>81</v>
      </c>
      <c r="E6304" s="5" t="s">
        <v>289</v>
      </c>
      <c r="F6304" s="9">
        <v>40</v>
      </c>
      <c r="G6304" s="9" t="s">
        <v>517</v>
      </c>
      <c r="H6304" s="5" t="s">
        <v>21</v>
      </c>
      <c r="I6304" s="5" t="s">
        <v>13966</v>
      </c>
      <c r="J6304" s="12" t="str">
        <f>HYPERLINK("https://www.boe.es/gazeta/dias/1801/05/19/pdfs/GMD-C-1801-40.pdf#page=7","Abrir facsímil")</f>
        <v>Abrir facsímil</v>
      </c>
      <c r="K6304" s="15" t="s">
        <v>23</v>
      </c>
    </row>
    <row r="6305" spans="1:11" ht="42" customHeight="1">
      <c r="A6305" s="4" t="s">
        <v>13967</v>
      </c>
      <c r="B6305" s="5" t="s">
        <v>13968</v>
      </c>
      <c r="C6305" s="5" t="s">
        <v>32</v>
      </c>
      <c r="D6305" s="5" t="s">
        <v>33</v>
      </c>
      <c r="E6305" s="5" t="s">
        <v>165</v>
      </c>
      <c r="F6305" s="9">
        <v>59</v>
      </c>
      <c r="G6305" s="9">
        <v>676</v>
      </c>
      <c r="H6305" s="5" t="s">
        <v>21</v>
      </c>
      <c r="I6305" s="5" t="s">
        <v>13969</v>
      </c>
      <c r="J6305" s="12" t="str">
        <f>HYPERLINK("https://www.boe.es/gazeta/dias/1801/06/23/pdfs/GMD-1801-59.pdf#page=9","Abrir facsímil")</f>
        <v>Abrir facsímil</v>
      </c>
      <c r="K6305" s="15" t="s">
        <v>23</v>
      </c>
    </row>
    <row r="6306" spans="1:11" ht="42" customHeight="1">
      <c r="A6306" s="4" t="s">
        <v>13970</v>
      </c>
      <c r="B6306" s="5" t="s">
        <v>13971</v>
      </c>
      <c r="C6306" s="5" t="s">
        <v>32</v>
      </c>
      <c r="D6306" s="5" t="s">
        <v>33</v>
      </c>
      <c r="E6306" s="5" t="s">
        <v>313</v>
      </c>
      <c r="F6306" s="9">
        <v>39</v>
      </c>
      <c r="G6306" s="9">
        <v>506</v>
      </c>
      <c r="H6306" s="5" t="s">
        <v>21</v>
      </c>
      <c r="I6306" s="5" t="s">
        <v>13972</v>
      </c>
      <c r="J6306" s="12" t="str">
        <f>HYPERLINK("https://www.boe.es/gazeta/dias/1801/05/15/pdfs/GMD-1801-39.pdf#page=10","Abrir facsímil")</f>
        <v>Abrir facsímil</v>
      </c>
      <c r="K6306" s="15" t="s">
        <v>23</v>
      </c>
    </row>
    <row r="6307" spans="1:11" ht="42" customHeight="1">
      <c r="A6307" s="4" t="s">
        <v>13973</v>
      </c>
      <c r="B6307" s="5" t="s">
        <v>13974</v>
      </c>
      <c r="C6307" s="5" t="s">
        <v>32</v>
      </c>
      <c r="D6307" s="5" t="s">
        <v>33</v>
      </c>
      <c r="E6307" s="5" t="s">
        <v>321</v>
      </c>
      <c r="F6307" s="9">
        <v>3</v>
      </c>
      <c r="G6307" s="9">
        <v>33</v>
      </c>
      <c r="H6307" s="5" t="s">
        <v>21</v>
      </c>
      <c r="I6307" s="5" t="s">
        <v>13975</v>
      </c>
      <c r="J6307" s="12" t="str">
        <f>HYPERLINK("https://www.boe.es/gazeta/dias/1801/01/09/pdfs/GMD-1801-3.pdf#page=9","Abrir facsímil")</f>
        <v>Abrir facsímil</v>
      </c>
      <c r="K6307" s="15" t="s">
        <v>23</v>
      </c>
    </row>
    <row r="6308" spans="1:11" ht="42" customHeight="1">
      <c r="A6308" s="4" t="s">
        <v>13976</v>
      </c>
      <c r="B6308" s="5" t="s">
        <v>13977</v>
      </c>
      <c r="C6308" s="5" t="s">
        <v>38</v>
      </c>
      <c r="D6308" s="5" t="s">
        <v>39</v>
      </c>
      <c r="E6308" s="5" t="s">
        <v>90</v>
      </c>
      <c r="F6308" s="9">
        <v>1</v>
      </c>
      <c r="G6308" s="9">
        <v>9</v>
      </c>
      <c r="H6308" s="5" t="s">
        <v>21</v>
      </c>
      <c r="I6308" s="5" t="s">
        <v>13978</v>
      </c>
      <c r="J6308" s="12" t="str">
        <f>HYPERLINK("https://www.boe.es/gazeta/dias/1801/01/02/pdfs/GMD-1801-1.pdf#page=9","Abrir facsímil")</f>
        <v>Abrir facsímil</v>
      </c>
      <c r="K6308" s="15" t="s">
        <v>23</v>
      </c>
    </row>
    <row r="6309" spans="1:11" ht="42" customHeight="1">
      <c r="A6309" s="4" t="s">
        <v>13979</v>
      </c>
      <c r="B6309" s="5" t="s">
        <v>13980</v>
      </c>
      <c r="C6309" s="5" t="s">
        <v>32</v>
      </c>
      <c r="D6309" s="5" t="s">
        <v>33</v>
      </c>
      <c r="E6309" s="5" t="s">
        <v>262</v>
      </c>
      <c r="F6309" s="9">
        <v>109</v>
      </c>
      <c r="G6309" s="9">
        <v>1204</v>
      </c>
      <c r="H6309" s="5" t="s">
        <v>21</v>
      </c>
      <c r="I6309" s="5" t="s">
        <v>13981</v>
      </c>
      <c r="J6309" s="12" t="str">
        <f>HYPERLINK("https://www.boe.es/gazeta/dias/1801/11/24/pdfs/GMD-1801-109.pdf#page=9","Abrir facsímil")</f>
        <v>Abrir facsímil</v>
      </c>
      <c r="K6309" s="15" t="s">
        <v>23</v>
      </c>
    </row>
    <row r="6310" spans="1:11" ht="42" customHeight="1">
      <c r="A6310" s="4" t="s">
        <v>13982</v>
      </c>
      <c r="B6310" s="5" t="s">
        <v>13982</v>
      </c>
      <c r="C6310" s="5" t="s">
        <v>32</v>
      </c>
      <c r="D6310" s="5" t="s">
        <v>33</v>
      </c>
      <c r="E6310" s="5" t="s">
        <v>712</v>
      </c>
      <c r="F6310" s="9">
        <v>105</v>
      </c>
      <c r="G6310" s="9">
        <v>1154</v>
      </c>
      <c r="H6310" s="5" t="s">
        <v>21</v>
      </c>
      <c r="I6310" s="5" t="s">
        <v>13983</v>
      </c>
      <c r="J6310" s="12" t="str">
        <f>HYPERLINK("https://www.boe.es/gazeta/dias/1801/11/10/pdfs/GMD-1801-105.pdf#page=7","Abrir facsímil")</f>
        <v>Abrir facsímil</v>
      </c>
      <c r="K6310" s="15" t="s">
        <v>23</v>
      </c>
    </row>
    <row r="6311" spans="1:11" ht="42" customHeight="1">
      <c r="A6311" s="4" t="s">
        <v>13984</v>
      </c>
      <c r="B6311" s="5" t="s">
        <v>13985</v>
      </c>
      <c r="C6311" s="5" t="s">
        <v>75</v>
      </c>
      <c r="D6311" s="5" t="s">
        <v>76</v>
      </c>
      <c r="E6311" s="5" t="s">
        <v>124</v>
      </c>
      <c r="F6311" s="9">
        <v>12</v>
      </c>
      <c r="G6311" s="9">
        <v>144</v>
      </c>
      <c r="H6311" s="5" t="s">
        <v>21</v>
      </c>
      <c r="I6311" s="5" t="s">
        <v>13986</v>
      </c>
      <c r="J6311" s="12" t="str">
        <f>HYPERLINK("https://www.boe.es/gazeta/dias/1801/02/10/pdfs/GMD-1801-12.pdf#page=5","Abrir facsímil")</f>
        <v>Abrir facsímil</v>
      </c>
      <c r="K6311" s="15" t="s">
        <v>23</v>
      </c>
    </row>
    <row r="6312" spans="1:11" ht="42" customHeight="1">
      <c r="A6312" s="4" t="s">
        <v>13987</v>
      </c>
      <c r="B6312" s="5" t="s">
        <v>13988</v>
      </c>
      <c r="C6312" s="5" t="s">
        <v>75</v>
      </c>
      <c r="D6312" s="5" t="s">
        <v>76</v>
      </c>
      <c r="E6312" s="5" t="s">
        <v>40</v>
      </c>
      <c r="F6312" s="9">
        <v>63</v>
      </c>
      <c r="G6312" s="9">
        <v>707</v>
      </c>
      <c r="H6312" s="5" t="s">
        <v>21</v>
      </c>
      <c r="I6312" s="5" t="s">
        <v>13989</v>
      </c>
      <c r="J6312" s="12" t="str">
        <f>HYPERLINK("https://www.boe.es/gazeta/dias/1801/07/03/pdfs/GMD-1801-63.pdf#page=4","Abrir facsímil")</f>
        <v>Abrir facsímil</v>
      </c>
      <c r="K6312" s="15" t="s">
        <v>23</v>
      </c>
    </row>
    <row r="6313" spans="1:11" ht="42" customHeight="1">
      <c r="A6313" s="4" t="s">
        <v>13990</v>
      </c>
      <c r="B6313" s="5" t="s">
        <v>13991</v>
      </c>
      <c r="C6313" s="5" t="s">
        <v>75</v>
      </c>
      <c r="D6313" s="5" t="s">
        <v>76</v>
      </c>
      <c r="E6313" s="5" t="s">
        <v>112</v>
      </c>
      <c r="F6313" s="9">
        <v>114</v>
      </c>
      <c r="G6313" s="9">
        <v>1241</v>
      </c>
      <c r="H6313" s="5" t="s">
        <v>21</v>
      </c>
      <c r="I6313" s="5" t="s">
        <v>13992</v>
      </c>
      <c r="J6313" s="12" t="str">
        <f>HYPERLINK("https://www.boe.es/gazeta/dias/1801/12/11/pdfs/GMD-1801-114.pdf#page=3","Abrir facsímil")</f>
        <v>Abrir facsímil</v>
      </c>
      <c r="K6313" s="15" t="s">
        <v>23</v>
      </c>
    </row>
    <row r="6314" spans="1:11" ht="42" customHeight="1">
      <c r="A6314" s="4" t="s">
        <v>13993</v>
      </c>
      <c r="B6314" s="5" t="s">
        <v>13994</v>
      </c>
      <c r="C6314" s="5" t="s">
        <v>69</v>
      </c>
      <c r="D6314" s="5" t="s">
        <v>19</v>
      </c>
      <c r="E6314" s="5" t="s">
        <v>137</v>
      </c>
      <c r="F6314" s="9">
        <v>30</v>
      </c>
      <c r="G6314" s="9">
        <v>394</v>
      </c>
      <c r="H6314" s="5" t="s">
        <v>21</v>
      </c>
      <c r="I6314" s="5" t="s">
        <v>13995</v>
      </c>
      <c r="J6314" s="12" t="str">
        <f>HYPERLINK("https://www.boe.es/gazeta/dias/1801/04/14/pdfs/GMD-1801-30.pdf#page=10","Abrir facsímil")</f>
        <v>Abrir facsímil</v>
      </c>
      <c r="K6314" s="15" t="s">
        <v>23</v>
      </c>
    </row>
    <row r="6315" spans="1:11" ht="42" customHeight="1">
      <c r="A6315" s="4" t="s">
        <v>13996</v>
      </c>
      <c r="B6315" s="5" t="s">
        <v>13997</v>
      </c>
      <c r="C6315" s="5" t="s">
        <v>32</v>
      </c>
      <c r="D6315" s="5" t="s">
        <v>33</v>
      </c>
      <c r="E6315" s="5" t="s">
        <v>366</v>
      </c>
      <c r="F6315" s="9">
        <v>86</v>
      </c>
      <c r="G6315" s="9">
        <v>951</v>
      </c>
      <c r="H6315" s="5" t="s">
        <v>21</v>
      </c>
      <c r="I6315" s="5" t="s">
        <v>13998</v>
      </c>
      <c r="J6315" s="12" t="str">
        <f>HYPERLINK("https://www.boe.es/gazeta/dias/1801/09/08/pdfs/GMD-1801-86.pdf#page=2","Abrir facsímil")</f>
        <v>Abrir facsímil</v>
      </c>
      <c r="K6315" s="15" t="s">
        <v>23</v>
      </c>
    </row>
    <row r="6316" spans="1:11" ht="42" customHeight="1">
      <c r="A6316" s="4" t="s">
        <v>13999</v>
      </c>
      <c r="B6316" s="5" t="s">
        <v>14000</v>
      </c>
      <c r="C6316" s="5" t="s">
        <v>75</v>
      </c>
      <c r="D6316" s="5" t="s">
        <v>76</v>
      </c>
      <c r="E6316" s="5" t="s">
        <v>262</v>
      </c>
      <c r="F6316" s="9">
        <v>109</v>
      </c>
      <c r="G6316" s="9">
        <v>1197</v>
      </c>
      <c r="H6316" s="5" t="s">
        <v>21</v>
      </c>
      <c r="I6316" s="5" t="s">
        <v>14001</v>
      </c>
      <c r="J6316" s="12" t="str">
        <f>HYPERLINK("https://www.boe.es/gazeta/dias/1801/11/24/pdfs/GMD-1801-109.pdf#page=2","Abrir facsímil")</f>
        <v>Abrir facsímil</v>
      </c>
      <c r="K6316" s="15" t="s">
        <v>23</v>
      </c>
    </row>
    <row r="6317" spans="1:11" ht="42" customHeight="1">
      <c r="A6317" s="4" t="s">
        <v>14002</v>
      </c>
      <c r="B6317" s="5" t="s">
        <v>14003</v>
      </c>
      <c r="C6317" s="5" t="s">
        <v>75</v>
      </c>
      <c r="D6317" s="5" t="s">
        <v>76</v>
      </c>
      <c r="E6317" s="5" t="s">
        <v>505</v>
      </c>
      <c r="F6317" s="9">
        <v>94</v>
      </c>
      <c r="G6317" s="9">
        <v>1026</v>
      </c>
      <c r="H6317" s="5" t="s">
        <v>21</v>
      </c>
      <c r="I6317" s="5" t="s">
        <v>14004</v>
      </c>
      <c r="J6317" s="12" t="str">
        <f>HYPERLINK("https://www.boe.es/gazeta/dias/1801/10/02/pdfs/GMD-1801-94.pdf#page=2","Abrir facsímil")</f>
        <v>Abrir facsímil</v>
      </c>
      <c r="K6317" s="15" t="s">
        <v>23</v>
      </c>
    </row>
    <row r="6318" spans="1:11" ht="42" customHeight="1">
      <c r="A6318" s="4" t="s">
        <v>14002</v>
      </c>
      <c r="B6318" s="5" t="s">
        <v>14003</v>
      </c>
      <c r="C6318" s="5" t="s">
        <v>75</v>
      </c>
      <c r="D6318" s="5" t="s">
        <v>76</v>
      </c>
      <c r="E6318" s="5" t="s">
        <v>349</v>
      </c>
      <c r="F6318" s="9">
        <v>112</v>
      </c>
      <c r="G6318" s="9">
        <v>1221</v>
      </c>
      <c r="H6318" s="5" t="s">
        <v>21</v>
      </c>
      <c r="I6318" s="5" t="s">
        <v>14005</v>
      </c>
      <c r="J6318" s="12" t="str">
        <f>HYPERLINK("https://www.boe.es/gazeta/dias/1801/12/04/pdfs/GMD-1801-112.pdf#page=2","Abrir facsímil")</f>
        <v>Abrir facsímil</v>
      </c>
      <c r="K6318" s="15" t="s">
        <v>23</v>
      </c>
    </row>
    <row r="6319" spans="1:11" ht="42" customHeight="1">
      <c r="A6319" s="4" t="s">
        <v>14002</v>
      </c>
      <c r="B6319" s="5" t="s">
        <v>14003</v>
      </c>
      <c r="C6319" s="5" t="s">
        <v>75</v>
      </c>
      <c r="D6319" s="5" t="s">
        <v>76</v>
      </c>
      <c r="E6319" s="5" t="s">
        <v>349</v>
      </c>
      <c r="F6319" s="9">
        <v>112</v>
      </c>
      <c r="G6319" s="9">
        <v>1222</v>
      </c>
      <c r="H6319" s="5" t="s">
        <v>21</v>
      </c>
      <c r="I6319" s="5" t="s">
        <v>14006</v>
      </c>
      <c r="J6319" s="12" t="str">
        <f>HYPERLINK("https://www.boe.es/gazeta/dias/1801/12/04/pdfs/GMD-1801-112.pdf#page=3","Abrir facsímil")</f>
        <v>Abrir facsímil</v>
      </c>
      <c r="K6319" s="15" t="s">
        <v>23</v>
      </c>
    </row>
    <row r="6320" spans="1:11" ht="42" customHeight="1">
      <c r="A6320" s="4" t="s">
        <v>14002</v>
      </c>
      <c r="B6320" s="5" t="s">
        <v>14003</v>
      </c>
      <c r="C6320" s="5" t="s">
        <v>38</v>
      </c>
      <c r="D6320" s="5" t="s">
        <v>39</v>
      </c>
      <c r="E6320" s="5" t="s">
        <v>723</v>
      </c>
      <c r="F6320" s="9">
        <v>113</v>
      </c>
      <c r="G6320" s="9">
        <v>1229</v>
      </c>
      <c r="H6320" s="5" t="s">
        <v>21</v>
      </c>
      <c r="I6320" s="5" t="s">
        <v>14007</v>
      </c>
      <c r="J6320" s="12" t="str">
        <f>HYPERLINK("https://www.boe.es/gazeta/dias/1801/12/08/pdfs/GMD-1801-113.pdf#page=2","Abrir facsímil")</f>
        <v>Abrir facsímil</v>
      </c>
      <c r="K6320" s="15" t="s">
        <v>23</v>
      </c>
    </row>
    <row r="6321" spans="1:11" ht="42" customHeight="1">
      <c r="A6321" s="4" t="s">
        <v>14008</v>
      </c>
      <c r="B6321" s="5" t="s">
        <v>14009</v>
      </c>
      <c r="C6321" s="5" t="s">
        <v>32</v>
      </c>
      <c r="D6321" s="5" t="s">
        <v>33</v>
      </c>
      <c r="E6321" s="5" t="s">
        <v>105</v>
      </c>
      <c r="F6321" s="9">
        <v>44</v>
      </c>
      <c r="G6321" s="9">
        <v>543</v>
      </c>
      <c r="H6321" s="5" t="s">
        <v>21</v>
      </c>
      <c r="I6321" s="5" t="s">
        <v>14010</v>
      </c>
      <c r="J6321" s="12" t="str">
        <f>HYPERLINK("https://www.boe.es/gazeta/dias/1801/05/29/pdfs/GMD-1801-44.pdf#page=3","Abrir facsímil")</f>
        <v>Abrir facsímil</v>
      </c>
      <c r="K6321" s="15" t="s">
        <v>23</v>
      </c>
    </row>
    <row r="6322" spans="1:11" ht="42" customHeight="1">
      <c r="A6322" s="4" t="s">
        <v>14011</v>
      </c>
      <c r="B6322" s="5" t="s">
        <v>14012</v>
      </c>
      <c r="C6322" s="5" t="s">
        <v>75</v>
      </c>
      <c r="D6322" s="5" t="s">
        <v>76</v>
      </c>
      <c r="E6322" s="5" t="s">
        <v>289</v>
      </c>
      <c r="F6322" s="9">
        <v>40</v>
      </c>
      <c r="G6322" s="9">
        <v>512</v>
      </c>
      <c r="H6322" s="5" t="s">
        <v>21</v>
      </c>
      <c r="I6322" s="5" t="s">
        <v>14013</v>
      </c>
      <c r="J6322" s="12" t="str">
        <f>HYPERLINK("https://www.boe.es/gazeta/dias/1801/05/19/pdfs/GMD-1801-40.pdf#page=4","Abrir facsímil")</f>
        <v>Abrir facsímil</v>
      </c>
      <c r="K6322" s="15" t="s">
        <v>23</v>
      </c>
    </row>
    <row r="6323" spans="1:11" ht="42" customHeight="1">
      <c r="A6323" s="4" t="s">
        <v>14011</v>
      </c>
      <c r="B6323" s="5" t="s">
        <v>14012</v>
      </c>
      <c r="C6323" s="5" t="s">
        <v>75</v>
      </c>
      <c r="D6323" s="5" t="s">
        <v>76</v>
      </c>
      <c r="E6323" s="5" t="s">
        <v>55</v>
      </c>
      <c r="F6323" s="9">
        <v>104</v>
      </c>
      <c r="G6323" s="9">
        <v>1141</v>
      </c>
      <c r="H6323" s="5" t="s">
        <v>21</v>
      </c>
      <c r="I6323" s="5" t="s">
        <v>14014</v>
      </c>
      <c r="J6323" s="12" t="str">
        <f>HYPERLINK("https://www.boe.es/gazeta/dias/1801/11/06/pdfs/GMD-1801-104.pdf#page=2","Abrir facsímil")</f>
        <v>Abrir facsímil</v>
      </c>
      <c r="K6323" s="15" t="s">
        <v>23</v>
      </c>
    </row>
    <row r="6324" spans="1:11" ht="42" customHeight="1">
      <c r="A6324" s="4" t="s">
        <v>14011</v>
      </c>
      <c r="B6324" s="5" t="s">
        <v>14012</v>
      </c>
      <c r="C6324" s="5" t="s">
        <v>32</v>
      </c>
      <c r="D6324" s="5" t="s">
        <v>33</v>
      </c>
      <c r="E6324" s="5" t="s">
        <v>712</v>
      </c>
      <c r="F6324" s="9">
        <v>105</v>
      </c>
      <c r="G6324" s="9">
        <v>1149</v>
      </c>
      <c r="H6324" s="5" t="s">
        <v>21</v>
      </c>
      <c r="I6324" s="5" t="s">
        <v>14015</v>
      </c>
      <c r="J6324" s="12" t="str">
        <f>HYPERLINK("https://www.boe.es/gazeta/dias/1801/11/10/pdfs/GMD-1801-105.pdf#page=2","Abrir facsímil")</f>
        <v>Abrir facsímil</v>
      </c>
      <c r="K6324" s="15" t="s">
        <v>23</v>
      </c>
    </row>
    <row r="6325" spans="1:11" ht="42" customHeight="1">
      <c r="A6325" s="4" t="s">
        <v>14016</v>
      </c>
      <c r="B6325" s="5" t="s">
        <v>14017</v>
      </c>
      <c r="C6325" s="5" t="s">
        <v>32</v>
      </c>
      <c r="D6325" s="5" t="s">
        <v>33</v>
      </c>
      <c r="E6325" s="5" t="s">
        <v>90</v>
      </c>
      <c r="F6325" s="9">
        <v>1</v>
      </c>
      <c r="G6325" s="9">
        <v>8</v>
      </c>
      <c r="H6325" s="5" t="s">
        <v>21</v>
      </c>
      <c r="I6325" s="5" t="s">
        <v>14018</v>
      </c>
      <c r="J6325" s="12" t="str">
        <f>HYPERLINK("https://www.boe.es/gazeta/dias/1801/01/02/pdfs/GMD-1801-1.pdf#page=8","Abrir facsímil")</f>
        <v>Abrir facsímil</v>
      </c>
      <c r="K6325" s="15" t="s">
        <v>23</v>
      </c>
    </row>
    <row r="6326" spans="1:11" ht="42" customHeight="1">
      <c r="A6326" s="4" t="s">
        <v>14019</v>
      </c>
      <c r="B6326" s="5" t="s">
        <v>14019</v>
      </c>
      <c r="C6326" s="5" t="s">
        <v>75</v>
      </c>
      <c r="D6326" s="5" t="s">
        <v>76</v>
      </c>
      <c r="E6326" s="5" t="s">
        <v>292</v>
      </c>
      <c r="F6326" s="9">
        <v>25</v>
      </c>
      <c r="G6326" s="9">
        <v>323</v>
      </c>
      <c r="H6326" s="5" t="s">
        <v>21</v>
      </c>
      <c r="I6326" s="5" t="s">
        <v>14020</v>
      </c>
      <c r="J6326" s="12" t="str">
        <f>HYPERLINK("https://www.boe.es/gazeta/dias/1801/03/27/pdfs/GMD-1801-25.pdf#page=2","Abrir facsímil")</f>
        <v>Abrir facsímil</v>
      </c>
      <c r="K6326" s="15" t="s">
        <v>23</v>
      </c>
    </row>
    <row r="6327" spans="1:11" ht="42" customHeight="1">
      <c r="A6327" s="4" t="s">
        <v>14021</v>
      </c>
      <c r="B6327" s="5" t="s">
        <v>14022</v>
      </c>
      <c r="C6327" s="5" t="s">
        <v>18</v>
      </c>
      <c r="D6327" s="5" t="s">
        <v>19</v>
      </c>
      <c r="E6327" s="5" t="s">
        <v>28</v>
      </c>
      <c r="F6327" s="9">
        <v>77</v>
      </c>
      <c r="G6327" s="9">
        <v>866</v>
      </c>
      <c r="H6327" s="5" t="s">
        <v>21</v>
      </c>
      <c r="I6327" s="5" t="s">
        <v>14023</v>
      </c>
      <c r="J6327" s="12" t="str">
        <f>HYPERLINK("https://www.boe.es/gazeta/dias/1801/08/11/pdfs/GMD-1801-77.pdf#page=11","Abrir facsímil")</f>
        <v>Abrir facsímil</v>
      </c>
      <c r="K6327" s="15" t="s">
        <v>23</v>
      </c>
    </row>
    <row r="6328" spans="1:11" ht="42" customHeight="1">
      <c r="A6328" s="4" t="s">
        <v>14024</v>
      </c>
      <c r="B6328" s="5" t="s">
        <v>14025</v>
      </c>
      <c r="C6328" s="5" t="s">
        <v>80</v>
      </c>
      <c r="D6328" s="5" t="s">
        <v>81</v>
      </c>
      <c r="E6328" s="5" t="s">
        <v>289</v>
      </c>
      <c r="F6328" s="9">
        <v>40</v>
      </c>
      <c r="G6328" s="9" t="s">
        <v>996</v>
      </c>
      <c r="H6328" s="5" t="s">
        <v>21</v>
      </c>
      <c r="I6328" s="5" t="s">
        <v>14026</v>
      </c>
      <c r="J6328" s="12" t="str">
        <f>HYPERLINK("https://www.boe.es/gazeta/dias/1801/05/19/pdfs/GMD-C-1801-40.pdf#page=6","Abrir facsímil")</f>
        <v>Abrir facsímil</v>
      </c>
      <c r="K6328" s="15" t="s">
        <v>23</v>
      </c>
    </row>
    <row r="6329" spans="1:11" ht="42" customHeight="1">
      <c r="A6329" s="4" t="s">
        <v>14027</v>
      </c>
      <c r="B6329" s="5" t="s">
        <v>14028</v>
      </c>
      <c r="C6329" s="5" t="s">
        <v>38</v>
      </c>
      <c r="D6329" s="5" t="s">
        <v>39</v>
      </c>
      <c r="E6329" s="5" t="s">
        <v>124</v>
      </c>
      <c r="F6329" s="9">
        <v>12</v>
      </c>
      <c r="G6329" s="9">
        <v>149</v>
      </c>
      <c r="H6329" s="5" t="s">
        <v>21</v>
      </c>
      <c r="I6329" s="5" t="s">
        <v>14029</v>
      </c>
      <c r="J6329" s="12" t="str">
        <f>HYPERLINK("https://www.boe.es/gazeta/dias/1801/02/10/pdfs/GMD-1801-12.pdf#page=10","Abrir facsímil")</f>
        <v>Abrir facsímil</v>
      </c>
      <c r="K6329" s="15" t="s">
        <v>23</v>
      </c>
    </row>
    <row r="6330" spans="1:11" ht="42" customHeight="1">
      <c r="A6330" s="4" t="s">
        <v>14030</v>
      </c>
      <c r="B6330" s="5" t="s">
        <v>14031</v>
      </c>
      <c r="C6330" s="5" t="s">
        <v>75</v>
      </c>
      <c r="D6330" s="5" t="s">
        <v>76</v>
      </c>
      <c r="E6330" s="5" t="s">
        <v>70</v>
      </c>
      <c r="F6330" s="9">
        <v>2</v>
      </c>
      <c r="G6330" s="9">
        <v>16</v>
      </c>
      <c r="H6330" s="5" t="s">
        <v>21</v>
      </c>
      <c r="I6330" s="5" t="s">
        <v>14032</v>
      </c>
      <c r="J6330" s="12" t="str">
        <f>HYPERLINK("https://www.boe.es/gazeta/dias/1801/01/06/pdfs/GMD-1801-2.pdf#page=4","Abrir facsímil")</f>
        <v>Abrir facsímil</v>
      </c>
      <c r="K6330" s="15" t="s">
        <v>23</v>
      </c>
    </row>
    <row r="6331" spans="1:11" ht="42" customHeight="1">
      <c r="A6331" s="4" t="s">
        <v>14033</v>
      </c>
      <c r="B6331" s="5" t="s">
        <v>14034</v>
      </c>
      <c r="C6331" s="5" t="s">
        <v>32</v>
      </c>
      <c r="D6331" s="5" t="s">
        <v>33</v>
      </c>
      <c r="E6331" s="5" t="s">
        <v>120</v>
      </c>
      <c r="F6331" s="9">
        <v>7</v>
      </c>
      <c r="G6331" s="9">
        <v>84</v>
      </c>
      <c r="H6331" s="5" t="s">
        <v>21</v>
      </c>
      <c r="I6331" s="5" t="s">
        <v>14035</v>
      </c>
      <c r="J6331" s="12" t="str">
        <f>HYPERLINK("https://www.boe.es/gazeta/dias/1801/01/23/pdfs/GMD-1801-7.pdf#page=8","Abrir facsímil")</f>
        <v>Abrir facsímil</v>
      </c>
      <c r="K6331" s="15" t="s">
        <v>23</v>
      </c>
    </row>
    <row r="6332" spans="1:11" ht="42" customHeight="1">
      <c r="A6332" s="4" t="s">
        <v>14036</v>
      </c>
      <c r="B6332" s="5" t="s">
        <v>14037</v>
      </c>
      <c r="C6332" s="5" t="s">
        <v>32</v>
      </c>
      <c r="D6332" s="5" t="s">
        <v>33</v>
      </c>
      <c r="E6332" s="5" t="s">
        <v>153</v>
      </c>
      <c r="F6332" s="9">
        <v>48</v>
      </c>
      <c r="G6332" s="9">
        <v>584</v>
      </c>
      <c r="H6332" s="5" t="s">
        <v>21</v>
      </c>
      <c r="I6332" s="5" t="s">
        <v>14038</v>
      </c>
      <c r="J6332" s="12" t="str">
        <f>HYPERLINK("https://www.boe.es/gazeta/dias/1801/06/05/pdfs/GMD-1801-48.pdf#page=6","Abrir facsímil")</f>
        <v>Abrir facsímil</v>
      </c>
      <c r="K6332" s="15" t="s">
        <v>23</v>
      </c>
    </row>
    <row r="6333" spans="1:11" ht="42" customHeight="1">
      <c r="A6333" s="4" t="s">
        <v>14039</v>
      </c>
      <c r="B6333" s="5" t="s">
        <v>14040</v>
      </c>
      <c r="C6333" s="5" t="s">
        <v>32</v>
      </c>
      <c r="D6333" s="5" t="s">
        <v>33</v>
      </c>
      <c r="E6333" s="5" t="s">
        <v>317</v>
      </c>
      <c r="F6333" s="9">
        <v>102</v>
      </c>
      <c r="G6333" s="9">
        <v>1121</v>
      </c>
      <c r="H6333" s="5" t="s">
        <v>21</v>
      </c>
      <c r="I6333" s="5" t="s">
        <v>14041</v>
      </c>
      <c r="J6333" s="12" t="str">
        <f>HYPERLINK("https://www.boe.es/gazeta/dias/1801/10/30/pdfs/GMD-1801-102.pdf#page=6","Abrir facsímil")</f>
        <v>Abrir facsímil</v>
      </c>
      <c r="K6333" s="15" t="s">
        <v>23</v>
      </c>
    </row>
    <row r="6334" spans="1:11" ht="42" customHeight="1">
      <c r="A6334" s="4" t="s">
        <v>14042</v>
      </c>
      <c r="B6334" s="5" t="s">
        <v>14042</v>
      </c>
      <c r="C6334" s="5" t="s">
        <v>69</v>
      </c>
      <c r="D6334" s="5" t="s">
        <v>19</v>
      </c>
      <c r="E6334" s="5" t="s">
        <v>262</v>
      </c>
      <c r="F6334" s="9">
        <v>109</v>
      </c>
      <c r="G6334" s="9">
        <v>1204</v>
      </c>
      <c r="H6334" s="5" t="s">
        <v>21</v>
      </c>
      <c r="I6334" s="5" t="s">
        <v>14043</v>
      </c>
      <c r="J6334" s="12" t="str">
        <f>HYPERLINK("https://www.boe.es/gazeta/dias/1801/11/24/pdfs/GMD-1801-109.pdf#page=9","Abrir facsímil")</f>
        <v>Abrir facsímil</v>
      </c>
      <c r="K6334" s="15" t="s">
        <v>23</v>
      </c>
    </row>
    <row r="6335" spans="1:11" ht="42" customHeight="1">
      <c r="A6335" s="4" t="s">
        <v>14044</v>
      </c>
      <c r="B6335" s="5" t="s">
        <v>14045</v>
      </c>
      <c r="C6335" s="5" t="s">
        <v>32</v>
      </c>
      <c r="D6335" s="5" t="s">
        <v>33</v>
      </c>
      <c r="E6335" s="5" t="s">
        <v>378</v>
      </c>
      <c r="F6335" s="9">
        <v>23</v>
      </c>
      <c r="G6335" s="9">
        <v>299</v>
      </c>
      <c r="H6335" s="5" t="s">
        <v>21</v>
      </c>
      <c r="I6335" s="5" t="s">
        <v>14046</v>
      </c>
      <c r="J6335" s="12" t="str">
        <f>HYPERLINK("https://www.boe.es/gazeta/dias/1801/03/20/pdfs/GMD-1801-23.pdf#page=2","Abrir facsímil")</f>
        <v>Abrir facsímil</v>
      </c>
      <c r="K6335" s="15" t="s">
        <v>23</v>
      </c>
    </row>
    <row r="6336" spans="1:11" ht="42" customHeight="1">
      <c r="A6336" s="4" t="s">
        <v>14047</v>
      </c>
      <c r="B6336" s="5" t="s">
        <v>14048</v>
      </c>
      <c r="C6336" s="5" t="s">
        <v>38</v>
      </c>
      <c r="D6336" s="5" t="s">
        <v>39</v>
      </c>
      <c r="E6336" s="5" t="s">
        <v>615</v>
      </c>
      <c r="F6336" s="9">
        <v>72</v>
      </c>
      <c r="G6336" s="9">
        <v>803</v>
      </c>
      <c r="H6336" s="5" t="s">
        <v>21</v>
      </c>
      <c r="I6336" s="5" t="s">
        <v>14049</v>
      </c>
      <c r="J6336" s="12" t="str">
        <f>HYPERLINK("https://www.boe.es/gazeta/dias/1801/07/24/pdfs/GMD-1801-72.pdf#page=8","Abrir facsímil")</f>
        <v>Abrir facsímil</v>
      </c>
      <c r="K6336" s="15" t="s">
        <v>23</v>
      </c>
    </row>
    <row r="6337" spans="1:11" ht="42" customHeight="1">
      <c r="A6337" s="4" t="s">
        <v>14050</v>
      </c>
      <c r="B6337" s="5" t="s">
        <v>14051</v>
      </c>
      <c r="C6337" s="5" t="s">
        <v>32</v>
      </c>
      <c r="D6337" s="5" t="s">
        <v>33</v>
      </c>
      <c r="E6337" s="5" t="s">
        <v>182</v>
      </c>
      <c r="F6337" s="9">
        <v>18</v>
      </c>
      <c r="G6337" s="9">
        <v>223</v>
      </c>
      <c r="H6337" s="5" t="s">
        <v>21</v>
      </c>
      <c r="I6337" s="5" t="s">
        <v>14052</v>
      </c>
      <c r="J6337" s="12" t="str">
        <f>HYPERLINK("https://www.boe.es/gazeta/dias/1801/03/03/pdfs/GMD-1801-18.pdf#page=4","Abrir facsímil")</f>
        <v>Abrir facsímil</v>
      </c>
      <c r="K6337" s="15" t="s">
        <v>23</v>
      </c>
    </row>
    <row r="6338" spans="1:11" ht="42" customHeight="1">
      <c r="A6338" s="4" t="s">
        <v>14053</v>
      </c>
      <c r="B6338" s="5" t="s">
        <v>14053</v>
      </c>
      <c r="C6338" s="5" t="s">
        <v>32</v>
      </c>
      <c r="D6338" s="5" t="s">
        <v>33</v>
      </c>
      <c r="E6338" s="5" t="s">
        <v>186</v>
      </c>
      <c r="F6338" s="9">
        <v>21</v>
      </c>
      <c r="G6338" s="9">
        <v>273</v>
      </c>
      <c r="H6338" s="5" t="s">
        <v>21</v>
      </c>
      <c r="I6338" s="5" t="s">
        <v>14054</v>
      </c>
      <c r="J6338" s="12" t="str">
        <f>HYPERLINK("https://www.boe.es/gazeta/dias/1801/03/13/pdfs/GMD-1801-21.pdf#page=2","Abrir facsímil")</f>
        <v>Abrir facsímil</v>
      </c>
      <c r="K6338" s="15" t="s">
        <v>23</v>
      </c>
    </row>
    <row r="6339" spans="1:11" ht="42" customHeight="1">
      <c r="A6339" s="4" t="s">
        <v>14055</v>
      </c>
      <c r="B6339" s="5" t="s">
        <v>14056</v>
      </c>
      <c r="C6339" s="5" t="s">
        <v>75</v>
      </c>
      <c r="D6339" s="5" t="s">
        <v>76</v>
      </c>
      <c r="E6339" s="5" t="s">
        <v>112</v>
      </c>
      <c r="F6339" s="9">
        <v>114</v>
      </c>
      <c r="G6339" s="9">
        <v>1242</v>
      </c>
      <c r="H6339" s="5" t="s">
        <v>21</v>
      </c>
      <c r="I6339" s="5" t="s">
        <v>14057</v>
      </c>
      <c r="J6339" s="12" t="str">
        <f>HYPERLINK("https://www.boe.es/gazeta/dias/1801/12/11/pdfs/GMD-1801-114.pdf#page=4","Abrir facsímil")</f>
        <v>Abrir facsímil</v>
      </c>
      <c r="K6339" s="15" t="s">
        <v>23</v>
      </c>
    </row>
    <row r="6340" spans="1:11" ht="42" customHeight="1">
      <c r="A6340" s="4" t="s">
        <v>14058</v>
      </c>
      <c r="B6340" s="5" t="s">
        <v>14059</v>
      </c>
      <c r="C6340" s="5" t="s">
        <v>26</v>
      </c>
      <c r="D6340" s="5" t="s">
        <v>27</v>
      </c>
      <c r="E6340" s="5" t="s">
        <v>90</v>
      </c>
      <c r="F6340" s="9">
        <v>1</v>
      </c>
      <c r="G6340" s="9">
        <v>10</v>
      </c>
      <c r="H6340" s="5" t="s">
        <v>21</v>
      </c>
      <c r="I6340" s="5" t="s">
        <v>14060</v>
      </c>
      <c r="J6340" s="12" t="str">
        <f>HYPERLINK("https://www.boe.es/gazeta/dias/1801/01/02/pdfs/GMD-1801-1.pdf#page=10","Abrir facsímil")</f>
        <v>Abrir facsímil</v>
      </c>
      <c r="K6340" s="15" t="s">
        <v>23</v>
      </c>
    </row>
    <row r="6341" spans="1:11" ht="42" customHeight="1">
      <c r="A6341" s="4" t="s">
        <v>14061</v>
      </c>
      <c r="B6341" s="5" t="s">
        <v>14062</v>
      </c>
      <c r="C6341" s="5" t="s">
        <v>515</v>
      </c>
      <c r="D6341" s="5" t="s">
        <v>516</v>
      </c>
      <c r="E6341" s="5" t="s">
        <v>501</v>
      </c>
      <c r="F6341" s="9">
        <v>115</v>
      </c>
      <c r="G6341" s="9" t="s">
        <v>996</v>
      </c>
      <c r="H6341" s="5" t="s">
        <v>21</v>
      </c>
      <c r="I6341" s="5" t="s">
        <v>14063</v>
      </c>
      <c r="J6341" s="12" t="str">
        <f>HYPERLINK("https://www.boe.es/gazeta/dias/1801/12/15/pdfs/GMD-C-1801-115.pdf#page=6","Abrir facsímil")</f>
        <v>Abrir facsímil</v>
      </c>
      <c r="K6341" s="15" t="s">
        <v>23</v>
      </c>
    </row>
    <row r="6342" spans="1:11" ht="42" customHeight="1">
      <c r="A6342" s="4" t="s">
        <v>14064</v>
      </c>
      <c r="B6342" s="5" t="s">
        <v>14065</v>
      </c>
      <c r="C6342" s="5" t="s">
        <v>69</v>
      </c>
      <c r="D6342" s="5" t="s">
        <v>19</v>
      </c>
      <c r="E6342" s="5" t="s">
        <v>128</v>
      </c>
      <c r="F6342" s="9">
        <v>17</v>
      </c>
      <c r="G6342" s="9">
        <v>214</v>
      </c>
      <c r="H6342" s="5" t="s">
        <v>21</v>
      </c>
      <c r="I6342" s="5" t="s">
        <v>14066</v>
      </c>
      <c r="J6342" s="12" t="str">
        <f>HYPERLINK("https://www.boe.es/gazeta/dias/1801/02/27/pdfs/GMD-1801-17.pdf#page=9","Abrir facsímil")</f>
        <v>Abrir facsímil</v>
      </c>
      <c r="K6342" s="15" t="s">
        <v>23</v>
      </c>
    </row>
    <row r="6343" spans="1:11" ht="42" customHeight="1">
      <c r="A6343" s="4" t="s">
        <v>14067</v>
      </c>
      <c r="B6343" s="5" t="s">
        <v>14068</v>
      </c>
      <c r="C6343" s="5" t="s">
        <v>32</v>
      </c>
      <c r="D6343" s="5" t="s">
        <v>33</v>
      </c>
      <c r="E6343" s="5" t="s">
        <v>120</v>
      </c>
      <c r="F6343" s="9">
        <v>7</v>
      </c>
      <c r="G6343" s="9">
        <v>84</v>
      </c>
      <c r="H6343" s="5" t="s">
        <v>21</v>
      </c>
      <c r="I6343" s="5" t="s">
        <v>14069</v>
      </c>
      <c r="J6343" s="12" t="str">
        <f>HYPERLINK("https://www.boe.es/gazeta/dias/1801/01/23/pdfs/GMD-1801-7.pdf#page=8","Abrir facsímil")</f>
        <v>Abrir facsímil</v>
      </c>
      <c r="K6343" s="15" t="s">
        <v>23</v>
      </c>
    </row>
    <row r="6344" spans="1:11" ht="42" customHeight="1">
      <c r="A6344" s="4" t="s">
        <v>14070</v>
      </c>
      <c r="B6344" s="5" t="s">
        <v>14071</v>
      </c>
      <c r="C6344" s="5" t="s">
        <v>32</v>
      </c>
      <c r="D6344" s="5" t="s">
        <v>33</v>
      </c>
      <c r="E6344" s="5" t="s">
        <v>256</v>
      </c>
      <c r="F6344" s="9">
        <v>78</v>
      </c>
      <c r="G6344" s="9">
        <v>881</v>
      </c>
      <c r="H6344" s="5" t="s">
        <v>21</v>
      </c>
      <c r="I6344" s="5" t="s">
        <v>14072</v>
      </c>
      <c r="J6344" s="12" t="str">
        <f>HYPERLINK("https://www.boe.es/gazeta/dias/1801/08/14/pdfs/GMD-1801-78.pdf#page=10","Abrir facsímil")</f>
        <v>Abrir facsímil</v>
      </c>
      <c r="K6344" s="15" t="s">
        <v>23</v>
      </c>
    </row>
    <row r="6345" spans="1:11" ht="42" customHeight="1">
      <c r="A6345" s="4" t="s">
        <v>14073</v>
      </c>
      <c r="B6345" s="5" t="s">
        <v>14074</v>
      </c>
      <c r="C6345" s="5" t="s">
        <v>1481</v>
      </c>
      <c r="D6345" s="5" t="s">
        <v>1482</v>
      </c>
      <c r="E6345" s="5" t="s">
        <v>1487</v>
      </c>
      <c r="F6345" s="9" t="s">
        <v>1488</v>
      </c>
      <c r="G6345" s="9">
        <v>646</v>
      </c>
      <c r="H6345" s="5" t="s">
        <v>21</v>
      </c>
      <c r="I6345" s="5" t="s">
        <v>14075</v>
      </c>
      <c r="J6345" s="12" t="str">
        <f>HYPERLINK("https://www.boe.es/gazeta/dias/1801/06/17/pdfs/GMD-1801-56E.pdf#page=6","Abrir facsímil")</f>
        <v>Abrir facsímil</v>
      </c>
      <c r="K6345" s="15" t="s">
        <v>23</v>
      </c>
    </row>
    <row r="6346" spans="1:11" ht="42" customHeight="1">
      <c r="A6346" s="4" t="s">
        <v>14076</v>
      </c>
      <c r="B6346" s="5" t="s">
        <v>14077</v>
      </c>
      <c r="C6346" s="5" t="s">
        <v>32</v>
      </c>
      <c r="D6346" s="5" t="s">
        <v>33</v>
      </c>
      <c r="E6346" s="5" t="s">
        <v>781</v>
      </c>
      <c r="F6346" s="9">
        <v>14</v>
      </c>
      <c r="G6346" s="9">
        <v>173</v>
      </c>
      <c r="H6346" s="5" t="s">
        <v>21</v>
      </c>
      <c r="I6346" s="5" t="s">
        <v>14078</v>
      </c>
      <c r="J6346" s="12" t="str">
        <f>HYPERLINK("https://www.boe.es/gazeta/dias/1801/02/17/pdfs/GMD-1801-14.pdf#page=8","Abrir facsímil")</f>
        <v>Abrir facsímil</v>
      </c>
      <c r="K6346" s="15" t="s">
        <v>23</v>
      </c>
    </row>
    <row r="6347" spans="1:11" ht="42" customHeight="1">
      <c r="A6347" s="4" t="s">
        <v>14079</v>
      </c>
      <c r="B6347" s="5" t="s">
        <v>14080</v>
      </c>
      <c r="C6347" s="5" t="s">
        <v>75</v>
      </c>
      <c r="D6347" s="5" t="s">
        <v>76</v>
      </c>
      <c r="E6347" s="5" t="s">
        <v>28</v>
      </c>
      <c r="F6347" s="9">
        <v>77</v>
      </c>
      <c r="G6347" s="9">
        <v>864</v>
      </c>
      <c r="H6347" s="5" t="s">
        <v>21</v>
      </c>
      <c r="I6347" s="5" t="s">
        <v>14081</v>
      </c>
      <c r="J6347" s="12" t="str">
        <f>HYPERLINK("https://www.boe.es/gazeta/dias/1801/08/11/pdfs/GMD-1801-77.pdf#page=9","Abrir facsímil")</f>
        <v>Abrir facsímil</v>
      </c>
      <c r="K6347" s="15" t="s">
        <v>23</v>
      </c>
    </row>
    <row r="6348" spans="1:11" ht="42" customHeight="1">
      <c r="A6348" s="4" t="s">
        <v>14082</v>
      </c>
      <c r="B6348" s="5" t="s">
        <v>14083</v>
      </c>
      <c r="C6348" s="5" t="s">
        <v>32</v>
      </c>
      <c r="D6348" s="5" t="s">
        <v>33</v>
      </c>
      <c r="E6348" s="5" t="s">
        <v>359</v>
      </c>
      <c r="F6348" s="9">
        <v>101</v>
      </c>
      <c r="G6348" s="9">
        <v>1113</v>
      </c>
      <c r="H6348" s="5" t="s">
        <v>21</v>
      </c>
      <c r="I6348" s="5" t="s">
        <v>14084</v>
      </c>
      <c r="J6348" s="12" t="str">
        <f>HYPERLINK("https://www.boe.es/gazeta/dias/1801/10/27/pdfs/GMD-1801-101.pdf#page=6","Abrir facsímil")</f>
        <v>Abrir facsímil</v>
      </c>
      <c r="K6348" s="15" t="s">
        <v>23</v>
      </c>
    </row>
    <row r="6349" spans="1:11" ht="42" customHeight="1">
      <c r="A6349" s="4" t="s">
        <v>14085</v>
      </c>
      <c r="B6349" s="5" t="s">
        <v>14086</v>
      </c>
      <c r="C6349" s="5" t="s">
        <v>38</v>
      </c>
      <c r="D6349" s="5" t="s">
        <v>39</v>
      </c>
      <c r="E6349" s="5" t="s">
        <v>751</v>
      </c>
      <c r="F6349" s="9">
        <v>106</v>
      </c>
      <c r="G6349" s="9">
        <v>1161</v>
      </c>
      <c r="H6349" s="5" t="s">
        <v>21</v>
      </c>
      <c r="I6349" s="5" t="s">
        <v>14087</v>
      </c>
      <c r="J6349" s="12" t="str">
        <f>HYPERLINK("https://www.boe.es/gazeta/dias/1801/11/13/pdfs/GMD-1801-106.pdf#page=2","Abrir facsímil")</f>
        <v>Abrir facsímil</v>
      </c>
      <c r="K6349" s="15" t="s">
        <v>23</v>
      </c>
    </row>
    <row r="6350" spans="1:11" ht="42" customHeight="1">
      <c r="A6350" s="4" t="s">
        <v>14088</v>
      </c>
      <c r="B6350" s="5" t="s">
        <v>14089</v>
      </c>
      <c r="C6350" s="5" t="s">
        <v>32</v>
      </c>
      <c r="D6350" s="5" t="s">
        <v>33</v>
      </c>
      <c r="E6350" s="5" t="s">
        <v>1487</v>
      </c>
      <c r="F6350" s="9" t="s">
        <v>1488</v>
      </c>
      <c r="G6350" s="9">
        <v>644</v>
      </c>
      <c r="H6350" s="5" t="s">
        <v>21</v>
      </c>
      <c r="I6350" s="5" t="s">
        <v>14090</v>
      </c>
      <c r="J6350" s="12" t="str">
        <f>HYPERLINK("https://www.boe.es/gazeta/dias/1801/06/17/pdfs/GMD-1801-56E.pdf#page=4","Abrir facsímil")</f>
        <v>Abrir facsímil</v>
      </c>
      <c r="K6350" s="15" t="s">
        <v>23</v>
      </c>
    </row>
    <row r="6351" spans="1:11" ht="42" customHeight="1">
      <c r="A6351" s="4" t="s">
        <v>14091</v>
      </c>
      <c r="B6351" s="5" t="s">
        <v>14092</v>
      </c>
      <c r="C6351" s="5" t="s">
        <v>32</v>
      </c>
      <c r="D6351" s="5" t="s">
        <v>33</v>
      </c>
      <c r="E6351" s="5" t="s">
        <v>179</v>
      </c>
      <c r="F6351" s="9">
        <v>11</v>
      </c>
      <c r="G6351" s="9">
        <v>137</v>
      </c>
      <c r="H6351" s="5" t="s">
        <v>21</v>
      </c>
      <c r="I6351" s="5" t="s">
        <v>14093</v>
      </c>
      <c r="J6351" s="12" t="str">
        <f>HYPERLINK("https://www.boe.es/gazeta/dias/1801/02/06/pdfs/GMD-1801-11.pdf#page=10","Abrir facsímil")</f>
        <v>Abrir facsímil</v>
      </c>
      <c r="K6351" s="15" t="s">
        <v>23</v>
      </c>
    </row>
    <row r="6352" spans="1:11" ht="42" customHeight="1">
      <c r="A6352" s="4" t="s">
        <v>14094</v>
      </c>
      <c r="B6352" s="5" t="s">
        <v>14095</v>
      </c>
      <c r="C6352" s="5" t="s">
        <v>38</v>
      </c>
      <c r="D6352" s="5" t="s">
        <v>39</v>
      </c>
      <c r="E6352" s="5" t="s">
        <v>615</v>
      </c>
      <c r="F6352" s="9">
        <v>72</v>
      </c>
      <c r="G6352" s="9">
        <v>802</v>
      </c>
      <c r="H6352" s="5" t="s">
        <v>21</v>
      </c>
      <c r="I6352" s="5" t="s">
        <v>14096</v>
      </c>
      <c r="J6352" s="12" t="str">
        <f>HYPERLINK("https://www.boe.es/gazeta/dias/1801/07/24/pdfs/GMD-1801-72.pdf#page=7","Abrir facsímil")</f>
        <v>Abrir facsímil</v>
      </c>
      <c r="K6352" s="15" t="s">
        <v>23</v>
      </c>
    </row>
    <row r="6353" spans="1:11" ht="42" customHeight="1">
      <c r="A6353" s="4" t="s">
        <v>14097</v>
      </c>
      <c r="B6353" s="5" t="s">
        <v>14098</v>
      </c>
      <c r="C6353" s="5" t="s">
        <v>32</v>
      </c>
      <c r="D6353" s="5" t="s">
        <v>33</v>
      </c>
      <c r="E6353" s="5" t="s">
        <v>194</v>
      </c>
      <c r="F6353" s="9">
        <v>92</v>
      </c>
      <c r="G6353" s="9">
        <v>1011</v>
      </c>
      <c r="H6353" s="5" t="s">
        <v>21</v>
      </c>
      <c r="I6353" s="5" t="s">
        <v>14099</v>
      </c>
      <c r="J6353" s="12" t="str">
        <f>HYPERLINK("https://www.boe.es/gazeta/dias/1801/09/25/pdfs/GMD-1801-92.pdf#page=6","Abrir facsímil")</f>
        <v>Abrir facsímil</v>
      </c>
      <c r="K6353" s="15" t="s">
        <v>23</v>
      </c>
    </row>
    <row r="6354" spans="1:11" ht="42" customHeight="1">
      <c r="A6354" s="4" t="s">
        <v>14100</v>
      </c>
      <c r="B6354" s="5" t="s">
        <v>14101</v>
      </c>
      <c r="C6354" s="5" t="s">
        <v>32</v>
      </c>
      <c r="D6354" s="5" t="s">
        <v>33</v>
      </c>
      <c r="E6354" s="5" t="s">
        <v>453</v>
      </c>
      <c r="F6354" s="9">
        <v>100</v>
      </c>
      <c r="G6354" s="9">
        <v>1101</v>
      </c>
      <c r="H6354" s="5" t="s">
        <v>21</v>
      </c>
      <c r="I6354" s="5" t="s">
        <v>14102</v>
      </c>
      <c r="J6354" s="12" t="str">
        <f>HYPERLINK("https://www.boe.es/gazeta/dias/1801/10/23/pdfs/GMD-1801-100.pdf#page=10","Abrir facsímil")</f>
        <v>Abrir facsímil</v>
      </c>
      <c r="K6354" s="15" t="s">
        <v>23</v>
      </c>
    </row>
    <row r="6355" spans="1:11" ht="42" customHeight="1">
      <c r="A6355" s="4" t="s">
        <v>14103</v>
      </c>
      <c r="B6355" s="5" t="s">
        <v>14104</v>
      </c>
      <c r="C6355" s="5" t="s">
        <v>32</v>
      </c>
      <c r="D6355" s="5" t="s">
        <v>33</v>
      </c>
      <c r="E6355" s="5" t="s">
        <v>292</v>
      </c>
      <c r="F6355" s="9">
        <v>25</v>
      </c>
      <c r="G6355" s="9">
        <v>331</v>
      </c>
      <c r="H6355" s="5" t="s">
        <v>21</v>
      </c>
      <c r="I6355" s="5" t="s">
        <v>14105</v>
      </c>
      <c r="J6355" s="12" t="str">
        <f>HYPERLINK("https://www.boe.es/gazeta/dias/1801/03/27/pdfs/GMD-1801-25.pdf#page=10","Abrir facsímil")</f>
        <v>Abrir facsímil</v>
      </c>
      <c r="K6355" s="15" t="s">
        <v>23</v>
      </c>
    </row>
    <row r="6356" spans="1:11" ht="42" customHeight="1">
      <c r="A6356" s="4" t="s">
        <v>14106</v>
      </c>
      <c r="B6356" s="5" t="s">
        <v>14107</v>
      </c>
      <c r="C6356" s="5" t="s">
        <v>69</v>
      </c>
      <c r="D6356" s="5" t="s">
        <v>19</v>
      </c>
      <c r="E6356" s="5" t="s">
        <v>262</v>
      </c>
      <c r="F6356" s="9">
        <v>109</v>
      </c>
      <c r="G6356" s="9">
        <v>1204</v>
      </c>
      <c r="H6356" s="5" t="s">
        <v>21</v>
      </c>
      <c r="I6356" s="5" t="s">
        <v>14108</v>
      </c>
      <c r="J6356" s="12" t="str">
        <f>HYPERLINK("https://www.boe.es/gazeta/dias/1801/11/24/pdfs/GMD-1801-109.pdf#page=9","Abrir facsímil")</f>
        <v>Abrir facsímil</v>
      </c>
      <c r="K6356" s="15" t="s">
        <v>23</v>
      </c>
    </row>
    <row r="6357" spans="1:11" ht="42" customHeight="1">
      <c r="A6357" s="4" t="s">
        <v>14109</v>
      </c>
      <c r="B6357" s="5" t="s">
        <v>14110</v>
      </c>
      <c r="C6357" s="5" t="s">
        <v>32</v>
      </c>
      <c r="D6357" s="5" t="s">
        <v>33</v>
      </c>
      <c r="E6357" s="5" t="s">
        <v>313</v>
      </c>
      <c r="F6357" s="9">
        <v>39</v>
      </c>
      <c r="G6357" s="9">
        <v>506</v>
      </c>
      <c r="H6357" s="5" t="s">
        <v>21</v>
      </c>
      <c r="I6357" s="5" t="s">
        <v>14111</v>
      </c>
      <c r="J6357" s="12" t="str">
        <f>HYPERLINK("https://www.boe.es/gazeta/dias/1801/05/15/pdfs/GMD-1801-39.pdf#page=10","Abrir facsímil")</f>
        <v>Abrir facsímil</v>
      </c>
      <c r="K6357" s="15" t="s">
        <v>23</v>
      </c>
    </row>
    <row r="6358" spans="1:11" ht="42" customHeight="1">
      <c r="A6358" s="4" t="s">
        <v>14112</v>
      </c>
      <c r="B6358" s="5" t="s">
        <v>14113</v>
      </c>
      <c r="C6358" s="5" t="s">
        <v>32</v>
      </c>
      <c r="D6358" s="5" t="s">
        <v>33</v>
      </c>
      <c r="E6358" s="5" t="s">
        <v>1939</v>
      </c>
      <c r="F6358" s="9">
        <v>107</v>
      </c>
      <c r="G6358" s="9">
        <v>1178</v>
      </c>
      <c r="H6358" s="5" t="s">
        <v>21</v>
      </c>
      <c r="I6358" s="5" t="s">
        <v>14114</v>
      </c>
      <c r="J6358" s="12" t="str">
        <f>HYPERLINK("https://www.boe.es/gazeta/dias/1801/11/17/pdfs/GMD-1801-107.pdf#page=7","Abrir facsímil")</f>
        <v>Abrir facsímil</v>
      </c>
      <c r="K6358" s="15" t="s">
        <v>23</v>
      </c>
    </row>
    <row r="6359" spans="1:11" ht="42" customHeight="1">
      <c r="A6359" s="4" t="s">
        <v>14115</v>
      </c>
      <c r="B6359" s="5" t="s">
        <v>14116</v>
      </c>
      <c r="C6359" s="5" t="s">
        <v>32</v>
      </c>
      <c r="D6359" s="5" t="s">
        <v>33</v>
      </c>
      <c r="E6359" s="5" t="s">
        <v>120</v>
      </c>
      <c r="F6359" s="9">
        <v>7</v>
      </c>
      <c r="G6359" s="9">
        <v>84</v>
      </c>
      <c r="H6359" s="5" t="s">
        <v>21</v>
      </c>
      <c r="I6359" s="5" t="s">
        <v>14117</v>
      </c>
      <c r="J6359" s="12" t="str">
        <f>HYPERLINK("https://www.boe.es/gazeta/dias/1801/01/23/pdfs/GMD-1801-7.pdf#page=8","Abrir facsímil")</f>
        <v>Abrir facsímil</v>
      </c>
      <c r="K6359" s="15" t="s">
        <v>23</v>
      </c>
    </row>
    <row r="6360" spans="1:11" ht="42" customHeight="1">
      <c r="A6360" s="4" t="s">
        <v>14118</v>
      </c>
      <c r="B6360" s="5" t="s">
        <v>14119</v>
      </c>
      <c r="C6360" s="5" t="s">
        <v>32</v>
      </c>
      <c r="D6360" s="5" t="s">
        <v>33</v>
      </c>
      <c r="E6360" s="5" t="s">
        <v>615</v>
      </c>
      <c r="F6360" s="9">
        <v>72</v>
      </c>
      <c r="G6360" s="9">
        <v>805</v>
      </c>
      <c r="H6360" s="5" t="s">
        <v>21</v>
      </c>
      <c r="I6360" s="5" t="s">
        <v>14120</v>
      </c>
      <c r="J6360" s="12" t="str">
        <f>HYPERLINK("https://www.boe.es/gazeta/dias/1801/07/24/pdfs/GMD-1801-72.pdf#page=10","Abrir facsímil")</f>
        <v>Abrir facsímil</v>
      </c>
      <c r="K6360" s="15" t="s">
        <v>23</v>
      </c>
    </row>
    <row r="6361" spans="1:11" ht="42" customHeight="1">
      <c r="A6361" s="4" t="s">
        <v>14121</v>
      </c>
      <c r="B6361" s="5" t="s">
        <v>14122</v>
      </c>
      <c r="C6361" s="5" t="s">
        <v>32</v>
      </c>
      <c r="D6361" s="5" t="s">
        <v>33</v>
      </c>
      <c r="E6361" s="5" t="s">
        <v>275</v>
      </c>
      <c r="F6361" s="9">
        <v>9</v>
      </c>
      <c r="G6361" s="9">
        <v>112</v>
      </c>
      <c r="H6361" s="5" t="s">
        <v>21</v>
      </c>
      <c r="I6361" s="5" t="s">
        <v>14123</v>
      </c>
      <c r="J6361" s="12" t="str">
        <f>HYPERLINK("https://www.boe.es/gazeta/dias/1801/01/30/pdfs/GMD-1801-9.pdf#page=9","Abrir facsímil")</f>
        <v>Abrir facsímil</v>
      </c>
      <c r="K6361" s="15" t="s">
        <v>23</v>
      </c>
    </row>
    <row r="6362" spans="1:11" ht="42" customHeight="1">
      <c r="A6362" s="4" t="s">
        <v>14124</v>
      </c>
      <c r="B6362" s="5" t="s">
        <v>14125</v>
      </c>
      <c r="C6362" s="5" t="s">
        <v>515</v>
      </c>
      <c r="D6362" s="5" t="s">
        <v>516</v>
      </c>
      <c r="E6362" s="5" t="s">
        <v>501</v>
      </c>
      <c r="F6362" s="9">
        <v>115</v>
      </c>
      <c r="G6362" s="9" t="s">
        <v>668</v>
      </c>
      <c r="H6362" s="5" t="s">
        <v>21</v>
      </c>
      <c r="I6362" s="5" t="s">
        <v>14126</v>
      </c>
      <c r="J6362" s="12" t="str">
        <f>HYPERLINK("https://www.boe.es/gazeta/dias/1801/12/15/pdfs/GMD-C-1801-115.pdf#page=1","Abrir facsímil")</f>
        <v>Abrir facsímil</v>
      </c>
      <c r="K6362" s="15" t="s">
        <v>23</v>
      </c>
    </row>
    <row r="6363" spans="1:11" ht="42" customHeight="1">
      <c r="A6363" s="4" t="s">
        <v>14127</v>
      </c>
      <c r="B6363" s="5" t="s">
        <v>14128</v>
      </c>
      <c r="C6363" s="5" t="s">
        <v>32</v>
      </c>
      <c r="D6363" s="5" t="s">
        <v>33</v>
      </c>
      <c r="E6363" s="5" t="s">
        <v>153</v>
      </c>
      <c r="F6363" s="9">
        <v>48</v>
      </c>
      <c r="G6363" s="9">
        <v>585</v>
      </c>
      <c r="H6363" s="5" t="s">
        <v>21</v>
      </c>
      <c r="I6363" s="5" t="s">
        <v>14129</v>
      </c>
      <c r="J6363" s="12" t="str">
        <f>HYPERLINK("https://www.boe.es/gazeta/dias/1801/06/05/pdfs/GMD-1801-48.pdf#page=7","Abrir facsímil")</f>
        <v>Abrir facsímil</v>
      </c>
      <c r="K6363" s="15" t="s">
        <v>23</v>
      </c>
    </row>
    <row r="6364" spans="1:11" ht="42" customHeight="1">
      <c r="A6364" s="4" t="s">
        <v>14130</v>
      </c>
      <c r="B6364" s="5" t="s">
        <v>14131</v>
      </c>
      <c r="C6364" s="5" t="s">
        <v>26</v>
      </c>
      <c r="D6364" s="5" t="s">
        <v>27</v>
      </c>
      <c r="E6364" s="5" t="s">
        <v>105</v>
      </c>
      <c r="F6364" s="9">
        <v>44</v>
      </c>
      <c r="G6364" s="9">
        <v>550</v>
      </c>
      <c r="H6364" s="5" t="s">
        <v>21</v>
      </c>
      <c r="I6364" s="5" t="s">
        <v>14132</v>
      </c>
      <c r="J6364" s="12" t="str">
        <f>HYPERLINK("https://www.boe.es/gazeta/dias/1801/05/29/pdfs/GMD-1801-44.pdf#page=10","Abrir facsímil")</f>
        <v>Abrir facsímil</v>
      </c>
      <c r="K6364" s="15" t="s">
        <v>23</v>
      </c>
    </row>
    <row r="6365" spans="1:11" ht="42" customHeight="1">
      <c r="A6365" s="4" t="s">
        <v>14133</v>
      </c>
      <c r="B6365" s="5" t="s">
        <v>14134</v>
      </c>
      <c r="C6365" s="5" t="s">
        <v>515</v>
      </c>
      <c r="D6365" s="5" t="s">
        <v>516</v>
      </c>
      <c r="E6365" s="5" t="s">
        <v>501</v>
      </c>
      <c r="F6365" s="9">
        <v>115</v>
      </c>
      <c r="G6365" s="9" t="s">
        <v>668</v>
      </c>
      <c r="H6365" s="5" t="s">
        <v>21</v>
      </c>
      <c r="I6365" s="5" t="s">
        <v>14135</v>
      </c>
      <c r="J6365" s="12" t="str">
        <f>HYPERLINK("https://www.boe.es/gazeta/dias/1801/12/15/pdfs/GMD-C-1801-115.pdf#page=1","Abrir facsímil")</f>
        <v>Abrir facsímil</v>
      </c>
      <c r="K6365" s="15" t="s">
        <v>23</v>
      </c>
    </row>
    <row r="6366" spans="1:11" ht="42" customHeight="1">
      <c r="A6366" s="4" t="s">
        <v>14136</v>
      </c>
      <c r="B6366" s="5" t="s">
        <v>14137</v>
      </c>
      <c r="C6366" s="5" t="s">
        <v>38</v>
      </c>
      <c r="D6366" s="5" t="s">
        <v>39</v>
      </c>
      <c r="E6366" s="5" t="s">
        <v>62</v>
      </c>
      <c r="F6366" s="9">
        <v>6</v>
      </c>
      <c r="G6366" s="9">
        <v>74</v>
      </c>
      <c r="H6366" s="5" t="s">
        <v>21</v>
      </c>
      <c r="I6366" s="5" t="s">
        <v>14138</v>
      </c>
      <c r="J6366" s="12" t="str">
        <f>HYPERLINK("https://www.boe.es/gazeta/dias/1801/01/20/pdfs/GMD-1801-6.pdf#page=10","Abrir facsímil")</f>
        <v>Abrir facsímil</v>
      </c>
      <c r="K6366" s="15" t="s">
        <v>23</v>
      </c>
    </row>
    <row r="6367" spans="1:11" ht="42" customHeight="1">
      <c r="A6367" s="4" t="s">
        <v>14139</v>
      </c>
      <c r="B6367" s="5" t="s">
        <v>14140</v>
      </c>
      <c r="C6367" s="5" t="s">
        <v>32</v>
      </c>
      <c r="D6367" s="5" t="s">
        <v>33</v>
      </c>
      <c r="E6367" s="5" t="s">
        <v>90</v>
      </c>
      <c r="F6367" s="9">
        <v>1</v>
      </c>
      <c r="G6367" s="9">
        <v>9</v>
      </c>
      <c r="H6367" s="5" t="s">
        <v>21</v>
      </c>
      <c r="I6367" s="5" t="s">
        <v>14141</v>
      </c>
      <c r="J6367" s="12" t="str">
        <f>HYPERLINK("https://www.boe.es/gazeta/dias/1801/01/02/pdfs/GMD-1801-1.pdf#page=9","Abrir facsímil")</f>
        <v>Abrir facsímil</v>
      </c>
      <c r="K6367" s="15" t="s">
        <v>23</v>
      </c>
    </row>
    <row r="6368" spans="1:11" ht="42" customHeight="1">
      <c r="A6368" s="4" t="s">
        <v>14142</v>
      </c>
      <c r="B6368" s="5" t="s">
        <v>14143</v>
      </c>
      <c r="C6368" s="5" t="s">
        <v>32</v>
      </c>
      <c r="D6368" s="5" t="s">
        <v>33</v>
      </c>
      <c r="E6368" s="5" t="s">
        <v>417</v>
      </c>
      <c r="F6368" s="9">
        <v>64</v>
      </c>
      <c r="G6368" s="9">
        <v>727</v>
      </c>
      <c r="H6368" s="5" t="s">
        <v>21</v>
      </c>
      <c r="I6368" s="5" t="s">
        <v>14144</v>
      </c>
      <c r="J6368" s="12" t="str">
        <f>HYPERLINK("https://www.boe.es/gazeta/dias/1801/07/07/pdfs/GMD-1801-64.pdf#page=8","Abrir facsímil")</f>
        <v>Abrir facsímil</v>
      </c>
      <c r="K6368" s="15" t="s">
        <v>23</v>
      </c>
    </row>
    <row r="6369" spans="1:11" ht="42" customHeight="1">
      <c r="A6369" s="4" t="s">
        <v>14142</v>
      </c>
      <c r="B6369" s="5" t="s">
        <v>14143</v>
      </c>
      <c r="C6369" s="5" t="s">
        <v>38</v>
      </c>
      <c r="D6369" s="5" t="s">
        <v>39</v>
      </c>
      <c r="E6369" s="5" t="s">
        <v>417</v>
      </c>
      <c r="F6369" s="9">
        <v>64</v>
      </c>
      <c r="G6369" s="9">
        <v>728</v>
      </c>
      <c r="H6369" s="5" t="s">
        <v>21</v>
      </c>
      <c r="I6369" s="5" t="s">
        <v>14145</v>
      </c>
      <c r="J6369" s="12" t="str">
        <f>HYPERLINK("https://www.boe.es/gazeta/dias/1801/07/07/pdfs/GMD-1801-64.pdf#page=9","Abrir facsímil")</f>
        <v>Abrir facsímil</v>
      </c>
      <c r="K6369" s="15" t="s">
        <v>23</v>
      </c>
    </row>
    <row r="6370" spans="1:11" ht="42" customHeight="1">
      <c r="A6370" s="4" t="s">
        <v>14146</v>
      </c>
      <c r="B6370" s="5" t="s">
        <v>14147</v>
      </c>
      <c r="C6370" s="5" t="s">
        <v>32</v>
      </c>
      <c r="D6370" s="5" t="s">
        <v>33</v>
      </c>
      <c r="E6370" s="5" t="s">
        <v>702</v>
      </c>
      <c r="F6370" s="9">
        <v>69</v>
      </c>
      <c r="G6370" s="9">
        <v>763</v>
      </c>
      <c r="H6370" s="5" t="s">
        <v>21</v>
      </c>
      <c r="I6370" s="5" t="s">
        <v>14148</v>
      </c>
      <c r="J6370" s="12" t="str">
        <f>HYPERLINK("https://www.boe.es/gazeta/dias/1801/07/14/pdfs/GMD-1801-69.pdf#page=8","Abrir facsímil")</f>
        <v>Abrir facsímil</v>
      </c>
      <c r="K6370" s="15" t="s">
        <v>23</v>
      </c>
    </row>
    <row r="6371" spans="1:11" ht="42" customHeight="1">
      <c r="A6371" s="4" t="s">
        <v>14149</v>
      </c>
      <c r="B6371" s="5" t="s">
        <v>14150</v>
      </c>
      <c r="C6371" s="5" t="s">
        <v>18</v>
      </c>
      <c r="D6371" s="5" t="s">
        <v>19</v>
      </c>
      <c r="E6371" s="5" t="s">
        <v>702</v>
      </c>
      <c r="F6371" s="9">
        <v>69</v>
      </c>
      <c r="G6371" s="9">
        <v>765</v>
      </c>
      <c r="H6371" s="5" t="s">
        <v>21</v>
      </c>
      <c r="I6371" s="5" t="s">
        <v>14151</v>
      </c>
      <c r="J6371" s="12" t="str">
        <f>HYPERLINK("https://www.boe.es/gazeta/dias/1801/07/14/pdfs/GMD-1801-69.pdf#page=10","Abrir facsímil")</f>
        <v>Abrir facsímil</v>
      </c>
      <c r="K6371" s="15" t="s">
        <v>23</v>
      </c>
    </row>
    <row r="6372" spans="1:11" ht="42" customHeight="1">
      <c r="A6372" s="4" t="s">
        <v>14149</v>
      </c>
      <c r="B6372" s="5" t="s">
        <v>14150</v>
      </c>
      <c r="C6372" s="5" t="s">
        <v>75</v>
      </c>
      <c r="D6372" s="5" t="s">
        <v>76</v>
      </c>
      <c r="E6372" s="5" t="s">
        <v>28</v>
      </c>
      <c r="F6372" s="9">
        <v>77</v>
      </c>
      <c r="G6372" s="9">
        <v>866</v>
      </c>
      <c r="H6372" s="5" t="s">
        <v>21</v>
      </c>
      <c r="I6372" s="5" t="s">
        <v>14152</v>
      </c>
      <c r="J6372" s="12" t="str">
        <f>HYPERLINK("https://www.boe.es/gazeta/dias/1801/08/11/pdfs/GMD-1801-77.pdf#page=11","Abrir facsímil")</f>
        <v>Abrir facsímil</v>
      </c>
      <c r="K6372" s="15" t="s">
        <v>23</v>
      </c>
    </row>
    <row r="6373" spans="1:11" ht="42" customHeight="1">
      <c r="A6373" s="4" t="s">
        <v>14149</v>
      </c>
      <c r="B6373" s="5" t="s">
        <v>14150</v>
      </c>
      <c r="C6373" s="5" t="s">
        <v>18</v>
      </c>
      <c r="D6373" s="5" t="s">
        <v>19</v>
      </c>
      <c r="E6373" s="5" t="s">
        <v>201</v>
      </c>
      <c r="F6373" s="9">
        <v>79</v>
      </c>
      <c r="G6373" s="9">
        <v>890</v>
      </c>
      <c r="H6373" s="5" t="s">
        <v>21</v>
      </c>
      <c r="I6373" s="5" t="s">
        <v>14153</v>
      </c>
      <c r="J6373" s="12" t="str">
        <f>HYPERLINK("https://www.boe.es/gazeta/dias/1801/08/18/pdfs/GMD-1801-79.pdf#page=7","Abrir facsímil")</f>
        <v>Abrir facsímil</v>
      </c>
      <c r="K6373" s="15" t="s">
        <v>23</v>
      </c>
    </row>
    <row r="6374" spans="1:11" ht="42" customHeight="1">
      <c r="A6374" s="4" t="s">
        <v>14149</v>
      </c>
      <c r="B6374" s="5" t="s">
        <v>14150</v>
      </c>
      <c r="C6374" s="5" t="s">
        <v>18</v>
      </c>
      <c r="D6374" s="5" t="s">
        <v>19</v>
      </c>
      <c r="E6374" s="5" t="s">
        <v>77</v>
      </c>
      <c r="F6374" s="9">
        <v>93</v>
      </c>
      <c r="G6374" s="9">
        <v>1020</v>
      </c>
      <c r="H6374" s="5" t="s">
        <v>21</v>
      </c>
      <c r="I6374" s="5" t="s">
        <v>14154</v>
      </c>
      <c r="J6374" s="12" t="str">
        <f>HYPERLINK("https://www.boe.es/gazeta/dias/1801/09/29/pdfs/GMD-1801-93.pdf#page=7","Abrir facsímil")</f>
        <v>Abrir facsímil</v>
      </c>
      <c r="K6374" s="15" t="s">
        <v>23</v>
      </c>
    </row>
    <row r="6375" spans="1:11" ht="42" customHeight="1">
      <c r="A6375" s="4" t="s">
        <v>14155</v>
      </c>
      <c r="B6375" s="5" t="s">
        <v>14156</v>
      </c>
      <c r="C6375" s="5" t="s">
        <v>32</v>
      </c>
      <c r="D6375" s="5" t="s">
        <v>33</v>
      </c>
      <c r="E6375" s="5" t="s">
        <v>289</v>
      </c>
      <c r="F6375" s="9">
        <v>40</v>
      </c>
      <c r="G6375" s="9">
        <v>515</v>
      </c>
      <c r="H6375" s="5" t="s">
        <v>21</v>
      </c>
      <c r="I6375" s="5" t="s">
        <v>14157</v>
      </c>
      <c r="J6375" s="12" t="str">
        <f>HYPERLINK("https://www.boe.es/gazeta/dias/1801/05/19/pdfs/GMD-1801-40.pdf#page=7","Abrir facsímil")</f>
        <v>Abrir facsímil</v>
      </c>
      <c r="K6375" s="15" t="s">
        <v>23</v>
      </c>
    </row>
    <row r="6376" spans="1:11" ht="42" customHeight="1">
      <c r="A6376" s="4" t="s">
        <v>14158</v>
      </c>
      <c r="B6376" s="5" t="s">
        <v>14159</v>
      </c>
      <c r="C6376" s="5" t="s">
        <v>38</v>
      </c>
      <c r="D6376" s="5" t="s">
        <v>39</v>
      </c>
      <c r="E6376" s="5" t="s">
        <v>615</v>
      </c>
      <c r="F6376" s="9">
        <v>72</v>
      </c>
      <c r="G6376" s="9">
        <v>803</v>
      </c>
      <c r="H6376" s="5" t="s">
        <v>21</v>
      </c>
      <c r="I6376" s="5" t="s">
        <v>14160</v>
      </c>
      <c r="J6376" s="12" t="str">
        <f>HYPERLINK("https://www.boe.es/gazeta/dias/1801/07/24/pdfs/GMD-1801-72.pdf#page=8","Abrir facsímil")</f>
        <v>Abrir facsímil</v>
      </c>
      <c r="K6376" s="15" t="s">
        <v>23</v>
      </c>
    </row>
    <row r="6377" spans="1:11" ht="42" customHeight="1">
      <c r="A6377" s="4" t="s">
        <v>14161</v>
      </c>
      <c r="B6377" s="5" t="s">
        <v>14162</v>
      </c>
      <c r="C6377" s="5" t="s">
        <v>80</v>
      </c>
      <c r="D6377" s="5" t="s">
        <v>81</v>
      </c>
      <c r="E6377" s="5" t="s">
        <v>82</v>
      </c>
      <c r="F6377" s="9">
        <v>75</v>
      </c>
      <c r="G6377" s="9" t="s">
        <v>83</v>
      </c>
      <c r="H6377" s="5" t="s">
        <v>21</v>
      </c>
      <c r="I6377" s="5" t="s">
        <v>14163</v>
      </c>
      <c r="J6377" s="12" t="str">
        <f>HYPERLINK("https://www.boe.es/gazeta/dias/1801/08/04/pdfs/GMD-C-1801-75.pdf#page=2","Abrir facsímil")</f>
        <v>Abrir facsímil</v>
      </c>
      <c r="K6377" s="15" t="s">
        <v>23</v>
      </c>
    </row>
    <row r="6378" spans="1:11" ht="42" customHeight="1">
      <c r="A6378" s="4" t="s">
        <v>14164</v>
      </c>
      <c r="B6378" s="5" t="s">
        <v>14165</v>
      </c>
      <c r="C6378" s="5" t="s">
        <v>75</v>
      </c>
      <c r="D6378" s="5" t="s">
        <v>76</v>
      </c>
      <c r="E6378" s="5" t="s">
        <v>124</v>
      </c>
      <c r="F6378" s="9">
        <v>12</v>
      </c>
      <c r="G6378" s="9">
        <v>147</v>
      </c>
      <c r="H6378" s="5" t="s">
        <v>21</v>
      </c>
      <c r="I6378" s="5" t="s">
        <v>14166</v>
      </c>
      <c r="J6378" s="12" t="str">
        <f>HYPERLINK("https://www.boe.es/gazeta/dias/1801/02/10/pdfs/GMD-1801-12.pdf#page=8","Abrir facsímil")</f>
        <v>Abrir facsímil</v>
      </c>
      <c r="K6378" s="15" t="s">
        <v>23</v>
      </c>
    </row>
    <row r="6379" spans="1:11" ht="42" customHeight="1">
      <c r="A6379" s="4" t="s">
        <v>14164</v>
      </c>
      <c r="B6379" s="5" t="s">
        <v>14165</v>
      </c>
      <c r="C6379" s="5" t="s">
        <v>32</v>
      </c>
      <c r="D6379" s="5" t="s">
        <v>33</v>
      </c>
      <c r="E6379" s="5" t="s">
        <v>124</v>
      </c>
      <c r="F6379" s="9">
        <v>12</v>
      </c>
      <c r="G6379" s="9">
        <v>148</v>
      </c>
      <c r="H6379" s="5" t="s">
        <v>21</v>
      </c>
      <c r="I6379" s="5" t="s">
        <v>14167</v>
      </c>
      <c r="J6379" s="12" t="str">
        <f>HYPERLINK("https://www.boe.es/gazeta/dias/1801/02/10/pdfs/GMD-1801-12.pdf#page=9","Abrir facsímil")</f>
        <v>Abrir facsímil</v>
      </c>
      <c r="K6379" s="15" t="s">
        <v>23</v>
      </c>
    </row>
    <row r="6380" spans="1:11" ht="42" customHeight="1">
      <c r="A6380" s="4" t="s">
        <v>14164</v>
      </c>
      <c r="B6380" s="5" t="s">
        <v>14165</v>
      </c>
      <c r="C6380" s="5" t="s">
        <v>38</v>
      </c>
      <c r="D6380" s="5" t="s">
        <v>39</v>
      </c>
      <c r="E6380" s="5" t="s">
        <v>615</v>
      </c>
      <c r="F6380" s="9">
        <v>72</v>
      </c>
      <c r="G6380" s="9">
        <v>803</v>
      </c>
      <c r="H6380" s="5" t="s">
        <v>21</v>
      </c>
      <c r="I6380" s="5" t="s">
        <v>14168</v>
      </c>
      <c r="J6380" s="12" t="str">
        <f>HYPERLINK("https://www.boe.es/gazeta/dias/1801/07/24/pdfs/GMD-1801-72.pdf#page=8","Abrir facsímil")</f>
        <v>Abrir facsímil</v>
      </c>
      <c r="K6380" s="15" t="s">
        <v>23</v>
      </c>
    </row>
    <row r="6381" spans="1:11" ht="42" customHeight="1">
      <c r="A6381" s="4" t="s">
        <v>14169</v>
      </c>
      <c r="B6381" s="5" t="s">
        <v>14169</v>
      </c>
      <c r="C6381" s="5" t="s">
        <v>26</v>
      </c>
      <c r="D6381" s="5" t="s">
        <v>27</v>
      </c>
      <c r="E6381" s="5" t="s">
        <v>292</v>
      </c>
      <c r="F6381" s="9">
        <v>25</v>
      </c>
      <c r="G6381" s="9">
        <v>328</v>
      </c>
      <c r="H6381" s="5" t="s">
        <v>21</v>
      </c>
      <c r="I6381" s="5" t="s">
        <v>14170</v>
      </c>
      <c r="J6381" s="12" t="str">
        <f>HYPERLINK("https://www.boe.es/gazeta/dias/1801/03/27/pdfs/GMD-1801-25.pdf#page=7","Abrir facsímil")</f>
        <v>Abrir facsímil</v>
      </c>
      <c r="K6381" s="15" t="s">
        <v>23</v>
      </c>
    </row>
    <row r="6382" spans="1:11" ht="42" customHeight="1">
      <c r="A6382" s="4" t="s">
        <v>14169</v>
      </c>
      <c r="B6382" s="5" t="s">
        <v>14169</v>
      </c>
      <c r="C6382" s="5" t="s">
        <v>32</v>
      </c>
      <c r="D6382" s="5" t="s">
        <v>33</v>
      </c>
      <c r="E6382" s="5" t="s">
        <v>143</v>
      </c>
      <c r="F6382" s="9">
        <v>34</v>
      </c>
      <c r="G6382" s="9">
        <v>433</v>
      </c>
      <c r="H6382" s="5" t="s">
        <v>21</v>
      </c>
      <c r="I6382" s="5" t="s">
        <v>14171</v>
      </c>
      <c r="J6382" s="12" t="str">
        <f>HYPERLINK("https://www.boe.es/gazeta/dias/1801/04/28/pdfs/GMD-1801-34.pdf#page=5","Abrir facsímil")</f>
        <v>Abrir facsímil</v>
      </c>
      <c r="K6382" s="15" t="s">
        <v>23</v>
      </c>
    </row>
    <row r="6383" spans="1:11" ht="42" customHeight="1">
      <c r="A6383" s="4" t="s">
        <v>14169</v>
      </c>
      <c r="B6383" s="5" t="s">
        <v>14169</v>
      </c>
      <c r="C6383" s="5" t="s">
        <v>75</v>
      </c>
      <c r="D6383" s="5" t="s">
        <v>76</v>
      </c>
      <c r="E6383" s="5" t="s">
        <v>194</v>
      </c>
      <c r="F6383" s="9">
        <v>92</v>
      </c>
      <c r="G6383" s="9">
        <v>1008</v>
      </c>
      <c r="H6383" s="5" t="s">
        <v>21</v>
      </c>
      <c r="I6383" s="5" t="s">
        <v>14172</v>
      </c>
      <c r="J6383" s="12" t="str">
        <f>HYPERLINK("https://www.boe.es/gazeta/dias/1801/09/25/pdfs/GMD-1801-92.pdf#page=3","Abrir facsímil")</f>
        <v>Abrir facsímil</v>
      </c>
      <c r="K6383" s="15" t="s">
        <v>23</v>
      </c>
    </row>
    <row r="6384" spans="1:11" ht="42" customHeight="1">
      <c r="A6384" s="4" t="s">
        <v>14169</v>
      </c>
      <c r="B6384" s="5" t="s">
        <v>14169</v>
      </c>
      <c r="C6384" s="5" t="s">
        <v>32</v>
      </c>
      <c r="D6384" s="5" t="s">
        <v>33</v>
      </c>
      <c r="E6384" s="5" t="s">
        <v>359</v>
      </c>
      <c r="F6384" s="9">
        <v>101</v>
      </c>
      <c r="G6384" s="9">
        <v>1110</v>
      </c>
      <c r="H6384" s="5" t="s">
        <v>21</v>
      </c>
      <c r="I6384" s="5" t="s">
        <v>14173</v>
      </c>
      <c r="J6384" s="12" t="str">
        <f>HYPERLINK("https://www.boe.es/gazeta/dias/1801/10/27/pdfs/GMD-1801-101.pdf#page=3","Abrir facsímil")</f>
        <v>Abrir facsímil</v>
      </c>
      <c r="K6384" s="15" t="s">
        <v>23</v>
      </c>
    </row>
    <row r="6385" spans="1:11" ht="42" customHeight="1">
      <c r="A6385" s="4" t="s">
        <v>14169</v>
      </c>
      <c r="B6385" s="5" t="s">
        <v>14169</v>
      </c>
      <c r="C6385" s="5" t="s">
        <v>38</v>
      </c>
      <c r="D6385" s="5" t="s">
        <v>39</v>
      </c>
      <c r="E6385" s="5" t="s">
        <v>55</v>
      </c>
      <c r="F6385" s="9">
        <v>104</v>
      </c>
      <c r="G6385" s="9">
        <v>1142</v>
      </c>
      <c r="H6385" s="5" t="s">
        <v>21</v>
      </c>
      <c r="I6385" s="5" t="s">
        <v>14174</v>
      </c>
      <c r="J6385" s="12" t="str">
        <f>HYPERLINK("https://www.boe.es/gazeta/dias/1801/11/06/pdfs/GMD-1801-104.pdf#page=3","Abrir facsímil")</f>
        <v>Abrir facsímil</v>
      </c>
      <c r="K6385" s="15" t="s">
        <v>23</v>
      </c>
    </row>
    <row r="6386" spans="1:11" ht="42" customHeight="1">
      <c r="A6386" s="4" t="s">
        <v>14175</v>
      </c>
      <c r="B6386" s="5" t="s">
        <v>14175</v>
      </c>
      <c r="C6386" s="5" t="s">
        <v>38</v>
      </c>
      <c r="D6386" s="5" t="s">
        <v>39</v>
      </c>
      <c r="E6386" s="5" t="s">
        <v>751</v>
      </c>
      <c r="F6386" s="9">
        <v>106</v>
      </c>
      <c r="G6386" s="9">
        <v>1164</v>
      </c>
      <c r="H6386" s="5" t="s">
        <v>21</v>
      </c>
      <c r="I6386" s="5" t="s">
        <v>14176</v>
      </c>
      <c r="J6386" s="12" t="str">
        <f>HYPERLINK("https://www.boe.es/gazeta/dias/1801/11/13/pdfs/GMD-1801-106.pdf#page=5","Abrir facsímil")</f>
        <v>Abrir facsímil</v>
      </c>
      <c r="K6386" s="15" t="s">
        <v>23</v>
      </c>
    </row>
    <row r="6387" spans="1:11" ht="42" customHeight="1">
      <c r="A6387" s="4" t="s">
        <v>14177</v>
      </c>
      <c r="B6387" s="5" t="s">
        <v>14177</v>
      </c>
      <c r="C6387" s="5" t="s">
        <v>75</v>
      </c>
      <c r="D6387" s="5" t="s">
        <v>76</v>
      </c>
      <c r="E6387" s="5" t="s">
        <v>20</v>
      </c>
      <c r="F6387" s="9">
        <v>37</v>
      </c>
      <c r="G6387" s="9">
        <v>479</v>
      </c>
      <c r="H6387" s="5" t="s">
        <v>21</v>
      </c>
      <c r="I6387" s="5" t="s">
        <v>14178</v>
      </c>
      <c r="J6387" s="12" t="str">
        <f>HYPERLINK("https://www.boe.es/gazeta/dias/1801/05/08/pdfs/GMD-1801-37.pdf#page=7","Abrir facsímil")</f>
        <v>Abrir facsímil</v>
      </c>
      <c r="K6387" s="15" t="s">
        <v>23</v>
      </c>
    </row>
    <row r="6388" spans="1:11" ht="42" customHeight="1">
      <c r="A6388" s="4" t="s">
        <v>14179</v>
      </c>
      <c r="B6388" s="5" t="s">
        <v>14180</v>
      </c>
      <c r="C6388" s="5" t="s">
        <v>75</v>
      </c>
      <c r="D6388" s="5" t="s">
        <v>76</v>
      </c>
      <c r="E6388" s="5" t="s">
        <v>480</v>
      </c>
      <c r="F6388" s="9">
        <v>10</v>
      </c>
      <c r="G6388" s="9">
        <v>120</v>
      </c>
      <c r="H6388" s="5" t="s">
        <v>21</v>
      </c>
      <c r="I6388" s="5" t="s">
        <v>14181</v>
      </c>
      <c r="J6388" s="12" t="str">
        <f>HYPERLINK("https://www.boe.es/gazeta/dias/1801/02/03/pdfs/GMD-1801-10.pdf#page=5","Abrir facsímil")</f>
        <v>Abrir facsímil</v>
      </c>
      <c r="K6388" s="15" t="s">
        <v>23</v>
      </c>
    </row>
    <row r="6389" spans="1:11" ht="42" customHeight="1">
      <c r="A6389" s="4" t="s">
        <v>14179</v>
      </c>
      <c r="B6389" s="5" t="s">
        <v>14180</v>
      </c>
      <c r="C6389" s="5" t="s">
        <v>38</v>
      </c>
      <c r="D6389" s="5" t="s">
        <v>39</v>
      </c>
      <c r="E6389" s="5" t="s">
        <v>126</v>
      </c>
      <c r="F6389" s="9">
        <v>13</v>
      </c>
      <c r="G6389" s="9">
        <v>160</v>
      </c>
      <c r="H6389" s="5" t="s">
        <v>21</v>
      </c>
      <c r="I6389" s="5" t="s">
        <v>14182</v>
      </c>
      <c r="J6389" s="12" t="str">
        <f>HYPERLINK("https://www.boe.es/gazeta/dias/1801/02/13/pdfs/GMD-1801-13.pdf#page=7","Abrir facsímil")</f>
        <v>Abrir facsímil</v>
      </c>
      <c r="K6389" s="15" t="s">
        <v>23</v>
      </c>
    </row>
    <row r="6390" spans="1:11" ht="42" customHeight="1">
      <c r="A6390" s="4" t="s">
        <v>14179</v>
      </c>
      <c r="B6390" s="5" t="s">
        <v>14180</v>
      </c>
      <c r="C6390" s="5" t="s">
        <v>32</v>
      </c>
      <c r="D6390" s="5" t="s">
        <v>33</v>
      </c>
      <c r="E6390" s="5" t="s">
        <v>781</v>
      </c>
      <c r="F6390" s="9">
        <v>14</v>
      </c>
      <c r="G6390" s="9">
        <v>172</v>
      </c>
      <c r="H6390" s="5" t="s">
        <v>21</v>
      </c>
      <c r="I6390" s="5" t="s">
        <v>14183</v>
      </c>
      <c r="J6390" s="12" t="str">
        <f>HYPERLINK("https://www.boe.es/gazeta/dias/1801/02/17/pdfs/GMD-1801-14.pdf#page=7","Abrir facsímil")</f>
        <v>Abrir facsímil</v>
      </c>
      <c r="K6390" s="15" t="s">
        <v>23</v>
      </c>
    </row>
    <row r="6391" spans="1:11" ht="42" customHeight="1">
      <c r="A6391" s="4" t="s">
        <v>14184</v>
      </c>
      <c r="B6391" s="5" t="s">
        <v>14185</v>
      </c>
      <c r="C6391" s="5" t="s">
        <v>75</v>
      </c>
      <c r="D6391" s="5" t="s">
        <v>76</v>
      </c>
      <c r="E6391" s="5" t="s">
        <v>190</v>
      </c>
      <c r="F6391" s="9">
        <v>16</v>
      </c>
      <c r="G6391" s="9">
        <v>197</v>
      </c>
      <c r="H6391" s="5" t="s">
        <v>21</v>
      </c>
      <c r="I6391" s="5" t="s">
        <v>14186</v>
      </c>
      <c r="J6391" s="12" t="str">
        <f>HYPERLINK("https://www.boe.es/gazeta/dias/1801/02/24/pdfs/GMD-1801-16.pdf#page=4","Abrir facsímil")</f>
        <v>Abrir facsímil</v>
      </c>
      <c r="K6391" s="15" t="s">
        <v>23</v>
      </c>
    </row>
    <row r="6392" spans="1:11" ht="42" customHeight="1">
      <c r="A6392" s="4" t="s">
        <v>14187</v>
      </c>
      <c r="B6392" s="5" t="s">
        <v>14188</v>
      </c>
      <c r="C6392" s="5" t="s">
        <v>32</v>
      </c>
      <c r="D6392" s="5" t="s">
        <v>33</v>
      </c>
      <c r="E6392" s="5" t="s">
        <v>256</v>
      </c>
      <c r="F6392" s="9">
        <v>78</v>
      </c>
      <c r="G6392" s="9">
        <v>882</v>
      </c>
      <c r="H6392" s="5" t="s">
        <v>21</v>
      </c>
      <c r="I6392" s="5" t="s">
        <v>14189</v>
      </c>
      <c r="J6392" s="12" t="str">
        <f>HYPERLINK("https://www.boe.es/gazeta/dias/1801/08/14/pdfs/GMD-1801-78.pdf#page=11","Abrir facsímil")</f>
        <v>Abrir facsímil</v>
      </c>
      <c r="K6392" s="15" t="s">
        <v>23</v>
      </c>
    </row>
    <row r="6393" spans="1:11" ht="42" customHeight="1">
      <c r="A6393" s="4" t="s">
        <v>14190</v>
      </c>
      <c r="B6393" s="5" t="s">
        <v>14191</v>
      </c>
      <c r="C6393" s="5" t="s">
        <v>69</v>
      </c>
      <c r="D6393" s="5" t="s">
        <v>19</v>
      </c>
      <c r="E6393" s="5" t="s">
        <v>105</v>
      </c>
      <c r="F6393" s="9">
        <v>44</v>
      </c>
      <c r="G6393" s="9">
        <v>549</v>
      </c>
      <c r="H6393" s="5" t="s">
        <v>21</v>
      </c>
      <c r="I6393" s="5" t="s">
        <v>14192</v>
      </c>
      <c r="J6393" s="12" t="str">
        <f>HYPERLINK("https://www.boe.es/gazeta/dias/1801/05/29/pdfs/GMD-1801-44.pdf#page=9","Abrir facsímil")</f>
        <v>Abrir facsímil</v>
      </c>
      <c r="K6393" s="15" t="s">
        <v>23</v>
      </c>
    </row>
    <row r="6394" spans="1:11" ht="42" customHeight="1">
      <c r="A6394" s="4" t="s">
        <v>14193</v>
      </c>
      <c r="B6394" s="5" t="s">
        <v>14194</v>
      </c>
      <c r="C6394" s="5" t="s">
        <v>32</v>
      </c>
      <c r="D6394" s="5" t="s">
        <v>33</v>
      </c>
      <c r="E6394" s="5" t="s">
        <v>62</v>
      </c>
      <c r="F6394" s="9">
        <v>6</v>
      </c>
      <c r="G6394" s="9">
        <v>73</v>
      </c>
      <c r="H6394" s="5" t="s">
        <v>21</v>
      </c>
      <c r="I6394" s="5" t="s">
        <v>14195</v>
      </c>
      <c r="J6394" s="12" t="str">
        <f>HYPERLINK("https://www.boe.es/gazeta/dias/1801/01/20/pdfs/GMD-1801-6.pdf#page=9","Abrir facsímil")</f>
        <v>Abrir facsímil</v>
      </c>
      <c r="K6394" s="15" t="s">
        <v>23</v>
      </c>
    </row>
    <row r="6395" spans="1:11" ht="42" customHeight="1">
      <c r="A6395" s="4" t="s">
        <v>14193</v>
      </c>
      <c r="B6395" s="5" t="s">
        <v>14194</v>
      </c>
      <c r="C6395" s="5" t="s">
        <v>32</v>
      </c>
      <c r="D6395" s="5" t="s">
        <v>33</v>
      </c>
      <c r="E6395" s="5" t="s">
        <v>764</v>
      </c>
      <c r="F6395" s="9">
        <v>80</v>
      </c>
      <c r="G6395" s="9">
        <v>898</v>
      </c>
      <c r="H6395" s="5" t="s">
        <v>21</v>
      </c>
      <c r="I6395" s="5" t="s">
        <v>14196</v>
      </c>
      <c r="J6395" s="12" t="str">
        <f>HYPERLINK("https://www.boe.es/gazeta/dias/1801/08/21/pdfs/GMD-1801-80.pdf#page=7","Abrir facsímil")</f>
        <v>Abrir facsímil</v>
      </c>
      <c r="K6395" s="15" t="s">
        <v>23</v>
      </c>
    </row>
    <row r="6396" spans="1:11" ht="42" customHeight="1">
      <c r="A6396" s="4" t="s">
        <v>14197</v>
      </c>
      <c r="B6396" s="5" t="s">
        <v>14198</v>
      </c>
      <c r="C6396" s="5" t="s">
        <v>38</v>
      </c>
      <c r="D6396" s="5" t="s">
        <v>39</v>
      </c>
      <c r="E6396" s="5" t="s">
        <v>480</v>
      </c>
      <c r="F6396" s="9">
        <v>10</v>
      </c>
      <c r="G6396" s="9">
        <v>125</v>
      </c>
      <c r="H6396" s="5" t="s">
        <v>21</v>
      </c>
      <c r="I6396" s="5" t="s">
        <v>14199</v>
      </c>
      <c r="J6396" s="12" t="str">
        <f>HYPERLINK("https://www.boe.es/gazeta/dias/1801/02/03/pdfs/GMD-1801-10.pdf#page=10","Abrir facsímil")</f>
        <v>Abrir facsímil</v>
      </c>
      <c r="K6396" s="15" t="s">
        <v>23</v>
      </c>
    </row>
    <row r="6397" spans="1:11" ht="42" customHeight="1">
      <c r="A6397" s="4" t="s">
        <v>14200</v>
      </c>
      <c r="B6397" s="5" t="s">
        <v>14200</v>
      </c>
      <c r="C6397" s="5" t="s">
        <v>75</v>
      </c>
      <c r="D6397" s="5" t="s">
        <v>76</v>
      </c>
      <c r="E6397" s="5" t="s">
        <v>262</v>
      </c>
      <c r="F6397" s="9">
        <v>109</v>
      </c>
      <c r="G6397" s="9">
        <v>1196</v>
      </c>
      <c r="H6397" s="5" t="s">
        <v>21</v>
      </c>
      <c r="I6397" s="5" t="s">
        <v>14201</v>
      </c>
      <c r="J6397" s="12" t="str">
        <f>HYPERLINK("https://www.boe.es/gazeta/dias/1801/11/24/pdfs/GMD-1801-109.pdf#page=1","Abrir facsímil")</f>
        <v>Abrir facsímil</v>
      </c>
      <c r="K6397" s="15" t="s">
        <v>23</v>
      </c>
    </row>
    <row r="6398" spans="1:11" ht="42" customHeight="1">
      <c r="A6398" s="4" t="s">
        <v>14202</v>
      </c>
      <c r="B6398" s="5" t="s">
        <v>14202</v>
      </c>
      <c r="C6398" s="5" t="s">
        <v>32</v>
      </c>
      <c r="D6398" s="5" t="s">
        <v>33</v>
      </c>
      <c r="E6398" s="5" t="s">
        <v>888</v>
      </c>
      <c r="F6398" s="9">
        <v>103</v>
      </c>
      <c r="G6398" s="9">
        <v>1135</v>
      </c>
      <c r="H6398" s="5" t="s">
        <v>21</v>
      </c>
      <c r="I6398" s="5" t="s">
        <v>14203</v>
      </c>
      <c r="J6398" s="12" t="str">
        <f>HYPERLINK("https://www.boe.es/gazeta/dias/1801/11/03/pdfs/GMD-1801-103.pdf#page=8","Abrir facsímil")</f>
        <v>Abrir facsímil</v>
      </c>
      <c r="K6398" s="15" t="s">
        <v>23</v>
      </c>
    </row>
    <row r="6399" spans="1:11" ht="42" customHeight="1">
      <c r="A6399" s="4" t="s">
        <v>14204</v>
      </c>
      <c r="B6399" s="5" t="s">
        <v>14205</v>
      </c>
      <c r="C6399" s="5" t="s">
        <v>69</v>
      </c>
      <c r="D6399" s="5" t="s">
        <v>19</v>
      </c>
      <c r="E6399" s="5" t="s">
        <v>313</v>
      </c>
      <c r="F6399" s="9">
        <v>39</v>
      </c>
      <c r="G6399" s="9">
        <v>506</v>
      </c>
      <c r="H6399" s="5" t="s">
        <v>21</v>
      </c>
      <c r="I6399" s="5" t="s">
        <v>14206</v>
      </c>
      <c r="J6399" s="12" t="str">
        <f>HYPERLINK("https://www.boe.es/gazeta/dias/1801/05/15/pdfs/GMD-1801-39.pdf#page=10","Abrir facsímil")</f>
        <v>Abrir facsímil</v>
      </c>
      <c r="K6399" s="15" t="s">
        <v>23</v>
      </c>
    </row>
    <row r="6400" spans="1:11" ht="42" customHeight="1">
      <c r="A6400" s="4" t="s">
        <v>14207</v>
      </c>
      <c r="B6400" s="5" t="s">
        <v>14208</v>
      </c>
      <c r="C6400" s="5" t="s">
        <v>32</v>
      </c>
      <c r="D6400" s="5" t="s">
        <v>33</v>
      </c>
      <c r="E6400" s="5" t="s">
        <v>165</v>
      </c>
      <c r="F6400" s="9">
        <v>59</v>
      </c>
      <c r="G6400" s="9">
        <v>676</v>
      </c>
      <c r="H6400" s="5" t="s">
        <v>21</v>
      </c>
      <c r="I6400" s="5" t="s">
        <v>14209</v>
      </c>
      <c r="J6400" s="12" t="str">
        <f>HYPERLINK("https://www.boe.es/gazeta/dias/1801/06/23/pdfs/GMD-1801-59.pdf#page=9","Abrir facsímil")</f>
        <v>Abrir facsímil</v>
      </c>
      <c r="K6400" s="15" t="s">
        <v>23</v>
      </c>
    </row>
    <row r="6401" spans="1:11" ht="42" customHeight="1">
      <c r="A6401" s="4" t="s">
        <v>14210</v>
      </c>
      <c r="B6401" s="5" t="s">
        <v>14211</v>
      </c>
      <c r="C6401" s="5" t="s">
        <v>32</v>
      </c>
      <c r="D6401" s="5" t="s">
        <v>33</v>
      </c>
      <c r="E6401" s="5" t="s">
        <v>1058</v>
      </c>
      <c r="F6401" s="9">
        <v>108</v>
      </c>
      <c r="G6401" s="9">
        <v>1190</v>
      </c>
      <c r="H6401" s="5" t="s">
        <v>21</v>
      </c>
      <c r="I6401" s="5" t="s">
        <v>14212</v>
      </c>
      <c r="J6401" s="12" t="str">
        <f>HYPERLINK("https://www.boe.es/gazeta/dias/1801/11/20/pdfs/GMD-1801-108.pdf#page=7","Abrir facsímil")</f>
        <v>Abrir facsímil</v>
      </c>
      <c r="K6401" s="15" t="s">
        <v>23</v>
      </c>
    </row>
    <row r="6402" spans="1:11" ht="42" customHeight="1">
      <c r="A6402" s="4" t="s">
        <v>14213</v>
      </c>
      <c r="B6402" s="5" t="s">
        <v>14214</v>
      </c>
      <c r="C6402" s="5" t="s">
        <v>80</v>
      </c>
      <c r="D6402" s="5" t="s">
        <v>81</v>
      </c>
      <c r="E6402" s="5" t="s">
        <v>82</v>
      </c>
      <c r="F6402" s="9">
        <v>75</v>
      </c>
      <c r="G6402" s="9" t="s">
        <v>996</v>
      </c>
      <c r="H6402" s="5" t="s">
        <v>21</v>
      </c>
      <c r="I6402" s="5" t="s">
        <v>14215</v>
      </c>
      <c r="J6402" s="12" t="str">
        <f>HYPERLINK("https://www.boe.es/gazeta/dias/1801/08/04/pdfs/GMD-C-1801-75.pdf#page=6","Abrir facsímil")</f>
        <v>Abrir facsímil</v>
      </c>
      <c r="K6402" s="15" t="s">
        <v>23</v>
      </c>
    </row>
    <row r="6403" spans="1:11" ht="42" customHeight="1">
      <c r="A6403" s="4" t="s">
        <v>14216</v>
      </c>
      <c r="B6403" s="5" t="s">
        <v>14217</v>
      </c>
      <c r="C6403" s="5" t="s">
        <v>32</v>
      </c>
      <c r="D6403" s="5" t="s">
        <v>33</v>
      </c>
      <c r="E6403" s="5" t="s">
        <v>321</v>
      </c>
      <c r="F6403" s="9">
        <v>3</v>
      </c>
      <c r="G6403" s="9">
        <v>33</v>
      </c>
      <c r="H6403" s="5" t="s">
        <v>21</v>
      </c>
      <c r="I6403" s="5" t="s">
        <v>14218</v>
      </c>
      <c r="J6403" s="12" t="str">
        <f>HYPERLINK("https://www.boe.es/gazeta/dias/1801/01/09/pdfs/GMD-1801-3.pdf#page=9","Abrir facsímil")</f>
        <v>Abrir facsímil</v>
      </c>
      <c r="K6403" s="15" t="s">
        <v>23</v>
      </c>
    </row>
    <row r="6404" spans="1:11" ht="42" customHeight="1">
      <c r="A6404" s="4" t="s">
        <v>14219</v>
      </c>
      <c r="B6404" s="5" t="s">
        <v>14220</v>
      </c>
      <c r="C6404" s="5" t="s">
        <v>32</v>
      </c>
      <c r="D6404" s="5" t="s">
        <v>33</v>
      </c>
      <c r="E6404" s="5" t="s">
        <v>155</v>
      </c>
      <c r="F6404" s="9">
        <v>50</v>
      </c>
      <c r="G6404" s="9">
        <v>597</v>
      </c>
      <c r="H6404" s="5" t="s">
        <v>21</v>
      </c>
      <c r="I6404" s="5" t="s">
        <v>14221</v>
      </c>
      <c r="J6404" s="12" t="str">
        <f>HYPERLINK("https://www.boe.es/gazeta/dias/1801/06/09/pdfs/GMD-1801-50.pdf#page=9","Abrir facsímil")</f>
        <v>Abrir facsímil</v>
      </c>
      <c r="K6404" s="15" t="s">
        <v>23</v>
      </c>
    </row>
    <row r="6405" spans="1:11" ht="42" customHeight="1">
      <c r="A6405" s="4" t="s">
        <v>14222</v>
      </c>
      <c r="B6405" s="5" t="s">
        <v>14223</v>
      </c>
      <c r="C6405" s="5" t="s">
        <v>18</v>
      </c>
      <c r="D6405" s="5" t="s">
        <v>19</v>
      </c>
      <c r="E6405" s="5" t="s">
        <v>48</v>
      </c>
      <c r="F6405" s="9">
        <v>20</v>
      </c>
      <c r="G6405" s="9">
        <v>267</v>
      </c>
      <c r="H6405" s="5" t="s">
        <v>21</v>
      </c>
      <c r="I6405" s="5" t="s">
        <v>14224</v>
      </c>
      <c r="J6405" s="12" t="str">
        <f>HYPERLINK("https://www.boe.es/gazeta/dias/1801/03/10/pdfs/GMD-1801-20.pdf#page=12","Abrir facsímil")</f>
        <v>Abrir facsímil</v>
      </c>
      <c r="K6405" s="15" t="s">
        <v>23</v>
      </c>
    </row>
    <row r="6406" spans="1:11" ht="42" customHeight="1">
      <c r="A6406" s="4" t="s">
        <v>14225</v>
      </c>
      <c r="B6406" s="5" t="s">
        <v>14226</v>
      </c>
      <c r="C6406" s="5" t="s">
        <v>69</v>
      </c>
      <c r="D6406" s="5" t="s">
        <v>19</v>
      </c>
      <c r="E6406" s="5" t="s">
        <v>640</v>
      </c>
      <c r="F6406" s="9">
        <v>81</v>
      </c>
      <c r="G6406" s="9">
        <v>905</v>
      </c>
      <c r="H6406" s="5" t="s">
        <v>21</v>
      </c>
      <c r="I6406" s="5" t="s">
        <v>14227</v>
      </c>
      <c r="J6406" s="12" t="str">
        <f>HYPERLINK("https://www.boe.es/gazeta/dias/1801/08/25/pdfs/GMD-1801-81.pdf#page=2","Abrir facsímil")</f>
        <v>Abrir facsímil</v>
      </c>
      <c r="K6406" s="15" t="s">
        <v>23</v>
      </c>
    </row>
    <row r="6407" spans="1:11" ht="42" customHeight="1">
      <c r="A6407" s="4" t="s">
        <v>14228</v>
      </c>
      <c r="B6407" s="5" t="s">
        <v>14228</v>
      </c>
      <c r="C6407" s="5" t="s">
        <v>75</v>
      </c>
      <c r="D6407" s="5" t="s">
        <v>76</v>
      </c>
      <c r="E6407" s="5" t="s">
        <v>935</v>
      </c>
      <c r="F6407" s="9">
        <v>116</v>
      </c>
      <c r="G6407" s="9">
        <v>1259</v>
      </c>
      <c r="H6407" s="5" t="s">
        <v>21</v>
      </c>
      <c r="I6407" s="5" t="s">
        <v>14229</v>
      </c>
      <c r="J6407" s="12" t="str">
        <f>HYPERLINK("https://www.boe.es/gazeta/dias/1801/12/18/pdfs/GMD-1801-116.pdf#page=1","Abrir facsímil")</f>
        <v>Abrir facsímil</v>
      </c>
      <c r="K6407" s="15" t="s">
        <v>23</v>
      </c>
    </row>
    <row r="6408" spans="1:11" ht="42" customHeight="1">
      <c r="A6408" s="4" t="s">
        <v>14230</v>
      </c>
      <c r="B6408" s="5" t="s">
        <v>14230</v>
      </c>
      <c r="C6408" s="5" t="s">
        <v>75</v>
      </c>
      <c r="D6408" s="5" t="s">
        <v>76</v>
      </c>
      <c r="E6408" s="5" t="s">
        <v>2185</v>
      </c>
      <c r="F6408" s="9">
        <v>84</v>
      </c>
      <c r="G6408" s="9">
        <v>939</v>
      </c>
      <c r="H6408" s="5" t="s">
        <v>21</v>
      </c>
      <c r="I6408" s="5" t="s">
        <v>14231</v>
      </c>
      <c r="J6408" s="12" t="str">
        <f>HYPERLINK("https://www.boe.es/gazeta/dias/1801/09/04/pdfs/GMD-1801-84.pdf#page=2","Abrir facsímil")</f>
        <v>Abrir facsímil</v>
      </c>
      <c r="K6408" s="15" t="s">
        <v>23</v>
      </c>
    </row>
    <row r="6409" spans="1:11" ht="42" customHeight="1">
      <c r="A6409" s="4" t="s">
        <v>14230</v>
      </c>
      <c r="B6409" s="5" t="s">
        <v>14230</v>
      </c>
      <c r="C6409" s="5" t="s">
        <v>75</v>
      </c>
      <c r="D6409" s="5" t="s">
        <v>76</v>
      </c>
      <c r="E6409" s="5" t="s">
        <v>194</v>
      </c>
      <c r="F6409" s="9">
        <v>92</v>
      </c>
      <c r="G6409" s="9">
        <v>1008</v>
      </c>
      <c r="H6409" s="5" t="s">
        <v>21</v>
      </c>
      <c r="I6409" s="5" t="s">
        <v>14232</v>
      </c>
      <c r="J6409" s="12" t="str">
        <f>HYPERLINK("https://www.boe.es/gazeta/dias/1801/09/25/pdfs/GMD-1801-92.pdf#page=3","Abrir facsímil")</f>
        <v>Abrir facsímil</v>
      </c>
      <c r="K6409" s="15" t="s">
        <v>23</v>
      </c>
    </row>
    <row r="6410" spans="1:11" ht="42" customHeight="1">
      <c r="A6410" s="4" t="s">
        <v>14230</v>
      </c>
      <c r="B6410" s="5" t="s">
        <v>14230</v>
      </c>
      <c r="C6410" s="5" t="s">
        <v>38</v>
      </c>
      <c r="D6410" s="5" t="s">
        <v>39</v>
      </c>
      <c r="E6410" s="5" t="s">
        <v>194</v>
      </c>
      <c r="F6410" s="9">
        <v>92</v>
      </c>
      <c r="G6410" s="9">
        <v>1010</v>
      </c>
      <c r="H6410" s="5" t="s">
        <v>21</v>
      </c>
      <c r="I6410" s="5" t="s">
        <v>14233</v>
      </c>
      <c r="J6410" s="12" t="str">
        <f>HYPERLINK("https://www.boe.es/gazeta/dias/1801/09/25/pdfs/GMD-1801-92.pdf#page=5","Abrir facsímil")</f>
        <v>Abrir facsímil</v>
      </c>
      <c r="K6410" s="15" t="s">
        <v>23</v>
      </c>
    </row>
    <row r="6411" spans="1:11" ht="42" customHeight="1">
      <c r="A6411" s="4" t="s">
        <v>14230</v>
      </c>
      <c r="B6411" s="5" t="s">
        <v>14230</v>
      </c>
      <c r="C6411" s="5" t="s">
        <v>75</v>
      </c>
      <c r="D6411" s="5" t="s">
        <v>76</v>
      </c>
      <c r="E6411" s="5" t="s">
        <v>77</v>
      </c>
      <c r="F6411" s="9">
        <v>93</v>
      </c>
      <c r="G6411" s="9">
        <v>1017</v>
      </c>
      <c r="H6411" s="5" t="s">
        <v>21</v>
      </c>
      <c r="I6411" s="5" t="s">
        <v>14234</v>
      </c>
      <c r="J6411" s="12" t="str">
        <f>HYPERLINK("https://www.boe.es/gazeta/dias/1801/09/29/pdfs/GMD-1801-93.pdf#page=4","Abrir facsímil")</f>
        <v>Abrir facsímil</v>
      </c>
      <c r="K6411" s="15" t="s">
        <v>23</v>
      </c>
    </row>
    <row r="6412" spans="1:11" ht="42" customHeight="1">
      <c r="A6412" s="4" t="s">
        <v>14230</v>
      </c>
      <c r="B6412" s="5" t="s">
        <v>14230</v>
      </c>
      <c r="C6412" s="5" t="s">
        <v>38</v>
      </c>
      <c r="D6412" s="5" t="s">
        <v>39</v>
      </c>
      <c r="E6412" s="5" t="s">
        <v>505</v>
      </c>
      <c r="F6412" s="9">
        <v>94</v>
      </c>
      <c r="G6412" s="9">
        <v>1029</v>
      </c>
      <c r="H6412" s="5" t="s">
        <v>21</v>
      </c>
      <c r="I6412" s="5" t="s">
        <v>14235</v>
      </c>
      <c r="J6412" s="12" t="str">
        <f>HYPERLINK("https://www.boe.es/gazeta/dias/1801/10/02/pdfs/GMD-1801-94.pdf#page=5","Abrir facsímil")</f>
        <v>Abrir facsímil</v>
      </c>
      <c r="K6412" s="15" t="s">
        <v>23</v>
      </c>
    </row>
    <row r="6413" spans="1:11" ht="42" customHeight="1">
      <c r="A6413" s="4" t="s">
        <v>14230</v>
      </c>
      <c r="B6413" s="5" t="s">
        <v>14230</v>
      </c>
      <c r="C6413" s="5" t="s">
        <v>32</v>
      </c>
      <c r="D6413" s="5" t="s">
        <v>33</v>
      </c>
      <c r="E6413" s="5" t="s">
        <v>1436</v>
      </c>
      <c r="F6413" s="9">
        <v>95</v>
      </c>
      <c r="G6413" s="9">
        <v>1041</v>
      </c>
      <c r="H6413" s="5" t="s">
        <v>21</v>
      </c>
      <c r="I6413" s="5" t="s">
        <v>14236</v>
      </c>
      <c r="J6413" s="12" t="str">
        <f>HYPERLINK("https://www.boe.es/gazeta/dias/1801/10/06/pdfs/GMD-1801-95.pdf#page=5","Abrir facsímil")</f>
        <v>Abrir facsímil</v>
      </c>
      <c r="K6413" s="15" t="s">
        <v>23</v>
      </c>
    </row>
    <row r="6414" spans="1:11" ht="42" customHeight="1">
      <c r="A6414" s="4" t="s">
        <v>14230</v>
      </c>
      <c r="B6414" s="5" t="s">
        <v>14230</v>
      </c>
      <c r="C6414" s="5" t="s">
        <v>38</v>
      </c>
      <c r="D6414" s="5" t="s">
        <v>39</v>
      </c>
      <c r="E6414" s="5" t="s">
        <v>258</v>
      </c>
      <c r="F6414" s="9">
        <v>96</v>
      </c>
      <c r="G6414" s="9">
        <v>1051</v>
      </c>
      <c r="H6414" s="5" t="s">
        <v>21</v>
      </c>
      <c r="I6414" s="5" t="s">
        <v>14237</v>
      </c>
      <c r="J6414" s="12" t="str">
        <f>HYPERLINK("https://www.boe.es/gazeta/dias/1801/10/09/pdfs/GMD-1801-96.pdf#page=7","Abrir facsímil")</f>
        <v>Abrir facsímil</v>
      </c>
      <c r="K6414" s="15" t="s">
        <v>23</v>
      </c>
    </row>
    <row r="6415" spans="1:11" ht="42" customHeight="1">
      <c r="A6415" s="4" t="s">
        <v>14230</v>
      </c>
      <c r="B6415" s="5" t="s">
        <v>14230</v>
      </c>
      <c r="C6415" s="5" t="s">
        <v>32</v>
      </c>
      <c r="D6415" s="5" t="s">
        <v>33</v>
      </c>
      <c r="E6415" s="5" t="s">
        <v>735</v>
      </c>
      <c r="F6415" s="9">
        <v>97</v>
      </c>
      <c r="G6415" s="9">
        <v>1061</v>
      </c>
      <c r="H6415" s="5" t="s">
        <v>21</v>
      </c>
      <c r="I6415" s="5" t="s">
        <v>14238</v>
      </c>
      <c r="J6415" s="12" t="str">
        <f>HYPERLINK("https://www.boe.es/gazeta/dias/1801/10/13/pdfs/GMD-1801-97.pdf#page=5","Abrir facsímil")</f>
        <v>Abrir facsímil</v>
      </c>
      <c r="K6415" s="15" t="s">
        <v>23</v>
      </c>
    </row>
    <row r="6416" spans="1:11" ht="42" customHeight="1">
      <c r="A6416" s="4" t="s">
        <v>14230</v>
      </c>
      <c r="B6416" s="5" t="s">
        <v>14230</v>
      </c>
      <c r="C6416" s="5" t="s">
        <v>75</v>
      </c>
      <c r="D6416" s="5" t="s">
        <v>76</v>
      </c>
      <c r="E6416" s="5" t="s">
        <v>1058</v>
      </c>
      <c r="F6416" s="9">
        <v>108</v>
      </c>
      <c r="G6416" s="9">
        <v>1184</v>
      </c>
      <c r="H6416" s="5" t="s">
        <v>21</v>
      </c>
      <c r="I6416" s="5" t="s">
        <v>14239</v>
      </c>
      <c r="J6416" s="12" t="str">
        <f>HYPERLINK("https://www.boe.es/gazeta/dias/1801/11/20/pdfs/GMD-1801-108.pdf#page=1","Abrir facsímil")</f>
        <v>Abrir facsímil</v>
      </c>
      <c r="K6416" s="15" t="s">
        <v>23</v>
      </c>
    </row>
    <row r="6417" spans="1:11" ht="42" customHeight="1">
      <c r="A6417" s="4" t="s">
        <v>14240</v>
      </c>
      <c r="B6417" s="5" t="s">
        <v>14241</v>
      </c>
      <c r="C6417" s="5" t="s">
        <v>75</v>
      </c>
      <c r="D6417" s="5" t="s">
        <v>76</v>
      </c>
      <c r="E6417" s="5" t="s">
        <v>105</v>
      </c>
      <c r="F6417" s="9">
        <v>44</v>
      </c>
      <c r="G6417" s="9">
        <v>544</v>
      </c>
      <c r="H6417" s="5" t="s">
        <v>21</v>
      </c>
      <c r="I6417" s="5" t="s">
        <v>14242</v>
      </c>
      <c r="J6417" s="12" t="str">
        <f>HYPERLINK("https://www.boe.es/gazeta/dias/1801/05/29/pdfs/GMD-1801-44.pdf#page=4","Abrir facsímil")</f>
        <v>Abrir facsímil</v>
      </c>
      <c r="K6417" s="15" t="s">
        <v>23</v>
      </c>
    </row>
    <row r="6418" spans="1:11" ht="42" customHeight="1">
      <c r="A6418" s="4" t="s">
        <v>14243</v>
      </c>
      <c r="B6418" s="5" t="s">
        <v>14244</v>
      </c>
      <c r="C6418" s="5" t="s">
        <v>75</v>
      </c>
      <c r="D6418" s="5" t="s">
        <v>76</v>
      </c>
      <c r="E6418" s="5" t="s">
        <v>194</v>
      </c>
      <c r="F6418" s="9">
        <v>92</v>
      </c>
      <c r="G6418" s="9">
        <v>1009</v>
      </c>
      <c r="H6418" s="5" t="s">
        <v>21</v>
      </c>
      <c r="I6418" s="5" t="s">
        <v>14245</v>
      </c>
      <c r="J6418" s="12" t="str">
        <f>HYPERLINK("https://www.boe.es/gazeta/dias/1801/09/25/pdfs/GMD-1801-92.pdf#page=4","Abrir facsímil")</f>
        <v>Abrir facsímil</v>
      </c>
      <c r="K6418" s="15" t="s">
        <v>23</v>
      </c>
    </row>
    <row r="6419" spans="1:11" ht="42" customHeight="1">
      <c r="A6419" s="4" t="s">
        <v>14246</v>
      </c>
      <c r="B6419" s="5" t="s">
        <v>14247</v>
      </c>
      <c r="C6419" s="5" t="s">
        <v>69</v>
      </c>
      <c r="D6419" s="5" t="s">
        <v>19</v>
      </c>
      <c r="E6419" s="5" t="s">
        <v>359</v>
      </c>
      <c r="F6419" s="9">
        <v>101</v>
      </c>
      <c r="G6419" s="9">
        <v>1113</v>
      </c>
      <c r="H6419" s="5" t="s">
        <v>21</v>
      </c>
      <c r="I6419" s="5" t="s">
        <v>14248</v>
      </c>
      <c r="J6419" s="12" t="str">
        <f>HYPERLINK("https://www.boe.es/gazeta/dias/1801/10/27/pdfs/GMD-1801-101.pdf#page=6","Abrir facsímil")</f>
        <v>Abrir facsímil</v>
      </c>
      <c r="K6419" s="15" t="s">
        <v>23</v>
      </c>
    </row>
    <row r="6420" spans="1:11" ht="42" customHeight="1">
      <c r="A6420" s="4" t="s">
        <v>14249</v>
      </c>
      <c r="B6420" s="5" t="s">
        <v>14250</v>
      </c>
      <c r="C6420" s="5" t="s">
        <v>18</v>
      </c>
      <c r="D6420" s="5" t="s">
        <v>19</v>
      </c>
      <c r="E6420" s="5" t="s">
        <v>211</v>
      </c>
      <c r="F6420" s="9">
        <v>87</v>
      </c>
      <c r="G6420" s="9">
        <v>967</v>
      </c>
      <c r="H6420" s="5" t="s">
        <v>21</v>
      </c>
      <c r="I6420" s="5" t="s">
        <v>14251</v>
      </c>
      <c r="J6420" s="12" t="str">
        <f>HYPERLINK("https://www.boe.es/gazeta/dias/1801/09/11/pdfs/GMD-1801-87.pdf#page=10","Abrir facsímil")</f>
        <v>Abrir facsímil</v>
      </c>
      <c r="K6420" s="15" t="s">
        <v>23</v>
      </c>
    </row>
    <row r="6421" spans="1:11" ht="42" customHeight="1">
      <c r="A6421" s="4" t="s">
        <v>14252</v>
      </c>
      <c r="B6421" s="5" t="s">
        <v>14253</v>
      </c>
      <c r="C6421" s="5" t="s">
        <v>32</v>
      </c>
      <c r="D6421" s="5" t="s">
        <v>33</v>
      </c>
      <c r="E6421" s="5" t="s">
        <v>317</v>
      </c>
      <c r="F6421" s="9">
        <v>102</v>
      </c>
      <c r="G6421" s="9">
        <v>1121</v>
      </c>
      <c r="H6421" s="5" t="s">
        <v>21</v>
      </c>
      <c r="I6421" s="5" t="s">
        <v>14254</v>
      </c>
      <c r="J6421" s="12" t="str">
        <f>HYPERLINK("https://www.boe.es/gazeta/dias/1801/10/30/pdfs/GMD-1801-102.pdf#page=6","Abrir facsímil")</f>
        <v>Abrir facsímil</v>
      </c>
      <c r="K6421" s="15" t="s">
        <v>23</v>
      </c>
    </row>
    <row r="6422" spans="1:11" ht="42" customHeight="1">
      <c r="A6422" s="4" t="s">
        <v>14252</v>
      </c>
      <c r="B6422" s="5" t="s">
        <v>14253</v>
      </c>
      <c r="C6422" s="5" t="s">
        <v>32</v>
      </c>
      <c r="D6422" s="5" t="s">
        <v>33</v>
      </c>
      <c r="E6422" s="5" t="s">
        <v>309</v>
      </c>
      <c r="F6422" s="9">
        <v>118</v>
      </c>
      <c r="G6422" s="9">
        <v>1292</v>
      </c>
      <c r="H6422" s="5" t="s">
        <v>21</v>
      </c>
      <c r="I6422" s="5" t="s">
        <v>14255</v>
      </c>
      <c r="J6422" s="12" t="str">
        <f>HYPERLINK("https://www.boe.es/gazeta/dias/1801/12/25/pdfs/GMD-1801-118.pdf#page=7","Abrir facsímil")</f>
        <v>Abrir facsímil</v>
      </c>
      <c r="K6422" s="15" t="s">
        <v>23</v>
      </c>
    </row>
    <row r="6423" spans="1:11" ht="42" customHeight="1">
      <c r="A6423" s="4" t="s">
        <v>14256</v>
      </c>
      <c r="B6423" s="5" t="s">
        <v>14257</v>
      </c>
      <c r="C6423" s="5" t="s">
        <v>32</v>
      </c>
      <c r="D6423" s="5" t="s">
        <v>33</v>
      </c>
      <c r="E6423" s="5" t="s">
        <v>120</v>
      </c>
      <c r="F6423" s="9">
        <v>7</v>
      </c>
      <c r="G6423" s="9">
        <v>84</v>
      </c>
      <c r="H6423" s="5" t="s">
        <v>21</v>
      </c>
      <c r="I6423" s="5" t="s">
        <v>14258</v>
      </c>
      <c r="J6423" s="12" t="str">
        <f>HYPERLINK("https://www.boe.es/gazeta/dias/1801/01/23/pdfs/GMD-1801-7.pdf#page=8","Abrir facsímil")</f>
        <v>Abrir facsímil</v>
      </c>
      <c r="K6423" s="15" t="s">
        <v>23</v>
      </c>
    </row>
    <row r="6424" spans="1:11" ht="42" customHeight="1">
      <c r="A6424" s="4" t="s">
        <v>14259</v>
      </c>
      <c r="B6424" s="5" t="s">
        <v>14260</v>
      </c>
      <c r="C6424" s="5" t="s">
        <v>32</v>
      </c>
      <c r="D6424" s="5" t="s">
        <v>33</v>
      </c>
      <c r="E6424" s="5" t="s">
        <v>124</v>
      </c>
      <c r="F6424" s="9">
        <v>12</v>
      </c>
      <c r="G6424" s="9">
        <v>149</v>
      </c>
      <c r="H6424" s="5" t="s">
        <v>21</v>
      </c>
      <c r="I6424" s="5" t="s">
        <v>14261</v>
      </c>
      <c r="J6424" s="12" t="str">
        <f>HYPERLINK("https://www.boe.es/gazeta/dias/1801/02/10/pdfs/GMD-1801-12.pdf#page=10","Abrir facsímil")</f>
        <v>Abrir facsímil</v>
      </c>
      <c r="K6424" s="15" t="s">
        <v>23</v>
      </c>
    </row>
    <row r="6425" spans="1:11" ht="42" customHeight="1">
      <c r="A6425" s="4" t="s">
        <v>14259</v>
      </c>
      <c r="B6425" s="5" t="s">
        <v>14260</v>
      </c>
      <c r="C6425" s="5" t="s">
        <v>26</v>
      </c>
      <c r="D6425" s="5" t="s">
        <v>27</v>
      </c>
      <c r="E6425" s="5" t="s">
        <v>124</v>
      </c>
      <c r="F6425" s="9">
        <v>12</v>
      </c>
      <c r="G6425" s="9">
        <v>151</v>
      </c>
      <c r="H6425" s="5" t="s">
        <v>21</v>
      </c>
      <c r="I6425" s="5" t="s">
        <v>14262</v>
      </c>
      <c r="J6425" s="12" t="str">
        <f>HYPERLINK("https://www.boe.es/gazeta/dias/1801/02/10/pdfs/GMD-1801-12.pdf#page=12","Abrir facsímil")</f>
        <v>Abrir facsímil</v>
      </c>
      <c r="K6425" s="15" t="s">
        <v>23</v>
      </c>
    </row>
    <row r="6426" spans="1:11" ht="42" customHeight="1">
      <c r="A6426" s="4" t="s">
        <v>14263</v>
      </c>
      <c r="B6426" s="5" t="s">
        <v>14264</v>
      </c>
      <c r="C6426" s="5" t="s">
        <v>38</v>
      </c>
      <c r="D6426" s="5" t="s">
        <v>39</v>
      </c>
      <c r="E6426" s="5" t="s">
        <v>182</v>
      </c>
      <c r="F6426" s="9">
        <v>18</v>
      </c>
      <c r="G6426" s="9">
        <v>229</v>
      </c>
      <c r="H6426" s="5" t="s">
        <v>21</v>
      </c>
      <c r="I6426" s="5" t="s">
        <v>14265</v>
      </c>
      <c r="J6426" s="12" t="str">
        <f>HYPERLINK("https://www.boe.es/gazeta/dias/1801/03/03/pdfs/GMD-1801-18.pdf#page=10","Abrir facsímil")</f>
        <v>Abrir facsímil</v>
      </c>
      <c r="K6426" s="15" t="s">
        <v>23</v>
      </c>
    </row>
    <row r="6427" spans="1:11" ht="42" customHeight="1">
      <c r="A6427" s="4" t="s">
        <v>14266</v>
      </c>
      <c r="B6427" s="5" t="s">
        <v>14267</v>
      </c>
      <c r="C6427" s="5" t="s">
        <v>75</v>
      </c>
      <c r="D6427" s="5" t="s">
        <v>76</v>
      </c>
      <c r="E6427" s="5" t="s">
        <v>505</v>
      </c>
      <c r="F6427" s="9">
        <v>94</v>
      </c>
      <c r="G6427" s="9">
        <v>1027</v>
      </c>
      <c r="H6427" s="5" t="s">
        <v>21</v>
      </c>
      <c r="I6427" s="5" t="s">
        <v>14268</v>
      </c>
      <c r="J6427" s="12" t="str">
        <f>HYPERLINK("https://www.boe.es/gazeta/dias/1801/10/02/pdfs/GMD-1801-94.pdf#page=3","Abrir facsímil")</f>
        <v>Abrir facsímil</v>
      </c>
      <c r="K6427" s="15" t="s">
        <v>23</v>
      </c>
    </row>
    <row r="6428" spans="1:11" ht="42" customHeight="1">
      <c r="A6428" s="4" t="s">
        <v>14266</v>
      </c>
      <c r="B6428" s="5" t="s">
        <v>14267</v>
      </c>
      <c r="C6428" s="5" t="s">
        <v>38</v>
      </c>
      <c r="D6428" s="5" t="s">
        <v>39</v>
      </c>
      <c r="E6428" s="5" t="s">
        <v>1436</v>
      </c>
      <c r="F6428" s="9">
        <v>95</v>
      </c>
      <c r="G6428" s="9">
        <v>1040</v>
      </c>
      <c r="H6428" s="5" t="s">
        <v>21</v>
      </c>
      <c r="I6428" s="5" t="s">
        <v>14269</v>
      </c>
      <c r="J6428" s="12" t="str">
        <f>HYPERLINK("https://www.boe.es/gazeta/dias/1801/10/06/pdfs/GMD-1801-95.pdf#page=4","Abrir facsímil")</f>
        <v>Abrir facsímil</v>
      </c>
      <c r="K6428" s="15" t="s">
        <v>23</v>
      </c>
    </row>
    <row r="6429" spans="1:11" ht="42" customHeight="1">
      <c r="A6429" s="4" t="s">
        <v>14270</v>
      </c>
      <c r="B6429" s="5" t="s">
        <v>14271</v>
      </c>
      <c r="C6429" s="5" t="s">
        <v>75</v>
      </c>
      <c r="D6429" s="5" t="s">
        <v>76</v>
      </c>
      <c r="E6429" s="5" t="s">
        <v>211</v>
      </c>
      <c r="F6429" s="9">
        <v>87</v>
      </c>
      <c r="G6429" s="9">
        <v>963</v>
      </c>
      <c r="H6429" s="5" t="s">
        <v>21</v>
      </c>
      <c r="I6429" s="5" t="s">
        <v>14272</v>
      </c>
      <c r="J6429" s="12" t="str">
        <f>HYPERLINK("https://www.boe.es/gazeta/dias/1801/09/11/pdfs/GMD-1801-87.pdf#page=6","Abrir facsímil")</f>
        <v>Abrir facsímil</v>
      </c>
      <c r="K6429" s="15" t="s">
        <v>23</v>
      </c>
    </row>
    <row r="6430" spans="1:11" ht="42" customHeight="1">
      <c r="A6430" s="4" t="s">
        <v>14273</v>
      </c>
      <c r="B6430" s="5" t="s">
        <v>14274</v>
      </c>
      <c r="C6430" s="5" t="s">
        <v>75</v>
      </c>
      <c r="D6430" s="5" t="s">
        <v>76</v>
      </c>
      <c r="E6430" s="5" t="s">
        <v>465</v>
      </c>
      <c r="F6430" s="9">
        <v>4</v>
      </c>
      <c r="G6430" s="9">
        <v>39</v>
      </c>
      <c r="H6430" s="5" t="s">
        <v>21</v>
      </c>
      <c r="I6430" s="5" t="s">
        <v>14275</v>
      </c>
      <c r="J6430" s="12" t="str">
        <f>HYPERLINK("https://www.boe.es/gazeta/dias/1801/01/13/pdfs/GMD-1801-4.pdf#page=3","Abrir facsímil")</f>
        <v>Abrir facsímil</v>
      </c>
      <c r="K6430" s="15" t="s">
        <v>23</v>
      </c>
    </row>
    <row r="6431" spans="1:11" ht="42" customHeight="1">
      <c r="A6431" s="4" t="s">
        <v>14273</v>
      </c>
      <c r="B6431" s="5" t="s">
        <v>14274</v>
      </c>
      <c r="C6431" s="5" t="s">
        <v>26</v>
      </c>
      <c r="D6431" s="5" t="s">
        <v>27</v>
      </c>
      <c r="E6431" s="5" t="s">
        <v>94</v>
      </c>
      <c r="F6431" s="9">
        <v>19</v>
      </c>
      <c r="G6431" s="9">
        <v>238</v>
      </c>
      <c r="H6431" s="5" t="s">
        <v>21</v>
      </c>
      <c r="I6431" s="5" t="s">
        <v>14276</v>
      </c>
      <c r="J6431" s="12" t="str">
        <f>HYPERLINK("https://www.boe.es/gazeta/dias/1801/03/06/pdfs/GMD-1801-19.pdf#page=3","Abrir facsímil")</f>
        <v>Abrir facsímil</v>
      </c>
      <c r="K6431" s="15" t="s">
        <v>23</v>
      </c>
    </row>
    <row r="6432" spans="1:11" ht="42" customHeight="1">
      <c r="A6432" s="4" t="s">
        <v>14273</v>
      </c>
      <c r="B6432" s="5" t="s">
        <v>14274</v>
      </c>
      <c r="C6432" s="5" t="s">
        <v>32</v>
      </c>
      <c r="D6432" s="5" t="s">
        <v>33</v>
      </c>
      <c r="E6432" s="5" t="s">
        <v>99</v>
      </c>
      <c r="F6432" s="9">
        <v>32</v>
      </c>
      <c r="G6432" s="9">
        <v>407</v>
      </c>
      <c r="H6432" s="5" t="s">
        <v>21</v>
      </c>
      <c r="I6432" s="5" t="s">
        <v>14277</v>
      </c>
      <c r="J6432" s="12" t="str">
        <f>HYPERLINK("https://www.boe.es/gazeta/dias/1801/04/21/pdfs/GMD-1801-32.pdf#page=3","Abrir facsímil")</f>
        <v>Abrir facsímil</v>
      </c>
      <c r="K6432" s="15" t="s">
        <v>23</v>
      </c>
    </row>
    <row r="6433" spans="1:11" ht="42" customHeight="1">
      <c r="A6433" s="4" t="s">
        <v>14273</v>
      </c>
      <c r="B6433" s="5" t="s">
        <v>14274</v>
      </c>
      <c r="C6433" s="5" t="s">
        <v>75</v>
      </c>
      <c r="D6433" s="5" t="s">
        <v>76</v>
      </c>
      <c r="E6433" s="5" t="s">
        <v>640</v>
      </c>
      <c r="F6433" s="9">
        <v>81</v>
      </c>
      <c r="G6433" s="9">
        <v>905</v>
      </c>
      <c r="H6433" s="5" t="s">
        <v>21</v>
      </c>
      <c r="I6433" s="5" t="s">
        <v>14278</v>
      </c>
      <c r="J6433" s="12" t="str">
        <f>HYPERLINK("https://www.boe.es/gazeta/dias/1801/08/25/pdfs/GMD-1801-81.pdf#page=2","Abrir facsímil")</f>
        <v>Abrir facsímil</v>
      </c>
      <c r="K6433" s="15" t="s">
        <v>23</v>
      </c>
    </row>
    <row r="6434" spans="1:11" ht="42" customHeight="1">
      <c r="A6434" s="4" t="s">
        <v>14273</v>
      </c>
      <c r="B6434" s="5" t="s">
        <v>14274</v>
      </c>
      <c r="C6434" s="5" t="s">
        <v>75</v>
      </c>
      <c r="D6434" s="5" t="s">
        <v>76</v>
      </c>
      <c r="E6434" s="5" t="s">
        <v>328</v>
      </c>
      <c r="F6434" s="9">
        <v>89</v>
      </c>
      <c r="G6434" s="9">
        <v>975</v>
      </c>
      <c r="H6434" s="5" t="s">
        <v>21</v>
      </c>
      <c r="I6434" s="5" t="s">
        <v>14279</v>
      </c>
      <c r="J6434" s="12" t="str">
        <f>HYPERLINK("https://www.boe.es/gazeta/dias/1801/09/15/pdfs/GMD-1801-89.pdf#page=2","Abrir facsímil")</f>
        <v>Abrir facsímil</v>
      </c>
      <c r="K6434" s="15" t="s">
        <v>23</v>
      </c>
    </row>
    <row r="6435" spans="1:11" ht="42" customHeight="1">
      <c r="A6435" s="4" t="s">
        <v>14280</v>
      </c>
      <c r="B6435" s="5" t="s">
        <v>14281</v>
      </c>
      <c r="C6435" s="5" t="s">
        <v>32</v>
      </c>
      <c r="D6435" s="5" t="s">
        <v>33</v>
      </c>
      <c r="E6435" s="5" t="s">
        <v>131</v>
      </c>
      <c r="F6435" s="9">
        <v>22</v>
      </c>
      <c r="G6435" s="9">
        <v>289</v>
      </c>
      <c r="H6435" s="5" t="s">
        <v>21</v>
      </c>
      <c r="I6435" s="5" t="s">
        <v>14282</v>
      </c>
      <c r="J6435" s="12" t="str">
        <f>HYPERLINK("https://www.boe.es/gazeta/dias/1801/03/17/pdfs/GMD-1801-22.pdf#page=6","Abrir facsímil")</f>
        <v>Abrir facsímil</v>
      </c>
      <c r="K6435" s="15" t="s">
        <v>23</v>
      </c>
    </row>
    <row r="6436" spans="1:11" ht="42" customHeight="1">
      <c r="A6436" s="4" t="s">
        <v>14283</v>
      </c>
      <c r="B6436" s="5" t="s">
        <v>14284</v>
      </c>
      <c r="C6436" s="5" t="s">
        <v>26</v>
      </c>
      <c r="D6436" s="5" t="s">
        <v>27</v>
      </c>
      <c r="E6436" s="5" t="s">
        <v>501</v>
      </c>
      <c r="F6436" s="9">
        <v>115</v>
      </c>
      <c r="G6436" s="9" t="s">
        <v>83</v>
      </c>
      <c r="H6436" s="5" t="s">
        <v>21</v>
      </c>
      <c r="I6436" s="5" t="s">
        <v>14285</v>
      </c>
      <c r="J6436" s="12" t="str">
        <f>HYPERLINK("https://www.boe.es/gazeta/dias/1801/12/15/pdfs/GMD-C-1801-115.pdf#page=2","Abrir facsímil")</f>
        <v>Abrir facsímil</v>
      </c>
      <c r="K6436" s="15" t="s">
        <v>23</v>
      </c>
    </row>
    <row r="6437" spans="1:11" ht="42" customHeight="1">
      <c r="A6437" s="4" t="s">
        <v>14286</v>
      </c>
      <c r="B6437" s="5" t="s">
        <v>14287</v>
      </c>
      <c r="C6437" s="5" t="s">
        <v>32</v>
      </c>
      <c r="D6437" s="5" t="s">
        <v>33</v>
      </c>
      <c r="E6437" s="5" t="s">
        <v>378</v>
      </c>
      <c r="F6437" s="9">
        <v>23</v>
      </c>
      <c r="G6437" s="9">
        <v>299</v>
      </c>
      <c r="H6437" s="5" t="s">
        <v>21</v>
      </c>
      <c r="I6437" s="5" t="s">
        <v>14288</v>
      </c>
      <c r="J6437" s="12" t="str">
        <f>HYPERLINK("https://www.boe.es/gazeta/dias/1801/03/20/pdfs/GMD-1801-23.pdf#page=2","Abrir facsímil")</f>
        <v>Abrir facsímil</v>
      </c>
      <c r="K6437" s="15" t="s">
        <v>23</v>
      </c>
    </row>
    <row r="6438" spans="1:11" ht="42" customHeight="1">
      <c r="A6438" s="4" t="s">
        <v>14289</v>
      </c>
      <c r="B6438" s="5" t="s">
        <v>14290</v>
      </c>
      <c r="C6438" s="5" t="s">
        <v>32</v>
      </c>
      <c r="D6438" s="5" t="s">
        <v>33</v>
      </c>
      <c r="E6438" s="5" t="s">
        <v>378</v>
      </c>
      <c r="F6438" s="9">
        <v>23</v>
      </c>
      <c r="G6438" s="9">
        <v>306</v>
      </c>
      <c r="H6438" s="5" t="s">
        <v>21</v>
      </c>
      <c r="I6438" s="5" t="s">
        <v>14291</v>
      </c>
      <c r="J6438" s="12" t="str">
        <f>HYPERLINK("https://www.boe.es/gazeta/dias/1801/03/20/pdfs/GMD-1801-23.pdf#page=9","Abrir facsímil")</f>
        <v>Abrir facsímil</v>
      </c>
      <c r="K6438" s="15" t="s">
        <v>23</v>
      </c>
    </row>
    <row r="6439" spans="1:11" ht="42" customHeight="1">
      <c r="A6439" s="4" t="s">
        <v>14292</v>
      </c>
      <c r="B6439" s="5" t="s">
        <v>14293</v>
      </c>
      <c r="C6439" s="5" t="s">
        <v>32</v>
      </c>
      <c r="D6439" s="5" t="s">
        <v>33</v>
      </c>
      <c r="E6439" s="5" t="s">
        <v>66</v>
      </c>
      <c r="F6439" s="9">
        <v>52</v>
      </c>
      <c r="G6439" s="9">
        <v>608</v>
      </c>
      <c r="H6439" s="5" t="s">
        <v>21</v>
      </c>
      <c r="I6439" s="5" t="s">
        <v>14294</v>
      </c>
      <c r="J6439" s="12" t="str">
        <f>HYPERLINK("https://www.boe.es/gazeta/dias/1801/06/12/pdfs/GMD-1801-52.pdf#page=7","Abrir facsímil")</f>
        <v>Abrir facsímil</v>
      </c>
      <c r="K6439" s="15" t="s">
        <v>23</v>
      </c>
    </row>
    <row r="6440" spans="1:11" ht="42" customHeight="1">
      <c r="A6440" s="4" t="s">
        <v>14295</v>
      </c>
      <c r="B6440" s="5" t="s">
        <v>14296</v>
      </c>
      <c r="C6440" s="5" t="s">
        <v>32</v>
      </c>
      <c r="D6440" s="5" t="s">
        <v>33</v>
      </c>
      <c r="E6440" s="5" t="s">
        <v>135</v>
      </c>
      <c r="F6440" s="9">
        <v>24</v>
      </c>
      <c r="G6440" s="9">
        <v>318</v>
      </c>
      <c r="H6440" s="5" t="s">
        <v>21</v>
      </c>
      <c r="I6440" s="5" t="s">
        <v>14297</v>
      </c>
      <c r="J6440" s="12" t="str">
        <f>HYPERLINK("https://www.boe.es/gazeta/dias/1801/03/24/pdfs/GMD-1801-24.pdf#page=9","Abrir facsímil")</f>
        <v>Abrir facsímil</v>
      </c>
      <c r="K6440" s="15" t="s">
        <v>23</v>
      </c>
    </row>
    <row r="6441" spans="1:11" ht="42" customHeight="1">
      <c r="A6441" s="4" t="s">
        <v>14298</v>
      </c>
      <c r="B6441" s="5" t="s">
        <v>14298</v>
      </c>
      <c r="C6441" s="5" t="s">
        <v>32</v>
      </c>
      <c r="D6441" s="5" t="s">
        <v>33</v>
      </c>
      <c r="E6441" s="5" t="s">
        <v>165</v>
      </c>
      <c r="F6441" s="9">
        <v>59</v>
      </c>
      <c r="G6441" s="9">
        <v>676</v>
      </c>
      <c r="H6441" s="5" t="s">
        <v>21</v>
      </c>
      <c r="I6441" s="5" t="s">
        <v>14299</v>
      </c>
      <c r="J6441" s="12" t="str">
        <f>HYPERLINK("https://www.boe.es/gazeta/dias/1801/06/23/pdfs/GMD-1801-59.pdf#page=9","Abrir facsímil")</f>
        <v>Abrir facsímil</v>
      </c>
      <c r="K6441" s="15" t="s">
        <v>23</v>
      </c>
    </row>
    <row r="6442" spans="1:11" ht="42" customHeight="1">
      <c r="A6442" s="4" t="s">
        <v>14300</v>
      </c>
      <c r="B6442" s="5" t="s">
        <v>14301</v>
      </c>
      <c r="C6442" s="5" t="s">
        <v>38</v>
      </c>
      <c r="D6442" s="5" t="s">
        <v>39</v>
      </c>
      <c r="E6442" s="5" t="s">
        <v>165</v>
      </c>
      <c r="F6442" s="9">
        <v>59</v>
      </c>
      <c r="G6442" s="9">
        <v>676</v>
      </c>
      <c r="H6442" s="5" t="s">
        <v>21</v>
      </c>
      <c r="I6442" s="5" t="s">
        <v>14302</v>
      </c>
      <c r="J6442" s="12" t="str">
        <f>HYPERLINK("https://www.boe.es/gazeta/dias/1801/06/23/pdfs/GMD-1801-59.pdf#page=9","Abrir facsímil")</f>
        <v>Abrir facsímil</v>
      </c>
      <c r="K6442" s="15" t="s">
        <v>23</v>
      </c>
    </row>
    <row r="6443" spans="1:11" ht="42" customHeight="1">
      <c r="A6443" s="4" t="s">
        <v>14303</v>
      </c>
      <c r="B6443" s="5" t="s">
        <v>14304</v>
      </c>
      <c r="C6443" s="5" t="s">
        <v>32</v>
      </c>
      <c r="D6443" s="5" t="s">
        <v>33</v>
      </c>
      <c r="E6443" s="5" t="s">
        <v>120</v>
      </c>
      <c r="F6443" s="9">
        <v>7</v>
      </c>
      <c r="G6443" s="9">
        <v>85</v>
      </c>
      <c r="H6443" s="5" t="s">
        <v>21</v>
      </c>
      <c r="I6443" s="5" t="s">
        <v>14305</v>
      </c>
      <c r="J6443" s="12" t="str">
        <f>HYPERLINK("https://www.boe.es/gazeta/dias/1801/01/23/pdfs/GMD-1801-7.pdf#page=9","Abrir facsímil")</f>
        <v>Abrir facsímil</v>
      </c>
      <c r="K6443" s="15" t="s">
        <v>23</v>
      </c>
    </row>
    <row r="6444" spans="1:11" ht="42" customHeight="1">
      <c r="A6444" s="4" t="s">
        <v>14306</v>
      </c>
      <c r="B6444" s="5" t="s">
        <v>14307</v>
      </c>
      <c r="C6444" s="5" t="s">
        <v>32</v>
      </c>
      <c r="D6444" s="5" t="s">
        <v>33</v>
      </c>
      <c r="E6444" s="5" t="s">
        <v>99</v>
      </c>
      <c r="F6444" s="9">
        <v>32</v>
      </c>
      <c r="G6444" s="9">
        <v>416</v>
      </c>
      <c r="H6444" s="5" t="s">
        <v>21</v>
      </c>
      <c r="I6444" s="5" t="s">
        <v>14308</v>
      </c>
      <c r="J6444" s="12" t="str">
        <f>HYPERLINK("https://www.boe.es/gazeta/dias/1801/04/21/pdfs/GMD-1801-32.pdf#page=12","Abrir facsímil")</f>
        <v>Abrir facsímil</v>
      </c>
      <c r="K6444" s="15" t="s">
        <v>23</v>
      </c>
    </row>
    <row r="6445" spans="1:11" ht="42" customHeight="1">
      <c r="A6445" s="4" t="s">
        <v>14309</v>
      </c>
      <c r="B6445" s="5" t="s">
        <v>14310</v>
      </c>
      <c r="C6445" s="5" t="s">
        <v>32</v>
      </c>
      <c r="D6445" s="5" t="s">
        <v>33</v>
      </c>
      <c r="E6445" s="5" t="s">
        <v>480</v>
      </c>
      <c r="F6445" s="9">
        <v>10</v>
      </c>
      <c r="G6445" s="9">
        <v>123</v>
      </c>
      <c r="H6445" s="5" t="s">
        <v>21</v>
      </c>
      <c r="I6445" s="5" t="s">
        <v>14311</v>
      </c>
      <c r="J6445" s="12" t="str">
        <f>HYPERLINK("https://www.boe.es/gazeta/dias/1801/02/03/pdfs/GMD-1801-10.pdf#page=8","Abrir facsímil")</f>
        <v>Abrir facsímil</v>
      </c>
      <c r="K6445" s="15" t="s">
        <v>23</v>
      </c>
    </row>
    <row r="6446" spans="1:11" ht="42" customHeight="1">
      <c r="A6446" s="4" t="s">
        <v>14312</v>
      </c>
      <c r="B6446" s="5" t="s">
        <v>14313</v>
      </c>
      <c r="C6446" s="5" t="s">
        <v>32</v>
      </c>
      <c r="D6446" s="5" t="s">
        <v>33</v>
      </c>
      <c r="E6446" s="5" t="s">
        <v>2237</v>
      </c>
      <c r="F6446" s="9">
        <v>82</v>
      </c>
      <c r="G6446" s="9">
        <v>917</v>
      </c>
      <c r="H6446" s="5" t="s">
        <v>21</v>
      </c>
      <c r="I6446" s="5" t="s">
        <v>14314</v>
      </c>
      <c r="J6446" s="12" t="str">
        <f>HYPERLINK("https://www.boe.es/gazeta/dias/1801/08/28/pdfs/GMD-1801-82.pdf#page=6","Abrir facsímil")</f>
        <v>Abrir facsímil</v>
      </c>
      <c r="K6446" s="15" t="s">
        <v>23</v>
      </c>
    </row>
    <row r="6447" spans="1:11" ht="42" customHeight="1">
      <c r="A6447" s="4" t="s">
        <v>14315</v>
      </c>
      <c r="B6447" s="5" t="s">
        <v>14316</v>
      </c>
      <c r="C6447" s="5" t="s">
        <v>32</v>
      </c>
      <c r="D6447" s="5" t="s">
        <v>33</v>
      </c>
      <c r="E6447" s="5" t="s">
        <v>165</v>
      </c>
      <c r="F6447" s="9">
        <v>59</v>
      </c>
      <c r="G6447" s="9">
        <v>676</v>
      </c>
      <c r="H6447" s="5" t="s">
        <v>21</v>
      </c>
      <c r="I6447" s="5" t="s">
        <v>14317</v>
      </c>
      <c r="J6447" s="12" t="str">
        <f>HYPERLINK("https://www.boe.es/gazeta/dias/1801/06/23/pdfs/GMD-1801-59.pdf#page=9","Abrir facsímil")</f>
        <v>Abrir facsímil</v>
      </c>
      <c r="K6447" s="15" t="s">
        <v>23</v>
      </c>
    </row>
    <row r="6448" spans="1:11" ht="42" customHeight="1">
      <c r="A6448" s="4" t="s">
        <v>14315</v>
      </c>
      <c r="B6448" s="5" t="s">
        <v>14316</v>
      </c>
      <c r="C6448" s="5" t="s">
        <v>32</v>
      </c>
      <c r="D6448" s="5" t="s">
        <v>33</v>
      </c>
      <c r="E6448" s="5" t="s">
        <v>55</v>
      </c>
      <c r="F6448" s="9">
        <v>104</v>
      </c>
      <c r="G6448" s="9">
        <v>1144</v>
      </c>
      <c r="H6448" s="5" t="s">
        <v>21</v>
      </c>
      <c r="I6448" s="5" t="s">
        <v>14318</v>
      </c>
      <c r="J6448" s="12" t="str">
        <f>HYPERLINK("https://www.boe.es/gazeta/dias/1801/11/06/pdfs/GMD-1801-104.pdf#page=5","Abrir facsímil")</f>
        <v>Abrir facsímil</v>
      </c>
      <c r="K6448" s="15" t="s">
        <v>23</v>
      </c>
    </row>
    <row r="6449" spans="1:11" ht="42" customHeight="1">
      <c r="A6449" s="4" t="s">
        <v>14319</v>
      </c>
      <c r="B6449" s="5" t="s">
        <v>14320</v>
      </c>
      <c r="C6449" s="5" t="s">
        <v>32</v>
      </c>
      <c r="D6449" s="5" t="s">
        <v>33</v>
      </c>
      <c r="E6449" s="5" t="s">
        <v>448</v>
      </c>
      <c r="F6449" s="9">
        <v>35</v>
      </c>
      <c r="G6449" s="9">
        <v>455</v>
      </c>
      <c r="H6449" s="5" t="s">
        <v>21</v>
      </c>
      <c r="I6449" s="5" t="s">
        <v>14321</v>
      </c>
      <c r="J6449" s="12" t="str">
        <f>HYPERLINK("https://www.boe.es/gazeta/dias/1801/05/01/pdfs/GMD-1801-35.pdf#page=11","Abrir facsímil")</f>
        <v>Abrir facsímil</v>
      </c>
      <c r="K6449" s="15" t="s">
        <v>23</v>
      </c>
    </row>
    <row r="6450" spans="1:11" ht="42" customHeight="1">
      <c r="A6450" s="4" t="s">
        <v>14322</v>
      </c>
      <c r="B6450" s="5" t="s">
        <v>14323</v>
      </c>
      <c r="C6450" s="5" t="s">
        <v>32</v>
      </c>
      <c r="D6450" s="5" t="s">
        <v>33</v>
      </c>
      <c r="E6450" s="5" t="s">
        <v>165</v>
      </c>
      <c r="F6450" s="9">
        <v>59</v>
      </c>
      <c r="G6450" s="9">
        <v>676</v>
      </c>
      <c r="H6450" s="5" t="s">
        <v>21</v>
      </c>
      <c r="I6450" s="5" t="s">
        <v>14324</v>
      </c>
      <c r="J6450" s="12" t="str">
        <f>HYPERLINK("https://www.boe.es/gazeta/dias/1801/06/23/pdfs/GMD-1801-59.pdf#page=9","Abrir facsímil")</f>
        <v>Abrir facsímil</v>
      </c>
      <c r="K6450" s="15" t="s">
        <v>23</v>
      </c>
    </row>
    <row r="6451" spans="1:11" ht="42" customHeight="1">
      <c r="A6451" s="4" t="s">
        <v>14325</v>
      </c>
      <c r="B6451" s="5" t="s">
        <v>14326</v>
      </c>
      <c r="C6451" s="5" t="s">
        <v>32</v>
      </c>
      <c r="D6451" s="5" t="s">
        <v>33</v>
      </c>
      <c r="E6451" s="5" t="s">
        <v>153</v>
      </c>
      <c r="F6451" s="9">
        <v>48</v>
      </c>
      <c r="G6451" s="9">
        <v>584</v>
      </c>
      <c r="H6451" s="5" t="s">
        <v>21</v>
      </c>
      <c r="I6451" s="5" t="s">
        <v>14327</v>
      </c>
      <c r="J6451" s="12" t="str">
        <f>HYPERLINK("https://www.boe.es/gazeta/dias/1801/06/05/pdfs/GMD-1801-48.pdf#page=6","Abrir facsímil")</f>
        <v>Abrir facsímil</v>
      </c>
      <c r="K6451" s="15" t="s">
        <v>23</v>
      </c>
    </row>
    <row r="6452" spans="1:11" ht="42" customHeight="1">
      <c r="A6452" s="4" t="s">
        <v>14325</v>
      </c>
      <c r="B6452" s="5" t="s">
        <v>14326</v>
      </c>
      <c r="C6452" s="5" t="s">
        <v>32</v>
      </c>
      <c r="D6452" s="5" t="s">
        <v>33</v>
      </c>
      <c r="E6452" s="5" t="s">
        <v>155</v>
      </c>
      <c r="F6452" s="9">
        <v>50</v>
      </c>
      <c r="G6452" s="9">
        <v>597</v>
      </c>
      <c r="H6452" s="5" t="s">
        <v>21</v>
      </c>
      <c r="I6452" s="5" t="s">
        <v>14328</v>
      </c>
      <c r="J6452" s="12" t="str">
        <f>HYPERLINK("https://www.boe.es/gazeta/dias/1801/06/09/pdfs/GMD-1801-50.pdf#page=9","Abrir facsímil")</f>
        <v>Abrir facsímil</v>
      </c>
      <c r="K6452" s="15" t="s">
        <v>23</v>
      </c>
    </row>
    <row r="6453" spans="1:11" ht="42" customHeight="1">
      <c r="A6453" s="4" t="s">
        <v>14325</v>
      </c>
      <c r="B6453" s="5" t="s">
        <v>14326</v>
      </c>
      <c r="C6453" s="5" t="s">
        <v>32</v>
      </c>
      <c r="D6453" s="5" t="s">
        <v>33</v>
      </c>
      <c r="E6453" s="5" t="s">
        <v>924</v>
      </c>
      <c r="F6453" s="9">
        <v>90</v>
      </c>
      <c r="G6453" s="9">
        <v>992</v>
      </c>
      <c r="H6453" s="5" t="s">
        <v>21</v>
      </c>
      <c r="I6453" s="5" t="s">
        <v>14329</v>
      </c>
      <c r="J6453" s="12" t="str">
        <f>HYPERLINK("https://www.boe.es/gazeta/dias/1801/09/18/pdfs/GMD-1801-90.pdf#page=7","Abrir facsímil")</f>
        <v>Abrir facsímil</v>
      </c>
      <c r="K6453" s="15" t="s">
        <v>23</v>
      </c>
    </row>
    <row r="6454" spans="1:11" ht="42" customHeight="1">
      <c r="A6454" s="4" t="s">
        <v>14330</v>
      </c>
      <c r="B6454" s="5" t="s">
        <v>14331</v>
      </c>
      <c r="C6454" s="5" t="s">
        <v>32</v>
      </c>
      <c r="D6454" s="5" t="s">
        <v>33</v>
      </c>
      <c r="E6454" s="5" t="s">
        <v>453</v>
      </c>
      <c r="F6454" s="9">
        <v>100</v>
      </c>
      <c r="G6454" s="9">
        <v>1100</v>
      </c>
      <c r="H6454" s="5" t="s">
        <v>21</v>
      </c>
      <c r="I6454" s="5" t="s">
        <v>14332</v>
      </c>
      <c r="J6454" s="12" t="str">
        <f>HYPERLINK("https://www.boe.es/gazeta/dias/1801/10/23/pdfs/GMD-1801-100.pdf#page=9","Abrir facsímil")</f>
        <v>Abrir facsímil</v>
      </c>
      <c r="K6454" s="15" t="s">
        <v>23</v>
      </c>
    </row>
    <row r="6455" spans="1:11" ht="42" customHeight="1">
      <c r="A6455" s="4" t="s">
        <v>14333</v>
      </c>
      <c r="B6455" s="5" t="s">
        <v>14333</v>
      </c>
      <c r="C6455" s="5" t="s">
        <v>18</v>
      </c>
      <c r="D6455" s="5" t="s">
        <v>19</v>
      </c>
      <c r="E6455" s="5" t="s">
        <v>137</v>
      </c>
      <c r="F6455" s="9">
        <v>30</v>
      </c>
      <c r="G6455" s="9">
        <v>390</v>
      </c>
      <c r="H6455" s="5" t="s">
        <v>21</v>
      </c>
      <c r="I6455" s="5" t="s">
        <v>14334</v>
      </c>
      <c r="J6455" s="12" t="str">
        <f>HYPERLINK("https://www.boe.es/gazeta/dias/1801/04/14/pdfs/GMD-1801-30.pdf#page=6","Abrir facsímil")</f>
        <v>Abrir facsímil</v>
      </c>
      <c r="K6455" s="15" t="s">
        <v>23</v>
      </c>
    </row>
    <row r="6456" spans="1:11" ht="42" customHeight="1">
      <c r="A6456" s="4" t="s">
        <v>14333</v>
      </c>
      <c r="B6456" s="5" t="s">
        <v>14333</v>
      </c>
      <c r="C6456" s="5" t="s">
        <v>18</v>
      </c>
      <c r="D6456" s="5" t="s">
        <v>19</v>
      </c>
      <c r="E6456" s="5" t="s">
        <v>97</v>
      </c>
      <c r="F6456" s="9">
        <v>31</v>
      </c>
      <c r="G6456" s="9">
        <v>399</v>
      </c>
      <c r="H6456" s="5" t="s">
        <v>21</v>
      </c>
      <c r="I6456" s="5" t="s">
        <v>14335</v>
      </c>
      <c r="J6456" s="12" t="str">
        <f>HYPERLINK("https://www.boe.es/gazeta/dias/1801/04/17/pdfs/GMD-1801-31.pdf#page=3","Abrir facsímil")</f>
        <v>Abrir facsímil</v>
      </c>
      <c r="K6456" s="15" t="s">
        <v>23</v>
      </c>
    </row>
    <row r="6457" spans="1:11" ht="42" customHeight="1">
      <c r="A6457" s="4" t="s">
        <v>14333</v>
      </c>
      <c r="B6457" s="5" t="s">
        <v>14333</v>
      </c>
      <c r="C6457" s="5" t="s">
        <v>38</v>
      </c>
      <c r="D6457" s="5" t="s">
        <v>39</v>
      </c>
      <c r="E6457" s="5" t="s">
        <v>143</v>
      </c>
      <c r="F6457" s="9">
        <v>34</v>
      </c>
      <c r="G6457" s="9">
        <v>432</v>
      </c>
      <c r="H6457" s="5" t="s">
        <v>21</v>
      </c>
      <c r="I6457" s="5" t="s">
        <v>14336</v>
      </c>
      <c r="J6457" s="12" t="str">
        <f>HYPERLINK("https://www.boe.es/gazeta/dias/1801/04/28/pdfs/GMD-1801-34.pdf#page=4","Abrir facsímil")</f>
        <v>Abrir facsímil</v>
      </c>
      <c r="K6457" s="15" t="s">
        <v>23</v>
      </c>
    </row>
    <row r="6458" spans="1:11" ht="42" customHeight="1">
      <c r="A6458" s="4" t="s">
        <v>14333</v>
      </c>
      <c r="B6458" s="5" t="s">
        <v>14333</v>
      </c>
      <c r="C6458" s="5" t="s">
        <v>38</v>
      </c>
      <c r="D6458" s="5" t="s">
        <v>39</v>
      </c>
      <c r="E6458" s="5" t="s">
        <v>352</v>
      </c>
      <c r="F6458" s="9">
        <v>43</v>
      </c>
      <c r="G6458" s="9">
        <v>533</v>
      </c>
      <c r="H6458" s="5" t="s">
        <v>21</v>
      </c>
      <c r="I6458" s="5" t="s">
        <v>14337</v>
      </c>
      <c r="J6458" s="12" t="str">
        <f>HYPERLINK("https://www.boe.es/gazeta/dias/1801/05/26/pdfs/GMD-1801-43.pdf#page=5","Abrir facsímil")</f>
        <v>Abrir facsímil</v>
      </c>
      <c r="K6458" s="15" t="s">
        <v>23</v>
      </c>
    </row>
    <row r="6459" spans="1:11" ht="42" customHeight="1">
      <c r="A6459" s="4" t="s">
        <v>14333</v>
      </c>
      <c r="B6459" s="5" t="s">
        <v>14333</v>
      </c>
      <c r="C6459" s="5" t="s">
        <v>75</v>
      </c>
      <c r="D6459" s="5" t="s">
        <v>76</v>
      </c>
      <c r="E6459" s="5" t="s">
        <v>105</v>
      </c>
      <c r="F6459" s="9">
        <v>44</v>
      </c>
      <c r="G6459" s="9">
        <v>541</v>
      </c>
      <c r="H6459" s="5" t="s">
        <v>21</v>
      </c>
      <c r="I6459" s="5" t="s">
        <v>14338</v>
      </c>
      <c r="J6459" s="12" t="str">
        <f>HYPERLINK("https://www.boe.es/gazeta/dias/1801/05/29/pdfs/GMD-1801-44.pdf#page=1","Abrir facsímil")</f>
        <v>Abrir facsímil</v>
      </c>
      <c r="K6459" s="15" t="s">
        <v>23</v>
      </c>
    </row>
    <row r="6460" spans="1:11" ht="42" customHeight="1">
      <c r="A6460" s="4" t="s">
        <v>14333</v>
      </c>
      <c r="B6460" s="5" t="s">
        <v>14333</v>
      </c>
      <c r="C6460" s="5" t="s">
        <v>75</v>
      </c>
      <c r="D6460" s="5" t="s">
        <v>76</v>
      </c>
      <c r="E6460" s="5" t="s">
        <v>161</v>
      </c>
      <c r="F6460" s="9">
        <v>58</v>
      </c>
      <c r="G6460" s="9">
        <v>656</v>
      </c>
      <c r="H6460" s="5" t="s">
        <v>21</v>
      </c>
      <c r="I6460" s="5" t="s">
        <v>14339</v>
      </c>
      <c r="J6460" s="12" t="str">
        <f>HYPERLINK("https://www.boe.es/gazeta/dias/1801/06/19/pdfs/GMD-1801-58.pdf#page=1","Abrir facsímil")</f>
        <v>Abrir facsímil</v>
      </c>
      <c r="K6460" s="15" t="s">
        <v>23</v>
      </c>
    </row>
    <row r="6461" spans="1:11" ht="42" customHeight="1">
      <c r="A6461" s="4" t="s">
        <v>14340</v>
      </c>
      <c r="B6461" s="5" t="s">
        <v>14341</v>
      </c>
      <c r="C6461" s="5" t="s">
        <v>32</v>
      </c>
      <c r="D6461" s="5" t="s">
        <v>33</v>
      </c>
      <c r="E6461" s="5" t="s">
        <v>702</v>
      </c>
      <c r="F6461" s="9">
        <v>69</v>
      </c>
      <c r="G6461" s="9">
        <v>757</v>
      </c>
      <c r="H6461" s="5" t="s">
        <v>21</v>
      </c>
      <c r="I6461" s="5" t="s">
        <v>14342</v>
      </c>
      <c r="J6461" s="12" t="str">
        <f>HYPERLINK("https://www.boe.es/gazeta/dias/1801/07/14/pdfs/GMD-1801-69.pdf#page=2","Abrir facsímil")</f>
        <v>Abrir facsímil</v>
      </c>
      <c r="K6461" s="15" t="s">
        <v>23</v>
      </c>
    </row>
    <row r="6462" spans="1:11" ht="42" customHeight="1">
      <c r="A6462" s="4" t="s">
        <v>14343</v>
      </c>
      <c r="B6462" s="5" t="s">
        <v>14344</v>
      </c>
      <c r="C6462" s="5" t="s">
        <v>75</v>
      </c>
      <c r="D6462" s="5" t="s">
        <v>76</v>
      </c>
      <c r="E6462" s="5" t="s">
        <v>141</v>
      </c>
      <c r="F6462" s="9">
        <v>33</v>
      </c>
      <c r="G6462" s="9">
        <v>420</v>
      </c>
      <c r="H6462" s="5" t="s">
        <v>21</v>
      </c>
      <c r="I6462" s="5" t="s">
        <v>14345</v>
      </c>
      <c r="J6462" s="12" t="str">
        <f>HYPERLINK("https://www.boe.es/gazeta/dias/1801/04/24/pdfs/GMD-1801-33.pdf#page=4","Abrir facsímil")</f>
        <v>Abrir facsímil</v>
      </c>
      <c r="K6462" s="15" t="s">
        <v>23</v>
      </c>
    </row>
    <row r="6463" spans="1:11" ht="42" customHeight="1">
      <c r="A6463" s="4" t="s">
        <v>14343</v>
      </c>
      <c r="B6463" s="5" t="s">
        <v>14344</v>
      </c>
      <c r="C6463" s="5" t="s">
        <v>38</v>
      </c>
      <c r="D6463" s="5" t="s">
        <v>39</v>
      </c>
      <c r="E6463" s="5" t="s">
        <v>143</v>
      </c>
      <c r="F6463" s="9">
        <v>34</v>
      </c>
      <c r="G6463" s="9">
        <v>430</v>
      </c>
      <c r="H6463" s="5" t="s">
        <v>21</v>
      </c>
      <c r="I6463" s="5" t="s">
        <v>14346</v>
      </c>
      <c r="J6463" s="12" t="str">
        <f>HYPERLINK("https://www.boe.es/gazeta/dias/1801/04/28/pdfs/GMD-1801-34.pdf#page=2","Abrir facsímil")</f>
        <v>Abrir facsímil</v>
      </c>
      <c r="K6463" s="15" t="s">
        <v>23</v>
      </c>
    </row>
    <row r="6464" spans="1:11" ht="42" customHeight="1">
      <c r="A6464" s="4" t="s">
        <v>14343</v>
      </c>
      <c r="B6464" s="5" t="s">
        <v>14344</v>
      </c>
      <c r="C6464" s="5" t="s">
        <v>75</v>
      </c>
      <c r="D6464" s="5" t="s">
        <v>76</v>
      </c>
      <c r="E6464" s="5" t="s">
        <v>20</v>
      </c>
      <c r="F6464" s="9">
        <v>37</v>
      </c>
      <c r="G6464" s="9">
        <v>476</v>
      </c>
      <c r="H6464" s="5" t="s">
        <v>21</v>
      </c>
      <c r="I6464" s="5" t="s">
        <v>14347</v>
      </c>
      <c r="J6464" s="12" t="str">
        <f>HYPERLINK("https://www.boe.es/gazeta/dias/1801/05/08/pdfs/GMD-1801-37.pdf#page=4","Abrir facsímil")</f>
        <v>Abrir facsímil</v>
      </c>
      <c r="K6464" s="15" t="s">
        <v>23</v>
      </c>
    </row>
    <row r="6465" spans="1:11" ht="42" customHeight="1">
      <c r="A6465" s="4" t="s">
        <v>14343</v>
      </c>
      <c r="B6465" s="5" t="s">
        <v>14344</v>
      </c>
      <c r="C6465" s="5" t="s">
        <v>18</v>
      </c>
      <c r="D6465" s="5" t="s">
        <v>19</v>
      </c>
      <c r="E6465" s="5" t="s">
        <v>20</v>
      </c>
      <c r="F6465" s="9">
        <v>37</v>
      </c>
      <c r="G6465" s="9">
        <v>478</v>
      </c>
      <c r="H6465" s="5" t="s">
        <v>21</v>
      </c>
      <c r="I6465" s="5" t="s">
        <v>14348</v>
      </c>
      <c r="J6465" s="12" t="str">
        <f>HYPERLINK("https://www.boe.es/gazeta/dias/1801/05/08/pdfs/GMD-1801-37.pdf#page=6","Abrir facsímil")</f>
        <v>Abrir facsímil</v>
      </c>
      <c r="K6465" s="15" t="s">
        <v>23</v>
      </c>
    </row>
    <row r="6466" spans="1:11" ht="42" customHeight="1">
      <c r="A6466" s="4" t="s">
        <v>14343</v>
      </c>
      <c r="B6466" s="5" t="s">
        <v>14344</v>
      </c>
      <c r="C6466" s="5" t="s">
        <v>75</v>
      </c>
      <c r="D6466" s="5" t="s">
        <v>76</v>
      </c>
      <c r="E6466" s="5" t="s">
        <v>34</v>
      </c>
      <c r="F6466" s="9">
        <v>38</v>
      </c>
      <c r="G6466" s="9">
        <v>490</v>
      </c>
      <c r="H6466" s="5" t="s">
        <v>21</v>
      </c>
      <c r="I6466" s="5" t="s">
        <v>14349</v>
      </c>
      <c r="J6466" s="12" t="str">
        <f>HYPERLINK("https://www.boe.es/gazeta/dias/1801/05/12/pdfs/GMD-1801-38.pdf#page=6","Abrir facsímil")</f>
        <v>Abrir facsímil</v>
      </c>
      <c r="K6466" s="15" t="s">
        <v>23</v>
      </c>
    </row>
    <row r="6467" spans="1:11" ht="42" customHeight="1">
      <c r="A6467" s="4" t="s">
        <v>14343</v>
      </c>
      <c r="B6467" s="5" t="s">
        <v>14344</v>
      </c>
      <c r="C6467" s="5" t="s">
        <v>75</v>
      </c>
      <c r="D6467" s="5" t="s">
        <v>76</v>
      </c>
      <c r="E6467" s="5" t="s">
        <v>313</v>
      </c>
      <c r="F6467" s="9">
        <v>39</v>
      </c>
      <c r="G6467" s="9">
        <v>497</v>
      </c>
      <c r="H6467" s="5" t="s">
        <v>21</v>
      </c>
      <c r="I6467" s="5" t="s">
        <v>14350</v>
      </c>
      <c r="J6467" s="12" t="str">
        <f>HYPERLINK("https://www.boe.es/gazeta/dias/1801/05/15/pdfs/GMD-1801-39.pdf#page=1","Abrir facsímil")</f>
        <v>Abrir facsímil</v>
      </c>
      <c r="K6467" s="15" t="s">
        <v>23</v>
      </c>
    </row>
    <row r="6468" spans="1:11" ht="42" customHeight="1">
      <c r="A6468" s="4" t="s">
        <v>14343</v>
      </c>
      <c r="B6468" s="5" t="s">
        <v>14344</v>
      </c>
      <c r="C6468" s="5" t="s">
        <v>75</v>
      </c>
      <c r="D6468" s="5" t="s">
        <v>76</v>
      </c>
      <c r="E6468" s="5" t="s">
        <v>313</v>
      </c>
      <c r="F6468" s="9">
        <v>39</v>
      </c>
      <c r="G6468" s="9">
        <v>498</v>
      </c>
      <c r="H6468" s="5" t="s">
        <v>21</v>
      </c>
      <c r="I6468" s="5" t="s">
        <v>14351</v>
      </c>
      <c r="J6468" s="12" t="str">
        <f>HYPERLINK("https://www.boe.es/gazeta/dias/1801/05/15/pdfs/GMD-1801-39.pdf#page=2","Abrir facsímil")</f>
        <v>Abrir facsímil</v>
      </c>
      <c r="K6468" s="15" t="s">
        <v>23</v>
      </c>
    </row>
    <row r="6469" spans="1:11" ht="42" customHeight="1">
      <c r="A6469" s="4" t="s">
        <v>14343</v>
      </c>
      <c r="B6469" s="5" t="s">
        <v>14344</v>
      </c>
      <c r="C6469" s="5" t="s">
        <v>75</v>
      </c>
      <c r="D6469" s="5" t="s">
        <v>76</v>
      </c>
      <c r="E6469" s="5" t="s">
        <v>289</v>
      </c>
      <c r="F6469" s="9">
        <v>40</v>
      </c>
      <c r="G6469" s="9">
        <v>510</v>
      </c>
      <c r="H6469" s="5" t="s">
        <v>21</v>
      </c>
      <c r="I6469" s="5" t="s">
        <v>14352</v>
      </c>
      <c r="J6469" s="12" t="str">
        <f>HYPERLINK("https://www.boe.es/gazeta/dias/1801/05/19/pdfs/GMD-1801-40.pdf#page=2","Abrir facsímil")</f>
        <v>Abrir facsímil</v>
      </c>
      <c r="K6469" s="15" t="s">
        <v>23</v>
      </c>
    </row>
    <row r="6470" spans="1:11" ht="42" customHeight="1">
      <c r="A6470" s="4" t="s">
        <v>14343</v>
      </c>
      <c r="B6470" s="5" t="s">
        <v>14344</v>
      </c>
      <c r="C6470" s="5" t="s">
        <v>38</v>
      </c>
      <c r="D6470" s="5" t="s">
        <v>39</v>
      </c>
      <c r="E6470" s="5" t="s">
        <v>289</v>
      </c>
      <c r="F6470" s="9">
        <v>40</v>
      </c>
      <c r="G6470" s="9">
        <v>514</v>
      </c>
      <c r="H6470" s="5" t="s">
        <v>21</v>
      </c>
      <c r="I6470" s="5" t="s">
        <v>14353</v>
      </c>
      <c r="J6470" s="12" t="str">
        <f>HYPERLINK("https://www.boe.es/gazeta/dias/1801/05/19/pdfs/GMD-1801-40.pdf#page=6","Abrir facsímil")</f>
        <v>Abrir facsímil</v>
      </c>
      <c r="K6470" s="15" t="s">
        <v>23</v>
      </c>
    </row>
    <row r="6471" spans="1:11" ht="42" customHeight="1">
      <c r="A6471" s="4" t="s">
        <v>14343</v>
      </c>
      <c r="B6471" s="5" t="s">
        <v>14344</v>
      </c>
      <c r="C6471" s="5" t="s">
        <v>32</v>
      </c>
      <c r="D6471" s="5" t="s">
        <v>33</v>
      </c>
      <c r="E6471" s="5" t="s">
        <v>352</v>
      </c>
      <c r="F6471" s="9">
        <v>43</v>
      </c>
      <c r="G6471" s="9">
        <v>530</v>
      </c>
      <c r="H6471" s="5" t="s">
        <v>21</v>
      </c>
      <c r="I6471" s="5" t="s">
        <v>14354</v>
      </c>
      <c r="J6471" s="12" t="str">
        <f>HYPERLINK("https://www.boe.es/gazeta/dias/1801/05/26/pdfs/GMD-1801-43.pdf#page=2","Abrir facsímil")</f>
        <v>Abrir facsímil</v>
      </c>
      <c r="K6471" s="15" t="s">
        <v>23</v>
      </c>
    </row>
    <row r="6472" spans="1:11" ht="42" customHeight="1">
      <c r="A6472" s="4" t="s">
        <v>14343</v>
      </c>
      <c r="B6472" s="5" t="s">
        <v>14344</v>
      </c>
      <c r="C6472" s="5" t="s">
        <v>75</v>
      </c>
      <c r="D6472" s="5" t="s">
        <v>76</v>
      </c>
      <c r="E6472" s="5" t="s">
        <v>352</v>
      </c>
      <c r="F6472" s="9">
        <v>43</v>
      </c>
      <c r="G6472" s="9">
        <v>532</v>
      </c>
      <c r="H6472" s="5" t="s">
        <v>21</v>
      </c>
      <c r="I6472" s="5" t="s">
        <v>14355</v>
      </c>
      <c r="J6472" s="12" t="str">
        <f>HYPERLINK("https://www.boe.es/gazeta/dias/1801/05/26/pdfs/GMD-1801-43.pdf#page=4","Abrir facsímil")</f>
        <v>Abrir facsímil</v>
      </c>
      <c r="K6472" s="15" t="s">
        <v>23</v>
      </c>
    </row>
    <row r="6473" spans="1:11" ht="42" customHeight="1">
      <c r="A6473" s="4" t="s">
        <v>14343</v>
      </c>
      <c r="B6473" s="5" t="s">
        <v>14344</v>
      </c>
      <c r="C6473" s="5" t="s">
        <v>75</v>
      </c>
      <c r="D6473" s="5" t="s">
        <v>76</v>
      </c>
      <c r="E6473" s="5" t="s">
        <v>105</v>
      </c>
      <c r="F6473" s="9">
        <v>44</v>
      </c>
      <c r="G6473" s="9">
        <v>541</v>
      </c>
      <c r="H6473" s="5" t="s">
        <v>21</v>
      </c>
      <c r="I6473" s="5" t="s">
        <v>14356</v>
      </c>
      <c r="J6473" s="12" t="str">
        <f>HYPERLINK("https://www.boe.es/gazeta/dias/1801/05/29/pdfs/GMD-1801-44.pdf#page=1","Abrir facsímil")</f>
        <v>Abrir facsímil</v>
      </c>
      <c r="K6473" s="15" t="s">
        <v>23</v>
      </c>
    </row>
    <row r="6474" spans="1:11" ht="42" customHeight="1">
      <c r="A6474" s="4" t="s">
        <v>14343</v>
      </c>
      <c r="B6474" s="5" t="s">
        <v>14344</v>
      </c>
      <c r="C6474" s="5" t="s">
        <v>75</v>
      </c>
      <c r="D6474" s="5" t="s">
        <v>76</v>
      </c>
      <c r="E6474" s="5" t="s">
        <v>151</v>
      </c>
      <c r="F6474" s="9">
        <v>45</v>
      </c>
      <c r="G6474" s="9">
        <v>554</v>
      </c>
      <c r="H6474" s="5" t="s">
        <v>21</v>
      </c>
      <c r="I6474" s="5" t="s">
        <v>14357</v>
      </c>
      <c r="J6474" s="12" t="str">
        <f>HYPERLINK("https://www.boe.es/gazeta/dias/1801/06/02/pdfs/GMD-1801-45.pdf#page=2","Abrir facsímil")</f>
        <v>Abrir facsímil</v>
      </c>
      <c r="K6474" s="15" t="s">
        <v>23</v>
      </c>
    </row>
    <row r="6475" spans="1:11" ht="42" customHeight="1">
      <c r="A6475" s="4" t="s">
        <v>14343</v>
      </c>
      <c r="B6475" s="5" t="s">
        <v>14344</v>
      </c>
      <c r="C6475" s="5" t="s">
        <v>32</v>
      </c>
      <c r="D6475" s="5" t="s">
        <v>33</v>
      </c>
      <c r="E6475" s="5" t="s">
        <v>151</v>
      </c>
      <c r="F6475" s="9">
        <v>45</v>
      </c>
      <c r="G6475" s="9">
        <v>558</v>
      </c>
      <c r="H6475" s="5" t="s">
        <v>21</v>
      </c>
      <c r="I6475" s="5" t="s">
        <v>14358</v>
      </c>
      <c r="J6475" s="12" t="str">
        <f>HYPERLINK("https://www.boe.es/gazeta/dias/1801/06/02/pdfs/GMD-1801-45.pdf#page=6","Abrir facsímil")</f>
        <v>Abrir facsímil</v>
      </c>
      <c r="K6475" s="15" t="s">
        <v>23</v>
      </c>
    </row>
    <row r="6476" spans="1:11" ht="42" customHeight="1">
      <c r="A6476" s="4" t="s">
        <v>14343</v>
      </c>
      <c r="B6476" s="5" t="s">
        <v>14344</v>
      </c>
      <c r="C6476" s="5" t="s">
        <v>75</v>
      </c>
      <c r="D6476" s="5" t="s">
        <v>76</v>
      </c>
      <c r="E6476" s="5" t="s">
        <v>153</v>
      </c>
      <c r="F6476" s="9">
        <v>48</v>
      </c>
      <c r="G6476" s="9">
        <v>579</v>
      </c>
      <c r="H6476" s="5" t="s">
        <v>21</v>
      </c>
      <c r="I6476" s="5" t="s">
        <v>14359</v>
      </c>
      <c r="J6476" s="12" t="str">
        <f>HYPERLINK("https://www.boe.es/gazeta/dias/1801/06/05/pdfs/GMD-1801-48.pdf#page=1","Abrir facsímil")</f>
        <v>Abrir facsímil</v>
      </c>
      <c r="K6476" s="15" t="s">
        <v>23</v>
      </c>
    </row>
    <row r="6477" spans="1:11" ht="42" customHeight="1">
      <c r="A6477" s="4" t="s">
        <v>14343</v>
      </c>
      <c r="B6477" s="5" t="s">
        <v>14344</v>
      </c>
      <c r="C6477" s="5" t="s">
        <v>75</v>
      </c>
      <c r="D6477" s="5" t="s">
        <v>76</v>
      </c>
      <c r="E6477" s="5" t="s">
        <v>153</v>
      </c>
      <c r="F6477" s="9">
        <v>48</v>
      </c>
      <c r="G6477" s="9">
        <v>580</v>
      </c>
      <c r="H6477" s="5" t="s">
        <v>21</v>
      </c>
      <c r="I6477" s="5" t="s">
        <v>14360</v>
      </c>
      <c r="J6477" s="12" t="str">
        <f>HYPERLINK("https://www.boe.es/gazeta/dias/1801/06/05/pdfs/GMD-1801-48.pdf#page=2","Abrir facsímil")</f>
        <v>Abrir facsímil</v>
      </c>
      <c r="K6477" s="15" t="s">
        <v>23</v>
      </c>
    </row>
    <row r="6478" spans="1:11" ht="42" customHeight="1">
      <c r="A6478" s="4" t="s">
        <v>14343</v>
      </c>
      <c r="B6478" s="5" t="s">
        <v>14344</v>
      </c>
      <c r="C6478" s="5" t="s">
        <v>38</v>
      </c>
      <c r="D6478" s="5" t="s">
        <v>39</v>
      </c>
      <c r="E6478" s="5" t="s">
        <v>155</v>
      </c>
      <c r="F6478" s="9">
        <v>50</v>
      </c>
      <c r="G6478" s="9">
        <v>590</v>
      </c>
      <c r="H6478" s="5" t="s">
        <v>21</v>
      </c>
      <c r="I6478" s="5" t="s">
        <v>14361</v>
      </c>
      <c r="J6478" s="12" t="str">
        <f>HYPERLINK("https://www.boe.es/gazeta/dias/1801/06/09/pdfs/GMD-1801-50.pdf#page=2","Abrir facsímil")</f>
        <v>Abrir facsímil</v>
      </c>
      <c r="K6478" s="15" t="s">
        <v>23</v>
      </c>
    </row>
    <row r="6479" spans="1:11" ht="42" customHeight="1">
      <c r="A6479" s="4" t="s">
        <v>14343</v>
      </c>
      <c r="B6479" s="5" t="s">
        <v>14344</v>
      </c>
      <c r="C6479" s="5" t="s">
        <v>75</v>
      </c>
      <c r="D6479" s="5" t="s">
        <v>76</v>
      </c>
      <c r="E6479" s="5" t="s">
        <v>158</v>
      </c>
      <c r="F6479" s="9">
        <v>55</v>
      </c>
      <c r="G6479" s="9">
        <v>625</v>
      </c>
      <c r="H6479" s="5" t="s">
        <v>21</v>
      </c>
      <c r="I6479" s="5" t="s">
        <v>14362</v>
      </c>
      <c r="J6479" s="12" t="str">
        <f>HYPERLINK("https://www.boe.es/gazeta/dias/1801/06/16/pdfs/GMD-1801-55.pdf#page=1","Abrir facsímil")</f>
        <v>Abrir facsímil</v>
      </c>
      <c r="K6479" s="15" t="s">
        <v>23</v>
      </c>
    </row>
    <row r="6480" spans="1:11" ht="42" customHeight="1">
      <c r="A6480" s="4" t="s">
        <v>14343</v>
      </c>
      <c r="B6480" s="5" t="s">
        <v>14344</v>
      </c>
      <c r="C6480" s="5" t="s">
        <v>32</v>
      </c>
      <c r="D6480" s="5" t="s">
        <v>33</v>
      </c>
      <c r="E6480" s="5" t="s">
        <v>161</v>
      </c>
      <c r="F6480" s="9">
        <v>58</v>
      </c>
      <c r="G6480" s="9">
        <v>656</v>
      </c>
      <c r="H6480" s="5" t="s">
        <v>21</v>
      </c>
      <c r="I6480" s="5" t="s">
        <v>14363</v>
      </c>
      <c r="J6480" s="12" t="str">
        <f>HYPERLINK("https://www.boe.es/gazeta/dias/1801/06/19/pdfs/GMD-1801-58.pdf#page=1","Abrir facsímil")</f>
        <v>Abrir facsímil</v>
      </c>
      <c r="K6480" s="15" t="s">
        <v>23</v>
      </c>
    </row>
    <row r="6481" spans="1:11" ht="42" customHeight="1">
      <c r="A6481" s="4" t="s">
        <v>14343</v>
      </c>
      <c r="B6481" s="5" t="s">
        <v>14344</v>
      </c>
      <c r="C6481" s="5" t="s">
        <v>75</v>
      </c>
      <c r="D6481" s="5" t="s">
        <v>76</v>
      </c>
      <c r="E6481" s="5" t="s">
        <v>161</v>
      </c>
      <c r="F6481" s="9">
        <v>58</v>
      </c>
      <c r="G6481" s="9">
        <v>660</v>
      </c>
      <c r="H6481" s="5" t="s">
        <v>21</v>
      </c>
      <c r="I6481" s="5" t="s">
        <v>14364</v>
      </c>
      <c r="J6481" s="12" t="str">
        <f>HYPERLINK("https://www.boe.es/gazeta/dias/1801/06/19/pdfs/GMD-1801-58.pdf#page=5","Abrir facsímil")</f>
        <v>Abrir facsímil</v>
      </c>
      <c r="K6481" s="15" t="s">
        <v>23</v>
      </c>
    </row>
    <row r="6482" spans="1:11" ht="42" customHeight="1">
      <c r="A6482" s="4" t="s">
        <v>14343</v>
      </c>
      <c r="B6482" s="5" t="s">
        <v>14344</v>
      </c>
      <c r="C6482" s="5" t="s">
        <v>32</v>
      </c>
      <c r="D6482" s="5" t="s">
        <v>33</v>
      </c>
      <c r="E6482" s="5" t="s">
        <v>82</v>
      </c>
      <c r="F6482" s="9">
        <v>75</v>
      </c>
      <c r="G6482" s="9">
        <v>835</v>
      </c>
      <c r="H6482" s="5" t="s">
        <v>21</v>
      </c>
      <c r="I6482" s="5" t="s">
        <v>14365</v>
      </c>
      <c r="J6482" s="12" t="str">
        <f>HYPERLINK("https://www.boe.es/gazeta/dias/1801/08/04/pdfs/GMD-1801-75.pdf#page=4","Abrir facsímil")</f>
        <v>Abrir facsímil</v>
      </c>
      <c r="K6482" s="15" t="s">
        <v>23</v>
      </c>
    </row>
    <row r="6483" spans="1:11" ht="42" customHeight="1">
      <c r="A6483" s="4" t="s">
        <v>14366</v>
      </c>
      <c r="B6483" s="5" t="s">
        <v>14367</v>
      </c>
      <c r="C6483" s="5" t="s">
        <v>75</v>
      </c>
      <c r="D6483" s="5" t="s">
        <v>76</v>
      </c>
      <c r="E6483" s="5" t="s">
        <v>735</v>
      </c>
      <c r="F6483" s="9">
        <v>97</v>
      </c>
      <c r="G6483" s="9">
        <v>1060</v>
      </c>
      <c r="H6483" s="5" t="s">
        <v>21</v>
      </c>
      <c r="I6483" s="5" t="s">
        <v>14368</v>
      </c>
      <c r="J6483" s="12" t="str">
        <f>HYPERLINK("https://www.boe.es/gazeta/dias/1801/10/13/pdfs/GMD-1801-97.pdf#page=4","Abrir facsímil")</f>
        <v>Abrir facsímil</v>
      </c>
      <c r="K6483" s="15" t="s">
        <v>23</v>
      </c>
    </row>
    <row r="6484" spans="1:11" ht="42" customHeight="1">
      <c r="A6484" s="4" t="s">
        <v>14366</v>
      </c>
      <c r="B6484" s="5" t="s">
        <v>14367</v>
      </c>
      <c r="C6484" s="5" t="s">
        <v>26</v>
      </c>
      <c r="D6484" s="5" t="s">
        <v>27</v>
      </c>
      <c r="E6484" s="5" t="s">
        <v>453</v>
      </c>
      <c r="F6484" s="9">
        <v>100</v>
      </c>
      <c r="G6484" s="9">
        <v>1096</v>
      </c>
      <c r="H6484" s="5" t="s">
        <v>21</v>
      </c>
      <c r="I6484" s="5" t="s">
        <v>14369</v>
      </c>
      <c r="J6484" s="12" t="str">
        <f>HYPERLINK("https://www.boe.es/gazeta/dias/1801/10/23/pdfs/GMD-1801-100.pdf#page=5","Abrir facsímil")</f>
        <v>Abrir facsímil</v>
      </c>
      <c r="K6484" s="15" t="s">
        <v>23</v>
      </c>
    </row>
    <row r="6485" spans="1:11" ht="42" customHeight="1">
      <c r="A6485" s="4" t="s">
        <v>14370</v>
      </c>
      <c r="B6485" s="5" t="s">
        <v>14371</v>
      </c>
      <c r="C6485" s="5" t="s">
        <v>75</v>
      </c>
      <c r="D6485" s="5" t="s">
        <v>76</v>
      </c>
      <c r="E6485" s="5" t="s">
        <v>153</v>
      </c>
      <c r="F6485" s="9">
        <v>48</v>
      </c>
      <c r="G6485" s="9">
        <v>579</v>
      </c>
      <c r="H6485" s="5" t="s">
        <v>21</v>
      </c>
      <c r="I6485" s="5" t="s">
        <v>14372</v>
      </c>
      <c r="J6485" s="12" t="str">
        <f>HYPERLINK("https://www.boe.es/gazeta/dias/1801/06/05/pdfs/GMD-1801-48.pdf#page=1","Abrir facsímil")</f>
        <v>Abrir facsímil</v>
      </c>
      <c r="K6485" s="15" t="s">
        <v>23</v>
      </c>
    </row>
    <row r="6486" spans="1:11" ht="42" customHeight="1">
      <c r="A6486" s="4" t="s">
        <v>14373</v>
      </c>
      <c r="B6486" s="5" t="s">
        <v>14374</v>
      </c>
      <c r="C6486" s="5" t="s">
        <v>75</v>
      </c>
      <c r="D6486" s="5" t="s">
        <v>76</v>
      </c>
      <c r="E6486" s="5" t="s">
        <v>101</v>
      </c>
      <c r="F6486" s="9">
        <v>41</v>
      </c>
      <c r="G6486" s="9">
        <v>519</v>
      </c>
      <c r="H6486" s="5" t="s">
        <v>21</v>
      </c>
      <c r="I6486" s="5" t="s">
        <v>14375</v>
      </c>
      <c r="J6486" s="12" t="str">
        <f>HYPERLINK("https://www.boe.es/gazeta/dias/1801/05/22/pdfs/GMD-1801-41.pdf#page=3","Abrir facsímil")</f>
        <v>Abrir facsímil</v>
      </c>
      <c r="K6486" s="15" t="s">
        <v>23</v>
      </c>
    </row>
    <row r="6487" spans="1:11" ht="42" customHeight="1">
      <c r="A6487" s="4" t="s">
        <v>14376</v>
      </c>
      <c r="B6487" s="5" t="s">
        <v>14377</v>
      </c>
      <c r="C6487" s="5" t="s">
        <v>32</v>
      </c>
      <c r="D6487" s="5" t="s">
        <v>33</v>
      </c>
      <c r="E6487" s="5" t="s">
        <v>120</v>
      </c>
      <c r="F6487" s="9">
        <v>7</v>
      </c>
      <c r="G6487" s="9">
        <v>84</v>
      </c>
      <c r="H6487" s="5" t="s">
        <v>21</v>
      </c>
      <c r="I6487" s="5" t="s">
        <v>14378</v>
      </c>
      <c r="J6487" s="12" t="str">
        <f>HYPERLINK("https://www.boe.es/gazeta/dias/1801/01/23/pdfs/GMD-1801-7.pdf#page=8","Abrir facsímil")</f>
        <v>Abrir facsímil</v>
      </c>
      <c r="K6487" s="15" t="s">
        <v>23</v>
      </c>
    </row>
    <row r="6488" spans="1:11" ht="42" customHeight="1">
      <c r="A6488" s="4" t="s">
        <v>14379</v>
      </c>
      <c r="B6488" s="5" t="s">
        <v>14380</v>
      </c>
      <c r="C6488" s="5" t="s">
        <v>69</v>
      </c>
      <c r="D6488" s="5" t="s">
        <v>19</v>
      </c>
      <c r="E6488" s="5" t="s">
        <v>275</v>
      </c>
      <c r="F6488" s="9">
        <v>9</v>
      </c>
      <c r="G6488" s="9">
        <v>112</v>
      </c>
      <c r="H6488" s="5" t="s">
        <v>21</v>
      </c>
      <c r="I6488" s="5" t="s">
        <v>14381</v>
      </c>
      <c r="J6488" s="12" t="str">
        <f>HYPERLINK("https://www.boe.es/gazeta/dias/1801/01/30/pdfs/GMD-1801-9.pdf#page=9","Abrir facsímil")</f>
        <v>Abrir facsímil</v>
      </c>
      <c r="K6488" s="15" t="s">
        <v>23</v>
      </c>
    </row>
    <row r="6489" spans="1:11" ht="42" customHeight="1">
      <c r="A6489" s="4" t="s">
        <v>14382</v>
      </c>
      <c r="B6489" s="5" t="s">
        <v>14383</v>
      </c>
      <c r="C6489" s="5" t="s">
        <v>32</v>
      </c>
      <c r="D6489" s="5" t="s">
        <v>33</v>
      </c>
      <c r="E6489" s="5" t="s">
        <v>640</v>
      </c>
      <c r="F6489" s="9">
        <v>81</v>
      </c>
      <c r="G6489" s="9">
        <v>909</v>
      </c>
      <c r="H6489" s="5" t="s">
        <v>21</v>
      </c>
      <c r="I6489" s="5" t="s">
        <v>14384</v>
      </c>
      <c r="J6489" s="12" t="str">
        <f>HYPERLINK("https://www.boe.es/gazeta/dias/1801/08/25/pdfs/GMD-1801-81.pdf#page=6","Abrir facsímil")</f>
        <v>Abrir facsímil</v>
      </c>
      <c r="K6489" s="15" t="s">
        <v>23</v>
      </c>
    </row>
    <row r="6490" spans="1:11" ht="42" customHeight="1">
      <c r="A6490" s="4" t="s">
        <v>14385</v>
      </c>
      <c r="B6490" s="5" t="s">
        <v>14386</v>
      </c>
      <c r="C6490" s="5" t="s">
        <v>69</v>
      </c>
      <c r="D6490" s="5" t="s">
        <v>19</v>
      </c>
      <c r="E6490" s="5" t="s">
        <v>171</v>
      </c>
      <c r="F6490" s="9">
        <v>76</v>
      </c>
      <c r="G6490" s="9">
        <v>852</v>
      </c>
      <c r="H6490" s="5" t="s">
        <v>21</v>
      </c>
      <c r="I6490" s="5" t="s">
        <v>14387</v>
      </c>
      <c r="J6490" s="12" t="str">
        <f>HYPERLINK("https://www.boe.es/gazeta/dias/1801/08/07/pdfs/GMD-1801-76.pdf#page=9","Abrir facsímil")</f>
        <v>Abrir facsímil</v>
      </c>
      <c r="K6490" s="15" t="s">
        <v>23</v>
      </c>
    </row>
    <row r="6491" spans="1:11" ht="42" customHeight="1">
      <c r="A6491" s="4" t="s">
        <v>14388</v>
      </c>
      <c r="B6491" s="5" t="s">
        <v>14388</v>
      </c>
      <c r="C6491" s="5" t="s">
        <v>32</v>
      </c>
      <c r="D6491" s="5" t="s">
        <v>33</v>
      </c>
      <c r="E6491" s="5" t="s">
        <v>781</v>
      </c>
      <c r="F6491" s="9">
        <v>14</v>
      </c>
      <c r="G6491" s="9">
        <v>173</v>
      </c>
      <c r="H6491" s="5" t="s">
        <v>21</v>
      </c>
      <c r="I6491" s="5" t="s">
        <v>14389</v>
      </c>
      <c r="J6491" s="12" t="str">
        <f>HYPERLINK("https://www.boe.es/gazeta/dias/1801/02/17/pdfs/GMD-1801-14.pdf#page=8","Abrir facsímil")</f>
        <v>Abrir facsímil</v>
      </c>
      <c r="K6491" s="15" t="s">
        <v>23</v>
      </c>
    </row>
    <row r="6492" spans="1:11" ht="42" customHeight="1">
      <c r="A6492" s="4" t="s">
        <v>14390</v>
      </c>
      <c r="B6492" s="5" t="s">
        <v>14391</v>
      </c>
      <c r="C6492" s="5" t="s">
        <v>18</v>
      </c>
      <c r="D6492" s="5" t="s">
        <v>19</v>
      </c>
      <c r="E6492" s="5" t="s">
        <v>126</v>
      </c>
      <c r="F6492" s="9">
        <v>13</v>
      </c>
      <c r="G6492" s="9">
        <v>162</v>
      </c>
      <c r="H6492" s="5" t="s">
        <v>21</v>
      </c>
      <c r="I6492" s="5" t="s">
        <v>14392</v>
      </c>
      <c r="J6492" s="12" t="str">
        <f>HYPERLINK("https://www.boe.es/gazeta/dias/1801/02/13/pdfs/GMD-1801-13.pdf#page=9","Abrir facsímil")</f>
        <v>Abrir facsímil</v>
      </c>
      <c r="K6492" s="15" t="s">
        <v>23</v>
      </c>
    </row>
    <row r="6493" spans="1:11" ht="42" customHeight="1">
      <c r="A6493" s="4" t="s">
        <v>14393</v>
      </c>
      <c r="B6493" s="5" t="s">
        <v>14394</v>
      </c>
      <c r="C6493" s="5" t="s">
        <v>38</v>
      </c>
      <c r="D6493" s="5" t="s">
        <v>39</v>
      </c>
      <c r="E6493" s="5" t="s">
        <v>112</v>
      </c>
      <c r="F6493" s="9">
        <v>114</v>
      </c>
      <c r="G6493" s="9">
        <v>1247</v>
      </c>
      <c r="H6493" s="5" t="s">
        <v>21</v>
      </c>
      <c r="I6493" s="5" t="s">
        <v>14395</v>
      </c>
      <c r="J6493" s="12" t="str">
        <f>HYPERLINK("https://www.boe.es/gazeta/dias/1801/12/11/pdfs/GMD-1801-114.pdf#page=9","Abrir facsímil")</f>
        <v>Abrir facsímil</v>
      </c>
      <c r="K6493" s="15" t="s">
        <v>23</v>
      </c>
    </row>
    <row r="6494" spans="1:11" ht="42" customHeight="1">
      <c r="A6494" s="4" t="s">
        <v>14396</v>
      </c>
      <c r="B6494" s="5" t="s">
        <v>14396</v>
      </c>
      <c r="C6494" s="5" t="s">
        <v>32</v>
      </c>
      <c r="D6494" s="5" t="s">
        <v>33</v>
      </c>
      <c r="E6494" s="5" t="s">
        <v>366</v>
      </c>
      <c r="F6494" s="9">
        <v>86</v>
      </c>
      <c r="G6494" s="9">
        <v>955</v>
      </c>
      <c r="H6494" s="5" t="s">
        <v>21</v>
      </c>
      <c r="I6494" s="5" t="s">
        <v>14397</v>
      </c>
      <c r="J6494" s="12" t="str">
        <f>HYPERLINK("https://www.boe.es/gazeta/dias/1801/09/08/pdfs/GMD-1801-86.pdf#page=6","Abrir facsímil")</f>
        <v>Abrir facsímil</v>
      </c>
      <c r="K6494" s="15" t="s">
        <v>23</v>
      </c>
    </row>
    <row r="6495" spans="1:11" ht="42" customHeight="1">
      <c r="A6495" s="4" t="s">
        <v>14398</v>
      </c>
      <c r="B6495" s="5" t="s">
        <v>14398</v>
      </c>
      <c r="C6495" s="5" t="s">
        <v>32</v>
      </c>
      <c r="D6495" s="5" t="s">
        <v>33</v>
      </c>
      <c r="E6495" s="5" t="s">
        <v>640</v>
      </c>
      <c r="F6495" s="9">
        <v>81</v>
      </c>
      <c r="G6495" s="9">
        <v>909</v>
      </c>
      <c r="H6495" s="5" t="s">
        <v>21</v>
      </c>
      <c r="I6495" s="5" t="s">
        <v>14399</v>
      </c>
      <c r="J6495" s="12" t="str">
        <f>HYPERLINK("https://www.boe.es/gazeta/dias/1801/08/25/pdfs/GMD-1801-81.pdf#page=6","Abrir facsímil")</f>
        <v>Abrir facsímil</v>
      </c>
      <c r="K6495" s="15" t="s">
        <v>23</v>
      </c>
    </row>
    <row r="6496" spans="1:11" ht="42" customHeight="1">
      <c r="A6496" s="4" t="s">
        <v>14400</v>
      </c>
      <c r="B6496" s="5" t="s">
        <v>14400</v>
      </c>
      <c r="C6496" s="5" t="s">
        <v>32</v>
      </c>
      <c r="D6496" s="5" t="s">
        <v>33</v>
      </c>
      <c r="E6496" s="5" t="s">
        <v>131</v>
      </c>
      <c r="F6496" s="9">
        <v>22</v>
      </c>
      <c r="G6496" s="9">
        <v>290</v>
      </c>
      <c r="H6496" s="5" t="s">
        <v>21</v>
      </c>
      <c r="I6496" s="5" t="s">
        <v>14401</v>
      </c>
      <c r="J6496" s="12" t="str">
        <f>HYPERLINK("https://www.boe.es/gazeta/dias/1801/03/17/pdfs/GMD-1801-22.pdf#page=7","Abrir facsímil")</f>
        <v>Abrir facsímil</v>
      </c>
      <c r="K6496" s="15" t="s">
        <v>23</v>
      </c>
    </row>
    <row r="6497" spans="1:11" ht="42" customHeight="1">
      <c r="A6497" s="4" t="s">
        <v>14402</v>
      </c>
      <c r="B6497" s="5" t="s">
        <v>14403</v>
      </c>
      <c r="C6497" s="5" t="s">
        <v>38</v>
      </c>
      <c r="D6497" s="5" t="s">
        <v>39</v>
      </c>
      <c r="E6497" s="5" t="s">
        <v>266</v>
      </c>
      <c r="F6497" s="9">
        <v>119</v>
      </c>
      <c r="G6497" s="9">
        <v>1304</v>
      </c>
      <c r="H6497" s="5" t="s">
        <v>21</v>
      </c>
      <c r="I6497" s="5" t="s">
        <v>14404</v>
      </c>
      <c r="J6497" s="12" t="str">
        <f>HYPERLINK("https://www.boe.es/gazeta/dias/1801/12/29/pdfs/GMD-1801-119.pdf#page=8","Abrir facsímil")</f>
        <v>Abrir facsímil</v>
      </c>
      <c r="K6497" s="15" t="s">
        <v>23</v>
      </c>
    </row>
    <row r="6498" spans="1:11" ht="42" customHeight="1">
      <c r="A6498" s="4" t="s">
        <v>14405</v>
      </c>
      <c r="B6498" s="5" t="s">
        <v>14405</v>
      </c>
      <c r="C6498" s="5" t="s">
        <v>32</v>
      </c>
      <c r="D6498" s="5" t="s">
        <v>33</v>
      </c>
      <c r="E6498" s="5" t="s">
        <v>352</v>
      </c>
      <c r="F6498" s="9">
        <v>43</v>
      </c>
      <c r="G6498" s="9">
        <v>538</v>
      </c>
      <c r="H6498" s="5" t="s">
        <v>21</v>
      </c>
      <c r="I6498" s="5" t="s">
        <v>14406</v>
      </c>
      <c r="J6498" s="12" t="str">
        <f>HYPERLINK("https://www.boe.es/gazeta/dias/1801/05/26/pdfs/GMD-1801-43.pdf#page=10","Abrir facsímil")</f>
        <v>Abrir facsímil</v>
      </c>
      <c r="K6498" s="15" t="s">
        <v>23</v>
      </c>
    </row>
    <row r="6499" spans="1:11" ht="42" customHeight="1">
      <c r="A6499" s="4" t="s">
        <v>14407</v>
      </c>
      <c r="B6499" s="5" t="s">
        <v>14408</v>
      </c>
      <c r="C6499" s="5" t="s">
        <v>69</v>
      </c>
      <c r="D6499" s="5" t="s">
        <v>19</v>
      </c>
      <c r="E6499" s="5" t="s">
        <v>145</v>
      </c>
      <c r="F6499" s="9">
        <v>36</v>
      </c>
      <c r="G6499" s="9">
        <v>467</v>
      </c>
      <c r="H6499" s="5" t="s">
        <v>21</v>
      </c>
      <c r="I6499" s="5" t="s">
        <v>14409</v>
      </c>
      <c r="J6499" s="12" t="str">
        <f>HYPERLINK("https://www.boe.es/gazeta/dias/1801/05/05/pdfs/GMD-1801-36.pdf#page=11","Abrir facsímil")</f>
        <v>Abrir facsímil</v>
      </c>
      <c r="K6499" s="15" t="s">
        <v>23</v>
      </c>
    </row>
    <row r="6500" spans="1:11" ht="42" customHeight="1">
      <c r="A6500" s="4" t="s">
        <v>14410</v>
      </c>
      <c r="B6500" s="5" t="s">
        <v>14410</v>
      </c>
      <c r="C6500" s="5" t="s">
        <v>80</v>
      </c>
      <c r="D6500" s="5" t="s">
        <v>81</v>
      </c>
      <c r="E6500" s="5" t="s">
        <v>289</v>
      </c>
      <c r="F6500" s="9">
        <v>40</v>
      </c>
      <c r="G6500" s="9" t="s">
        <v>299</v>
      </c>
      <c r="H6500" s="5" t="s">
        <v>21</v>
      </c>
      <c r="I6500" s="5" t="s">
        <v>14411</v>
      </c>
      <c r="J6500" s="12" t="str">
        <f>HYPERLINK("https://www.boe.es/gazeta/dias/1801/05/19/pdfs/GMD-C-1801-40.pdf#page=5","Abrir facsímil")</f>
        <v>Abrir facsímil</v>
      </c>
      <c r="K6500" s="15" t="s">
        <v>23</v>
      </c>
    </row>
    <row r="6501" spans="1:11" ht="42" customHeight="1">
      <c r="A6501" s="4" t="s">
        <v>14412</v>
      </c>
      <c r="B6501" s="5" t="s">
        <v>14412</v>
      </c>
      <c r="C6501" s="5" t="s">
        <v>32</v>
      </c>
      <c r="D6501" s="5" t="s">
        <v>33</v>
      </c>
      <c r="E6501" s="5" t="s">
        <v>211</v>
      </c>
      <c r="F6501" s="9">
        <v>87</v>
      </c>
      <c r="G6501" s="9">
        <v>966</v>
      </c>
      <c r="H6501" s="5" t="s">
        <v>21</v>
      </c>
      <c r="I6501" s="5" t="s">
        <v>14413</v>
      </c>
      <c r="J6501" s="12" t="str">
        <f>HYPERLINK("https://www.boe.es/gazeta/dias/1801/09/11/pdfs/GMD-1801-87.pdf#page=9","Abrir facsímil")</f>
        <v>Abrir facsímil</v>
      </c>
      <c r="K6501" s="15" t="s">
        <v>23</v>
      </c>
    </row>
    <row r="6502" spans="1:11" ht="42" customHeight="1">
      <c r="A6502" s="4" t="s">
        <v>14414</v>
      </c>
      <c r="B6502" s="5" t="s">
        <v>14414</v>
      </c>
      <c r="C6502" s="5" t="s">
        <v>80</v>
      </c>
      <c r="D6502" s="5" t="s">
        <v>81</v>
      </c>
      <c r="E6502" s="5" t="s">
        <v>82</v>
      </c>
      <c r="F6502" s="9">
        <v>75</v>
      </c>
      <c r="G6502" s="9" t="s">
        <v>305</v>
      </c>
      <c r="H6502" s="5" t="s">
        <v>21</v>
      </c>
      <c r="I6502" s="5" t="s">
        <v>14415</v>
      </c>
      <c r="J6502" s="12" t="str">
        <f>HYPERLINK("https://www.boe.es/gazeta/dias/1801/08/04/pdfs/GMD-C-1801-75.pdf#page=4","Abrir facsímil")</f>
        <v>Abrir facsímil</v>
      </c>
      <c r="K6502" s="15" t="s">
        <v>23</v>
      </c>
    </row>
    <row r="6503" spans="1:11" ht="42" customHeight="1">
      <c r="A6503" s="4" t="s">
        <v>14416</v>
      </c>
      <c r="B6503" s="5" t="s">
        <v>14416</v>
      </c>
      <c r="C6503" s="5" t="s">
        <v>32</v>
      </c>
      <c r="D6503" s="5" t="s">
        <v>33</v>
      </c>
      <c r="E6503" s="5" t="s">
        <v>151</v>
      </c>
      <c r="F6503" s="9">
        <v>45</v>
      </c>
      <c r="G6503" s="9">
        <v>560</v>
      </c>
      <c r="H6503" s="5" t="s">
        <v>21</v>
      </c>
      <c r="I6503" s="5" t="s">
        <v>14417</v>
      </c>
      <c r="J6503" s="12" t="str">
        <f>HYPERLINK("https://www.boe.es/gazeta/dias/1801/06/02/pdfs/GMD-1801-45.pdf#page=8","Abrir facsímil")</f>
        <v>Abrir facsímil</v>
      </c>
      <c r="K6503" s="15" t="s">
        <v>23</v>
      </c>
    </row>
    <row r="6504" spans="1:11" ht="42" customHeight="1">
      <c r="A6504" s="4" t="s">
        <v>14418</v>
      </c>
      <c r="B6504" s="5" t="s">
        <v>14418</v>
      </c>
      <c r="C6504" s="5" t="s">
        <v>69</v>
      </c>
      <c r="D6504" s="5" t="s">
        <v>19</v>
      </c>
      <c r="E6504" s="5" t="s">
        <v>292</v>
      </c>
      <c r="F6504" s="9">
        <v>25</v>
      </c>
      <c r="G6504" s="9">
        <v>331</v>
      </c>
      <c r="H6504" s="5" t="s">
        <v>21</v>
      </c>
      <c r="I6504" s="5" t="s">
        <v>14419</v>
      </c>
      <c r="J6504" s="12" t="str">
        <f>HYPERLINK("https://www.boe.es/gazeta/dias/1801/03/27/pdfs/GMD-1801-25.pdf#page=10","Abrir facsímil")</f>
        <v>Abrir facsímil</v>
      </c>
      <c r="K6504" s="15" t="s">
        <v>23</v>
      </c>
    </row>
    <row r="6505" spans="1:11" ht="42" customHeight="1">
      <c r="A6505" s="4" t="s">
        <v>14420</v>
      </c>
      <c r="B6505" s="5" t="s">
        <v>14420</v>
      </c>
      <c r="C6505" s="5" t="s">
        <v>1481</v>
      </c>
      <c r="D6505" s="5" t="s">
        <v>1482</v>
      </c>
      <c r="E6505" s="5" t="s">
        <v>434</v>
      </c>
      <c r="F6505" s="9" t="s">
        <v>435</v>
      </c>
      <c r="G6505" s="9">
        <v>649</v>
      </c>
      <c r="H6505" s="5" t="s">
        <v>21</v>
      </c>
      <c r="I6505" s="5" t="s">
        <v>14421</v>
      </c>
      <c r="J6505" s="12" t="str">
        <f>HYPERLINK("https://www.boe.es/gazeta/dias/1801/06/18/pdfs/GMD-1801-57E.pdf#page=1","Abrir facsímil")</f>
        <v>Abrir facsímil</v>
      </c>
      <c r="K6505" s="15" t="s">
        <v>23</v>
      </c>
    </row>
    <row r="6506" spans="1:11" ht="42" customHeight="1">
      <c r="A6506" s="4" t="s">
        <v>14422</v>
      </c>
      <c r="B6506" s="5" t="s">
        <v>14423</v>
      </c>
      <c r="C6506" s="5" t="s">
        <v>80</v>
      </c>
      <c r="D6506" s="5" t="s">
        <v>81</v>
      </c>
      <c r="E6506" s="5" t="s">
        <v>82</v>
      </c>
      <c r="F6506" s="9">
        <v>75</v>
      </c>
      <c r="G6506" s="9" t="s">
        <v>668</v>
      </c>
      <c r="H6506" s="5" t="s">
        <v>21</v>
      </c>
      <c r="I6506" s="5" t="s">
        <v>14424</v>
      </c>
      <c r="J6506" s="12" t="str">
        <f>HYPERLINK("https://www.boe.es/gazeta/dias/1801/08/04/pdfs/GMD-C-1801-75.pdf#page=1","Abrir facsímil")</f>
        <v>Abrir facsímil</v>
      </c>
      <c r="K6506" s="15" t="s">
        <v>23</v>
      </c>
    </row>
    <row r="6507" spans="1:11" ht="42" customHeight="1">
      <c r="A6507" s="4" t="s">
        <v>14425</v>
      </c>
      <c r="B6507" s="5" t="s">
        <v>14426</v>
      </c>
      <c r="C6507" s="5" t="s">
        <v>32</v>
      </c>
      <c r="D6507" s="5" t="s">
        <v>33</v>
      </c>
      <c r="E6507" s="5" t="s">
        <v>145</v>
      </c>
      <c r="F6507" s="9">
        <v>36</v>
      </c>
      <c r="G6507" s="9">
        <v>468</v>
      </c>
      <c r="H6507" s="5" t="s">
        <v>21</v>
      </c>
      <c r="I6507" s="5" t="s">
        <v>14427</v>
      </c>
      <c r="J6507" s="12" t="str">
        <f>HYPERLINK("https://www.boe.es/gazeta/dias/1801/05/05/pdfs/GMD-1801-36.pdf#page=12","Abrir facsímil")</f>
        <v>Abrir facsímil</v>
      </c>
      <c r="K6507" s="15" t="s">
        <v>23</v>
      </c>
    </row>
    <row r="6508" spans="1:11" ht="42" customHeight="1">
      <c r="A6508" s="4" t="s">
        <v>14428</v>
      </c>
      <c r="B6508" s="5" t="s">
        <v>14429</v>
      </c>
      <c r="C6508" s="5" t="s">
        <v>32</v>
      </c>
      <c r="D6508" s="5" t="s">
        <v>33</v>
      </c>
      <c r="E6508" s="5" t="s">
        <v>44</v>
      </c>
      <c r="F6508" s="9">
        <v>117</v>
      </c>
      <c r="G6508" s="9">
        <v>1281</v>
      </c>
      <c r="H6508" s="5" t="s">
        <v>21</v>
      </c>
      <c r="I6508" s="5" t="s">
        <v>14430</v>
      </c>
      <c r="J6508" s="12" t="str">
        <f>HYPERLINK("https://www.boe.es/gazeta/dias/1801/12/22/pdfs/GMD-1801-117.pdf#page=8","Abrir facsímil")</f>
        <v>Abrir facsímil</v>
      </c>
      <c r="K6508" s="15" t="s">
        <v>23</v>
      </c>
    </row>
    <row r="6509" spans="1:11" ht="42" customHeight="1">
      <c r="A6509" s="4" t="s">
        <v>14431</v>
      </c>
      <c r="B6509" s="5" t="s">
        <v>14432</v>
      </c>
      <c r="C6509" s="5" t="s">
        <v>26</v>
      </c>
      <c r="D6509" s="5" t="s">
        <v>27</v>
      </c>
      <c r="E6509" s="5" t="s">
        <v>501</v>
      </c>
      <c r="F6509" s="9">
        <v>115</v>
      </c>
      <c r="G6509" s="9" t="s">
        <v>502</v>
      </c>
      <c r="H6509" s="5" t="s">
        <v>21</v>
      </c>
      <c r="I6509" s="5" t="s">
        <v>14433</v>
      </c>
      <c r="J6509" s="12" t="str">
        <f>HYPERLINK("https://www.boe.es/gazeta/dias/1801/12/15/pdfs/GMD-C-1801-115.pdf#page=8","Abrir facsímil")</f>
        <v>Abrir facsímil</v>
      </c>
      <c r="K6509" s="15" t="s">
        <v>23</v>
      </c>
    </row>
    <row r="6510" spans="1:11" ht="42" customHeight="1">
      <c r="A6510" s="4" t="s">
        <v>14434</v>
      </c>
      <c r="B6510" s="5" t="s">
        <v>14435</v>
      </c>
      <c r="C6510" s="5" t="s">
        <v>80</v>
      </c>
      <c r="D6510" s="5" t="s">
        <v>81</v>
      </c>
      <c r="E6510" s="5" t="s">
        <v>82</v>
      </c>
      <c r="F6510" s="9">
        <v>75</v>
      </c>
      <c r="G6510" s="9" t="s">
        <v>305</v>
      </c>
      <c r="H6510" s="5" t="s">
        <v>21</v>
      </c>
      <c r="I6510" s="5" t="s">
        <v>14436</v>
      </c>
      <c r="J6510" s="12" t="str">
        <f>HYPERLINK("https://www.boe.es/gazeta/dias/1801/08/04/pdfs/GMD-C-1801-75.pdf#page=4","Abrir facsímil")</f>
        <v>Abrir facsímil</v>
      </c>
      <c r="K6510" s="15" t="s">
        <v>23</v>
      </c>
    </row>
    <row r="6511" spans="1:11" ht="42" customHeight="1">
      <c r="A6511" s="4" t="s">
        <v>14437</v>
      </c>
      <c r="B6511" s="5" t="s">
        <v>14437</v>
      </c>
      <c r="C6511" s="5" t="s">
        <v>26</v>
      </c>
      <c r="D6511" s="5" t="s">
        <v>27</v>
      </c>
      <c r="E6511" s="5" t="s">
        <v>292</v>
      </c>
      <c r="F6511" s="9">
        <v>25</v>
      </c>
      <c r="G6511" s="9">
        <v>333</v>
      </c>
      <c r="H6511" s="5" t="s">
        <v>21</v>
      </c>
      <c r="I6511" s="5" t="s">
        <v>14438</v>
      </c>
      <c r="J6511" s="12" t="str">
        <f>HYPERLINK("https://www.boe.es/gazeta/dias/1801/03/27/pdfs/GMD-1801-25.pdf#page=12","Abrir facsímil")</f>
        <v>Abrir facsímil</v>
      </c>
      <c r="K6511" s="15" t="s">
        <v>23</v>
      </c>
    </row>
    <row r="6512" spans="1:11" ht="42" customHeight="1">
      <c r="A6512" s="4" t="s">
        <v>14439</v>
      </c>
      <c r="B6512" s="5" t="s">
        <v>14439</v>
      </c>
      <c r="C6512" s="5" t="s">
        <v>75</v>
      </c>
      <c r="D6512" s="5" t="s">
        <v>76</v>
      </c>
      <c r="E6512" s="5" t="s">
        <v>321</v>
      </c>
      <c r="F6512" s="9">
        <v>3</v>
      </c>
      <c r="G6512" s="9">
        <v>33</v>
      </c>
      <c r="H6512" s="5" t="s">
        <v>21</v>
      </c>
      <c r="I6512" s="5" t="s">
        <v>14440</v>
      </c>
      <c r="J6512" s="12" t="str">
        <f>HYPERLINK("https://www.boe.es/gazeta/dias/1801/01/09/pdfs/GMD-1801-3.pdf#page=9","Abrir facsímil")</f>
        <v>Abrir facsímil</v>
      </c>
      <c r="K6512" s="15" t="s">
        <v>23</v>
      </c>
    </row>
    <row r="6513" spans="1:11" ht="42" customHeight="1">
      <c r="A6513" s="4" t="s">
        <v>14441</v>
      </c>
      <c r="B6513" s="5" t="s">
        <v>14441</v>
      </c>
      <c r="C6513" s="5" t="s">
        <v>32</v>
      </c>
      <c r="D6513" s="5" t="s">
        <v>33</v>
      </c>
      <c r="E6513" s="5" t="s">
        <v>935</v>
      </c>
      <c r="F6513" s="9">
        <v>116</v>
      </c>
      <c r="G6513" s="9">
        <v>1260</v>
      </c>
      <c r="H6513" s="5" t="s">
        <v>21</v>
      </c>
      <c r="I6513" s="5" t="s">
        <v>14442</v>
      </c>
      <c r="J6513" s="12" t="str">
        <f>HYPERLINK("https://www.boe.es/gazeta/dias/1801/12/18/pdfs/GMD-1801-116.pdf#page=2","Abrir facsímil")</f>
        <v>Abrir facsímil</v>
      </c>
      <c r="K6513" s="15" t="s">
        <v>23</v>
      </c>
    </row>
    <row r="6514" spans="1:11" ht="42" customHeight="1">
      <c r="A6514" s="4" t="s">
        <v>14443</v>
      </c>
      <c r="B6514" s="5" t="s">
        <v>14443</v>
      </c>
      <c r="C6514" s="5" t="s">
        <v>32</v>
      </c>
      <c r="D6514" s="5" t="s">
        <v>33</v>
      </c>
      <c r="E6514" s="5" t="s">
        <v>50</v>
      </c>
      <c r="F6514" s="9">
        <v>29</v>
      </c>
      <c r="G6514" s="9">
        <v>375</v>
      </c>
      <c r="H6514" s="5" t="s">
        <v>21</v>
      </c>
      <c r="I6514" s="5" t="s">
        <v>14444</v>
      </c>
      <c r="J6514" s="12" t="str">
        <f>HYPERLINK("https://www.boe.es/gazeta/dias/1801/04/10/pdfs/GMD-1801-29.pdf#page=3","Abrir facsímil")</f>
        <v>Abrir facsímil</v>
      </c>
      <c r="K6514" s="15" t="s">
        <v>23</v>
      </c>
    </row>
    <row r="6515" spans="1:11" ht="42" customHeight="1">
      <c r="A6515" s="4" t="s">
        <v>14445</v>
      </c>
      <c r="B6515" s="5" t="s">
        <v>14445</v>
      </c>
      <c r="C6515" s="5" t="s">
        <v>75</v>
      </c>
      <c r="D6515" s="5" t="s">
        <v>76</v>
      </c>
      <c r="E6515" s="5" t="s">
        <v>124</v>
      </c>
      <c r="F6515" s="9">
        <v>12</v>
      </c>
      <c r="G6515" s="9">
        <v>146</v>
      </c>
      <c r="H6515" s="5" t="s">
        <v>21</v>
      </c>
      <c r="I6515" s="5" t="s">
        <v>14446</v>
      </c>
      <c r="J6515" s="12" t="str">
        <f>HYPERLINK("https://www.boe.es/gazeta/dias/1801/02/10/pdfs/GMD-1801-12.pdf#page=7","Abrir facsímil")</f>
        <v>Abrir facsímil</v>
      </c>
      <c r="K6515" s="15" t="s">
        <v>23</v>
      </c>
    </row>
    <row r="6516" spans="1:11" ht="42" customHeight="1">
      <c r="A6516" s="4" t="s">
        <v>14447</v>
      </c>
      <c r="B6516" s="5" t="s">
        <v>14448</v>
      </c>
      <c r="C6516" s="5" t="s">
        <v>38</v>
      </c>
      <c r="D6516" s="5" t="s">
        <v>39</v>
      </c>
      <c r="E6516" s="5" t="s">
        <v>44</v>
      </c>
      <c r="F6516" s="9">
        <v>117</v>
      </c>
      <c r="G6516" s="9">
        <v>1280</v>
      </c>
      <c r="H6516" s="5" t="s">
        <v>21</v>
      </c>
      <c r="I6516" s="5" t="s">
        <v>14449</v>
      </c>
      <c r="J6516" s="12" t="str">
        <f>HYPERLINK("https://www.boe.es/gazeta/dias/1801/12/22/pdfs/GMD-1801-117.pdf#page=7","Abrir facsímil")</f>
        <v>Abrir facsímil</v>
      </c>
      <c r="K6516" s="15" t="s">
        <v>23</v>
      </c>
    </row>
    <row r="6517" spans="1:11" ht="42" customHeight="1">
      <c r="A6517" s="4" t="s">
        <v>14450</v>
      </c>
      <c r="B6517" s="5" t="s">
        <v>14451</v>
      </c>
      <c r="C6517" s="5" t="s">
        <v>80</v>
      </c>
      <c r="D6517" s="5" t="s">
        <v>81</v>
      </c>
      <c r="E6517" s="5" t="s">
        <v>82</v>
      </c>
      <c r="F6517" s="9">
        <v>75</v>
      </c>
      <c r="G6517" s="9" t="s">
        <v>83</v>
      </c>
      <c r="H6517" s="5" t="s">
        <v>21</v>
      </c>
      <c r="I6517" s="5" t="s">
        <v>14452</v>
      </c>
      <c r="J6517" s="12" t="str">
        <f>HYPERLINK("https://www.boe.es/gazeta/dias/1801/08/04/pdfs/GMD-C-1801-75.pdf#page=2","Abrir facsímil")</f>
        <v>Abrir facsímil</v>
      </c>
      <c r="K6517" s="15" t="s">
        <v>23</v>
      </c>
    </row>
    <row r="6518" spans="1:11" ht="42" customHeight="1">
      <c r="A6518" s="4" t="s">
        <v>14453</v>
      </c>
      <c r="B6518" s="5" t="s">
        <v>14454</v>
      </c>
      <c r="C6518" s="5" t="s">
        <v>32</v>
      </c>
      <c r="D6518" s="5" t="s">
        <v>33</v>
      </c>
      <c r="E6518" s="5" t="s">
        <v>131</v>
      </c>
      <c r="F6518" s="9">
        <v>22</v>
      </c>
      <c r="G6518" s="9">
        <v>289</v>
      </c>
      <c r="H6518" s="5" t="s">
        <v>21</v>
      </c>
      <c r="I6518" s="5" t="s">
        <v>14455</v>
      </c>
      <c r="J6518" s="12" t="str">
        <f>HYPERLINK("https://www.boe.es/gazeta/dias/1801/03/17/pdfs/GMD-1801-22.pdf#page=6","Abrir facsímil")</f>
        <v>Abrir facsímil</v>
      </c>
      <c r="K6518" s="15" t="s">
        <v>23</v>
      </c>
    </row>
    <row r="6519" spans="1:11" ht="42" customHeight="1">
      <c r="A6519" s="4" t="s">
        <v>14456</v>
      </c>
      <c r="B6519" s="5" t="s">
        <v>14457</v>
      </c>
      <c r="C6519" s="5" t="s">
        <v>32</v>
      </c>
      <c r="D6519" s="5" t="s">
        <v>33</v>
      </c>
      <c r="E6519" s="5" t="s">
        <v>145</v>
      </c>
      <c r="F6519" s="9">
        <v>36</v>
      </c>
      <c r="G6519" s="9">
        <v>468</v>
      </c>
      <c r="H6519" s="5" t="s">
        <v>21</v>
      </c>
      <c r="I6519" s="5" t="s">
        <v>14458</v>
      </c>
      <c r="J6519" s="12" t="str">
        <f>HYPERLINK("https://www.boe.es/gazeta/dias/1801/05/05/pdfs/GMD-1801-36.pdf#page=12","Abrir facsímil")</f>
        <v>Abrir facsímil</v>
      </c>
      <c r="K6519" s="15" t="s">
        <v>23</v>
      </c>
    </row>
    <row r="6520" spans="1:11" ht="42" customHeight="1">
      <c r="A6520" s="4" t="s">
        <v>14459</v>
      </c>
      <c r="B6520" s="5" t="s">
        <v>14460</v>
      </c>
      <c r="C6520" s="5" t="s">
        <v>32</v>
      </c>
      <c r="D6520" s="5" t="s">
        <v>33</v>
      </c>
      <c r="E6520" s="5" t="s">
        <v>34</v>
      </c>
      <c r="F6520" s="9">
        <v>38</v>
      </c>
      <c r="G6520" s="9">
        <v>493</v>
      </c>
      <c r="H6520" s="5" t="s">
        <v>21</v>
      </c>
      <c r="I6520" s="5" t="s">
        <v>14461</v>
      </c>
      <c r="J6520" s="12" t="str">
        <f>HYPERLINK("https://www.boe.es/gazeta/dias/1801/05/12/pdfs/GMD-1801-38.pdf#page=9","Abrir facsímil")</f>
        <v>Abrir facsímil</v>
      </c>
      <c r="K6520" s="15" t="s">
        <v>23</v>
      </c>
    </row>
    <row r="6521" spans="1:11" ht="42" customHeight="1">
      <c r="A6521" s="4" t="s">
        <v>14462</v>
      </c>
      <c r="B6521" s="5" t="s">
        <v>14463</v>
      </c>
      <c r="C6521" s="5" t="s">
        <v>26</v>
      </c>
      <c r="D6521" s="5" t="s">
        <v>27</v>
      </c>
      <c r="E6521" s="5" t="s">
        <v>501</v>
      </c>
      <c r="F6521" s="9">
        <v>115</v>
      </c>
      <c r="G6521" s="9" t="s">
        <v>996</v>
      </c>
      <c r="H6521" s="5" t="s">
        <v>21</v>
      </c>
      <c r="I6521" s="5" t="s">
        <v>14464</v>
      </c>
      <c r="J6521" s="12" t="str">
        <f>HYPERLINK("https://www.boe.es/gazeta/dias/1801/12/15/pdfs/GMD-C-1801-115.pdf#page=6","Abrir facsímil")</f>
        <v>Abrir facsímil</v>
      </c>
      <c r="K6521" s="15" t="s">
        <v>23</v>
      </c>
    </row>
    <row r="6522" spans="1:11" ht="42" customHeight="1">
      <c r="A6522" s="4" t="s">
        <v>14465</v>
      </c>
      <c r="B6522" s="5" t="s">
        <v>14465</v>
      </c>
      <c r="C6522" s="5" t="s">
        <v>38</v>
      </c>
      <c r="D6522" s="5" t="s">
        <v>39</v>
      </c>
      <c r="E6522" s="5" t="s">
        <v>223</v>
      </c>
      <c r="F6522" s="9">
        <v>74</v>
      </c>
      <c r="G6522" s="9">
        <v>830</v>
      </c>
      <c r="H6522" s="5" t="s">
        <v>21</v>
      </c>
      <c r="I6522" s="5" t="s">
        <v>14466</v>
      </c>
      <c r="J6522" s="12" t="str">
        <f>HYPERLINK("https://www.boe.es/gazeta/dias/1801/07/31/pdfs/GMD-1801-74.pdf#page=11","Abrir facsímil")</f>
        <v>Abrir facsímil</v>
      </c>
      <c r="K6522" s="15" t="s">
        <v>23</v>
      </c>
    </row>
    <row r="6523" spans="1:11" ht="42" customHeight="1">
      <c r="A6523" s="4" t="s">
        <v>14467</v>
      </c>
      <c r="B6523" s="5" t="s">
        <v>14468</v>
      </c>
      <c r="C6523" s="5" t="s">
        <v>80</v>
      </c>
      <c r="D6523" s="5" t="s">
        <v>81</v>
      </c>
      <c r="E6523" s="5" t="s">
        <v>82</v>
      </c>
      <c r="F6523" s="9">
        <v>75</v>
      </c>
      <c r="G6523" s="9" t="s">
        <v>86</v>
      </c>
      <c r="H6523" s="5" t="s">
        <v>21</v>
      </c>
      <c r="I6523" s="5" t="s">
        <v>14469</v>
      </c>
      <c r="J6523" s="12" t="str">
        <f>HYPERLINK("https://www.boe.es/gazeta/dias/1801/08/04/pdfs/GMD-C-1801-75.pdf#page=3","Abrir facsímil")</f>
        <v>Abrir facsímil</v>
      </c>
      <c r="K6523" s="15" t="s">
        <v>23</v>
      </c>
    </row>
    <row r="6524" spans="1:11" ht="42" customHeight="1">
      <c r="A6524" s="4" t="s">
        <v>14470</v>
      </c>
      <c r="B6524" s="5" t="s">
        <v>14471</v>
      </c>
      <c r="C6524" s="5" t="s">
        <v>32</v>
      </c>
      <c r="D6524" s="5" t="s">
        <v>33</v>
      </c>
      <c r="E6524" s="5" t="s">
        <v>275</v>
      </c>
      <c r="F6524" s="9">
        <v>9</v>
      </c>
      <c r="G6524" s="9">
        <v>112</v>
      </c>
      <c r="H6524" s="5" t="s">
        <v>21</v>
      </c>
      <c r="I6524" s="5" t="s">
        <v>14472</v>
      </c>
      <c r="J6524" s="12" t="str">
        <f>HYPERLINK("https://www.boe.es/gazeta/dias/1801/01/30/pdfs/GMD-1801-9.pdf#page=9","Abrir facsímil")</f>
        <v>Abrir facsímil</v>
      </c>
      <c r="K6524" s="15" t="s">
        <v>23</v>
      </c>
    </row>
    <row r="6525" spans="1:11" ht="42" customHeight="1">
      <c r="A6525" s="4" t="s">
        <v>14473</v>
      </c>
      <c r="B6525" s="5" t="s">
        <v>14474</v>
      </c>
      <c r="C6525" s="5" t="s">
        <v>18</v>
      </c>
      <c r="D6525" s="5" t="s">
        <v>19</v>
      </c>
      <c r="E6525" s="5" t="s">
        <v>735</v>
      </c>
      <c r="F6525" s="9">
        <v>97</v>
      </c>
      <c r="G6525" s="9">
        <v>1066</v>
      </c>
      <c r="H6525" s="5" t="s">
        <v>21</v>
      </c>
      <c r="I6525" s="5" t="s">
        <v>14475</v>
      </c>
      <c r="J6525" s="12" t="str">
        <f>HYPERLINK("https://www.boe.es/gazeta/dias/1801/10/13/pdfs/GMD-1801-97.pdf#page=10","Abrir facsímil")</f>
        <v>Abrir facsímil</v>
      </c>
      <c r="K6525" s="15" t="s">
        <v>23</v>
      </c>
    </row>
    <row r="6526" spans="1:11" ht="42" customHeight="1">
      <c r="A6526" s="4" t="s">
        <v>14476</v>
      </c>
      <c r="B6526" s="5" t="s">
        <v>14477</v>
      </c>
      <c r="C6526" s="5" t="s">
        <v>75</v>
      </c>
      <c r="D6526" s="5" t="s">
        <v>76</v>
      </c>
      <c r="E6526" s="5" t="s">
        <v>94</v>
      </c>
      <c r="F6526" s="9">
        <v>19</v>
      </c>
      <c r="G6526" s="9">
        <v>242</v>
      </c>
      <c r="H6526" s="5" t="s">
        <v>21</v>
      </c>
      <c r="I6526" s="5" t="s">
        <v>14478</v>
      </c>
      <c r="J6526" s="12" t="str">
        <f>HYPERLINK("https://www.boe.es/gazeta/dias/1801/03/06/pdfs/GMD-1801-19.pdf#page=7","Abrir facsímil")</f>
        <v>Abrir facsímil</v>
      </c>
      <c r="K6526" s="15" t="s">
        <v>23</v>
      </c>
    </row>
    <row r="6527" spans="1:11" ht="42" customHeight="1">
      <c r="A6527" s="4" t="s">
        <v>14479</v>
      </c>
      <c r="B6527" s="5" t="s">
        <v>14480</v>
      </c>
      <c r="C6527" s="5" t="s">
        <v>75</v>
      </c>
      <c r="D6527" s="5" t="s">
        <v>76</v>
      </c>
      <c r="E6527" s="5" t="s">
        <v>186</v>
      </c>
      <c r="F6527" s="9">
        <v>21</v>
      </c>
      <c r="G6527" s="9">
        <v>278</v>
      </c>
      <c r="H6527" s="5" t="s">
        <v>21</v>
      </c>
      <c r="I6527" s="5" t="s">
        <v>14481</v>
      </c>
      <c r="J6527" s="12" t="str">
        <f>HYPERLINK("https://www.boe.es/gazeta/dias/1801/03/13/pdfs/GMD-1801-21.pdf#page=7","Abrir facsímil")</f>
        <v>Abrir facsímil</v>
      </c>
      <c r="K6527" s="15" t="s">
        <v>23</v>
      </c>
    </row>
    <row r="6528" spans="1:11" ht="42" customHeight="1">
      <c r="A6528" s="4" t="s">
        <v>14482</v>
      </c>
      <c r="B6528" s="5" t="s">
        <v>14482</v>
      </c>
      <c r="C6528" s="5" t="s">
        <v>32</v>
      </c>
      <c r="D6528" s="5" t="s">
        <v>33</v>
      </c>
      <c r="E6528" s="5" t="s">
        <v>201</v>
      </c>
      <c r="F6528" s="9">
        <v>79</v>
      </c>
      <c r="G6528" s="9">
        <v>889</v>
      </c>
      <c r="H6528" s="5" t="s">
        <v>21</v>
      </c>
      <c r="I6528" s="5" t="s">
        <v>14483</v>
      </c>
      <c r="J6528" s="12" t="str">
        <f>HYPERLINK("https://www.boe.es/gazeta/dias/1801/08/18/pdfs/GMD-1801-79.pdf#page=6","Abrir facsímil")</f>
        <v>Abrir facsímil</v>
      </c>
      <c r="K6528" s="15" t="s">
        <v>23</v>
      </c>
    </row>
    <row r="6529" spans="1:11" ht="42" customHeight="1">
      <c r="A6529" s="4" t="s">
        <v>14484</v>
      </c>
      <c r="B6529" s="5" t="s">
        <v>14485</v>
      </c>
      <c r="C6529" s="5" t="s">
        <v>32</v>
      </c>
      <c r="D6529" s="5" t="s">
        <v>33</v>
      </c>
      <c r="E6529" s="5" t="s">
        <v>640</v>
      </c>
      <c r="F6529" s="9">
        <v>81</v>
      </c>
      <c r="G6529" s="9">
        <v>909</v>
      </c>
      <c r="H6529" s="5" t="s">
        <v>21</v>
      </c>
      <c r="I6529" s="5" t="s">
        <v>14486</v>
      </c>
      <c r="J6529" s="12" t="str">
        <f>HYPERLINK("https://www.boe.es/gazeta/dias/1801/08/25/pdfs/GMD-1801-81.pdf#page=6","Abrir facsímil")</f>
        <v>Abrir facsímil</v>
      </c>
      <c r="K6529" s="15" t="s">
        <v>23</v>
      </c>
    </row>
    <row r="6530" spans="1:11" ht="42" customHeight="1">
      <c r="A6530" s="4" t="s">
        <v>14487</v>
      </c>
      <c r="B6530" s="5" t="s">
        <v>14488</v>
      </c>
      <c r="C6530" s="5" t="s">
        <v>38</v>
      </c>
      <c r="D6530" s="5" t="s">
        <v>39</v>
      </c>
      <c r="E6530" s="5" t="s">
        <v>723</v>
      </c>
      <c r="F6530" s="9">
        <v>113</v>
      </c>
      <c r="G6530" s="9">
        <v>1230</v>
      </c>
      <c r="H6530" s="5" t="s">
        <v>21</v>
      </c>
      <c r="I6530" s="5" t="s">
        <v>14489</v>
      </c>
      <c r="J6530" s="12" t="str">
        <f>HYPERLINK("https://www.boe.es/gazeta/dias/1801/12/08/pdfs/GMD-1801-113.pdf#page=3","Abrir facsímil")</f>
        <v>Abrir facsímil</v>
      </c>
      <c r="K6530" s="15" t="s">
        <v>23</v>
      </c>
    </row>
    <row r="6531" spans="1:11" ht="42" customHeight="1">
      <c r="A6531" s="4" t="s">
        <v>14490</v>
      </c>
      <c r="B6531" s="5" t="s">
        <v>14490</v>
      </c>
      <c r="C6531" s="5" t="s">
        <v>38</v>
      </c>
      <c r="D6531" s="5" t="s">
        <v>39</v>
      </c>
      <c r="E6531" s="5" t="s">
        <v>417</v>
      </c>
      <c r="F6531" s="9">
        <v>64</v>
      </c>
      <c r="G6531" s="9">
        <v>724</v>
      </c>
      <c r="H6531" s="5" t="s">
        <v>21</v>
      </c>
      <c r="I6531" s="5" t="s">
        <v>14491</v>
      </c>
      <c r="J6531" s="12" t="str">
        <f>HYPERLINK("https://www.boe.es/gazeta/dias/1801/07/07/pdfs/GMD-1801-64.pdf#page=5","Abrir facsímil")</f>
        <v>Abrir facsímil</v>
      </c>
      <c r="K6531" s="15" t="s">
        <v>23</v>
      </c>
    </row>
    <row r="6532" spans="1:11" ht="42" customHeight="1">
      <c r="A6532" s="4" t="s">
        <v>14492</v>
      </c>
      <c r="B6532" s="5" t="s">
        <v>14493</v>
      </c>
      <c r="C6532" s="5" t="s">
        <v>18</v>
      </c>
      <c r="D6532" s="5" t="s">
        <v>19</v>
      </c>
      <c r="E6532" s="5" t="s">
        <v>124</v>
      </c>
      <c r="F6532" s="9">
        <v>12</v>
      </c>
      <c r="G6532" s="9">
        <v>150</v>
      </c>
      <c r="H6532" s="5" t="s">
        <v>21</v>
      </c>
      <c r="I6532" s="5" t="s">
        <v>14494</v>
      </c>
      <c r="J6532" s="12" t="str">
        <f>HYPERLINK("https://www.boe.es/gazeta/dias/1801/02/10/pdfs/GMD-1801-12.pdf#page=11","Abrir facsímil")</f>
        <v>Abrir facsímil</v>
      </c>
      <c r="K6532" s="15" t="s">
        <v>23</v>
      </c>
    </row>
    <row r="6533" spans="1:11" ht="42" customHeight="1">
      <c r="A6533" s="4" t="s">
        <v>14495</v>
      </c>
      <c r="B6533" s="5" t="s">
        <v>14496</v>
      </c>
      <c r="C6533" s="5" t="s">
        <v>32</v>
      </c>
      <c r="D6533" s="5" t="s">
        <v>33</v>
      </c>
      <c r="E6533" s="5" t="s">
        <v>781</v>
      </c>
      <c r="F6533" s="9">
        <v>14</v>
      </c>
      <c r="G6533" s="9">
        <v>174</v>
      </c>
      <c r="H6533" s="5" t="s">
        <v>21</v>
      </c>
      <c r="I6533" s="5" t="s">
        <v>14497</v>
      </c>
      <c r="J6533" s="12" t="str">
        <f>HYPERLINK("https://www.boe.es/gazeta/dias/1801/02/17/pdfs/GMD-1801-14.pdf#page=9","Abrir facsímil")</f>
        <v>Abrir facsímil</v>
      </c>
      <c r="K6533" s="15" t="s">
        <v>23</v>
      </c>
    </row>
    <row r="6534" spans="1:11" ht="42" customHeight="1">
      <c r="A6534" s="4" t="s">
        <v>14498</v>
      </c>
      <c r="B6534" s="5" t="s">
        <v>14499</v>
      </c>
      <c r="C6534" s="5" t="s">
        <v>18</v>
      </c>
      <c r="D6534" s="5" t="s">
        <v>19</v>
      </c>
      <c r="E6534" s="5" t="s">
        <v>702</v>
      </c>
      <c r="F6534" s="9">
        <v>69</v>
      </c>
      <c r="G6534" s="9">
        <v>764</v>
      </c>
      <c r="H6534" s="5" t="s">
        <v>21</v>
      </c>
      <c r="I6534" s="5" t="s">
        <v>14500</v>
      </c>
      <c r="J6534" s="12" t="str">
        <f>HYPERLINK("https://www.boe.es/gazeta/dias/1801/07/14/pdfs/GMD-1801-69.pdf#page=9","Abrir facsímil")</f>
        <v>Abrir facsímil</v>
      </c>
      <c r="K6534" s="15" t="s">
        <v>23</v>
      </c>
    </row>
    <row r="6535" spans="1:11" ht="42" customHeight="1">
      <c r="A6535" s="4" t="s">
        <v>14501</v>
      </c>
      <c r="B6535" s="5" t="s">
        <v>14502</v>
      </c>
      <c r="C6535" s="5" t="s">
        <v>18</v>
      </c>
      <c r="D6535" s="5" t="s">
        <v>19</v>
      </c>
      <c r="E6535" s="5" t="s">
        <v>215</v>
      </c>
      <c r="F6535" s="9">
        <v>71</v>
      </c>
      <c r="G6535" s="9">
        <v>788</v>
      </c>
      <c r="H6535" s="5" t="s">
        <v>21</v>
      </c>
      <c r="I6535" s="5" t="s">
        <v>14503</v>
      </c>
      <c r="J6535" s="12" t="str">
        <f>HYPERLINK("https://www.boe.es/gazeta/dias/1801/07/21/pdfs/GMD-1801-71.pdf#page=9","Abrir facsímil")</f>
        <v>Abrir facsímil</v>
      </c>
      <c r="K6535" s="15" t="s">
        <v>23</v>
      </c>
    </row>
    <row r="6536" spans="1:11" ht="42" customHeight="1">
      <c r="A6536" s="4" t="s">
        <v>14504</v>
      </c>
      <c r="B6536" s="5" t="s">
        <v>14505</v>
      </c>
      <c r="C6536" s="5" t="s">
        <v>18</v>
      </c>
      <c r="D6536" s="5" t="s">
        <v>19</v>
      </c>
      <c r="E6536" s="5" t="s">
        <v>352</v>
      </c>
      <c r="F6536" s="9">
        <v>43</v>
      </c>
      <c r="G6536" s="9">
        <v>539</v>
      </c>
      <c r="H6536" s="5" t="s">
        <v>21</v>
      </c>
      <c r="I6536" s="5" t="s">
        <v>14506</v>
      </c>
      <c r="J6536" s="12" t="str">
        <f>HYPERLINK("https://www.boe.es/gazeta/dias/1801/05/26/pdfs/GMD-1801-43.pdf#page=11","Abrir facsímil")</f>
        <v>Abrir facsímil</v>
      </c>
      <c r="K6536" s="15" t="s">
        <v>23</v>
      </c>
    </row>
    <row r="6537" spans="1:11" ht="42" customHeight="1">
      <c r="A6537" s="4" t="s">
        <v>14507</v>
      </c>
      <c r="B6537" s="5" t="s">
        <v>14508</v>
      </c>
      <c r="C6537" s="5" t="s">
        <v>515</v>
      </c>
      <c r="D6537" s="5" t="s">
        <v>516</v>
      </c>
      <c r="E6537" s="5" t="s">
        <v>501</v>
      </c>
      <c r="F6537" s="9">
        <v>115</v>
      </c>
      <c r="G6537" s="9" t="s">
        <v>86</v>
      </c>
      <c r="H6537" s="5" t="s">
        <v>21</v>
      </c>
      <c r="I6537" s="5" t="s">
        <v>14509</v>
      </c>
      <c r="J6537" s="12" t="str">
        <f>HYPERLINK("https://www.boe.es/gazeta/dias/1801/12/15/pdfs/GMD-C-1801-115.pdf#page=3","Abrir facsímil")</f>
        <v>Abrir facsímil</v>
      </c>
      <c r="K6537" s="15" t="s">
        <v>23</v>
      </c>
    </row>
    <row r="6538" spans="1:11" ht="42" customHeight="1">
      <c r="A6538" s="4" t="s">
        <v>14510</v>
      </c>
      <c r="B6538" s="5" t="s">
        <v>14511</v>
      </c>
      <c r="C6538" s="5" t="s">
        <v>75</v>
      </c>
      <c r="D6538" s="5" t="s">
        <v>76</v>
      </c>
      <c r="E6538" s="5" t="s">
        <v>289</v>
      </c>
      <c r="F6538" s="9">
        <v>40</v>
      </c>
      <c r="G6538" s="9">
        <v>512</v>
      </c>
      <c r="H6538" s="5" t="s">
        <v>21</v>
      </c>
      <c r="I6538" s="5" t="s">
        <v>14512</v>
      </c>
      <c r="J6538" s="12" t="str">
        <f>HYPERLINK("https://www.boe.es/gazeta/dias/1801/05/19/pdfs/GMD-1801-40.pdf#page=4","Abrir facsímil")</f>
        <v>Abrir facsímil</v>
      </c>
      <c r="K6538" s="15" t="s">
        <v>23</v>
      </c>
    </row>
    <row r="6539" spans="1:11" ht="42" customHeight="1">
      <c r="A6539" s="4" t="s">
        <v>14513</v>
      </c>
      <c r="B6539" s="5" t="s">
        <v>14513</v>
      </c>
      <c r="C6539" s="5" t="s">
        <v>32</v>
      </c>
      <c r="D6539" s="5" t="s">
        <v>33</v>
      </c>
      <c r="E6539" s="5" t="s">
        <v>448</v>
      </c>
      <c r="F6539" s="9">
        <v>35</v>
      </c>
      <c r="G6539" s="9">
        <v>454</v>
      </c>
      <c r="H6539" s="5" t="s">
        <v>21</v>
      </c>
      <c r="I6539" s="5" t="s">
        <v>14514</v>
      </c>
      <c r="J6539" s="12" t="str">
        <f>HYPERLINK("https://www.boe.es/gazeta/dias/1801/05/01/pdfs/GMD-1801-35.pdf#page=10","Abrir facsímil")</f>
        <v>Abrir facsímil</v>
      </c>
      <c r="K6539" s="15" t="s">
        <v>23</v>
      </c>
    </row>
    <row r="6540" spans="1:11" ht="42" customHeight="1">
      <c r="A6540" s="4" t="s">
        <v>14515</v>
      </c>
      <c r="B6540" s="5" t="s">
        <v>14516</v>
      </c>
      <c r="C6540" s="5" t="s">
        <v>32</v>
      </c>
      <c r="D6540" s="5" t="s">
        <v>33</v>
      </c>
      <c r="E6540" s="5" t="s">
        <v>751</v>
      </c>
      <c r="F6540" s="9">
        <v>106</v>
      </c>
      <c r="G6540" s="9">
        <v>1165</v>
      </c>
      <c r="H6540" s="5" t="s">
        <v>21</v>
      </c>
      <c r="I6540" s="5" t="s">
        <v>14517</v>
      </c>
      <c r="J6540" s="12" t="str">
        <f>HYPERLINK("https://www.boe.es/gazeta/dias/1801/11/13/pdfs/GMD-1801-106.pdf#page=6","Abrir facsímil")</f>
        <v>Abrir facsímil</v>
      </c>
      <c r="K6540" s="15" t="s">
        <v>23</v>
      </c>
    </row>
    <row r="6541" spans="1:11" ht="42" customHeight="1">
      <c r="A6541" s="4" t="s">
        <v>14518</v>
      </c>
      <c r="B6541" s="5" t="s">
        <v>14518</v>
      </c>
      <c r="C6541" s="5" t="s">
        <v>32</v>
      </c>
      <c r="D6541" s="5" t="s">
        <v>33</v>
      </c>
      <c r="E6541" s="5" t="s">
        <v>108</v>
      </c>
      <c r="F6541" s="9">
        <v>61</v>
      </c>
      <c r="G6541" s="9">
        <v>697</v>
      </c>
      <c r="H6541" s="5" t="s">
        <v>21</v>
      </c>
      <c r="I6541" s="5" t="s">
        <v>14519</v>
      </c>
      <c r="J6541" s="12" t="str">
        <f>HYPERLINK("https://www.boe.es/gazeta/dias/1801/06/30/pdfs/GMD-1801-61.pdf#page=6","Abrir facsímil")</f>
        <v>Abrir facsímil</v>
      </c>
      <c r="K6541" s="15" t="s">
        <v>23</v>
      </c>
    </row>
    <row r="6542" spans="1:11" ht="42" customHeight="1">
      <c r="A6542" s="4" t="s">
        <v>14520</v>
      </c>
      <c r="B6542" s="5" t="s">
        <v>14520</v>
      </c>
      <c r="C6542" s="5" t="s">
        <v>18</v>
      </c>
      <c r="D6542" s="5" t="s">
        <v>19</v>
      </c>
      <c r="E6542" s="5" t="s">
        <v>462</v>
      </c>
      <c r="F6542" s="9">
        <v>5</v>
      </c>
      <c r="G6542" s="9">
        <v>61</v>
      </c>
      <c r="H6542" s="5" t="s">
        <v>21</v>
      </c>
      <c r="I6542" s="5" t="s">
        <v>14521</v>
      </c>
      <c r="J6542" s="12" t="str">
        <f>HYPERLINK("https://www.boe.es/gazeta/dias/1801/01/16/pdfs/GMD-C-1801-5.pdf#page=1","Abrir facsímil")</f>
        <v>Abrir facsímil</v>
      </c>
      <c r="K6542" s="15" t="s">
        <v>23</v>
      </c>
    </row>
    <row r="6543" spans="1:11" ht="42" customHeight="1">
      <c r="A6543" s="4" t="s">
        <v>14522</v>
      </c>
      <c r="B6543" s="5" t="s">
        <v>14522</v>
      </c>
      <c r="C6543" s="5" t="s">
        <v>80</v>
      </c>
      <c r="D6543" s="5" t="s">
        <v>81</v>
      </c>
      <c r="E6543" s="5" t="s">
        <v>289</v>
      </c>
      <c r="F6543" s="9">
        <v>40</v>
      </c>
      <c r="G6543" s="9" t="s">
        <v>305</v>
      </c>
      <c r="H6543" s="5" t="s">
        <v>21</v>
      </c>
      <c r="I6543" s="5" t="s">
        <v>14523</v>
      </c>
      <c r="J6543" s="12" t="str">
        <f>HYPERLINK("https://www.boe.es/gazeta/dias/1801/05/19/pdfs/GMD-C-1801-40.pdf#page=4","Abrir facsímil")</f>
        <v>Abrir facsímil</v>
      </c>
      <c r="K6543" s="15" t="s">
        <v>23</v>
      </c>
    </row>
    <row r="6544" spans="1:11" ht="42" customHeight="1">
      <c r="A6544" s="4" t="s">
        <v>14524</v>
      </c>
      <c r="B6544" s="5" t="s">
        <v>14525</v>
      </c>
      <c r="C6544" s="5" t="s">
        <v>32</v>
      </c>
      <c r="D6544" s="5" t="s">
        <v>33</v>
      </c>
      <c r="E6544" s="5" t="s">
        <v>179</v>
      </c>
      <c r="F6544" s="9">
        <v>11</v>
      </c>
      <c r="G6544" s="9">
        <v>137</v>
      </c>
      <c r="H6544" s="5" t="s">
        <v>21</v>
      </c>
      <c r="I6544" s="5" t="s">
        <v>14526</v>
      </c>
      <c r="J6544" s="12" t="str">
        <f>HYPERLINK("https://www.boe.es/gazeta/dias/1801/02/06/pdfs/GMD-1801-11.pdf#page=10","Abrir facsímil")</f>
        <v>Abrir facsímil</v>
      </c>
      <c r="K6544" s="15" t="s">
        <v>23</v>
      </c>
    </row>
    <row r="6545" spans="1:11" ht="42" customHeight="1">
      <c r="A6545" s="4" t="s">
        <v>14527</v>
      </c>
      <c r="B6545" s="5" t="s">
        <v>14527</v>
      </c>
      <c r="C6545" s="5" t="s">
        <v>26</v>
      </c>
      <c r="D6545" s="5" t="s">
        <v>27</v>
      </c>
      <c r="E6545" s="5" t="s">
        <v>501</v>
      </c>
      <c r="F6545" s="9">
        <v>115</v>
      </c>
      <c r="G6545" s="9" t="s">
        <v>83</v>
      </c>
      <c r="H6545" s="5" t="s">
        <v>21</v>
      </c>
      <c r="I6545" s="5" t="s">
        <v>14528</v>
      </c>
      <c r="J6545" s="12" t="str">
        <f>HYPERLINK("https://www.boe.es/gazeta/dias/1801/12/15/pdfs/GMD-C-1801-115.pdf#page=2","Abrir facsímil")</f>
        <v>Abrir facsímil</v>
      </c>
      <c r="K6545" s="15" t="s">
        <v>23</v>
      </c>
    </row>
    <row r="6546" spans="1:11" ht="42" customHeight="1">
      <c r="A6546" s="4" t="s">
        <v>14529</v>
      </c>
      <c r="B6546" s="5" t="s">
        <v>14530</v>
      </c>
      <c r="C6546" s="5" t="s">
        <v>32</v>
      </c>
      <c r="D6546" s="5" t="s">
        <v>33</v>
      </c>
      <c r="E6546" s="5" t="s">
        <v>141</v>
      </c>
      <c r="F6546" s="9">
        <v>33</v>
      </c>
      <c r="G6546" s="9">
        <v>425</v>
      </c>
      <c r="H6546" s="5" t="s">
        <v>21</v>
      </c>
      <c r="I6546" s="5" t="s">
        <v>14531</v>
      </c>
      <c r="J6546" s="12" t="str">
        <f>HYPERLINK("https://www.boe.es/gazeta/dias/1801/04/24/pdfs/GMD-1801-33.pdf#page=9","Abrir facsímil")</f>
        <v>Abrir facsímil</v>
      </c>
      <c r="K6546" s="15" t="s">
        <v>23</v>
      </c>
    </row>
    <row r="6547" spans="1:11" ht="42" customHeight="1">
      <c r="A6547" s="4" t="s">
        <v>14532</v>
      </c>
      <c r="B6547" s="5" t="s">
        <v>14533</v>
      </c>
      <c r="C6547" s="5" t="s">
        <v>38</v>
      </c>
      <c r="D6547" s="5" t="s">
        <v>39</v>
      </c>
      <c r="E6547" s="5" t="s">
        <v>128</v>
      </c>
      <c r="F6547" s="9">
        <v>17</v>
      </c>
      <c r="G6547" s="9">
        <v>215</v>
      </c>
      <c r="H6547" s="5" t="s">
        <v>21</v>
      </c>
      <c r="I6547" s="5" t="s">
        <v>14534</v>
      </c>
      <c r="J6547" s="12" t="str">
        <f>HYPERLINK("https://www.boe.es/gazeta/dias/1801/02/27/pdfs/GMD-1801-17.pdf#page=10","Abrir facsímil")</f>
        <v>Abrir facsímil</v>
      </c>
      <c r="K6547" s="15" t="s">
        <v>23</v>
      </c>
    </row>
    <row r="6548" spans="1:11" ht="42" customHeight="1">
      <c r="A6548" s="4" t="s">
        <v>14535</v>
      </c>
      <c r="B6548" s="5" t="s">
        <v>14536</v>
      </c>
      <c r="C6548" s="5" t="s">
        <v>32</v>
      </c>
      <c r="D6548" s="5" t="s">
        <v>33</v>
      </c>
      <c r="E6548" s="5" t="s">
        <v>155</v>
      </c>
      <c r="F6548" s="9">
        <v>50</v>
      </c>
      <c r="G6548" s="9">
        <v>592</v>
      </c>
      <c r="H6548" s="5" t="s">
        <v>21</v>
      </c>
      <c r="I6548" s="5" t="s">
        <v>14537</v>
      </c>
      <c r="J6548" s="12" t="str">
        <f>HYPERLINK("https://www.boe.es/gazeta/dias/1801/06/09/pdfs/GMD-1801-50.pdf#page=4","Abrir facsímil")</f>
        <v>Abrir facsímil</v>
      </c>
      <c r="K6548" s="15" t="s">
        <v>23</v>
      </c>
    </row>
    <row r="6549" spans="1:11" ht="42" customHeight="1">
      <c r="A6549" s="4" t="s">
        <v>14538</v>
      </c>
      <c r="B6549" s="5" t="s">
        <v>14538</v>
      </c>
      <c r="C6549" s="5" t="s">
        <v>38</v>
      </c>
      <c r="D6549" s="5" t="s">
        <v>39</v>
      </c>
      <c r="E6549" s="5" t="s">
        <v>723</v>
      </c>
      <c r="F6549" s="9">
        <v>113</v>
      </c>
      <c r="G6549" s="9">
        <v>1231</v>
      </c>
      <c r="H6549" s="5" t="s">
        <v>21</v>
      </c>
      <c r="I6549" s="5" t="s">
        <v>14539</v>
      </c>
      <c r="J6549" s="12" t="str">
        <f>HYPERLINK("https://www.boe.es/gazeta/dias/1801/12/08/pdfs/GMD-1801-113.pdf#page=4","Abrir facsímil")</f>
        <v>Abrir facsímil</v>
      </c>
      <c r="K6549" s="15" t="s">
        <v>23</v>
      </c>
    </row>
    <row r="6550" spans="1:11" ht="42" customHeight="1">
      <c r="A6550" s="4" t="s">
        <v>14540</v>
      </c>
      <c r="B6550" s="5" t="s">
        <v>14541</v>
      </c>
      <c r="C6550" s="5" t="s">
        <v>32</v>
      </c>
      <c r="D6550" s="5" t="s">
        <v>33</v>
      </c>
      <c r="E6550" s="5" t="s">
        <v>2237</v>
      </c>
      <c r="F6550" s="9">
        <v>82</v>
      </c>
      <c r="G6550" s="9">
        <v>914</v>
      </c>
      <c r="H6550" s="5" t="s">
        <v>21</v>
      </c>
      <c r="I6550" s="5" t="s">
        <v>14542</v>
      </c>
      <c r="J6550" s="12" t="str">
        <f>HYPERLINK("https://www.boe.es/gazeta/dias/1801/08/28/pdfs/GMD-1801-82.pdf#page=3","Abrir facsímil")</f>
        <v>Abrir facsímil</v>
      </c>
      <c r="K6550" s="15" t="s">
        <v>23</v>
      </c>
    </row>
    <row r="6551" spans="1:11" ht="42" customHeight="1">
      <c r="A6551" s="4" t="s">
        <v>14540</v>
      </c>
      <c r="B6551" s="5" t="s">
        <v>14541</v>
      </c>
      <c r="C6551" s="5" t="s">
        <v>75</v>
      </c>
      <c r="D6551" s="5" t="s">
        <v>76</v>
      </c>
      <c r="E6551" s="5" t="s">
        <v>349</v>
      </c>
      <c r="F6551" s="9">
        <v>112</v>
      </c>
      <c r="G6551" s="9">
        <v>1222</v>
      </c>
      <c r="H6551" s="5" t="s">
        <v>21</v>
      </c>
      <c r="I6551" s="5" t="s">
        <v>14543</v>
      </c>
      <c r="J6551" s="12" t="str">
        <f>HYPERLINK("https://www.boe.es/gazeta/dias/1801/12/04/pdfs/GMD-1801-112.pdf#page=3","Abrir facsímil")</f>
        <v>Abrir facsímil</v>
      </c>
      <c r="K6551" s="15" t="s">
        <v>23</v>
      </c>
    </row>
    <row r="6552" spans="1:11" ht="42" customHeight="1">
      <c r="A6552" s="4" t="s">
        <v>14540</v>
      </c>
      <c r="B6552" s="5" t="s">
        <v>14541</v>
      </c>
      <c r="C6552" s="5" t="s">
        <v>75</v>
      </c>
      <c r="D6552" s="5" t="s">
        <v>76</v>
      </c>
      <c r="E6552" s="5" t="s">
        <v>349</v>
      </c>
      <c r="F6552" s="9">
        <v>112</v>
      </c>
      <c r="G6552" s="9">
        <v>1223</v>
      </c>
      <c r="H6552" s="5" t="s">
        <v>21</v>
      </c>
      <c r="I6552" s="5" t="s">
        <v>14544</v>
      </c>
      <c r="J6552" s="12" t="str">
        <f>HYPERLINK("https://www.boe.es/gazeta/dias/1801/12/04/pdfs/GMD-1801-112.pdf#page=4","Abrir facsímil")</f>
        <v>Abrir facsímil</v>
      </c>
      <c r="K6552" s="15" t="s">
        <v>23</v>
      </c>
    </row>
    <row r="6553" spans="1:11" ht="42" customHeight="1">
      <c r="A6553" s="4" t="s">
        <v>14540</v>
      </c>
      <c r="B6553" s="5" t="s">
        <v>14541</v>
      </c>
      <c r="C6553" s="5" t="s">
        <v>38</v>
      </c>
      <c r="D6553" s="5" t="s">
        <v>39</v>
      </c>
      <c r="E6553" s="5" t="s">
        <v>723</v>
      </c>
      <c r="F6553" s="9">
        <v>113</v>
      </c>
      <c r="G6553" s="9">
        <v>1231</v>
      </c>
      <c r="H6553" s="5" t="s">
        <v>21</v>
      </c>
      <c r="I6553" s="5" t="s">
        <v>14545</v>
      </c>
      <c r="J6553" s="12" t="str">
        <f>HYPERLINK("https://www.boe.es/gazeta/dias/1801/12/08/pdfs/GMD-1801-113.pdf#page=4","Abrir facsímil")</f>
        <v>Abrir facsímil</v>
      </c>
      <c r="K6553" s="15" t="s">
        <v>23</v>
      </c>
    </row>
    <row r="6554" spans="1:11" ht="42" customHeight="1">
      <c r="A6554" s="4" t="s">
        <v>14540</v>
      </c>
      <c r="B6554" s="5" t="s">
        <v>14541</v>
      </c>
      <c r="C6554" s="5" t="s">
        <v>32</v>
      </c>
      <c r="D6554" s="5" t="s">
        <v>33</v>
      </c>
      <c r="E6554" s="5" t="s">
        <v>112</v>
      </c>
      <c r="F6554" s="9">
        <v>114</v>
      </c>
      <c r="G6554" s="9">
        <v>1242</v>
      </c>
      <c r="H6554" s="5" t="s">
        <v>21</v>
      </c>
      <c r="I6554" s="5" t="s">
        <v>14546</v>
      </c>
      <c r="J6554" s="12" t="str">
        <f>HYPERLINK("https://www.boe.es/gazeta/dias/1801/12/11/pdfs/GMD-1801-114.pdf#page=4","Abrir facsímil")</f>
        <v>Abrir facsímil</v>
      </c>
      <c r="K6554" s="15" t="s">
        <v>23</v>
      </c>
    </row>
    <row r="6555" spans="1:11" ht="42" customHeight="1">
      <c r="A6555" s="4" t="s">
        <v>14547</v>
      </c>
      <c r="B6555" s="5" t="s">
        <v>14547</v>
      </c>
      <c r="C6555" s="5" t="s">
        <v>75</v>
      </c>
      <c r="D6555" s="5" t="s">
        <v>76</v>
      </c>
      <c r="E6555" s="5" t="s">
        <v>1085</v>
      </c>
      <c r="F6555" s="9">
        <v>99</v>
      </c>
      <c r="G6555" s="9">
        <v>1086</v>
      </c>
      <c r="H6555" s="5" t="s">
        <v>21</v>
      </c>
      <c r="I6555" s="5" t="s">
        <v>14548</v>
      </c>
      <c r="J6555" s="12" t="str">
        <f>HYPERLINK("https://www.boe.es/gazeta/dias/1801/10/20/pdfs/GMD-1801-99.pdf#page=3","Abrir facsímil")</f>
        <v>Abrir facsímil</v>
      </c>
      <c r="K6555" s="15" t="s">
        <v>23</v>
      </c>
    </row>
    <row r="6556" spans="1:11" ht="42" customHeight="1">
      <c r="A6556" s="4" t="s">
        <v>14549</v>
      </c>
      <c r="B6556" s="5" t="s">
        <v>14550</v>
      </c>
      <c r="C6556" s="5" t="s">
        <v>26</v>
      </c>
      <c r="D6556" s="5" t="s">
        <v>27</v>
      </c>
      <c r="E6556" s="5" t="s">
        <v>501</v>
      </c>
      <c r="F6556" s="9">
        <v>115</v>
      </c>
      <c r="G6556" s="9" t="s">
        <v>502</v>
      </c>
      <c r="H6556" s="5" t="s">
        <v>21</v>
      </c>
      <c r="I6556" s="5" t="s">
        <v>14551</v>
      </c>
      <c r="J6556" s="12" t="str">
        <f>HYPERLINK("https://www.boe.es/gazeta/dias/1801/12/15/pdfs/GMD-C-1801-115.pdf#page=8","Abrir facsímil")</f>
        <v>Abrir facsímil</v>
      </c>
      <c r="K6556" s="15" t="s">
        <v>23</v>
      </c>
    </row>
    <row r="6557" spans="1:11" ht="42" customHeight="1">
      <c r="A6557" s="4" t="s">
        <v>14552</v>
      </c>
      <c r="B6557" s="5" t="s">
        <v>14553</v>
      </c>
      <c r="C6557" s="5" t="s">
        <v>80</v>
      </c>
      <c r="D6557" s="5" t="s">
        <v>81</v>
      </c>
      <c r="E6557" s="5" t="s">
        <v>289</v>
      </c>
      <c r="F6557" s="9">
        <v>40</v>
      </c>
      <c r="G6557" s="9" t="s">
        <v>305</v>
      </c>
      <c r="H6557" s="5" t="s">
        <v>21</v>
      </c>
      <c r="I6557" s="5" t="s">
        <v>14554</v>
      </c>
      <c r="J6557" s="12" t="str">
        <f>HYPERLINK("https://www.boe.es/gazeta/dias/1801/05/19/pdfs/GMD-C-1801-40.pdf#page=4","Abrir facsímil")</f>
        <v>Abrir facsímil</v>
      </c>
      <c r="K6557" s="15" t="s">
        <v>23</v>
      </c>
    </row>
    <row r="6558" spans="1:11" ht="42" customHeight="1">
      <c r="A6558" s="4" t="s">
        <v>14555</v>
      </c>
      <c r="B6558" s="5" t="s">
        <v>14555</v>
      </c>
      <c r="C6558" s="5" t="s">
        <v>75</v>
      </c>
      <c r="D6558" s="5" t="s">
        <v>76</v>
      </c>
      <c r="E6558" s="5" t="s">
        <v>153</v>
      </c>
      <c r="F6558" s="9">
        <v>48</v>
      </c>
      <c r="G6558" s="9">
        <v>580</v>
      </c>
      <c r="H6558" s="5" t="s">
        <v>21</v>
      </c>
      <c r="I6558" s="5" t="s">
        <v>14556</v>
      </c>
      <c r="J6558" s="12" t="str">
        <f>HYPERLINK("https://www.boe.es/gazeta/dias/1801/06/05/pdfs/GMD-1801-48.pdf#page=2","Abrir facsímil")</f>
        <v>Abrir facsímil</v>
      </c>
      <c r="K6558" s="15" t="s">
        <v>23</v>
      </c>
    </row>
    <row r="6559" spans="1:11" ht="42" customHeight="1">
      <c r="A6559" s="4" t="s">
        <v>14557</v>
      </c>
      <c r="B6559" s="5" t="s">
        <v>14558</v>
      </c>
      <c r="C6559" s="5" t="s">
        <v>18</v>
      </c>
      <c r="D6559" s="5" t="s">
        <v>19</v>
      </c>
      <c r="E6559" s="5" t="s">
        <v>201</v>
      </c>
      <c r="F6559" s="9">
        <v>79</v>
      </c>
      <c r="G6559" s="9">
        <v>889</v>
      </c>
      <c r="H6559" s="5" t="s">
        <v>21</v>
      </c>
      <c r="I6559" s="5" t="s">
        <v>14559</v>
      </c>
      <c r="J6559" s="12" t="str">
        <f>HYPERLINK("https://www.boe.es/gazeta/dias/1801/08/18/pdfs/GMD-1801-79.pdf#page=6","Abrir facsímil")</f>
        <v>Abrir facsímil</v>
      </c>
      <c r="K6559" s="15" t="s">
        <v>23</v>
      </c>
    </row>
    <row r="6560" spans="1:11" ht="42" customHeight="1">
      <c r="A6560" s="4" t="s">
        <v>14560</v>
      </c>
      <c r="B6560" s="5" t="s">
        <v>14561</v>
      </c>
      <c r="C6560" s="5" t="s">
        <v>32</v>
      </c>
      <c r="D6560" s="5" t="s">
        <v>33</v>
      </c>
      <c r="E6560" s="5" t="s">
        <v>137</v>
      </c>
      <c r="F6560" s="9">
        <v>30</v>
      </c>
      <c r="G6560" s="9">
        <v>394</v>
      </c>
      <c r="H6560" s="5" t="s">
        <v>21</v>
      </c>
      <c r="I6560" s="5" t="s">
        <v>14562</v>
      </c>
      <c r="J6560" s="12" t="str">
        <f>HYPERLINK("https://www.boe.es/gazeta/dias/1801/04/14/pdfs/GMD-1801-30.pdf#page=10","Abrir facsímil")</f>
        <v>Abrir facsímil</v>
      </c>
      <c r="K6560" s="15" t="s">
        <v>23</v>
      </c>
    </row>
    <row r="6561" spans="1:11" ht="42" customHeight="1">
      <c r="A6561" s="4" t="s">
        <v>14563</v>
      </c>
      <c r="B6561" s="5" t="s">
        <v>14564</v>
      </c>
      <c r="C6561" s="5" t="s">
        <v>32</v>
      </c>
      <c r="D6561" s="5" t="s">
        <v>33</v>
      </c>
      <c r="E6561" s="5" t="s">
        <v>70</v>
      </c>
      <c r="F6561" s="9">
        <v>2</v>
      </c>
      <c r="G6561" s="9">
        <v>21</v>
      </c>
      <c r="H6561" s="5" t="s">
        <v>21</v>
      </c>
      <c r="I6561" s="5" t="s">
        <v>14565</v>
      </c>
      <c r="J6561" s="12" t="str">
        <f>HYPERLINK("https://www.boe.es/gazeta/dias/1801/01/06/pdfs/GMD-1801-2.pdf#page=9","Abrir facsímil")</f>
        <v>Abrir facsímil</v>
      </c>
      <c r="K6561" s="15" t="s">
        <v>23</v>
      </c>
    </row>
    <row r="6562" spans="1:11" ht="42" customHeight="1">
      <c r="A6562" s="4" t="s">
        <v>14566</v>
      </c>
      <c r="B6562" s="5" t="s">
        <v>14567</v>
      </c>
      <c r="C6562" s="5" t="s">
        <v>32</v>
      </c>
      <c r="D6562" s="5" t="s">
        <v>33</v>
      </c>
      <c r="E6562" s="5" t="s">
        <v>182</v>
      </c>
      <c r="F6562" s="9">
        <v>18</v>
      </c>
      <c r="G6562" s="9">
        <v>232</v>
      </c>
      <c r="H6562" s="5" t="s">
        <v>21</v>
      </c>
      <c r="I6562" s="5" t="s">
        <v>14568</v>
      </c>
      <c r="J6562" s="12" t="str">
        <f>HYPERLINK("https://www.boe.es/gazeta/dias/1801/03/03/pdfs/GMD-C-1801-18.pdf#page=1","Abrir facsímil")</f>
        <v>Abrir facsímil</v>
      </c>
      <c r="K6562" s="15" t="s">
        <v>23</v>
      </c>
    </row>
    <row r="6563" spans="1:11" ht="42" customHeight="1">
      <c r="A6563" s="4" t="s">
        <v>14569</v>
      </c>
      <c r="B6563" s="5" t="s">
        <v>14570</v>
      </c>
      <c r="C6563" s="5" t="s">
        <v>32</v>
      </c>
      <c r="D6563" s="5" t="s">
        <v>33</v>
      </c>
      <c r="E6563" s="5" t="s">
        <v>122</v>
      </c>
      <c r="F6563" s="9">
        <v>8</v>
      </c>
      <c r="G6563" s="9">
        <v>98</v>
      </c>
      <c r="H6563" s="5" t="s">
        <v>21</v>
      </c>
      <c r="I6563" s="5" t="s">
        <v>14571</v>
      </c>
      <c r="J6563" s="12" t="str">
        <f>HYPERLINK("https://www.boe.es/gazeta/dias/1801/01/27/pdfs/GMD-1801-8.pdf#page=10","Abrir facsímil")</f>
        <v>Abrir facsímil</v>
      </c>
      <c r="K6563" s="15" t="s">
        <v>23</v>
      </c>
    </row>
    <row r="6564" spans="1:11" ht="42" customHeight="1">
      <c r="A6564" s="4" t="s">
        <v>14572</v>
      </c>
      <c r="B6564" s="5" t="s">
        <v>14573</v>
      </c>
      <c r="C6564" s="5" t="s">
        <v>80</v>
      </c>
      <c r="D6564" s="5" t="s">
        <v>81</v>
      </c>
      <c r="E6564" s="5" t="s">
        <v>82</v>
      </c>
      <c r="F6564" s="9">
        <v>75</v>
      </c>
      <c r="G6564" s="9" t="s">
        <v>305</v>
      </c>
      <c r="H6564" s="5" t="s">
        <v>21</v>
      </c>
      <c r="I6564" s="5" t="s">
        <v>14574</v>
      </c>
      <c r="J6564" s="12" t="str">
        <f>HYPERLINK("https://www.boe.es/gazeta/dias/1801/08/04/pdfs/GMD-C-1801-75.pdf#page=4","Abrir facsímil")</f>
        <v>Abrir facsímil</v>
      </c>
      <c r="K6564" s="15" t="s">
        <v>23</v>
      </c>
    </row>
    <row r="6565" spans="1:11" ht="42" customHeight="1">
      <c r="A6565" s="4" t="s">
        <v>14575</v>
      </c>
      <c r="B6565" s="5" t="s">
        <v>14576</v>
      </c>
      <c r="C6565" s="5" t="s">
        <v>18</v>
      </c>
      <c r="D6565" s="5" t="s">
        <v>19</v>
      </c>
      <c r="E6565" s="5" t="s">
        <v>338</v>
      </c>
      <c r="F6565" s="9">
        <v>83</v>
      </c>
      <c r="G6565" s="9">
        <v>936</v>
      </c>
      <c r="H6565" s="5" t="s">
        <v>21</v>
      </c>
      <c r="I6565" s="5" t="s">
        <v>14577</v>
      </c>
      <c r="J6565" s="12" t="str">
        <f>HYPERLINK("https://www.boe.es/gazeta/dias/1801/09/01/pdfs/GMD-1801-83.pdf#page=11","Abrir facsímil")</f>
        <v>Abrir facsímil</v>
      </c>
      <c r="K6565" s="15" t="s">
        <v>23</v>
      </c>
    </row>
    <row r="6566" spans="1:11" ht="42" customHeight="1">
      <c r="A6566" s="4" t="s">
        <v>14578</v>
      </c>
      <c r="B6566" s="5" t="s">
        <v>14579</v>
      </c>
      <c r="C6566" s="5" t="s">
        <v>26</v>
      </c>
      <c r="D6566" s="5" t="s">
        <v>27</v>
      </c>
      <c r="E6566" s="5" t="s">
        <v>501</v>
      </c>
      <c r="F6566" s="9">
        <v>115</v>
      </c>
      <c r="G6566" s="9">
        <v>1258</v>
      </c>
      <c r="H6566" s="5" t="s">
        <v>21</v>
      </c>
      <c r="I6566" s="5" t="s">
        <v>14580</v>
      </c>
      <c r="J6566" s="12" t="str">
        <f>HYPERLINK("https://www.boe.es/gazeta/dias/1801/12/15/pdfs/GMD-1801-115.pdf#page=8","Abrir facsímil")</f>
        <v>Abrir facsímil</v>
      </c>
      <c r="K6566" s="15" t="s">
        <v>23</v>
      </c>
    </row>
    <row r="6567" spans="1:11" ht="42" customHeight="1">
      <c r="A6567" s="4" t="s">
        <v>14581</v>
      </c>
      <c r="B6567" s="5" t="s">
        <v>14582</v>
      </c>
      <c r="C6567" s="5" t="s">
        <v>26</v>
      </c>
      <c r="D6567" s="5" t="s">
        <v>27</v>
      </c>
      <c r="E6567" s="5" t="s">
        <v>94</v>
      </c>
      <c r="F6567" s="9">
        <v>19</v>
      </c>
      <c r="G6567" s="9">
        <v>255</v>
      </c>
      <c r="H6567" s="5" t="s">
        <v>21</v>
      </c>
      <c r="I6567" s="5" t="s">
        <v>14583</v>
      </c>
      <c r="J6567" s="12" t="str">
        <f>HYPERLINK("https://www.boe.es/gazeta/dias/1801/03/06/pdfs/GMD-C-1801-19.pdf#page=8","Abrir facsímil")</f>
        <v>Abrir facsímil</v>
      </c>
      <c r="K6567" s="15" t="s">
        <v>23</v>
      </c>
    </row>
    <row r="6568" spans="1:11" ht="42" customHeight="1">
      <c r="A6568" s="4" t="s">
        <v>14584</v>
      </c>
      <c r="B6568" s="5" t="s">
        <v>14585</v>
      </c>
      <c r="C6568" s="5" t="s">
        <v>69</v>
      </c>
      <c r="D6568" s="5" t="s">
        <v>19</v>
      </c>
      <c r="E6568" s="5" t="s">
        <v>328</v>
      </c>
      <c r="F6568" s="9">
        <v>89</v>
      </c>
      <c r="G6568" s="9">
        <v>983</v>
      </c>
      <c r="H6568" s="5" t="s">
        <v>21</v>
      </c>
      <c r="I6568" s="5" t="s">
        <v>14586</v>
      </c>
      <c r="J6568" s="12" t="str">
        <f>HYPERLINK("https://www.boe.es/gazeta/dias/1801/09/15/pdfs/GMD-1801-89.pdf#page=10","Abrir facsímil")</f>
        <v>Abrir facsímil</v>
      </c>
      <c r="K6568" s="15" t="s">
        <v>23</v>
      </c>
    </row>
    <row r="6569" spans="1:11" ht="42" customHeight="1">
      <c r="A6569" s="4" t="s">
        <v>14587</v>
      </c>
      <c r="B6569" s="5" t="s">
        <v>14588</v>
      </c>
      <c r="C6569" s="5" t="s">
        <v>69</v>
      </c>
      <c r="D6569" s="5" t="s">
        <v>19</v>
      </c>
      <c r="E6569" s="5" t="s">
        <v>155</v>
      </c>
      <c r="F6569" s="9">
        <v>50</v>
      </c>
      <c r="G6569" s="9">
        <v>597</v>
      </c>
      <c r="H6569" s="5" t="s">
        <v>21</v>
      </c>
      <c r="I6569" s="5" t="s">
        <v>14589</v>
      </c>
      <c r="J6569" s="12" t="str">
        <f>HYPERLINK("https://www.boe.es/gazeta/dias/1801/06/09/pdfs/GMD-1801-50.pdf#page=9","Abrir facsímil")</f>
        <v>Abrir facsímil</v>
      </c>
      <c r="K6569" s="15" t="s">
        <v>23</v>
      </c>
    </row>
    <row r="6570" spans="1:11" ht="42" customHeight="1">
      <c r="A6570" s="4" t="s">
        <v>14590</v>
      </c>
      <c r="B6570" s="5" t="s">
        <v>14591</v>
      </c>
      <c r="C6570" s="5" t="s">
        <v>69</v>
      </c>
      <c r="D6570" s="5" t="s">
        <v>19</v>
      </c>
      <c r="E6570" s="5" t="s">
        <v>62</v>
      </c>
      <c r="F6570" s="9">
        <v>6</v>
      </c>
      <c r="G6570" s="9">
        <v>72</v>
      </c>
      <c r="H6570" s="5" t="s">
        <v>21</v>
      </c>
      <c r="I6570" s="5" t="s">
        <v>14592</v>
      </c>
      <c r="J6570" s="12" t="str">
        <f>HYPERLINK("https://www.boe.es/gazeta/dias/1801/01/20/pdfs/GMD-1801-6.pdf#page=8","Abrir facsímil")</f>
        <v>Abrir facsímil</v>
      </c>
      <c r="K6570" s="15" t="s">
        <v>23</v>
      </c>
    </row>
    <row r="6571" spans="1:11" ht="42" customHeight="1">
      <c r="A6571" s="4" t="s">
        <v>14593</v>
      </c>
      <c r="B6571" s="5" t="s">
        <v>14594</v>
      </c>
      <c r="C6571" s="5" t="s">
        <v>32</v>
      </c>
      <c r="D6571" s="5" t="s">
        <v>33</v>
      </c>
      <c r="E6571" s="5" t="s">
        <v>169</v>
      </c>
      <c r="F6571" s="9">
        <v>70</v>
      </c>
      <c r="G6571" s="9">
        <v>775</v>
      </c>
      <c r="H6571" s="5" t="s">
        <v>21</v>
      </c>
      <c r="I6571" s="5" t="s">
        <v>14595</v>
      </c>
      <c r="J6571" s="12" t="str">
        <f>HYPERLINK("https://www.boe.es/gazeta/dias/1801/07/17/pdfs/GMD-1801-70.pdf#page=8","Abrir facsímil")</f>
        <v>Abrir facsímil</v>
      </c>
      <c r="K6571" s="15" t="s">
        <v>23</v>
      </c>
    </row>
    <row r="6572" spans="1:11" ht="42" customHeight="1">
      <c r="A6572" s="4" t="s">
        <v>14593</v>
      </c>
      <c r="B6572" s="5" t="s">
        <v>14594</v>
      </c>
      <c r="C6572" s="5" t="s">
        <v>32</v>
      </c>
      <c r="D6572" s="5" t="s">
        <v>33</v>
      </c>
      <c r="E6572" s="5" t="s">
        <v>1436</v>
      </c>
      <c r="F6572" s="9">
        <v>95</v>
      </c>
      <c r="G6572" s="9">
        <v>1043</v>
      </c>
      <c r="H6572" s="5" t="s">
        <v>21</v>
      </c>
      <c r="I6572" s="5" t="s">
        <v>14596</v>
      </c>
      <c r="J6572" s="12" t="str">
        <f>HYPERLINK("https://www.boe.es/gazeta/dias/1801/10/06/pdfs/GMD-1801-95.pdf#page=7","Abrir facsímil")</f>
        <v>Abrir facsímil</v>
      </c>
      <c r="K6572" s="15" t="s">
        <v>23</v>
      </c>
    </row>
    <row r="6573" spans="1:11" ht="42" customHeight="1">
      <c r="A6573" s="4" t="s">
        <v>14597</v>
      </c>
      <c r="B6573" s="5" t="s">
        <v>14598</v>
      </c>
      <c r="C6573" s="5" t="s">
        <v>80</v>
      </c>
      <c r="D6573" s="5" t="s">
        <v>81</v>
      </c>
      <c r="E6573" s="5" t="s">
        <v>82</v>
      </c>
      <c r="F6573" s="9">
        <v>75</v>
      </c>
      <c r="G6573" s="9" t="s">
        <v>668</v>
      </c>
      <c r="H6573" s="5" t="s">
        <v>21</v>
      </c>
      <c r="I6573" s="5" t="s">
        <v>14599</v>
      </c>
      <c r="J6573" s="12" t="str">
        <f>HYPERLINK("https://www.boe.es/gazeta/dias/1801/08/04/pdfs/GMD-C-1801-75.pdf#page=1","Abrir facsímil")</f>
        <v>Abrir facsímil</v>
      </c>
      <c r="K6573" s="15" t="s">
        <v>23</v>
      </c>
    </row>
    <row r="6574" spans="1:11" ht="42" customHeight="1">
      <c r="A6574" s="4" t="s">
        <v>14600</v>
      </c>
      <c r="B6574" s="5" t="s">
        <v>14601</v>
      </c>
      <c r="C6574" s="5" t="s">
        <v>18</v>
      </c>
      <c r="D6574" s="5" t="s">
        <v>19</v>
      </c>
      <c r="E6574" s="5" t="s">
        <v>338</v>
      </c>
      <c r="F6574" s="9">
        <v>83</v>
      </c>
      <c r="G6574" s="9">
        <v>935</v>
      </c>
      <c r="H6574" s="5" t="s">
        <v>21</v>
      </c>
      <c r="I6574" s="5" t="s">
        <v>14602</v>
      </c>
      <c r="J6574" s="12" t="str">
        <f>HYPERLINK("https://www.boe.es/gazeta/dias/1801/09/01/pdfs/GMD-1801-83.pdf#page=10","Abrir facsímil")</f>
        <v>Abrir facsímil</v>
      </c>
      <c r="K6574" s="15" t="s">
        <v>23</v>
      </c>
    </row>
    <row r="6575" spans="1:11" ht="42" customHeight="1">
      <c r="A6575" s="4" t="s">
        <v>14603</v>
      </c>
      <c r="B6575" s="5" t="s">
        <v>14604</v>
      </c>
      <c r="C6575" s="5" t="s">
        <v>32</v>
      </c>
      <c r="D6575" s="5" t="s">
        <v>33</v>
      </c>
      <c r="E6575" s="5" t="s">
        <v>171</v>
      </c>
      <c r="F6575" s="9">
        <v>76</v>
      </c>
      <c r="G6575" s="9">
        <v>852</v>
      </c>
      <c r="H6575" s="5" t="s">
        <v>21</v>
      </c>
      <c r="I6575" s="5" t="s">
        <v>14605</v>
      </c>
      <c r="J6575" s="12" t="str">
        <f>HYPERLINK("https://www.boe.es/gazeta/dias/1801/08/07/pdfs/GMD-1801-76.pdf#page=9","Abrir facsímil")</f>
        <v>Abrir facsímil</v>
      </c>
      <c r="K6575" s="15" t="s">
        <v>23</v>
      </c>
    </row>
    <row r="6576" spans="1:11" ht="42" customHeight="1">
      <c r="A6576" s="4" t="s">
        <v>14606</v>
      </c>
      <c r="B6576" s="5" t="s">
        <v>14607</v>
      </c>
      <c r="C6576" s="5" t="s">
        <v>32</v>
      </c>
      <c r="D6576" s="5" t="s">
        <v>33</v>
      </c>
      <c r="E6576" s="5" t="s">
        <v>20</v>
      </c>
      <c r="F6576" s="9">
        <v>37</v>
      </c>
      <c r="G6576" s="9">
        <v>481</v>
      </c>
      <c r="H6576" s="5" t="s">
        <v>21</v>
      </c>
      <c r="I6576" s="5" t="s">
        <v>14608</v>
      </c>
      <c r="J6576" s="12" t="str">
        <f>HYPERLINK("https://www.boe.es/gazeta/dias/1801/05/08/pdfs/GMD-1801-37.pdf#page=9","Abrir facsímil")</f>
        <v>Abrir facsímil</v>
      </c>
      <c r="K6576" s="15" t="s">
        <v>23</v>
      </c>
    </row>
    <row r="6577" spans="1:11" ht="42" customHeight="1">
      <c r="A6577" s="4" t="s">
        <v>14609</v>
      </c>
      <c r="B6577" s="5" t="s">
        <v>14610</v>
      </c>
      <c r="C6577" s="5" t="s">
        <v>75</v>
      </c>
      <c r="D6577" s="5" t="s">
        <v>76</v>
      </c>
      <c r="E6577" s="5" t="s">
        <v>28</v>
      </c>
      <c r="F6577" s="9">
        <v>77</v>
      </c>
      <c r="G6577" s="9">
        <v>866</v>
      </c>
      <c r="H6577" s="5" t="s">
        <v>21</v>
      </c>
      <c r="I6577" s="5" t="s">
        <v>14611</v>
      </c>
      <c r="J6577" s="12" t="str">
        <f>HYPERLINK("https://www.boe.es/gazeta/dias/1801/08/11/pdfs/GMD-1801-77.pdf#page=11","Abrir facsímil")</f>
        <v>Abrir facsímil</v>
      </c>
      <c r="K6577" s="15" t="s">
        <v>23</v>
      </c>
    </row>
    <row r="6578" spans="1:11" ht="42" customHeight="1">
      <c r="A6578" s="4" t="s">
        <v>14612</v>
      </c>
      <c r="B6578" s="5" t="s">
        <v>14613</v>
      </c>
      <c r="C6578" s="5" t="s">
        <v>38</v>
      </c>
      <c r="D6578" s="5" t="s">
        <v>39</v>
      </c>
      <c r="E6578" s="5" t="s">
        <v>131</v>
      </c>
      <c r="F6578" s="9">
        <v>22</v>
      </c>
      <c r="G6578" s="9">
        <v>289</v>
      </c>
      <c r="H6578" s="5" t="s">
        <v>21</v>
      </c>
      <c r="I6578" s="5" t="s">
        <v>14614</v>
      </c>
      <c r="J6578" s="12" t="str">
        <f>HYPERLINK("https://www.boe.es/gazeta/dias/1801/03/17/pdfs/GMD-1801-22.pdf#page=6","Abrir facsímil")</f>
        <v>Abrir facsímil</v>
      </c>
      <c r="K6578" s="15" t="s">
        <v>23</v>
      </c>
    </row>
    <row r="6579" spans="1:11" ht="42" customHeight="1">
      <c r="A6579" s="4" t="s">
        <v>14612</v>
      </c>
      <c r="B6579" s="5" t="s">
        <v>14613</v>
      </c>
      <c r="C6579" s="5" t="s">
        <v>32</v>
      </c>
      <c r="D6579" s="5" t="s">
        <v>33</v>
      </c>
      <c r="E6579" s="5" t="s">
        <v>1939</v>
      </c>
      <c r="F6579" s="9">
        <v>107</v>
      </c>
      <c r="G6579" s="9">
        <v>1178</v>
      </c>
      <c r="H6579" s="5" t="s">
        <v>21</v>
      </c>
      <c r="I6579" s="5" t="s">
        <v>14615</v>
      </c>
      <c r="J6579" s="12" t="str">
        <f>HYPERLINK("https://www.boe.es/gazeta/dias/1801/11/17/pdfs/GMD-1801-107.pdf#page=7","Abrir facsímil")</f>
        <v>Abrir facsímil</v>
      </c>
      <c r="K6579" s="15" t="s">
        <v>23</v>
      </c>
    </row>
    <row r="6580" spans="1:11" ht="42" customHeight="1">
      <c r="A6580" s="4" t="s">
        <v>14616</v>
      </c>
      <c r="B6580" s="5" t="s">
        <v>14617</v>
      </c>
      <c r="C6580" s="5" t="s">
        <v>18</v>
      </c>
      <c r="D6580" s="5" t="s">
        <v>19</v>
      </c>
      <c r="E6580" s="5" t="s">
        <v>28</v>
      </c>
      <c r="F6580" s="9">
        <v>77</v>
      </c>
      <c r="G6580" s="9">
        <v>866</v>
      </c>
      <c r="H6580" s="5" t="s">
        <v>21</v>
      </c>
      <c r="I6580" s="5" t="s">
        <v>14618</v>
      </c>
      <c r="J6580" s="12" t="str">
        <f>HYPERLINK("https://www.boe.es/gazeta/dias/1801/08/11/pdfs/GMD-1801-77.pdf#page=11","Abrir facsímil")</f>
        <v>Abrir facsímil</v>
      </c>
      <c r="K6580" s="15" t="s">
        <v>23</v>
      </c>
    </row>
    <row r="6581" spans="1:11" ht="42" customHeight="1">
      <c r="A6581" s="4" t="s">
        <v>14619</v>
      </c>
      <c r="B6581" s="5" t="s">
        <v>14620</v>
      </c>
      <c r="C6581" s="5" t="s">
        <v>18</v>
      </c>
      <c r="D6581" s="5" t="s">
        <v>19</v>
      </c>
      <c r="E6581" s="5" t="s">
        <v>120</v>
      </c>
      <c r="F6581" s="9">
        <v>7</v>
      </c>
      <c r="G6581" s="9">
        <v>87</v>
      </c>
      <c r="H6581" s="5" t="s">
        <v>21</v>
      </c>
      <c r="I6581" s="5" t="s">
        <v>14621</v>
      </c>
      <c r="J6581" s="12" t="str">
        <f>HYPERLINK("https://www.boe.es/gazeta/dias/1801/01/23/pdfs/GMD-1801-7.pdf#page=11","Abrir facsímil")</f>
        <v>Abrir facsímil</v>
      </c>
      <c r="K6581" s="15" t="s">
        <v>23</v>
      </c>
    </row>
    <row r="6582" spans="1:11" ht="42" customHeight="1">
      <c r="A6582" s="4" t="s">
        <v>14622</v>
      </c>
      <c r="B6582" s="5" t="s">
        <v>14623</v>
      </c>
      <c r="C6582" s="5" t="s">
        <v>32</v>
      </c>
      <c r="D6582" s="5" t="s">
        <v>33</v>
      </c>
      <c r="E6582" s="5" t="s">
        <v>131</v>
      </c>
      <c r="F6582" s="9">
        <v>22</v>
      </c>
      <c r="G6582" s="9">
        <v>289</v>
      </c>
      <c r="H6582" s="5" t="s">
        <v>21</v>
      </c>
      <c r="I6582" s="5" t="s">
        <v>14624</v>
      </c>
      <c r="J6582" s="12" t="str">
        <f>HYPERLINK("https://www.boe.es/gazeta/dias/1801/03/17/pdfs/GMD-1801-22.pdf#page=6","Abrir facsímil")</f>
        <v>Abrir facsímil</v>
      </c>
      <c r="K6582" s="15" t="s">
        <v>23</v>
      </c>
    </row>
    <row r="6583" spans="1:11" ht="42" customHeight="1">
      <c r="A6583" s="4" t="s">
        <v>14625</v>
      </c>
      <c r="B6583" s="5" t="s">
        <v>14626</v>
      </c>
      <c r="C6583" s="5" t="s">
        <v>18</v>
      </c>
      <c r="D6583" s="5" t="s">
        <v>19</v>
      </c>
      <c r="E6583" s="5" t="s">
        <v>462</v>
      </c>
      <c r="F6583" s="9">
        <v>5</v>
      </c>
      <c r="G6583" s="9">
        <v>58</v>
      </c>
      <c r="H6583" s="5" t="s">
        <v>21</v>
      </c>
      <c r="I6583" s="5" t="s">
        <v>14627</v>
      </c>
      <c r="J6583" s="12" t="str">
        <f>HYPERLINK("https://www.boe.es/gazeta/dias/1801/01/16/pdfs/GMD-1801-5.pdf#page=10","Abrir facsímil")</f>
        <v>Abrir facsímil</v>
      </c>
      <c r="K6583" s="15" t="s">
        <v>23</v>
      </c>
    </row>
    <row r="6584" spans="1:11" ht="42" customHeight="1">
      <c r="A6584" s="4" t="s">
        <v>14625</v>
      </c>
      <c r="B6584" s="5" t="s">
        <v>14626</v>
      </c>
      <c r="C6584" s="5" t="s">
        <v>18</v>
      </c>
      <c r="D6584" s="5" t="s">
        <v>19</v>
      </c>
      <c r="E6584" s="5" t="s">
        <v>62</v>
      </c>
      <c r="F6584" s="9">
        <v>6</v>
      </c>
      <c r="G6584" s="9">
        <v>75</v>
      </c>
      <c r="H6584" s="5" t="s">
        <v>21</v>
      </c>
      <c r="I6584" s="5" t="s">
        <v>14628</v>
      </c>
      <c r="J6584" s="12" t="str">
        <f>HYPERLINK("https://www.boe.es/gazeta/dias/1801/01/20/pdfs/GMD-1801-6.pdf#page=11","Abrir facsímil")</f>
        <v>Abrir facsímil</v>
      </c>
      <c r="K6584" s="15" t="s">
        <v>23</v>
      </c>
    </row>
    <row r="6585" spans="1:11" ht="42" customHeight="1">
      <c r="A6585" s="4" t="s">
        <v>14625</v>
      </c>
      <c r="B6585" s="5" t="s">
        <v>14626</v>
      </c>
      <c r="C6585" s="5" t="s">
        <v>18</v>
      </c>
      <c r="D6585" s="5" t="s">
        <v>19</v>
      </c>
      <c r="E6585" s="5" t="s">
        <v>781</v>
      </c>
      <c r="F6585" s="9">
        <v>14</v>
      </c>
      <c r="G6585" s="9">
        <v>175</v>
      </c>
      <c r="H6585" s="5" t="s">
        <v>21</v>
      </c>
      <c r="I6585" s="5" t="s">
        <v>14629</v>
      </c>
      <c r="J6585" s="12" t="str">
        <f>HYPERLINK("https://www.boe.es/gazeta/dias/1801/02/17/pdfs/GMD-1801-14.pdf#page=10","Abrir facsímil")</f>
        <v>Abrir facsímil</v>
      </c>
      <c r="K6585" s="15" t="s">
        <v>23</v>
      </c>
    </row>
    <row r="6586" spans="1:11" ht="42" customHeight="1">
      <c r="A6586" s="4" t="s">
        <v>14625</v>
      </c>
      <c r="B6586" s="5" t="s">
        <v>14626</v>
      </c>
      <c r="C6586" s="5" t="s">
        <v>18</v>
      </c>
      <c r="D6586" s="5" t="s">
        <v>19</v>
      </c>
      <c r="E6586" s="5" t="s">
        <v>186</v>
      </c>
      <c r="F6586" s="9">
        <v>21</v>
      </c>
      <c r="G6586" s="9">
        <v>281</v>
      </c>
      <c r="H6586" s="5" t="s">
        <v>21</v>
      </c>
      <c r="I6586" s="5" t="s">
        <v>14630</v>
      </c>
      <c r="J6586" s="12" t="str">
        <f>HYPERLINK("https://www.boe.es/gazeta/dias/1801/03/13/pdfs/GMD-1801-21.pdf#page=10","Abrir facsímil")</f>
        <v>Abrir facsímil</v>
      </c>
      <c r="K6586" s="15" t="s">
        <v>23</v>
      </c>
    </row>
    <row r="6587" spans="1:11" ht="42" customHeight="1">
      <c r="A6587" s="4" t="s">
        <v>14625</v>
      </c>
      <c r="B6587" s="5" t="s">
        <v>14626</v>
      </c>
      <c r="C6587" s="5" t="s">
        <v>18</v>
      </c>
      <c r="D6587" s="5" t="s">
        <v>19</v>
      </c>
      <c r="E6587" s="5" t="s">
        <v>108</v>
      </c>
      <c r="F6587" s="9">
        <v>61</v>
      </c>
      <c r="G6587" s="9">
        <v>698</v>
      </c>
      <c r="H6587" s="5" t="s">
        <v>21</v>
      </c>
      <c r="I6587" s="5" t="s">
        <v>14631</v>
      </c>
      <c r="J6587" s="12" t="str">
        <f>HYPERLINK("https://www.boe.es/gazeta/dias/1801/06/30/pdfs/GMD-1801-61.pdf#page=7","Abrir facsímil")</f>
        <v>Abrir facsímil</v>
      </c>
      <c r="K6587" s="15" t="s">
        <v>23</v>
      </c>
    </row>
    <row r="6588" spans="1:11" ht="42" customHeight="1">
      <c r="A6588" s="4" t="s">
        <v>14625</v>
      </c>
      <c r="B6588" s="5" t="s">
        <v>14626</v>
      </c>
      <c r="C6588" s="5" t="s">
        <v>32</v>
      </c>
      <c r="D6588" s="5" t="s">
        <v>33</v>
      </c>
      <c r="E6588" s="5" t="s">
        <v>40</v>
      </c>
      <c r="F6588" s="9">
        <v>63</v>
      </c>
      <c r="G6588" s="9">
        <v>713</v>
      </c>
      <c r="H6588" s="5" t="s">
        <v>21</v>
      </c>
      <c r="I6588" s="5" t="s">
        <v>14632</v>
      </c>
      <c r="J6588" s="12" t="str">
        <f>HYPERLINK("https://www.boe.es/gazeta/dias/1801/07/03/pdfs/GMD-1801-63.pdf#page=10","Abrir facsímil")</f>
        <v>Abrir facsímil</v>
      </c>
      <c r="K6588" s="15" t="s">
        <v>23</v>
      </c>
    </row>
    <row r="6589" spans="1:11" ht="42" customHeight="1">
      <c r="A6589" s="4" t="s">
        <v>14625</v>
      </c>
      <c r="B6589" s="5" t="s">
        <v>14626</v>
      </c>
      <c r="C6589" s="5" t="s">
        <v>18</v>
      </c>
      <c r="D6589" s="5" t="s">
        <v>19</v>
      </c>
      <c r="E6589" s="5" t="s">
        <v>702</v>
      </c>
      <c r="F6589" s="9">
        <v>69</v>
      </c>
      <c r="G6589" s="9">
        <v>765</v>
      </c>
      <c r="H6589" s="5" t="s">
        <v>21</v>
      </c>
      <c r="I6589" s="5" t="s">
        <v>14633</v>
      </c>
      <c r="J6589" s="12" t="str">
        <f>HYPERLINK("https://www.boe.es/gazeta/dias/1801/07/14/pdfs/GMD-1801-69.pdf#page=10","Abrir facsímil")</f>
        <v>Abrir facsímil</v>
      </c>
      <c r="K6589" s="15" t="s">
        <v>23</v>
      </c>
    </row>
    <row r="6590" spans="1:11" ht="42" customHeight="1">
      <c r="A6590" s="4" t="s">
        <v>14625</v>
      </c>
      <c r="B6590" s="5" t="s">
        <v>14626</v>
      </c>
      <c r="C6590" s="5" t="s">
        <v>18</v>
      </c>
      <c r="D6590" s="5" t="s">
        <v>19</v>
      </c>
      <c r="E6590" s="5" t="s">
        <v>215</v>
      </c>
      <c r="F6590" s="9">
        <v>71</v>
      </c>
      <c r="G6590" s="9">
        <v>789</v>
      </c>
      <c r="H6590" s="5" t="s">
        <v>21</v>
      </c>
      <c r="I6590" s="5" t="s">
        <v>14634</v>
      </c>
      <c r="J6590" s="12" t="str">
        <f>HYPERLINK("https://www.boe.es/gazeta/dias/1801/07/21/pdfs/GMD-1801-71.pdf#page=10","Abrir facsímil")</f>
        <v>Abrir facsímil</v>
      </c>
      <c r="K6590" s="15" t="s">
        <v>23</v>
      </c>
    </row>
    <row r="6591" spans="1:11" ht="42" customHeight="1">
      <c r="A6591" s="4" t="s">
        <v>14625</v>
      </c>
      <c r="B6591" s="5" t="s">
        <v>14626</v>
      </c>
      <c r="C6591" s="5" t="s">
        <v>18</v>
      </c>
      <c r="D6591" s="5" t="s">
        <v>19</v>
      </c>
      <c r="E6591" s="5" t="s">
        <v>615</v>
      </c>
      <c r="F6591" s="9">
        <v>72</v>
      </c>
      <c r="G6591" s="9">
        <v>806</v>
      </c>
      <c r="H6591" s="5" t="s">
        <v>21</v>
      </c>
      <c r="I6591" s="5" t="s">
        <v>14635</v>
      </c>
      <c r="J6591" s="12" t="str">
        <f>HYPERLINK("https://www.boe.es/gazeta/dias/1801/07/24/pdfs/GMD-1801-72.pdf#page=11","Abrir facsímil")</f>
        <v>Abrir facsímil</v>
      </c>
      <c r="K6591" s="15" t="s">
        <v>23</v>
      </c>
    </row>
    <row r="6592" spans="1:11" ht="42" customHeight="1">
      <c r="A6592" s="4" t="s">
        <v>14625</v>
      </c>
      <c r="B6592" s="5" t="s">
        <v>14626</v>
      </c>
      <c r="C6592" s="5" t="s">
        <v>18</v>
      </c>
      <c r="D6592" s="5" t="s">
        <v>19</v>
      </c>
      <c r="E6592" s="5" t="s">
        <v>201</v>
      </c>
      <c r="F6592" s="9">
        <v>79</v>
      </c>
      <c r="G6592" s="9">
        <v>890</v>
      </c>
      <c r="H6592" s="5" t="s">
        <v>21</v>
      </c>
      <c r="I6592" s="5" t="s">
        <v>14636</v>
      </c>
      <c r="J6592" s="12" t="str">
        <f>HYPERLINK("https://www.boe.es/gazeta/dias/1801/08/18/pdfs/GMD-1801-79.pdf#page=7","Abrir facsímil")</f>
        <v>Abrir facsímil</v>
      </c>
      <c r="K6592" s="15" t="s">
        <v>23</v>
      </c>
    </row>
    <row r="6593" spans="1:11" ht="42" customHeight="1">
      <c r="A6593" s="4" t="s">
        <v>14637</v>
      </c>
      <c r="B6593" s="5" t="s">
        <v>14638</v>
      </c>
      <c r="C6593" s="5" t="s">
        <v>18</v>
      </c>
      <c r="D6593" s="5" t="s">
        <v>19</v>
      </c>
      <c r="E6593" s="5" t="s">
        <v>453</v>
      </c>
      <c r="F6593" s="9">
        <v>100</v>
      </c>
      <c r="G6593" s="9">
        <v>1101</v>
      </c>
      <c r="H6593" s="5" t="s">
        <v>21</v>
      </c>
      <c r="I6593" s="5" t="s">
        <v>14639</v>
      </c>
      <c r="J6593" s="12" t="str">
        <f>HYPERLINK("https://www.boe.es/gazeta/dias/1801/10/23/pdfs/GMD-1801-100.pdf#page=10","Abrir facsímil")</f>
        <v>Abrir facsímil</v>
      </c>
      <c r="K6593" s="15" t="s">
        <v>23</v>
      </c>
    </row>
    <row r="6594" spans="1:11" ht="42" customHeight="1">
      <c r="A6594" s="4" t="s">
        <v>14640</v>
      </c>
      <c r="B6594" s="5" t="s">
        <v>14641</v>
      </c>
      <c r="C6594" s="5" t="s">
        <v>38</v>
      </c>
      <c r="D6594" s="5" t="s">
        <v>39</v>
      </c>
      <c r="E6594" s="5" t="s">
        <v>702</v>
      </c>
      <c r="F6594" s="9">
        <v>69</v>
      </c>
      <c r="G6594" s="9">
        <v>764</v>
      </c>
      <c r="H6594" s="5" t="s">
        <v>21</v>
      </c>
      <c r="I6594" s="5" t="s">
        <v>14642</v>
      </c>
      <c r="J6594" s="12" t="str">
        <f>HYPERLINK("https://www.boe.es/gazeta/dias/1801/07/14/pdfs/GMD-1801-69.pdf#page=9","Abrir facsímil")</f>
        <v>Abrir facsímil</v>
      </c>
      <c r="K6594" s="15" t="s">
        <v>23</v>
      </c>
    </row>
    <row r="6595" spans="1:11" ht="42" customHeight="1">
      <c r="A6595" s="4" t="s">
        <v>14640</v>
      </c>
      <c r="B6595" s="5" t="s">
        <v>14641</v>
      </c>
      <c r="C6595" s="5" t="s">
        <v>38</v>
      </c>
      <c r="D6595" s="5" t="s">
        <v>39</v>
      </c>
      <c r="E6595" s="5" t="s">
        <v>215</v>
      </c>
      <c r="F6595" s="9">
        <v>71</v>
      </c>
      <c r="G6595" s="9">
        <v>788</v>
      </c>
      <c r="H6595" s="5" t="s">
        <v>21</v>
      </c>
      <c r="I6595" s="5" t="s">
        <v>14643</v>
      </c>
      <c r="J6595" s="12" t="str">
        <f>HYPERLINK("https://www.boe.es/gazeta/dias/1801/07/21/pdfs/GMD-1801-71.pdf#page=9","Abrir facsímil")</f>
        <v>Abrir facsímil</v>
      </c>
      <c r="K6595" s="15" t="s">
        <v>23</v>
      </c>
    </row>
    <row r="6596" spans="1:11" ht="42" customHeight="1">
      <c r="A6596" s="4" t="s">
        <v>14640</v>
      </c>
      <c r="B6596" s="5" t="s">
        <v>14641</v>
      </c>
      <c r="C6596" s="5" t="s">
        <v>515</v>
      </c>
      <c r="D6596" s="5" t="s">
        <v>516</v>
      </c>
      <c r="E6596" s="5" t="s">
        <v>751</v>
      </c>
      <c r="F6596" s="9">
        <v>106</v>
      </c>
      <c r="G6596" s="9">
        <v>1169</v>
      </c>
      <c r="H6596" s="5" t="s">
        <v>21</v>
      </c>
      <c r="I6596" s="5" t="s">
        <v>14644</v>
      </c>
      <c r="J6596" s="12" t="str">
        <f>HYPERLINK("https://www.boe.es/gazeta/dias/1801/11/13/pdfs/GMD-C-1801-106.pdf#page=2","Abrir facsímil")</f>
        <v>Abrir facsímil</v>
      </c>
      <c r="K6596" s="15" t="s">
        <v>23</v>
      </c>
    </row>
    <row r="6597" spans="1:11" ht="42" customHeight="1">
      <c r="A6597" s="4" t="s">
        <v>14640</v>
      </c>
      <c r="B6597" s="5" t="s">
        <v>14641</v>
      </c>
      <c r="C6597" s="5" t="s">
        <v>75</v>
      </c>
      <c r="D6597" s="5" t="s">
        <v>76</v>
      </c>
      <c r="E6597" s="5" t="s">
        <v>1939</v>
      </c>
      <c r="F6597" s="9">
        <v>107</v>
      </c>
      <c r="G6597" s="9">
        <v>1180</v>
      </c>
      <c r="H6597" s="5" t="s">
        <v>21</v>
      </c>
      <c r="I6597" s="5" t="s">
        <v>14645</v>
      </c>
      <c r="J6597" s="12" t="str">
        <f>HYPERLINK("https://www.boe.es/gazeta/dias/1801/11/17/pdfs/GMD-1801-107.pdf#page=9","Abrir facsímil")</f>
        <v>Abrir facsímil</v>
      </c>
      <c r="K6597" s="15" t="s">
        <v>23</v>
      </c>
    </row>
    <row r="6598" spans="1:11" ht="42" customHeight="1">
      <c r="A6598" s="4" t="s">
        <v>14640</v>
      </c>
      <c r="B6598" s="5" t="s">
        <v>14641</v>
      </c>
      <c r="C6598" s="5" t="s">
        <v>38</v>
      </c>
      <c r="D6598" s="5" t="s">
        <v>39</v>
      </c>
      <c r="E6598" s="5" t="s">
        <v>1058</v>
      </c>
      <c r="F6598" s="9">
        <v>108</v>
      </c>
      <c r="G6598" s="9">
        <v>1193</v>
      </c>
      <c r="H6598" s="5" t="s">
        <v>21</v>
      </c>
      <c r="I6598" s="5" t="s">
        <v>14646</v>
      </c>
      <c r="J6598" s="12" t="str">
        <f>HYPERLINK("https://www.boe.es/gazeta/dias/1801/11/20/pdfs/GMD-1801-108.pdf#page=10","Abrir facsímil")</f>
        <v>Abrir facsímil</v>
      </c>
      <c r="K6598" s="15" t="s">
        <v>23</v>
      </c>
    </row>
    <row r="6599" spans="1:11" ht="42" customHeight="1">
      <c r="A6599" s="4" t="s">
        <v>14647</v>
      </c>
      <c r="B6599" s="5" t="s">
        <v>14648</v>
      </c>
      <c r="C6599" s="5" t="s">
        <v>38</v>
      </c>
      <c r="D6599" s="5" t="s">
        <v>39</v>
      </c>
      <c r="E6599" s="5" t="s">
        <v>1939</v>
      </c>
      <c r="F6599" s="9">
        <v>107</v>
      </c>
      <c r="G6599" s="9">
        <v>1181</v>
      </c>
      <c r="H6599" s="5" t="s">
        <v>21</v>
      </c>
      <c r="I6599" s="5" t="s">
        <v>14649</v>
      </c>
      <c r="J6599" s="12" t="str">
        <f>HYPERLINK("https://www.boe.es/gazeta/dias/1801/11/17/pdfs/GMD-1801-107.pdf#page=10","Abrir facsímil")</f>
        <v>Abrir facsímil</v>
      </c>
      <c r="K6599" s="15" t="s">
        <v>23</v>
      </c>
    </row>
    <row r="6600" spans="1:11" ht="42" customHeight="1">
      <c r="A6600" s="4" t="s">
        <v>14650</v>
      </c>
      <c r="B6600" s="5" t="s">
        <v>14651</v>
      </c>
      <c r="C6600" s="5" t="s">
        <v>32</v>
      </c>
      <c r="D6600" s="5" t="s">
        <v>33</v>
      </c>
      <c r="E6600" s="5" t="s">
        <v>223</v>
      </c>
      <c r="F6600" s="9">
        <v>74</v>
      </c>
      <c r="G6600" s="9">
        <v>827</v>
      </c>
      <c r="H6600" s="5" t="s">
        <v>21</v>
      </c>
      <c r="I6600" s="5" t="s">
        <v>14652</v>
      </c>
      <c r="J6600" s="12" t="str">
        <f>HYPERLINK("https://www.boe.es/gazeta/dias/1801/07/31/pdfs/GMD-1801-74.pdf#page=8","Abrir facsímil")</f>
        <v>Abrir facsímil</v>
      </c>
      <c r="K6600" s="15" t="s">
        <v>23</v>
      </c>
    </row>
    <row r="6601" spans="1:11" ht="42" customHeight="1">
      <c r="A6601" s="4" t="s">
        <v>14653</v>
      </c>
      <c r="B6601" s="5" t="s">
        <v>14654</v>
      </c>
      <c r="C6601" s="5" t="s">
        <v>69</v>
      </c>
      <c r="D6601" s="5" t="s">
        <v>19</v>
      </c>
      <c r="E6601" s="5" t="s">
        <v>145</v>
      </c>
      <c r="F6601" s="9">
        <v>36</v>
      </c>
      <c r="G6601" s="9">
        <v>467</v>
      </c>
      <c r="H6601" s="5" t="s">
        <v>21</v>
      </c>
      <c r="I6601" s="5" t="s">
        <v>14655</v>
      </c>
      <c r="J6601" s="12" t="str">
        <f>HYPERLINK("https://www.boe.es/gazeta/dias/1801/05/05/pdfs/GMD-1801-36.pdf#page=11","Abrir facsímil")</f>
        <v>Abrir facsímil</v>
      </c>
      <c r="K6601" s="15" t="s">
        <v>23</v>
      </c>
    </row>
    <row r="6602" spans="1:11" ht="42" customHeight="1">
      <c r="A6602" s="4" t="s">
        <v>14656</v>
      </c>
      <c r="B6602" s="5" t="s">
        <v>14657</v>
      </c>
      <c r="C6602" s="5" t="s">
        <v>38</v>
      </c>
      <c r="D6602" s="5" t="s">
        <v>39</v>
      </c>
      <c r="E6602" s="5" t="s">
        <v>256</v>
      </c>
      <c r="F6602" s="9">
        <v>78</v>
      </c>
      <c r="G6602" s="9">
        <v>881</v>
      </c>
      <c r="H6602" s="5" t="s">
        <v>21</v>
      </c>
      <c r="I6602" s="5" t="s">
        <v>14658</v>
      </c>
      <c r="J6602" s="12" t="str">
        <f>HYPERLINK("https://www.boe.es/gazeta/dias/1801/08/14/pdfs/GMD-1801-78.pdf#page=10","Abrir facsímil")</f>
        <v>Abrir facsímil</v>
      </c>
      <c r="K6602" s="15" t="s">
        <v>23</v>
      </c>
    </row>
    <row r="6603" spans="1:11" ht="42" customHeight="1">
      <c r="A6603" s="4" t="s">
        <v>14659</v>
      </c>
      <c r="B6603" s="5" t="s">
        <v>14660</v>
      </c>
      <c r="C6603" s="5" t="s">
        <v>38</v>
      </c>
      <c r="D6603" s="5" t="s">
        <v>39</v>
      </c>
      <c r="E6603" s="5" t="s">
        <v>256</v>
      </c>
      <c r="F6603" s="9">
        <v>78</v>
      </c>
      <c r="G6603" s="9">
        <v>881</v>
      </c>
      <c r="H6603" s="5" t="s">
        <v>21</v>
      </c>
      <c r="I6603" s="5" t="s">
        <v>14661</v>
      </c>
      <c r="J6603" s="12" t="str">
        <f>HYPERLINK("https://www.boe.es/gazeta/dias/1801/08/14/pdfs/GMD-1801-78.pdf#page=10","Abrir facsímil")</f>
        <v>Abrir facsímil</v>
      </c>
      <c r="K6603" s="15" t="s">
        <v>23</v>
      </c>
    </row>
    <row r="6604" spans="1:11" ht="42" customHeight="1">
      <c r="A6604" s="4" t="s">
        <v>14662</v>
      </c>
      <c r="B6604" s="5" t="s">
        <v>14663</v>
      </c>
      <c r="C6604" s="5" t="s">
        <v>26</v>
      </c>
      <c r="D6604" s="5" t="s">
        <v>27</v>
      </c>
      <c r="E6604" s="5" t="s">
        <v>186</v>
      </c>
      <c r="F6604" s="9">
        <v>21</v>
      </c>
      <c r="G6604" s="9">
        <v>282</v>
      </c>
      <c r="H6604" s="5" t="s">
        <v>21</v>
      </c>
      <c r="I6604" s="5" t="s">
        <v>14664</v>
      </c>
      <c r="J6604" s="12" t="str">
        <f>HYPERLINK("https://www.boe.es/gazeta/dias/1801/03/13/pdfs/GMD-1801-21.pdf#page=11","Abrir facsímil")</f>
        <v>Abrir facsímil</v>
      </c>
      <c r="K6604" s="15" t="s">
        <v>23</v>
      </c>
    </row>
    <row r="6605" spans="1:11" ht="42" customHeight="1">
      <c r="A6605" s="4" t="s">
        <v>14665</v>
      </c>
      <c r="B6605" s="5" t="s">
        <v>14666</v>
      </c>
      <c r="C6605" s="5" t="s">
        <v>38</v>
      </c>
      <c r="D6605" s="5" t="s">
        <v>39</v>
      </c>
      <c r="E6605" s="5" t="s">
        <v>266</v>
      </c>
      <c r="F6605" s="9">
        <v>119</v>
      </c>
      <c r="G6605" s="9">
        <v>1303</v>
      </c>
      <c r="H6605" s="5" t="s">
        <v>21</v>
      </c>
      <c r="I6605" s="5" t="s">
        <v>14667</v>
      </c>
      <c r="J6605" s="12" t="str">
        <f>HYPERLINK("https://www.boe.es/gazeta/dias/1801/12/29/pdfs/GMD-1801-119.pdf#page=7","Abrir facsímil")</f>
        <v>Abrir facsímil</v>
      </c>
      <c r="K6605" s="15" t="s">
        <v>23</v>
      </c>
    </row>
    <row r="6606" spans="1:11" ht="42" customHeight="1">
      <c r="A6606" s="4" t="s">
        <v>14668</v>
      </c>
      <c r="B6606" s="5" t="s">
        <v>14669</v>
      </c>
      <c r="C6606" s="5" t="s">
        <v>38</v>
      </c>
      <c r="D6606" s="5" t="s">
        <v>39</v>
      </c>
      <c r="E6606" s="5" t="s">
        <v>151</v>
      </c>
      <c r="F6606" s="9">
        <v>45</v>
      </c>
      <c r="G6606" s="9">
        <v>561</v>
      </c>
      <c r="H6606" s="5" t="s">
        <v>21</v>
      </c>
      <c r="I6606" s="5" t="s">
        <v>14670</v>
      </c>
      <c r="J6606" s="12" t="str">
        <f>HYPERLINK("https://www.boe.es/gazeta/dias/1801/06/02/pdfs/GMD-1801-45.pdf#page=9","Abrir facsímil")</f>
        <v>Abrir facsímil</v>
      </c>
      <c r="K6606" s="15" t="s">
        <v>23</v>
      </c>
    </row>
    <row r="6607" spans="1:11" ht="42" customHeight="1">
      <c r="A6607" s="4" t="s">
        <v>14671</v>
      </c>
      <c r="B6607" s="5" t="s">
        <v>14672</v>
      </c>
      <c r="C6607" s="5" t="s">
        <v>32</v>
      </c>
      <c r="D6607" s="5" t="s">
        <v>33</v>
      </c>
      <c r="E6607" s="5" t="s">
        <v>94</v>
      </c>
      <c r="F6607" s="9">
        <v>19</v>
      </c>
      <c r="G6607" s="9">
        <v>244</v>
      </c>
      <c r="H6607" s="5" t="s">
        <v>21</v>
      </c>
      <c r="I6607" s="5" t="s">
        <v>14673</v>
      </c>
      <c r="J6607" s="12" t="str">
        <f>HYPERLINK("https://www.boe.es/gazeta/dias/1801/03/06/pdfs/GMD-1801-19.pdf#page=9","Abrir facsímil")</f>
        <v>Abrir facsímil</v>
      </c>
      <c r="K6607" s="15" t="s">
        <v>23</v>
      </c>
    </row>
    <row r="6608" spans="1:11" ht="42" customHeight="1">
      <c r="A6608" s="4" t="s">
        <v>14674</v>
      </c>
      <c r="B6608" s="5" t="s">
        <v>14675</v>
      </c>
      <c r="C6608" s="5" t="s">
        <v>18</v>
      </c>
      <c r="D6608" s="5" t="s">
        <v>19</v>
      </c>
      <c r="E6608" s="5" t="s">
        <v>66</v>
      </c>
      <c r="F6608" s="9">
        <v>52</v>
      </c>
      <c r="G6608" s="9">
        <v>609</v>
      </c>
      <c r="H6608" s="5" t="s">
        <v>21</v>
      </c>
      <c r="I6608" s="5" t="s">
        <v>14676</v>
      </c>
      <c r="J6608" s="12" t="str">
        <f>HYPERLINK("https://www.boe.es/gazeta/dias/1801/06/12/pdfs/GMD-1801-52.pdf#page=8","Abrir facsímil")</f>
        <v>Abrir facsímil</v>
      </c>
      <c r="K6608" s="15" t="s">
        <v>23</v>
      </c>
    </row>
    <row r="6609" spans="1:11" ht="42" customHeight="1">
      <c r="A6609" s="4" t="s">
        <v>14677</v>
      </c>
      <c r="B6609" s="5" t="s">
        <v>14678</v>
      </c>
      <c r="C6609" s="5" t="s">
        <v>38</v>
      </c>
      <c r="D6609" s="5" t="s">
        <v>39</v>
      </c>
      <c r="E6609" s="5" t="s">
        <v>256</v>
      </c>
      <c r="F6609" s="9">
        <v>78</v>
      </c>
      <c r="G6609" s="9">
        <v>881</v>
      </c>
      <c r="H6609" s="5" t="s">
        <v>21</v>
      </c>
      <c r="I6609" s="5" t="s">
        <v>14679</v>
      </c>
      <c r="J6609" s="12" t="str">
        <f>HYPERLINK("https://www.boe.es/gazeta/dias/1801/08/14/pdfs/GMD-1801-78.pdf#page=10","Abrir facsímil")</f>
        <v>Abrir facsímil</v>
      </c>
      <c r="K6609" s="15" t="s">
        <v>23</v>
      </c>
    </row>
    <row r="6610" spans="1:11" ht="42" customHeight="1">
      <c r="A6610" s="4" t="s">
        <v>14680</v>
      </c>
      <c r="B6610" s="5" t="s">
        <v>14681</v>
      </c>
      <c r="C6610" s="5" t="s">
        <v>32</v>
      </c>
      <c r="D6610" s="5" t="s">
        <v>33</v>
      </c>
      <c r="E6610" s="5" t="s">
        <v>328</v>
      </c>
      <c r="F6610" s="9">
        <v>89</v>
      </c>
      <c r="G6610" s="9">
        <v>982</v>
      </c>
      <c r="H6610" s="5" t="s">
        <v>21</v>
      </c>
      <c r="I6610" s="5" t="s">
        <v>14682</v>
      </c>
      <c r="J6610" s="12" t="str">
        <f>HYPERLINK("https://www.boe.es/gazeta/dias/1801/09/15/pdfs/GMD-1801-89.pdf#page=9","Abrir facsímil")</f>
        <v>Abrir facsímil</v>
      </c>
      <c r="K6610" s="15" t="s">
        <v>23</v>
      </c>
    </row>
    <row r="6611" spans="1:11" ht="42" customHeight="1">
      <c r="A6611" s="4" t="s">
        <v>14683</v>
      </c>
      <c r="B6611" s="5" t="s">
        <v>14684</v>
      </c>
      <c r="C6611" s="5" t="s">
        <v>80</v>
      </c>
      <c r="D6611" s="5" t="s">
        <v>81</v>
      </c>
      <c r="E6611" s="5" t="s">
        <v>289</v>
      </c>
      <c r="F6611" s="9">
        <v>40</v>
      </c>
      <c r="G6611" s="9" t="s">
        <v>517</v>
      </c>
      <c r="H6611" s="5" t="s">
        <v>21</v>
      </c>
      <c r="I6611" s="5" t="s">
        <v>14685</v>
      </c>
      <c r="J6611" s="12" t="str">
        <f>HYPERLINK("https://www.boe.es/gazeta/dias/1801/05/19/pdfs/GMD-C-1801-40.pdf#page=7","Abrir facsímil")</f>
        <v>Abrir facsímil</v>
      </c>
      <c r="K6611" s="15" t="s">
        <v>23</v>
      </c>
    </row>
    <row r="6612" spans="1:11" ht="42" customHeight="1">
      <c r="A6612" s="4" t="s">
        <v>14686</v>
      </c>
      <c r="B6612" s="5" t="s">
        <v>14687</v>
      </c>
      <c r="C6612" s="5" t="s">
        <v>80</v>
      </c>
      <c r="D6612" s="5" t="s">
        <v>81</v>
      </c>
      <c r="E6612" s="5" t="s">
        <v>289</v>
      </c>
      <c r="F6612" s="9">
        <v>40</v>
      </c>
      <c r="G6612" s="9" t="s">
        <v>86</v>
      </c>
      <c r="H6612" s="5" t="s">
        <v>21</v>
      </c>
      <c r="I6612" s="5" t="s">
        <v>14688</v>
      </c>
      <c r="J6612" s="12" t="str">
        <f>HYPERLINK("https://www.boe.es/gazeta/dias/1801/05/19/pdfs/GMD-C-1801-40.pdf#page=3","Abrir facsímil")</f>
        <v>Abrir facsímil</v>
      </c>
      <c r="K6612" s="15" t="s">
        <v>23</v>
      </c>
    </row>
    <row r="6613" spans="1:11" ht="42" customHeight="1">
      <c r="A6613" s="4" t="s">
        <v>14689</v>
      </c>
      <c r="B6613" s="5" t="s">
        <v>14690</v>
      </c>
      <c r="C6613" s="5" t="s">
        <v>69</v>
      </c>
      <c r="D6613" s="5" t="s">
        <v>19</v>
      </c>
      <c r="E6613" s="5" t="s">
        <v>309</v>
      </c>
      <c r="F6613" s="9">
        <v>118</v>
      </c>
      <c r="G6613" s="9">
        <v>1292</v>
      </c>
      <c r="H6613" s="5" t="s">
        <v>21</v>
      </c>
      <c r="I6613" s="5" t="s">
        <v>14691</v>
      </c>
      <c r="J6613" s="12" t="str">
        <f>HYPERLINK("https://www.boe.es/gazeta/dias/1801/12/25/pdfs/GMD-1801-118.pdf#page=7","Abrir facsímil")</f>
        <v>Abrir facsímil</v>
      </c>
      <c r="K6613" s="15" t="s">
        <v>23</v>
      </c>
    </row>
    <row r="6614" spans="1:11" ht="42" customHeight="1">
      <c r="A6614" s="4" t="s">
        <v>14692</v>
      </c>
      <c r="B6614" s="5" t="s">
        <v>14693</v>
      </c>
      <c r="C6614" s="5" t="s">
        <v>32</v>
      </c>
      <c r="D6614" s="5" t="s">
        <v>33</v>
      </c>
      <c r="E6614" s="5" t="s">
        <v>90</v>
      </c>
      <c r="F6614" s="9">
        <v>1</v>
      </c>
      <c r="G6614" s="9">
        <v>9</v>
      </c>
      <c r="H6614" s="5" t="s">
        <v>21</v>
      </c>
      <c r="I6614" s="5" t="s">
        <v>14694</v>
      </c>
      <c r="J6614" s="12" t="str">
        <f>HYPERLINK("https://www.boe.es/gazeta/dias/1801/01/02/pdfs/GMD-1801-1.pdf#page=9","Abrir facsímil")</f>
        <v>Abrir facsímil</v>
      </c>
      <c r="K6614" s="15" t="s">
        <v>23</v>
      </c>
    </row>
    <row r="6615" spans="1:11" ht="42" customHeight="1">
      <c r="A6615" s="4" t="s">
        <v>14695</v>
      </c>
      <c r="B6615" s="5" t="s">
        <v>14696</v>
      </c>
      <c r="C6615" s="5" t="s">
        <v>80</v>
      </c>
      <c r="D6615" s="5" t="s">
        <v>81</v>
      </c>
      <c r="E6615" s="5" t="s">
        <v>289</v>
      </c>
      <c r="F6615" s="9">
        <v>40</v>
      </c>
      <c r="G6615" s="9" t="s">
        <v>299</v>
      </c>
      <c r="H6615" s="5" t="s">
        <v>21</v>
      </c>
      <c r="I6615" s="5" t="s">
        <v>14697</v>
      </c>
      <c r="J6615" s="12" t="str">
        <f>HYPERLINK("https://www.boe.es/gazeta/dias/1801/05/19/pdfs/GMD-C-1801-40.pdf#page=5","Abrir facsímil")</f>
        <v>Abrir facsímil</v>
      </c>
      <c r="K6615" s="15" t="s">
        <v>23</v>
      </c>
    </row>
    <row r="6616" spans="1:11" ht="42" customHeight="1">
      <c r="A6616" s="4" t="s">
        <v>14698</v>
      </c>
      <c r="B6616" s="5" t="s">
        <v>14699</v>
      </c>
      <c r="C6616" s="5" t="s">
        <v>32</v>
      </c>
      <c r="D6616" s="5" t="s">
        <v>33</v>
      </c>
      <c r="E6616" s="5" t="s">
        <v>40</v>
      </c>
      <c r="F6616" s="9">
        <v>63</v>
      </c>
      <c r="G6616" s="9">
        <v>708</v>
      </c>
      <c r="H6616" s="5" t="s">
        <v>21</v>
      </c>
      <c r="I6616" s="5" t="s">
        <v>14700</v>
      </c>
      <c r="J6616" s="12" t="str">
        <f>HYPERLINK("https://www.boe.es/gazeta/dias/1801/07/03/pdfs/GMD-1801-63.pdf#page=5","Abrir facsímil")</f>
        <v>Abrir facsímil</v>
      </c>
      <c r="K6616" s="15" t="s">
        <v>23</v>
      </c>
    </row>
    <row r="6617" spans="1:11" ht="42" customHeight="1">
      <c r="A6617" s="4" t="s">
        <v>14701</v>
      </c>
      <c r="B6617" s="5" t="s">
        <v>14702</v>
      </c>
      <c r="C6617" s="5" t="s">
        <v>38</v>
      </c>
      <c r="D6617" s="5" t="s">
        <v>39</v>
      </c>
      <c r="E6617" s="5" t="s">
        <v>2185</v>
      </c>
      <c r="F6617" s="9">
        <v>84</v>
      </c>
      <c r="G6617" s="9">
        <v>944</v>
      </c>
      <c r="H6617" s="5" t="s">
        <v>21</v>
      </c>
      <c r="I6617" s="5" t="s">
        <v>14703</v>
      </c>
      <c r="J6617" s="12" t="str">
        <f>HYPERLINK("https://www.boe.es/gazeta/dias/1801/09/04/pdfs/GMD-1801-84.pdf#page=7","Abrir facsímil")</f>
        <v>Abrir facsímil</v>
      </c>
      <c r="K6617" s="15" t="s">
        <v>23</v>
      </c>
    </row>
    <row r="6618" spans="1:11" ht="42" customHeight="1">
      <c r="A6618" s="4" t="s">
        <v>14704</v>
      </c>
      <c r="B6618" s="5" t="s">
        <v>14705</v>
      </c>
      <c r="C6618" s="5" t="s">
        <v>18</v>
      </c>
      <c r="D6618" s="5" t="s">
        <v>19</v>
      </c>
      <c r="E6618" s="5" t="s">
        <v>190</v>
      </c>
      <c r="F6618" s="9">
        <v>16</v>
      </c>
      <c r="G6618" s="9">
        <v>204</v>
      </c>
      <c r="H6618" s="5" t="s">
        <v>21</v>
      </c>
      <c r="I6618" s="5" t="s">
        <v>14706</v>
      </c>
      <c r="J6618" s="12" t="str">
        <f>HYPERLINK("https://www.boe.es/gazeta/dias/1801/02/24/pdfs/GMD-1801-16.pdf#page=11","Abrir facsímil")</f>
        <v>Abrir facsímil</v>
      </c>
      <c r="K6618" s="15" t="s">
        <v>23</v>
      </c>
    </row>
    <row r="6619" spans="1:11" ht="42" customHeight="1">
      <c r="A6619" s="4" t="s">
        <v>14707</v>
      </c>
      <c r="B6619" s="5" t="s">
        <v>14708</v>
      </c>
      <c r="C6619" s="5" t="s">
        <v>26</v>
      </c>
      <c r="D6619" s="5" t="s">
        <v>27</v>
      </c>
      <c r="E6619" s="5" t="s">
        <v>501</v>
      </c>
      <c r="F6619" s="9">
        <v>115</v>
      </c>
      <c r="G6619" s="9" t="s">
        <v>996</v>
      </c>
      <c r="H6619" s="5" t="s">
        <v>21</v>
      </c>
      <c r="I6619" s="5" t="s">
        <v>14709</v>
      </c>
      <c r="J6619" s="12" t="str">
        <f>HYPERLINK("https://www.boe.es/gazeta/dias/1801/12/15/pdfs/GMD-C-1801-115.pdf#page=6","Abrir facsímil")</f>
        <v>Abrir facsímil</v>
      </c>
      <c r="K6619" s="15" t="s">
        <v>23</v>
      </c>
    </row>
    <row r="6620" spans="1:11" ht="42" customHeight="1">
      <c r="A6620" s="4" t="s">
        <v>14710</v>
      </c>
      <c r="B6620" s="5" t="s">
        <v>14711</v>
      </c>
      <c r="C6620" s="5" t="s">
        <v>32</v>
      </c>
      <c r="D6620" s="5" t="s">
        <v>33</v>
      </c>
      <c r="E6620" s="5" t="s">
        <v>924</v>
      </c>
      <c r="F6620" s="9">
        <v>90</v>
      </c>
      <c r="G6620" s="9">
        <v>992</v>
      </c>
      <c r="H6620" s="5" t="s">
        <v>21</v>
      </c>
      <c r="I6620" s="5" t="s">
        <v>14712</v>
      </c>
      <c r="J6620" s="12" t="str">
        <f>HYPERLINK("https://www.boe.es/gazeta/dias/1801/09/18/pdfs/GMD-1801-90.pdf#page=7","Abrir facsímil")</f>
        <v>Abrir facsímil</v>
      </c>
      <c r="K6620" s="15" t="s">
        <v>23</v>
      </c>
    </row>
    <row r="6621" spans="1:11" ht="42" customHeight="1">
      <c r="A6621" s="4" t="s">
        <v>14713</v>
      </c>
      <c r="B6621" s="5" t="s">
        <v>14714</v>
      </c>
      <c r="C6621" s="5" t="s">
        <v>75</v>
      </c>
      <c r="D6621" s="5" t="s">
        <v>76</v>
      </c>
      <c r="E6621" s="5" t="s">
        <v>169</v>
      </c>
      <c r="F6621" s="9">
        <v>70</v>
      </c>
      <c r="G6621" s="9">
        <v>769</v>
      </c>
      <c r="H6621" s="5" t="s">
        <v>21</v>
      </c>
      <c r="I6621" s="5" t="s">
        <v>14715</v>
      </c>
      <c r="J6621" s="12" t="str">
        <f>HYPERLINK("https://www.boe.es/gazeta/dias/1801/07/17/pdfs/GMD-1801-70.pdf#page=2","Abrir facsímil")</f>
        <v>Abrir facsímil</v>
      </c>
      <c r="K6621" s="15" t="s">
        <v>23</v>
      </c>
    </row>
    <row r="6622" spans="1:11" ht="42" customHeight="1">
      <c r="A6622" s="4" t="s">
        <v>14716</v>
      </c>
      <c r="B6622" s="5" t="s">
        <v>14717</v>
      </c>
      <c r="C6622" s="5" t="s">
        <v>32</v>
      </c>
      <c r="D6622" s="5" t="s">
        <v>33</v>
      </c>
      <c r="E6622" s="5" t="s">
        <v>50</v>
      </c>
      <c r="F6622" s="9">
        <v>29</v>
      </c>
      <c r="G6622" s="9">
        <v>382</v>
      </c>
      <c r="H6622" s="5" t="s">
        <v>21</v>
      </c>
      <c r="I6622" s="5" t="s">
        <v>14718</v>
      </c>
      <c r="J6622" s="12" t="str">
        <f>HYPERLINK("https://www.boe.es/gazeta/dias/1801/04/10/pdfs/GMD-1801-29.pdf#page=10","Abrir facsímil")</f>
        <v>Abrir facsímil</v>
      </c>
      <c r="K6622" s="15" t="s">
        <v>23</v>
      </c>
    </row>
    <row r="6623" spans="1:11" ht="42" customHeight="1">
      <c r="A6623" s="4" t="s">
        <v>14719</v>
      </c>
      <c r="B6623" s="5" t="s">
        <v>14720</v>
      </c>
      <c r="C6623" s="5" t="s">
        <v>32</v>
      </c>
      <c r="D6623" s="5" t="s">
        <v>33</v>
      </c>
      <c r="E6623" s="5" t="s">
        <v>145</v>
      </c>
      <c r="F6623" s="9">
        <v>36</v>
      </c>
      <c r="G6623" s="9">
        <v>466</v>
      </c>
      <c r="H6623" s="5" t="s">
        <v>21</v>
      </c>
      <c r="I6623" s="5" t="s">
        <v>14721</v>
      </c>
      <c r="J6623" s="12" t="str">
        <f>HYPERLINK("https://www.boe.es/gazeta/dias/1801/05/05/pdfs/GMD-1801-36.pdf#page=10","Abrir facsímil")</f>
        <v>Abrir facsímil</v>
      </c>
      <c r="K6623" s="15" t="s">
        <v>23</v>
      </c>
    </row>
    <row r="6624" spans="1:11" ht="42" customHeight="1">
      <c r="A6624" s="4" t="s">
        <v>14722</v>
      </c>
      <c r="B6624" s="5" t="s">
        <v>14723</v>
      </c>
      <c r="C6624" s="5" t="s">
        <v>18</v>
      </c>
      <c r="D6624" s="5" t="s">
        <v>19</v>
      </c>
      <c r="E6624" s="5" t="s">
        <v>1058</v>
      </c>
      <c r="F6624" s="9">
        <v>108</v>
      </c>
      <c r="G6624" s="9">
        <v>1193</v>
      </c>
      <c r="H6624" s="5" t="s">
        <v>21</v>
      </c>
      <c r="I6624" s="5" t="s">
        <v>14724</v>
      </c>
      <c r="J6624" s="12" t="str">
        <f>HYPERLINK("https://www.boe.es/gazeta/dias/1801/11/20/pdfs/GMD-1801-108.pdf#page=10","Abrir facsímil")</f>
        <v>Abrir facsímil</v>
      </c>
      <c r="K6624" s="15" t="s">
        <v>23</v>
      </c>
    </row>
    <row r="6625" spans="1:11" ht="42" customHeight="1">
      <c r="A6625" s="4" t="s">
        <v>14725</v>
      </c>
      <c r="B6625" s="5" t="s">
        <v>14726</v>
      </c>
      <c r="C6625" s="5" t="s">
        <v>32</v>
      </c>
      <c r="D6625" s="5" t="s">
        <v>33</v>
      </c>
      <c r="E6625" s="5" t="s">
        <v>321</v>
      </c>
      <c r="F6625" s="9">
        <v>3</v>
      </c>
      <c r="G6625" s="9">
        <v>32</v>
      </c>
      <c r="H6625" s="5" t="s">
        <v>21</v>
      </c>
      <c r="I6625" s="5" t="s">
        <v>14727</v>
      </c>
      <c r="J6625" s="12" t="str">
        <f>HYPERLINK("https://www.boe.es/gazeta/dias/1801/01/09/pdfs/GMD-1801-3.pdf#page=8","Abrir facsímil")</f>
        <v>Abrir facsímil</v>
      </c>
      <c r="K6625" s="15" t="s">
        <v>23</v>
      </c>
    </row>
    <row r="6626" spans="1:11" ht="42" customHeight="1">
      <c r="A6626" s="4" t="s">
        <v>14725</v>
      </c>
      <c r="B6626" s="5" t="s">
        <v>14726</v>
      </c>
      <c r="C6626" s="5" t="s">
        <v>18</v>
      </c>
      <c r="D6626" s="5" t="s">
        <v>19</v>
      </c>
      <c r="E6626" s="5" t="s">
        <v>751</v>
      </c>
      <c r="F6626" s="9">
        <v>106</v>
      </c>
      <c r="G6626" s="9">
        <v>1169</v>
      </c>
      <c r="H6626" s="5" t="s">
        <v>21</v>
      </c>
      <c r="I6626" s="5" t="s">
        <v>14728</v>
      </c>
      <c r="J6626" s="12" t="str">
        <f>HYPERLINK("https://www.boe.es/gazeta/dias/1801/11/13/pdfs/GMD-C-1801-106.pdf#page=2","Abrir facsímil")</f>
        <v>Abrir facsímil</v>
      </c>
      <c r="K6626" s="15" t="s">
        <v>23</v>
      </c>
    </row>
    <row r="6627" spans="1:11" ht="42" customHeight="1">
      <c r="A6627" s="4" t="s">
        <v>14725</v>
      </c>
      <c r="B6627" s="5" t="s">
        <v>14726</v>
      </c>
      <c r="C6627" s="5" t="s">
        <v>18</v>
      </c>
      <c r="D6627" s="5" t="s">
        <v>19</v>
      </c>
      <c r="E6627" s="5" t="s">
        <v>1939</v>
      </c>
      <c r="F6627" s="9">
        <v>107</v>
      </c>
      <c r="G6627" s="9">
        <v>1180</v>
      </c>
      <c r="H6627" s="5" t="s">
        <v>21</v>
      </c>
      <c r="I6627" s="5" t="s">
        <v>14729</v>
      </c>
      <c r="J6627" s="12" t="str">
        <f>HYPERLINK("https://www.boe.es/gazeta/dias/1801/11/17/pdfs/GMD-1801-107.pdf#page=9","Abrir facsímil")</f>
        <v>Abrir facsímil</v>
      </c>
      <c r="K6627" s="15" t="s">
        <v>23</v>
      </c>
    </row>
    <row r="6628" spans="1:11" ht="42" customHeight="1">
      <c r="A6628" s="4" t="s">
        <v>14730</v>
      </c>
      <c r="B6628" s="5" t="s">
        <v>14731</v>
      </c>
      <c r="C6628" s="5" t="s">
        <v>32</v>
      </c>
      <c r="D6628" s="5" t="s">
        <v>33</v>
      </c>
      <c r="E6628" s="5" t="s">
        <v>179</v>
      </c>
      <c r="F6628" s="9">
        <v>11</v>
      </c>
      <c r="G6628" s="9">
        <v>137</v>
      </c>
      <c r="H6628" s="5" t="s">
        <v>21</v>
      </c>
      <c r="I6628" s="5" t="s">
        <v>14732</v>
      </c>
      <c r="J6628" s="12" t="str">
        <f>HYPERLINK("https://www.boe.es/gazeta/dias/1801/02/06/pdfs/GMD-1801-11.pdf#page=10","Abrir facsímil")</f>
        <v>Abrir facsímil</v>
      </c>
      <c r="K6628" s="15" t="s">
        <v>23</v>
      </c>
    </row>
    <row r="6629" spans="1:11" ht="42" customHeight="1">
      <c r="A6629" s="4" t="s">
        <v>14733</v>
      </c>
      <c r="B6629" s="5" t="s">
        <v>14734</v>
      </c>
      <c r="C6629" s="5" t="s">
        <v>69</v>
      </c>
      <c r="D6629" s="5" t="s">
        <v>19</v>
      </c>
      <c r="E6629" s="5" t="s">
        <v>480</v>
      </c>
      <c r="F6629" s="9">
        <v>10</v>
      </c>
      <c r="G6629" s="9">
        <v>123</v>
      </c>
      <c r="H6629" s="5" t="s">
        <v>21</v>
      </c>
      <c r="I6629" s="5" t="s">
        <v>14735</v>
      </c>
      <c r="J6629" s="12" t="str">
        <f>HYPERLINK("https://www.boe.es/gazeta/dias/1801/02/03/pdfs/GMD-1801-10.pdf#page=8","Abrir facsímil")</f>
        <v>Abrir facsímil</v>
      </c>
      <c r="K6629" s="15" t="s">
        <v>23</v>
      </c>
    </row>
    <row r="6630" spans="1:11" ht="42" customHeight="1">
      <c r="A6630" s="4" t="s">
        <v>14736</v>
      </c>
      <c r="B6630" s="5" t="s">
        <v>14737</v>
      </c>
      <c r="C6630" s="5" t="s">
        <v>18</v>
      </c>
      <c r="D6630" s="5" t="s">
        <v>19</v>
      </c>
      <c r="E6630" s="5" t="s">
        <v>1939</v>
      </c>
      <c r="F6630" s="9">
        <v>107</v>
      </c>
      <c r="G6630" s="9">
        <v>1178</v>
      </c>
      <c r="H6630" s="5" t="s">
        <v>21</v>
      </c>
      <c r="I6630" s="5" t="s">
        <v>14738</v>
      </c>
      <c r="J6630" s="12" t="str">
        <f>HYPERLINK("https://www.boe.es/gazeta/dias/1801/11/17/pdfs/GMD-1801-107.pdf#page=7","Abrir facsímil")</f>
        <v>Abrir facsímil</v>
      </c>
      <c r="K6630" s="15" t="s">
        <v>23</v>
      </c>
    </row>
    <row r="6631" spans="1:11" ht="42" customHeight="1">
      <c r="A6631" s="4" t="s">
        <v>14739</v>
      </c>
      <c r="B6631" s="5" t="s">
        <v>14740</v>
      </c>
      <c r="C6631" s="5" t="s">
        <v>32</v>
      </c>
      <c r="D6631" s="5" t="s">
        <v>33</v>
      </c>
      <c r="E6631" s="5" t="s">
        <v>99</v>
      </c>
      <c r="F6631" s="9">
        <v>32</v>
      </c>
      <c r="G6631" s="9">
        <v>406</v>
      </c>
      <c r="H6631" s="5" t="s">
        <v>21</v>
      </c>
      <c r="I6631" s="5" t="s">
        <v>14741</v>
      </c>
      <c r="J6631" s="12" t="str">
        <f>HYPERLINK("https://www.boe.es/gazeta/dias/1801/04/21/pdfs/GMD-1801-32.pdf#page=2","Abrir facsímil")</f>
        <v>Abrir facsímil</v>
      </c>
      <c r="K6631" s="15" t="s">
        <v>23</v>
      </c>
    </row>
    <row r="6632" spans="1:11" ht="42" customHeight="1">
      <c r="A6632" s="4" t="s">
        <v>14742</v>
      </c>
      <c r="B6632" s="5" t="s">
        <v>14743</v>
      </c>
      <c r="C6632" s="5" t="s">
        <v>75</v>
      </c>
      <c r="D6632" s="5" t="s">
        <v>76</v>
      </c>
      <c r="E6632" s="5" t="s">
        <v>321</v>
      </c>
      <c r="F6632" s="9">
        <v>3</v>
      </c>
      <c r="G6632" s="9">
        <v>32</v>
      </c>
      <c r="H6632" s="5" t="s">
        <v>21</v>
      </c>
      <c r="I6632" s="5" t="s">
        <v>14744</v>
      </c>
      <c r="J6632" s="12" t="str">
        <f>HYPERLINK("https://www.boe.es/gazeta/dias/1801/01/09/pdfs/GMD-1801-3.pdf#page=8","Abrir facsímil")</f>
        <v>Abrir facsímil</v>
      </c>
      <c r="K6632" s="15" t="s">
        <v>23</v>
      </c>
    </row>
    <row r="6633" spans="1:11" ht="42" customHeight="1">
      <c r="A6633" s="4" t="s">
        <v>14745</v>
      </c>
      <c r="B6633" s="5" t="s">
        <v>14746</v>
      </c>
      <c r="C6633" s="5" t="s">
        <v>38</v>
      </c>
      <c r="D6633" s="5" t="s">
        <v>39</v>
      </c>
      <c r="E6633" s="5" t="s">
        <v>702</v>
      </c>
      <c r="F6633" s="9">
        <v>69</v>
      </c>
      <c r="G6633" s="9">
        <v>764</v>
      </c>
      <c r="H6633" s="5" t="s">
        <v>21</v>
      </c>
      <c r="I6633" s="5" t="s">
        <v>14747</v>
      </c>
      <c r="J6633" s="12" t="str">
        <f>HYPERLINK("https://www.boe.es/gazeta/dias/1801/07/14/pdfs/GMD-1801-69.pdf#page=9","Abrir facsímil")</f>
        <v>Abrir facsímil</v>
      </c>
      <c r="K6633" s="15" t="s">
        <v>23</v>
      </c>
    </row>
    <row r="6634" spans="1:11" ht="42" customHeight="1">
      <c r="A6634" s="4" t="s">
        <v>14745</v>
      </c>
      <c r="B6634" s="5" t="s">
        <v>14746</v>
      </c>
      <c r="C6634" s="5" t="s">
        <v>38</v>
      </c>
      <c r="D6634" s="5" t="s">
        <v>39</v>
      </c>
      <c r="E6634" s="5" t="s">
        <v>215</v>
      </c>
      <c r="F6634" s="9">
        <v>71</v>
      </c>
      <c r="G6634" s="9">
        <v>788</v>
      </c>
      <c r="H6634" s="5" t="s">
        <v>21</v>
      </c>
      <c r="I6634" s="5" t="s">
        <v>14748</v>
      </c>
      <c r="J6634" s="12" t="str">
        <f>HYPERLINK("https://www.boe.es/gazeta/dias/1801/07/21/pdfs/GMD-1801-71.pdf#page=9","Abrir facsímil")</f>
        <v>Abrir facsímil</v>
      </c>
      <c r="K6634" s="15" t="s">
        <v>23</v>
      </c>
    </row>
    <row r="6635" spans="1:11" ht="42" customHeight="1">
      <c r="A6635" s="4" t="s">
        <v>14745</v>
      </c>
      <c r="B6635" s="5" t="s">
        <v>14746</v>
      </c>
      <c r="C6635" s="5" t="s">
        <v>75</v>
      </c>
      <c r="D6635" s="5" t="s">
        <v>76</v>
      </c>
      <c r="E6635" s="5" t="s">
        <v>1939</v>
      </c>
      <c r="F6635" s="9">
        <v>107</v>
      </c>
      <c r="G6635" s="9">
        <v>1180</v>
      </c>
      <c r="H6635" s="5" t="s">
        <v>21</v>
      </c>
      <c r="I6635" s="5" t="s">
        <v>14749</v>
      </c>
      <c r="J6635" s="12" t="str">
        <f>HYPERLINK("https://www.boe.es/gazeta/dias/1801/11/17/pdfs/GMD-1801-107.pdf#page=9","Abrir facsímil")</f>
        <v>Abrir facsímil</v>
      </c>
      <c r="K6635" s="15" t="s">
        <v>23</v>
      </c>
    </row>
    <row r="6636" spans="1:11" ht="42" customHeight="1">
      <c r="A6636" s="4" t="s">
        <v>14745</v>
      </c>
      <c r="B6636" s="5" t="s">
        <v>14746</v>
      </c>
      <c r="C6636" s="5" t="s">
        <v>38</v>
      </c>
      <c r="D6636" s="5" t="s">
        <v>39</v>
      </c>
      <c r="E6636" s="5" t="s">
        <v>1058</v>
      </c>
      <c r="F6636" s="9">
        <v>108</v>
      </c>
      <c r="G6636" s="9">
        <v>1193</v>
      </c>
      <c r="H6636" s="5" t="s">
        <v>21</v>
      </c>
      <c r="I6636" s="5" t="s">
        <v>14750</v>
      </c>
      <c r="J6636" s="12" t="str">
        <f>HYPERLINK("https://www.boe.es/gazeta/dias/1801/11/20/pdfs/GMD-1801-108.pdf#page=10","Abrir facsímil")</f>
        <v>Abrir facsímil</v>
      </c>
      <c r="K6636" s="15" t="s">
        <v>23</v>
      </c>
    </row>
    <row r="6637" spans="1:11" ht="42" customHeight="1">
      <c r="A6637" s="4" t="s">
        <v>14751</v>
      </c>
      <c r="B6637" s="5" t="s">
        <v>14751</v>
      </c>
      <c r="C6637" s="5" t="s">
        <v>38</v>
      </c>
      <c r="D6637" s="5" t="s">
        <v>39</v>
      </c>
      <c r="E6637" s="5" t="s">
        <v>131</v>
      </c>
      <c r="F6637" s="9">
        <v>22</v>
      </c>
      <c r="G6637" s="9">
        <v>286</v>
      </c>
      <c r="H6637" s="5" t="s">
        <v>21</v>
      </c>
      <c r="I6637" s="5" t="s">
        <v>14752</v>
      </c>
      <c r="J6637" s="12" t="str">
        <f>HYPERLINK("https://www.boe.es/gazeta/dias/1801/03/17/pdfs/GMD-1801-22.pdf#page=3","Abrir facsímil")</f>
        <v>Abrir facsímil</v>
      </c>
      <c r="K6637" s="15" t="s">
        <v>23</v>
      </c>
    </row>
    <row r="6638" spans="1:11" ht="42" customHeight="1">
      <c r="A6638" s="4" t="s">
        <v>14751</v>
      </c>
      <c r="B6638" s="5" t="s">
        <v>14751</v>
      </c>
      <c r="C6638" s="5" t="s">
        <v>75</v>
      </c>
      <c r="D6638" s="5" t="s">
        <v>76</v>
      </c>
      <c r="E6638" s="5" t="s">
        <v>97</v>
      </c>
      <c r="F6638" s="9">
        <v>31</v>
      </c>
      <c r="G6638" s="9">
        <v>399</v>
      </c>
      <c r="H6638" s="5" t="s">
        <v>21</v>
      </c>
      <c r="I6638" s="5" t="s">
        <v>14753</v>
      </c>
      <c r="J6638" s="12" t="str">
        <f>HYPERLINK("https://www.boe.es/gazeta/dias/1801/04/17/pdfs/GMD-1801-31.pdf#page=3","Abrir facsímil")</f>
        <v>Abrir facsímil</v>
      </c>
      <c r="K6638" s="15" t="s">
        <v>23</v>
      </c>
    </row>
    <row r="6639" spans="1:11" ht="42" customHeight="1">
      <c r="A6639" s="4" t="s">
        <v>14754</v>
      </c>
      <c r="B6639" s="5" t="s">
        <v>14754</v>
      </c>
      <c r="C6639" s="5" t="s">
        <v>26</v>
      </c>
      <c r="D6639" s="5" t="s">
        <v>27</v>
      </c>
      <c r="E6639" s="5" t="s">
        <v>28</v>
      </c>
      <c r="F6639" s="9">
        <v>77</v>
      </c>
      <c r="G6639" s="9">
        <v>867</v>
      </c>
      <c r="H6639" s="5" t="s">
        <v>21</v>
      </c>
      <c r="I6639" s="5" t="s">
        <v>14755</v>
      </c>
      <c r="J6639" s="12" t="str">
        <f>HYPERLINK("https://www.boe.es/gazeta/dias/1801/08/11/pdfs/GMD-1801-77.pdf#page=12","Abrir facsímil")</f>
        <v>Abrir facsímil</v>
      </c>
      <c r="K6639" s="15" t="s">
        <v>23</v>
      </c>
    </row>
    <row r="6640" spans="1:11" ht="42" customHeight="1">
      <c r="A6640" s="4" t="s">
        <v>14756</v>
      </c>
      <c r="B6640" s="5" t="s">
        <v>14757</v>
      </c>
      <c r="C6640" s="5" t="s">
        <v>80</v>
      </c>
      <c r="D6640" s="5" t="s">
        <v>81</v>
      </c>
      <c r="E6640" s="5" t="s">
        <v>289</v>
      </c>
      <c r="F6640" s="9">
        <v>40</v>
      </c>
      <c r="G6640" s="9" t="s">
        <v>86</v>
      </c>
      <c r="H6640" s="5" t="s">
        <v>21</v>
      </c>
      <c r="I6640" s="5" t="s">
        <v>14758</v>
      </c>
      <c r="J6640" s="12" t="str">
        <f>HYPERLINK("https://www.boe.es/gazeta/dias/1801/05/19/pdfs/GMD-C-1801-40.pdf#page=3","Abrir facsímil")</f>
        <v>Abrir facsímil</v>
      </c>
      <c r="K6640" s="15" t="s">
        <v>23</v>
      </c>
    </row>
    <row r="6641" spans="1:11" ht="42" customHeight="1">
      <c r="A6641" s="4" t="s">
        <v>14759</v>
      </c>
      <c r="B6641" s="5" t="s">
        <v>14760</v>
      </c>
      <c r="C6641" s="5" t="s">
        <v>38</v>
      </c>
      <c r="D6641" s="5" t="s">
        <v>39</v>
      </c>
      <c r="E6641" s="5" t="s">
        <v>62</v>
      </c>
      <c r="F6641" s="9">
        <v>6</v>
      </c>
      <c r="G6641" s="9">
        <v>72</v>
      </c>
      <c r="H6641" s="5" t="s">
        <v>21</v>
      </c>
      <c r="I6641" s="5" t="s">
        <v>14761</v>
      </c>
      <c r="J6641" s="12" t="str">
        <f>HYPERLINK("https://www.boe.es/gazeta/dias/1801/01/20/pdfs/GMD-1801-6.pdf#page=8","Abrir facsímil")</f>
        <v>Abrir facsímil</v>
      </c>
      <c r="K6641" s="15" t="s">
        <v>23</v>
      </c>
    </row>
    <row r="6642" spans="1:11" ht="42" customHeight="1">
      <c r="A6642" s="4" t="s">
        <v>14762</v>
      </c>
      <c r="B6642" s="5" t="s">
        <v>14763</v>
      </c>
      <c r="C6642" s="5" t="s">
        <v>38</v>
      </c>
      <c r="D6642" s="5" t="s">
        <v>39</v>
      </c>
      <c r="E6642" s="5" t="s">
        <v>919</v>
      </c>
      <c r="F6642" s="9">
        <v>91</v>
      </c>
      <c r="G6642" s="9">
        <v>1004</v>
      </c>
      <c r="H6642" s="5" t="s">
        <v>21</v>
      </c>
      <c r="I6642" s="5" t="s">
        <v>14764</v>
      </c>
      <c r="J6642" s="12" t="str">
        <f>HYPERLINK("https://www.boe.es/gazeta/dias/1801/09/22/pdfs/GMD-1801-91.pdf#page=7","Abrir facsímil")</f>
        <v>Abrir facsímil</v>
      </c>
      <c r="K6642" s="15" t="s">
        <v>23</v>
      </c>
    </row>
    <row r="6643" spans="1:11" ht="42" customHeight="1">
      <c r="A6643" s="4" t="s">
        <v>14765</v>
      </c>
      <c r="B6643" s="5" t="s">
        <v>14766</v>
      </c>
      <c r="C6643" s="5" t="s">
        <v>80</v>
      </c>
      <c r="D6643" s="5" t="s">
        <v>81</v>
      </c>
      <c r="E6643" s="5" t="s">
        <v>289</v>
      </c>
      <c r="F6643" s="9">
        <v>40</v>
      </c>
      <c r="G6643" s="9" t="s">
        <v>996</v>
      </c>
      <c r="H6643" s="5" t="s">
        <v>21</v>
      </c>
      <c r="I6643" s="5" t="s">
        <v>14767</v>
      </c>
      <c r="J6643" s="12" t="str">
        <f>HYPERLINK("https://www.boe.es/gazeta/dias/1801/05/19/pdfs/GMD-C-1801-40.pdf#page=6","Abrir facsímil")</f>
        <v>Abrir facsímil</v>
      </c>
      <c r="K6643" s="15" t="s">
        <v>23</v>
      </c>
    </row>
    <row r="6644" spans="1:11" ht="42" customHeight="1">
      <c r="A6644" s="4" t="s">
        <v>14768</v>
      </c>
      <c r="B6644" s="5" t="s">
        <v>14769</v>
      </c>
      <c r="C6644" s="5" t="s">
        <v>80</v>
      </c>
      <c r="D6644" s="5" t="s">
        <v>81</v>
      </c>
      <c r="E6644" s="5" t="s">
        <v>82</v>
      </c>
      <c r="F6644" s="9">
        <v>75</v>
      </c>
      <c r="G6644" s="9" t="s">
        <v>83</v>
      </c>
      <c r="H6644" s="5" t="s">
        <v>21</v>
      </c>
      <c r="I6644" s="5" t="s">
        <v>14770</v>
      </c>
      <c r="J6644" s="12" t="str">
        <f>HYPERLINK("https://www.boe.es/gazeta/dias/1801/08/04/pdfs/GMD-C-1801-75.pdf#page=2","Abrir facsímil")</f>
        <v>Abrir facsímil</v>
      </c>
      <c r="K6644" s="15" t="s">
        <v>23</v>
      </c>
    </row>
    <row r="6645" spans="1:11" ht="42" customHeight="1">
      <c r="A6645" s="4" t="s">
        <v>14771</v>
      </c>
      <c r="B6645" s="5" t="s">
        <v>14771</v>
      </c>
      <c r="C6645" s="5" t="s">
        <v>75</v>
      </c>
      <c r="D6645" s="5" t="s">
        <v>76</v>
      </c>
      <c r="E6645" s="5" t="s">
        <v>70</v>
      </c>
      <c r="F6645" s="9">
        <v>2</v>
      </c>
      <c r="G6645" s="9">
        <v>20</v>
      </c>
      <c r="H6645" s="5" t="s">
        <v>21</v>
      </c>
      <c r="I6645" s="5" t="s">
        <v>14772</v>
      </c>
      <c r="J6645" s="12" t="str">
        <f>HYPERLINK("https://www.boe.es/gazeta/dias/1801/01/06/pdfs/GMD-1801-2.pdf#page=8","Abrir facsímil")</f>
        <v>Abrir facsímil</v>
      </c>
      <c r="K6645" s="15" t="s">
        <v>23</v>
      </c>
    </row>
    <row r="6646" spans="1:11" ht="42" customHeight="1">
      <c r="A6646" s="4" t="s">
        <v>14773</v>
      </c>
      <c r="B6646" s="5" t="s">
        <v>14773</v>
      </c>
      <c r="C6646" s="5" t="s">
        <v>38</v>
      </c>
      <c r="D6646" s="5" t="s">
        <v>39</v>
      </c>
      <c r="E6646" s="5" t="s">
        <v>735</v>
      </c>
      <c r="F6646" s="9">
        <v>97</v>
      </c>
      <c r="G6646" s="9">
        <v>1064</v>
      </c>
      <c r="H6646" s="5" t="s">
        <v>21</v>
      </c>
      <c r="I6646" s="5" t="s">
        <v>14774</v>
      </c>
      <c r="J6646" s="12" t="str">
        <f>HYPERLINK("https://www.boe.es/gazeta/dias/1801/10/13/pdfs/GMD-1801-97.pdf#page=8","Abrir facsímil")</f>
        <v>Abrir facsímil</v>
      </c>
      <c r="K6646" s="15" t="s">
        <v>23</v>
      </c>
    </row>
    <row r="6647" spans="1:11" ht="42" customHeight="1">
      <c r="A6647" s="4" t="s">
        <v>14771</v>
      </c>
      <c r="B6647" s="5" t="s">
        <v>14771</v>
      </c>
      <c r="C6647" s="5" t="s">
        <v>75</v>
      </c>
      <c r="D6647" s="5" t="s">
        <v>76</v>
      </c>
      <c r="E6647" s="5" t="s">
        <v>935</v>
      </c>
      <c r="F6647" s="9">
        <v>116</v>
      </c>
      <c r="G6647" s="9">
        <v>1268</v>
      </c>
      <c r="H6647" s="5" t="s">
        <v>21</v>
      </c>
      <c r="I6647" s="5" t="s">
        <v>14775</v>
      </c>
      <c r="J6647" s="12" t="str">
        <f>HYPERLINK("https://www.boe.es/gazeta/dias/1801/12/18/pdfs/GMD-1801-116.pdf#page=10","Abrir facsímil")</f>
        <v>Abrir facsímil</v>
      </c>
      <c r="K6647" s="15" t="s">
        <v>23</v>
      </c>
    </row>
    <row r="6648" spans="1:11" ht="42" customHeight="1">
      <c r="A6648" s="4" t="s">
        <v>14776</v>
      </c>
      <c r="B6648" s="5" t="s">
        <v>14777</v>
      </c>
      <c r="C6648" s="5" t="s">
        <v>38</v>
      </c>
      <c r="D6648" s="5" t="s">
        <v>39</v>
      </c>
      <c r="E6648" s="5" t="s">
        <v>126</v>
      </c>
      <c r="F6648" s="9">
        <v>13</v>
      </c>
      <c r="G6648" s="9">
        <v>159</v>
      </c>
      <c r="H6648" s="5" t="s">
        <v>21</v>
      </c>
      <c r="I6648" s="5" t="s">
        <v>14778</v>
      </c>
      <c r="J6648" s="12" t="str">
        <f>HYPERLINK("https://www.boe.es/gazeta/dias/1801/02/13/pdfs/GMD-1801-13.pdf#page=6","Abrir facsímil")</f>
        <v>Abrir facsímil</v>
      </c>
      <c r="K6648" s="15" t="s">
        <v>23</v>
      </c>
    </row>
    <row r="6649" spans="1:11" ht="42" customHeight="1">
      <c r="A6649" s="4" t="s">
        <v>14779</v>
      </c>
      <c r="B6649" s="5" t="s">
        <v>14780</v>
      </c>
      <c r="C6649" s="5" t="s">
        <v>32</v>
      </c>
      <c r="D6649" s="5" t="s">
        <v>33</v>
      </c>
      <c r="E6649" s="5" t="s">
        <v>313</v>
      </c>
      <c r="F6649" s="9">
        <v>39</v>
      </c>
      <c r="G6649" s="9">
        <v>506</v>
      </c>
      <c r="H6649" s="5" t="s">
        <v>21</v>
      </c>
      <c r="I6649" s="5" t="s">
        <v>14781</v>
      </c>
      <c r="J6649" s="12" t="str">
        <f>HYPERLINK("https://www.boe.es/gazeta/dias/1801/05/15/pdfs/GMD-1801-39.pdf#page=10","Abrir facsímil")</f>
        <v>Abrir facsímil</v>
      </c>
      <c r="K6649" s="15" t="s">
        <v>23</v>
      </c>
    </row>
    <row r="6650" spans="1:11" ht="42" customHeight="1">
      <c r="A6650" s="4" t="s">
        <v>14782</v>
      </c>
      <c r="B6650" s="5" t="s">
        <v>14783</v>
      </c>
      <c r="C6650" s="5" t="s">
        <v>69</v>
      </c>
      <c r="D6650" s="5" t="s">
        <v>19</v>
      </c>
      <c r="E6650" s="5" t="s">
        <v>155</v>
      </c>
      <c r="F6650" s="9">
        <v>50</v>
      </c>
      <c r="G6650" s="9">
        <v>597</v>
      </c>
      <c r="H6650" s="5" t="s">
        <v>21</v>
      </c>
      <c r="I6650" s="5" t="s">
        <v>14784</v>
      </c>
      <c r="J6650" s="12" t="str">
        <f>HYPERLINK("https://www.boe.es/gazeta/dias/1801/06/09/pdfs/GMD-1801-50.pdf#page=9","Abrir facsímil")</f>
        <v>Abrir facsímil</v>
      </c>
      <c r="K6650" s="15" t="s">
        <v>23</v>
      </c>
    </row>
    <row r="6651" spans="1:11" ht="42" customHeight="1">
      <c r="A6651" s="4" t="s">
        <v>14785</v>
      </c>
      <c r="B6651" s="5" t="s">
        <v>14786</v>
      </c>
      <c r="C6651" s="5" t="s">
        <v>32</v>
      </c>
      <c r="D6651" s="5" t="s">
        <v>33</v>
      </c>
      <c r="E6651" s="5" t="s">
        <v>256</v>
      </c>
      <c r="F6651" s="9">
        <v>78</v>
      </c>
      <c r="G6651" s="9">
        <v>882</v>
      </c>
      <c r="H6651" s="5" t="s">
        <v>21</v>
      </c>
      <c r="I6651" s="5" t="s">
        <v>14787</v>
      </c>
      <c r="J6651" s="12" t="str">
        <f>HYPERLINK("https://www.boe.es/gazeta/dias/1801/08/14/pdfs/GMD-1801-78.pdf#page=11","Abrir facsímil")</f>
        <v>Abrir facsímil</v>
      </c>
      <c r="K6651" s="15" t="s">
        <v>23</v>
      </c>
    </row>
    <row r="6652" spans="1:11" ht="42" customHeight="1">
      <c r="A6652" s="4" t="s">
        <v>14788</v>
      </c>
      <c r="B6652" s="5" t="s">
        <v>14789</v>
      </c>
      <c r="C6652" s="5" t="s">
        <v>80</v>
      </c>
      <c r="D6652" s="5" t="s">
        <v>81</v>
      </c>
      <c r="E6652" s="5" t="s">
        <v>289</v>
      </c>
      <c r="F6652" s="9">
        <v>40</v>
      </c>
      <c r="G6652" s="9" t="s">
        <v>305</v>
      </c>
      <c r="H6652" s="5" t="s">
        <v>21</v>
      </c>
      <c r="I6652" s="5" t="s">
        <v>14790</v>
      </c>
      <c r="J6652" s="12" t="str">
        <f>HYPERLINK("https://www.boe.es/gazeta/dias/1801/05/19/pdfs/GMD-C-1801-40.pdf#page=4","Abrir facsímil")</f>
        <v>Abrir facsímil</v>
      </c>
      <c r="K6652" s="15" t="s">
        <v>23</v>
      </c>
    </row>
    <row r="6653" spans="1:11" ht="42" customHeight="1">
      <c r="A6653" s="4" t="s">
        <v>14791</v>
      </c>
      <c r="B6653" s="5" t="s">
        <v>14791</v>
      </c>
      <c r="C6653" s="5" t="s">
        <v>38</v>
      </c>
      <c r="D6653" s="5" t="s">
        <v>39</v>
      </c>
      <c r="E6653" s="5" t="s">
        <v>317</v>
      </c>
      <c r="F6653" s="9">
        <v>102</v>
      </c>
      <c r="G6653" s="9">
        <v>1120</v>
      </c>
      <c r="H6653" s="5" t="s">
        <v>21</v>
      </c>
      <c r="I6653" s="5" t="s">
        <v>14792</v>
      </c>
      <c r="J6653" s="12" t="str">
        <f>HYPERLINK("https://www.boe.es/gazeta/dias/1801/10/30/pdfs/GMD-1801-102.pdf#page=5","Abrir facsímil")</f>
        <v>Abrir facsímil</v>
      </c>
      <c r="K6653" s="15" t="s">
        <v>23</v>
      </c>
    </row>
    <row r="6654" spans="1:11" ht="42" customHeight="1">
      <c r="A6654" s="4" t="s">
        <v>14793</v>
      </c>
      <c r="B6654" s="5" t="s">
        <v>14794</v>
      </c>
      <c r="C6654" s="5" t="s">
        <v>32</v>
      </c>
      <c r="D6654" s="5" t="s">
        <v>33</v>
      </c>
      <c r="E6654" s="5" t="s">
        <v>165</v>
      </c>
      <c r="F6654" s="9">
        <v>59</v>
      </c>
      <c r="G6654" s="9">
        <v>676</v>
      </c>
      <c r="H6654" s="5" t="s">
        <v>21</v>
      </c>
      <c r="I6654" s="5" t="s">
        <v>14795</v>
      </c>
      <c r="J6654" s="12" t="str">
        <f>HYPERLINK("https://www.boe.es/gazeta/dias/1801/06/23/pdfs/GMD-1801-59.pdf#page=9","Abrir facsímil")</f>
        <v>Abrir facsímil</v>
      </c>
      <c r="K6654" s="15" t="s">
        <v>23</v>
      </c>
    </row>
    <row r="6655" spans="1:11" ht="42" customHeight="1">
      <c r="A6655" s="4" t="s">
        <v>14796</v>
      </c>
      <c r="B6655" s="5" t="s">
        <v>14797</v>
      </c>
      <c r="C6655" s="5" t="s">
        <v>32</v>
      </c>
      <c r="D6655" s="5" t="s">
        <v>33</v>
      </c>
      <c r="E6655" s="5" t="s">
        <v>145</v>
      </c>
      <c r="F6655" s="9">
        <v>36</v>
      </c>
      <c r="G6655" s="9">
        <v>468</v>
      </c>
      <c r="H6655" s="5" t="s">
        <v>21</v>
      </c>
      <c r="I6655" s="5" t="s">
        <v>14798</v>
      </c>
      <c r="J6655" s="12" t="str">
        <f>HYPERLINK("https://www.boe.es/gazeta/dias/1801/05/05/pdfs/GMD-1801-36.pdf#page=12","Abrir facsímil")</f>
        <v>Abrir facsímil</v>
      </c>
      <c r="K6655" s="15" t="s">
        <v>23</v>
      </c>
    </row>
    <row r="6656" spans="1:11" ht="42" customHeight="1">
      <c r="A6656" s="4" t="s">
        <v>14799</v>
      </c>
      <c r="B6656" s="5" t="s">
        <v>14800</v>
      </c>
      <c r="C6656" s="5" t="s">
        <v>18</v>
      </c>
      <c r="D6656" s="5" t="s">
        <v>19</v>
      </c>
      <c r="E6656" s="5" t="s">
        <v>615</v>
      </c>
      <c r="F6656" s="9">
        <v>72</v>
      </c>
      <c r="G6656" s="9">
        <v>803</v>
      </c>
      <c r="H6656" s="5" t="s">
        <v>21</v>
      </c>
      <c r="I6656" s="5" t="s">
        <v>14801</v>
      </c>
      <c r="J6656" s="12" t="str">
        <f>HYPERLINK("https://www.boe.es/gazeta/dias/1801/07/24/pdfs/GMD-1801-72.pdf#page=8","Abrir facsímil")</f>
        <v>Abrir facsímil</v>
      </c>
      <c r="K6656" s="15" t="s">
        <v>23</v>
      </c>
    </row>
    <row r="6657" spans="1:11" ht="42" customHeight="1">
      <c r="A6657" s="4" t="s">
        <v>14802</v>
      </c>
      <c r="B6657" s="5" t="s">
        <v>14803</v>
      </c>
      <c r="C6657" s="5" t="s">
        <v>32</v>
      </c>
      <c r="D6657" s="5" t="s">
        <v>33</v>
      </c>
      <c r="E6657" s="5" t="s">
        <v>2237</v>
      </c>
      <c r="F6657" s="9">
        <v>82</v>
      </c>
      <c r="G6657" s="9">
        <v>917</v>
      </c>
      <c r="H6657" s="5" t="s">
        <v>21</v>
      </c>
      <c r="I6657" s="5" t="s">
        <v>14804</v>
      </c>
      <c r="J6657" s="12" t="str">
        <f>HYPERLINK("https://www.boe.es/gazeta/dias/1801/08/28/pdfs/GMD-1801-82.pdf#page=6","Abrir facsímil")</f>
        <v>Abrir facsímil</v>
      </c>
      <c r="K6657" s="15" t="s">
        <v>23</v>
      </c>
    </row>
    <row r="6658" spans="1:11" ht="42" customHeight="1">
      <c r="A6658" s="4" t="s">
        <v>14805</v>
      </c>
      <c r="B6658" s="5" t="s">
        <v>14806</v>
      </c>
      <c r="C6658" s="5" t="s">
        <v>75</v>
      </c>
      <c r="D6658" s="5" t="s">
        <v>76</v>
      </c>
      <c r="E6658" s="5" t="s">
        <v>124</v>
      </c>
      <c r="F6658" s="9">
        <v>12</v>
      </c>
      <c r="G6658" s="9">
        <v>143</v>
      </c>
      <c r="H6658" s="5" t="s">
        <v>21</v>
      </c>
      <c r="I6658" s="5" t="s">
        <v>14807</v>
      </c>
      <c r="J6658" s="12" t="str">
        <f>HYPERLINK("https://www.boe.es/gazeta/dias/1801/02/10/pdfs/GMD-1801-12.pdf#page=4","Abrir facsímil")</f>
        <v>Abrir facsímil</v>
      </c>
      <c r="K6658" s="15" t="s">
        <v>23</v>
      </c>
    </row>
    <row r="6659" spans="1:11" ht="42" customHeight="1">
      <c r="A6659" s="4" t="s">
        <v>14805</v>
      </c>
      <c r="B6659" s="5" t="s">
        <v>14806</v>
      </c>
      <c r="C6659" s="5" t="s">
        <v>75</v>
      </c>
      <c r="D6659" s="5" t="s">
        <v>76</v>
      </c>
      <c r="E6659" s="5" t="s">
        <v>182</v>
      </c>
      <c r="F6659" s="9">
        <v>18</v>
      </c>
      <c r="G6659" s="9">
        <v>223</v>
      </c>
      <c r="H6659" s="5" t="s">
        <v>21</v>
      </c>
      <c r="I6659" s="5" t="s">
        <v>14808</v>
      </c>
      <c r="J6659" s="12" t="str">
        <f>HYPERLINK("https://www.boe.es/gazeta/dias/1801/03/03/pdfs/GMD-1801-18.pdf#page=4","Abrir facsímil")</f>
        <v>Abrir facsímil</v>
      </c>
      <c r="K6659" s="15" t="s">
        <v>23</v>
      </c>
    </row>
    <row r="6660" spans="1:11" ht="42" customHeight="1">
      <c r="A6660" s="4" t="s">
        <v>14809</v>
      </c>
      <c r="B6660" s="5" t="s">
        <v>14810</v>
      </c>
      <c r="C6660" s="5" t="s">
        <v>26</v>
      </c>
      <c r="D6660" s="5" t="s">
        <v>27</v>
      </c>
      <c r="E6660" s="5" t="s">
        <v>501</v>
      </c>
      <c r="F6660" s="9">
        <v>115</v>
      </c>
      <c r="G6660" s="9" t="s">
        <v>86</v>
      </c>
      <c r="H6660" s="5" t="s">
        <v>21</v>
      </c>
      <c r="I6660" s="5" t="s">
        <v>14811</v>
      </c>
      <c r="J6660" s="12" t="str">
        <f>HYPERLINK("https://www.boe.es/gazeta/dias/1801/12/15/pdfs/GMD-C-1801-115.pdf#page=3","Abrir facsímil")</f>
        <v>Abrir facsímil</v>
      </c>
      <c r="K6660" s="15" t="s">
        <v>23</v>
      </c>
    </row>
    <row r="6661" spans="1:11" ht="42" customHeight="1">
      <c r="A6661" s="4" t="s">
        <v>14812</v>
      </c>
      <c r="B6661" s="5" t="s">
        <v>14813</v>
      </c>
      <c r="C6661" s="5" t="s">
        <v>32</v>
      </c>
      <c r="D6661" s="5" t="s">
        <v>33</v>
      </c>
      <c r="E6661" s="5" t="s">
        <v>131</v>
      </c>
      <c r="F6661" s="9">
        <v>22</v>
      </c>
      <c r="G6661" s="9">
        <v>289</v>
      </c>
      <c r="H6661" s="5" t="s">
        <v>21</v>
      </c>
      <c r="I6661" s="5" t="s">
        <v>14814</v>
      </c>
      <c r="J6661" s="12" t="str">
        <f>HYPERLINK("https://www.boe.es/gazeta/dias/1801/03/17/pdfs/GMD-1801-22.pdf#page=6","Abrir facsímil")</f>
        <v>Abrir facsímil</v>
      </c>
      <c r="K6661" s="15" t="s">
        <v>23</v>
      </c>
    </row>
    <row r="6662" spans="1:11" ht="42" customHeight="1">
      <c r="A6662" s="4" t="s">
        <v>14815</v>
      </c>
      <c r="B6662" s="5" t="s">
        <v>14815</v>
      </c>
      <c r="C6662" s="5" t="s">
        <v>32</v>
      </c>
      <c r="D6662" s="5" t="s">
        <v>33</v>
      </c>
      <c r="E6662" s="5" t="s">
        <v>262</v>
      </c>
      <c r="F6662" s="9">
        <v>109</v>
      </c>
      <c r="G6662" s="9">
        <v>1204</v>
      </c>
      <c r="H6662" s="5" t="s">
        <v>21</v>
      </c>
      <c r="I6662" s="5" t="s">
        <v>14816</v>
      </c>
      <c r="J6662" s="12" t="str">
        <f>HYPERLINK("https://www.boe.es/gazeta/dias/1801/11/24/pdfs/GMD-1801-109.pdf#page=9","Abrir facsímil")</f>
        <v>Abrir facsímil</v>
      </c>
      <c r="K6662" s="15" t="s">
        <v>23</v>
      </c>
    </row>
    <row r="6663" spans="1:11" ht="42" customHeight="1">
      <c r="A6663" s="4" t="s">
        <v>14817</v>
      </c>
      <c r="B6663" s="5" t="s">
        <v>14818</v>
      </c>
      <c r="C6663" s="5" t="s">
        <v>32</v>
      </c>
      <c r="D6663" s="5" t="s">
        <v>33</v>
      </c>
      <c r="E6663" s="5" t="s">
        <v>1085</v>
      </c>
      <c r="F6663" s="9">
        <v>99</v>
      </c>
      <c r="G6663" s="9">
        <v>1089</v>
      </c>
      <c r="H6663" s="5" t="s">
        <v>21</v>
      </c>
      <c r="I6663" s="5" t="s">
        <v>14819</v>
      </c>
      <c r="J6663" s="12" t="str">
        <f>HYPERLINK("https://www.boe.es/gazeta/dias/1801/10/20/pdfs/GMD-1801-99.pdf#page=6","Abrir facsímil")</f>
        <v>Abrir facsímil</v>
      </c>
      <c r="K6663" s="15" t="s">
        <v>23</v>
      </c>
    </row>
    <row r="6664" spans="1:11" ht="42" customHeight="1">
      <c r="A6664" s="4" t="s">
        <v>14820</v>
      </c>
      <c r="B6664" s="5" t="s">
        <v>14821</v>
      </c>
      <c r="C6664" s="5" t="s">
        <v>32</v>
      </c>
      <c r="D6664" s="5" t="s">
        <v>33</v>
      </c>
      <c r="E6664" s="5" t="s">
        <v>378</v>
      </c>
      <c r="F6664" s="9">
        <v>23</v>
      </c>
      <c r="G6664" s="9">
        <v>306</v>
      </c>
      <c r="H6664" s="5" t="s">
        <v>21</v>
      </c>
      <c r="I6664" s="5" t="s">
        <v>14822</v>
      </c>
      <c r="J6664" s="12" t="str">
        <f>HYPERLINK("https://www.boe.es/gazeta/dias/1801/03/20/pdfs/GMD-1801-23.pdf#page=9","Abrir facsímil")</f>
        <v>Abrir facsímil</v>
      </c>
      <c r="K6664" s="15" t="s">
        <v>23</v>
      </c>
    </row>
    <row r="6665" spans="1:11" ht="42" customHeight="1">
      <c r="A6665" s="4" t="s">
        <v>14823</v>
      </c>
      <c r="B6665" s="5" t="s">
        <v>14824</v>
      </c>
      <c r="C6665" s="5" t="s">
        <v>69</v>
      </c>
      <c r="D6665" s="5" t="s">
        <v>19</v>
      </c>
      <c r="E6665" s="5" t="s">
        <v>223</v>
      </c>
      <c r="F6665" s="9">
        <v>74</v>
      </c>
      <c r="G6665" s="9">
        <v>826</v>
      </c>
      <c r="H6665" s="5" t="s">
        <v>21</v>
      </c>
      <c r="I6665" s="5" t="s">
        <v>14825</v>
      </c>
      <c r="J6665" s="12" t="str">
        <f>HYPERLINK("https://www.boe.es/gazeta/dias/1801/07/31/pdfs/GMD-1801-74.pdf#page=7","Abrir facsímil")</f>
        <v>Abrir facsímil</v>
      </c>
      <c r="K6665" s="15" t="s">
        <v>23</v>
      </c>
    </row>
    <row r="6666" spans="1:11" ht="42" customHeight="1">
      <c r="A6666" s="4" t="s">
        <v>14826</v>
      </c>
      <c r="B6666" s="5" t="s">
        <v>14826</v>
      </c>
      <c r="C6666" s="5" t="s">
        <v>38</v>
      </c>
      <c r="D6666" s="5" t="s">
        <v>39</v>
      </c>
      <c r="E6666" s="5" t="s">
        <v>131</v>
      </c>
      <c r="F6666" s="9">
        <v>22</v>
      </c>
      <c r="G6666" s="9">
        <v>286</v>
      </c>
      <c r="H6666" s="5" t="s">
        <v>21</v>
      </c>
      <c r="I6666" s="5" t="s">
        <v>14827</v>
      </c>
      <c r="J6666" s="12" t="str">
        <f>HYPERLINK("https://www.boe.es/gazeta/dias/1801/03/17/pdfs/GMD-1801-22.pdf#page=3","Abrir facsímil")</f>
        <v>Abrir facsímil</v>
      </c>
      <c r="K6666" s="15" t="s">
        <v>23</v>
      </c>
    </row>
    <row r="6667" spans="1:11" ht="42" customHeight="1">
      <c r="A6667" s="4" t="s">
        <v>14828</v>
      </c>
      <c r="B6667" s="5" t="s">
        <v>14829</v>
      </c>
      <c r="C6667" s="5" t="s">
        <v>38</v>
      </c>
      <c r="D6667" s="5" t="s">
        <v>39</v>
      </c>
      <c r="E6667" s="5" t="s">
        <v>1436</v>
      </c>
      <c r="F6667" s="9">
        <v>95</v>
      </c>
      <c r="G6667" s="9">
        <v>1041</v>
      </c>
      <c r="H6667" s="5" t="s">
        <v>21</v>
      </c>
      <c r="I6667" s="5" t="s">
        <v>14830</v>
      </c>
      <c r="J6667" s="12" t="str">
        <f>HYPERLINK("https://www.boe.es/gazeta/dias/1801/10/06/pdfs/GMD-1801-95.pdf#page=5","Abrir facsímil")</f>
        <v>Abrir facsímil</v>
      </c>
      <c r="K6667" s="15" t="s">
        <v>23</v>
      </c>
    </row>
    <row r="6668" spans="1:11" ht="42" customHeight="1">
      <c r="A6668" s="4" t="s">
        <v>14831</v>
      </c>
      <c r="B6668" s="5" t="s">
        <v>14832</v>
      </c>
      <c r="C6668" s="5" t="s">
        <v>32</v>
      </c>
      <c r="D6668" s="5" t="s">
        <v>33</v>
      </c>
      <c r="E6668" s="5" t="s">
        <v>453</v>
      </c>
      <c r="F6668" s="9">
        <v>100</v>
      </c>
      <c r="G6668" s="9">
        <v>1101</v>
      </c>
      <c r="H6668" s="5" t="s">
        <v>21</v>
      </c>
      <c r="I6668" s="5" t="s">
        <v>14833</v>
      </c>
      <c r="J6668" s="12" t="str">
        <f>HYPERLINK("https://www.boe.es/gazeta/dias/1801/10/23/pdfs/GMD-1801-100.pdf#page=10","Abrir facsímil")</f>
        <v>Abrir facsímil</v>
      </c>
      <c r="K6668" s="15" t="s">
        <v>23</v>
      </c>
    </row>
    <row r="6669" spans="1:11" ht="42" customHeight="1">
      <c r="A6669" s="4" t="s">
        <v>14834</v>
      </c>
      <c r="B6669" s="5" t="s">
        <v>14835</v>
      </c>
      <c r="C6669" s="5" t="s">
        <v>32</v>
      </c>
      <c r="D6669" s="5" t="s">
        <v>33</v>
      </c>
      <c r="E6669" s="5" t="s">
        <v>171</v>
      </c>
      <c r="F6669" s="9">
        <v>76</v>
      </c>
      <c r="G6669" s="9">
        <v>852</v>
      </c>
      <c r="H6669" s="5" t="s">
        <v>21</v>
      </c>
      <c r="I6669" s="5" t="s">
        <v>14836</v>
      </c>
      <c r="J6669" s="12" t="str">
        <f>HYPERLINK("https://www.boe.es/gazeta/dias/1801/08/07/pdfs/GMD-1801-76.pdf#page=9","Abrir facsímil")</f>
        <v>Abrir facsímil</v>
      </c>
      <c r="K6669" s="15" t="s">
        <v>23</v>
      </c>
    </row>
    <row r="6670" spans="1:11" ht="42" customHeight="1">
      <c r="A6670" s="4" t="s">
        <v>14837</v>
      </c>
      <c r="B6670" s="5" t="s">
        <v>14837</v>
      </c>
      <c r="C6670" s="5" t="s">
        <v>18</v>
      </c>
      <c r="D6670" s="5" t="s">
        <v>19</v>
      </c>
      <c r="E6670" s="5" t="s">
        <v>90</v>
      </c>
      <c r="F6670" s="9">
        <v>1</v>
      </c>
      <c r="G6670" s="9">
        <v>4</v>
      </c>
      <c r="H6670" s="5" t="s">
        <v>21</v>
      </c>
      <c r="I6670" s="5" t="s">
        <v>14838</v>
      </c>
      <c r="J6670" s="12" t="str">
        <f>HYPERLINK("https://www.boe.es/gazeta/dias/1801/01/02/pdfs/GMD-1801-1.pdf#page=4","Abrir facsímil")</f>
        <v>Abrir facsímil</v>
      </c>
      <c r="K6670" s="15" t="s">
        <v>23</v>
      </c>
    </row>
    <row r="6671" spans="1:11" ht="42" customHeight="1">
      <c r="A6671" s="4" t="s">
        <v>14837</v>
      </c>
      <c r="B6671" s="5" t="s">
        <v>14837</v>
      </c>
      <c r="C6671" s="5" t="s">
        <v>75</v>
      </c>
      <c r="D6671" s="5" t="s">
        <v>76</v>
      </c>
      <c r="E6671" s="5" t="s">
        <v>70</v>
      </c>
      <c r="F6671" s="9">
        <v>2</v>
      </c>
      <c r="G6671" s="9">
        <v>15</v>
      </c>
      <c r="H6671" s="5" t="s">
        <v>21</v>
      </c>
      <c r="I6671" s="5" t="s">
        <v>14839</v>
      </c>
      <c r="J6671" s="12" t="str">
        <f>HYPERLINK("https://www.boe.es/gazeta/dias/1801/01/06/pdfs/GMD-1801-2.pdf#page=3","Abrir facsímil")</f>
        <v>Abrir facsímil</v>
      </c>
      <c r="K6671" s="15" t="s">
        <v>23</v>
      </c>
    </row>
    <row r="6672" spans="1:11" ht="42" customHeight="1">
      <c r="A6672" s="4" t="s">
        <v>14837</v>
      </c>
      <c r="B6672" s="5" t="s">
        <v>14837</v>
      </c>
      <c r="C6672" s="5" t="s">
        <v>75</v>
      </c>
      <c r="D6672" s="5" t="s">
        <v>76</v>
      </c>
      <c r="E6672" s="5" t="s">
        <v>120</v>
      </c>
      <c r="F6672" s="9">
        <v>7</v>
      </c>
      <c r="G6672" s="9">
        <v>80</v>
      </c>
      <c r="H6672" s="5" t="s">
        <v>21</v>
      </c>
      <c r="I6672" s="5" t="s">
        <v>14840</v>
      </c>
      <c r="J6672" s="12" t="str">
        <f>HYPERLINK("https://www.boe.es/gazeta/dias/1801/01/23/pdfs/GMD-1801-7.pdf#page=4","Abrir facsímil")</f>
        <v>Abrir facsímil</v>
      </c>
      <c r="K6672" s="15" t="s">
        <v>23</v>
      </c>
    </row>
    <row r="6673" spans="1:11" ht="42" customHeight="1">
      <c r="A6673" s="4" t="s">
        <v>14837</v>
      </c>
      <c r="B6673" s="5" t="s">
        <v>14837</v>
      </c>
      <c r="C6673" s="5" t="s">
        <v>75</v>
      </c>
      <c r="D6673" s="5" t="s">
        <v>76</v>
      </c>
      <c r="E6673" s="5" t="s">
        <v>94</v>
      </c>
      <c r="F6673" s="9">
        <v>19</v>
      </c>
      <c r="G6673" s="9">
        <v>239</v>
      </c>
      <c r="H6673" s="5" t="s">
        <v>21</v>
      </c>
      <c r="I6673" s="5" t="s">
        <v>14841</v>
      </c>
      <c r="J6673" s="12" t="str">
        <f>HYPERLINK("https://www.boe.es/gazeta/dias/1801/03/06/pdfs/GMD-1801-19.pdf#page=4","Abrir facsímil")</f>
        <v>Abrir facsímil</v>
      </c>
      <c r="K6673" s="15" t="s">
        <v>23</v>
      </c>
    </row>
    <row r="6674" spans="1:11" ht="42" customHeight="1">
      <c r="A6674" s="4" t="s">
        <v>14837</v>
      </c>
      <c r="B6674" s="5" t="s">
        <v>14837</v>
      </c>
      <c r="C6674" s="5" t="s">
        <v>75</v>
      </c>
      <c r="D6674" s="5" t="s">
        <v>76</v>
      </c>
      <c r="E6674" s="5" t="s">
        <v>48</v>
      </c>
      <c r="F6674" s="9">
        <v>20</v>
      </c>
      <c r="G6674" s="9">
        <v>259</v>
      </c>
      <c r="H6674" s="5" t="s">
        <v>21</v>
      </c>
      <c r="I6674" s="5" t="s">
        <v>14842</v>
      </c>
      <c r="J6674" s="12" t="str">
        <f>HYPERLINK("https://www.boe.es/gazeta/dias/1801/03/10/pdfs/GMD-1801-20.pdf#page=4","Abrir facsímil")</f>
        <v>Abrir facsímil</v>
      </c>
      <c r="K6674" s="15" t="s">
        <v>23</v>
      </c>
    </row>
    <row r="6675" spans="1:11" ht="42" customHeight="1">
      <c r="A6675" s="4" t="s">
        <v>14837</v>
      </c>
      <c r="B6675" s="5" t="s">
        <v>14837</v>
      </c>
      <c r="C6675" s="5" t="s">
        <v>32</v>
      </c>
      <c r="D6675" s="5" t="s">
        <v>33</v>
      </c>
      <c r="E6675" s="5" t="s">
        <v>186</v>
      </c>
      <c r="F6675" s="9">
        <v>21</v>
      </c>
      <c r="G6675" s="9">
        <v>276</v>
      </c>
      <c r="H6675" s="5" t="s">
        <v>21</v>
      </c>
      <c r="I6675" s="5" t="s">
        <v>14843</v>
      </c>
      <c r="J6675" s="12" t="str">
        <f>HYPERLINK("https://www.boe.es/gazeta/dias/1801/03/13/pdfs/GMD-1801-21.pdf#page=5","Abrir facsímil")</f>
        <v>Abrir facsímil</v>
      </c>
      <c r="K6675" s="15" t="s">
        <v>23</v>
      </c>
    </row>
    <row r="6676" spans="1:11" ht="42" customHeight="1">
      <c r="A6676" s="4" t="s">
        <v>14837</v>
      </c>
      <c r="B6676" s="5" t="s">
        <v>14837</v>
      </c>
      <c r="C6676" s="5" t="s">
        <v>75</v>
      </c>
      <c r="D6676" s="5" t="s">
        <v>76</v>
      </c>
      <c r="E6676" s="5" t="s">
        <v>186</v>
      </c>
      <c r="F6676" s="9">
        <v>21</v>
      </c>
      <c r="G6676" s="9">
        <v>277</v>
      </c>
      <c r="H6676" s="5" t="s">
        <v>21</v>
      </c>
      <c r="I6676" s="5" t="s">
        <v>14844</v>
      </c>
      <c r="J6676" s="12" t="str">
        <f>HYPERLINK("https://www.boe.es/gazeta/dias/1801/03/13/pdfs/GMD-1801-21.pdf#page=6","Abrir facsímil")</f>
        <v>Abrir facsímil</v>
      </c>
      <c r="K6676" s="15" t="s">
        <v>23</v>
      </c>
    </row>
    <row r="6677" spans="1:11" ht="42" customHeight="1">
      <c r="A6677" s="4" t="s">
        <v>14837</v>
      </c>
      <c r="B6677" s="5" t="s">
        <v>14837</v>
      </c>
      <c r="C6677" s="5" t="s">
        <v>38</v>
      </c>
      <c r="D6677" s="5" t="s">
        <v>39</v>
      </c>
      <c r="E6677" s="5" t="s">
        <v>131</v>
      </c>
      <c r="F6677" s="9">
        <v>22</v>
      </c>
      <c r="G6677" s="9">
        <v>286</v>
      </c>
      <c r="H6677" s="5" t="s">
        <v>21</v>
      </c>
      <c r="I6677" s="5" t="s">
        <v>14845</v>
      </c>
      <c r="J6677" s="12" t="str">
        <f>HYPERLINK("https://www.boe.es/gazeta/dias/1801/03/17/pdfs/GMD-1801-22.pdf#page=3","Abrir facsímil")</f>
        <v>Abrir facsímil</v>
      </c>
      <c r="K6677" s="15" t="s">
        <v>23</v>
      </c>
    </row>
    <row r="6678" spans="1:11" ht="42" customHeight="1">
      <c r="A6678" s="4" t="s">
        <v>14846</v>
      </c>
      <c r="B6678" s="5" t="s">
        <v>14846</v>
      </c>
      <c r="C6678" s="5" t="s">
        <v>32</v>
      </c>
      <c r="D6678" s="5" t="s">
        <v>33</v>
      </c>
      <c r="E6678" s="5" t="s">
        <v>135</v>
      </c>
      <c r="F6678" s="9">
        <v>24</v>
      </c>
      <c r="G6678" s="9">
        <v>313</v>
      </c>
      <c r="H6678" s="5" t="s">
        <v>21</v>
      </c>
      <c r="I6678" s="5" t="s">
        <v>14847</v>
      </c>
      <c r="J6678" s="12" t="str">
        <f>HYPERLINK("https://www.boe.es/gazeta/dias/1801/03/24/pdfs/GMD-1801-24.pdf#page=4","Abrir facsímil")</f>
        <v>Abrir facsímil</v>
      </c>
      <c r="K6678" s="15" t="s">
        <v>23</v>
      </c>
    </row>
    <row r="6679" spans="1:11" ht="42" customHeight="1">
      <c r="A6679" s="4" t="s">
        <v>14837</v>
      </c>
      <c r="B6679" s="5" t="s">
        <v>14837</v>
      </c>
      <c r="C6679" s="5" t="s">
        <v>75</v>
      </c>
      <c r="D6679" s="5" t="s">
        <v>76</v>
      </c>
      <c r="E6679" s="5" t="s">
        <v>292</v>
      </c>
      <c r="F6679" s="9">
        <v>25</v>
      </c>
      <c r="G6679" s="9">
        <v>326</v>
      </c>
      <c r="H6679" s="5" t="s">
        <v>21</v>
      </c>
      <c r="I6679" s="5" t="s">
        <v>14848</v>
      </c>
      <c r="J6679" s="12" t="str">
        <f>HYPERLINK("https://www.boe.es/gazeta/dias/1801/03/27/pdfs/GMD-1801-25.pdf#page=5","Abrir facsímil")</f>
        <v>Abrir facsímil</v>
      </c>
      <c r="K6679" s="15" t="s">
        <v>23</v>
      </c>
    </row>
    <row r="6680" spans="1:11" ht="42" customHeight="1">
      <c r="A6680" s="4" t="s">
        <v>14837</v>
      </c>
      <c r="B6680" s="5" t="s">
        <v>14837</v>
      </c>
      <c r="C6680" s="5" t="s">
        <v>75</v>
      </c>
      <c r="D6680" s="5" t="s">
        <v>76</v>
      </c>
      <c r="E6680" s="5" t="s">
        <v>292</v>
      </c>
      <c r="F6680" s="9">
        <v>25</v>
      </c>
      <c r="G6680" s="9">
        <v>327</v>
      </c>
      <c r="H6680" s="5" t="s">
        <v>21</v>
      </c>
      <c r="I6680" s="5" t="s">
        <v>14849</v>
      </c>
      <c r="J6680" s="12" t="str">
        <f>HYPERLINK("https://www.boe.es/gazeta/dias/1801/03/27/pdfs/GMD-1801-25.pdf#page=6","Abrir facsímil")</f>
        <v>Abrir facsímil</v>
      </c>
      <c r="K6680" s="15" t="s">
        <v>23</v>
      </c>
    </row>
    <row r="6681" spans="1:11" ht="42" customHeight="1">
      <c r="A6681" s="4" t="s">
        <v>14837</v>
      </c>
      <c r="B6681" s="5" t="s">
        <v>14837</v>
      </c>
      <c r="C6681" s="5" t="s">
        <v>75</v>
      </c>
      <c r="D6681" s="5" t="s">
        <v>76</v>
      </c>
      <c r="E6681" s="5" t="s">
        <v>292</v>
      </c>
      <c r="F6681" s="9">
        <v>25</v>
      </c>
      <c r="G6681" s="9">
        <v>328</v>
      </c>
      <c r="H6681" s="5" t="s">
        <v>21</v>
      </c>
      <c r="I6681" s="5" t="s">
        <v>14850</v>
      </c>
      <c r="J6681" s="12" t="str">
        <f>HYPERLINK("https://www.boe.es/gazeta/dias/1801/03/27/pdfs/GMD-1801-25.pdf#page=7","Abrir facsímil")</f>
        <v>Abrir facsímil</v>
      </c>
      <c r="K6681" s="15" t="s">
        <v>23</v>
      </c>
    </row>
    <row r="6682" spans="1:11" ht="42" customHeight="1">
      <c r="A6682" s="4" t="s">
        <v>14837</v>
      </c>
      <c r="B6682" s="5" t="s">
        <v>14837</v>
      </c>
      <c r="C6682" s="5" t="s">
        <v>32</v>
      </c>
      <c r="D6682" s="5" t="s">
        <v>33</v>
      </c>
      <c r="E6682" s="5" t="s">
        <v>219</v>
      </c>
      <c r="F6682" s="9">
        <v>26</v>
      </c>
      <c r="G6682" s="9">
        <v>339</v>
      </c>
      <c r="H6682" s="5" t="s">
        <v>21</v>
      </c>
      <c r="I6682" s="5" t="s">
        <v>14851</v>
      </c>
      <c r="J6682" s="12" t="str">
        <f>HYPERLINK("https://www.boe.es/gazeta/dias/1801/03/31/pdfs/GMD-1801-26.pdf#page=3","Abrir facsímil")</f>
        <v>Abrir facsímil</v>
      </c>
      <c r="K6682" s="15" t="s">
        <v>23</v>
      </c>
    </row>
    <row r="6683" spans="1:11" ht="42" customHeight="1">
      <c r="A6683" s="4" t="s">
        <v>14837</v>
      </c>
      <c r="B6683" s="5" t="s">
        <v>14837</v>
      </c>
      <c r="C6683" s="5" t="s">
        <v>38</v>
      </c>
      <c r="D6683" s="5" t="s">
        <v>39</v>
      </c>
      <c r="E6683" s="5" t="s">
        <v>219</v>
      </c>
      <c r="F6683" s="9">
        <v>26</v>
      </c>
      <c r="G6683" s="9">
        <v>342</v>
      </c>
      <c r="H6683" s="5" t="s">
        <v>21</v>
      </c>
      <c r="I6683" s="5" t="s">
        <v>14852</v>
      </c>
      <c r="J6683" s="12" t="str">
        <f>HYPERLINK("https://www.boe.es/gazeta/dias/1801/03/31/pdfs/GMD-1801-26.pdf#page=6","Abrir facsímil")</f>
        <v>Abrir facsímil</v>
      </c>
      <c r="K6683" s="15" t="s">
        <v>23</v>
      </c>
    </row>
    <row r="6684" spans="1:11" ht="42" customHeight="1">
      <c r="A6684" s="4" t="s">
        <v>14837</v>
      </c>
      <c r="B6684" s="5" t="s">
        <v>14837</v>
      </c>
      <c r="C6684" s="5" t="s">
        <v>75</v>
      </c>
      <c r="D6684" s="5" t="s">
        <v>76</v>
      </c>
      <c r="E6684" s="5" t="s">
        <v>97</v>
      </c>
      <c r="F6684" s="9">
        <v>31</v>
      </c>
      <c r="G6684" s="9">
        <v>399</v>
      </c>
      <c r="H6684" s="5" t="s">
        <v>21</v>
      </c>
      <c r="I6684" s="5" t="s">
        <v>14853</v>
      </c>
      <c r="J6684" s="12" t="str">
        <f>HYPERLINK("https://www.boe.es/gazeta/dias/1801/04/17/pdfs/GMD-1801-31.pdf#page=3","Abrir facsímil")</f>
        <v>Abrir facsímil</v>
      </c>
      <c r="K6684" s="15" t="s">
        <v>23</v>
      </c>
    </row>
    <row r="6685" spans="1:11" ht="42" customHeight="1">
      <c r="A6685" s="4" t="s">
        <v>14837</v>
      </c>
      <c r="B6685" s="5" t="s">
        <v>14837</v>
      </c>
      <c r="C6685" s="5" t="s">
        <v>75</v>
      </c>
      <c r="D6685" s="5" t="s">
        <v>76</v>
      </c>
      <c r="E6685" s="5" t="s">
        <v>141</v>
      </c>
      <c r="F6685" s="9">
        <v>33</v>
      </c>
      <c r="G6685" s="9">
        <v>421</v>
      </c>
      <c r="H6685" s="5" t="s">
        <v>21</v>
      </c>
      <c r="I6685" s="5" t="s">
        <v>14854</v>
      </c>
      <c r="J6685" s="12" t="str">
        <f>HYPERLINK("https://www.boe.es/gazeta/dias/1801/04/24/pdfs/GMD-1801-33.pdf#page=5","Abrir facsímil")</f>
        <v>Abrir facsímil</v>
      </c>
      <c r="K6685" s="15" t="s">
        <v>23</v>
      </c>
    </row>
    <row r="6686" spans="1:11" ht="42" customHeight="1">
      <c r="A6686" s="4" t="s">
        <v>14837</v>
      </c>
      <c r="B6686" s="5" t="s">
        <v>14837</v>
      </c>
      <c r="C6686" s="5" t="s">
        <v>38</v>
      </c>
      <c r="D6686" s="5" t="s">
        <v>39</v>
      </c>
      <c r="E6686" s="5" t="s">
        <v>72</v>
      </c>
      <c r="F6686" s="9">
        <v>60</v>
      </c>
      <c r="G6686" s="9">
        <v>684</v>
      </c>
      <c r="H6686" s="5" t="s">
        <v>21</v>
      </c>
      <c r="I6686" s="5" t="s">
        <v>14855</v>
      </c>
      <c r="J6686" s="12" t="str">
        <f>HYPERLINK("https://www.boe.es/gazeta/dias/1801/06/26/pdfs/GMD-1801-60.pdf#page=5","Abrir facsímil")</f>
        <v>Abrir facsímil</v>
      </c>
      <c r="K6686" s="15" t="s">
        <v>23</v>
      </c>
    </row>
    <row r="6687" spans="1:11" ht="42" customHeight="1">
      <c r="A6687" s="4" t="s">
        <v>14837</v>
      </c>
      <c r="B6687" s="5" t="s">
        <v>14837</v>
      </c>
      <c r="C6687" s="5" t="s">
        <v>32</v>
      </c>
      <c r="D6687" s="5" t="s">
        <v>33</v>
      </c>
      <c r="E6687" s="5" t="s">
        <v>417</v>
      </c>
      <c r="F6687" s="9">
        <v>64</v>
      </c>
      <c r="G6687" s="9">
        <v>723</v>
      </c>
      <c r="H6687" s="5" t="s">
        <v>21</v>
      </c>
      <c r="I6687" s="5" t="s">
        <v>14856</v>
      </c>
      <c r="J6687" s="12" t="str">
        <f>HYPERLINK("https://www.boe.es/gazeta/dias/1801/07/07/pdfs/GMD-1801-64.pdf#page=4","Abrir facsímil")</f>
        <v>Abrir facsímil</v>
      </c>
      <c r="K6687" s="15" t="s">
        <v>23</v>
      </c>
    </row>
    <row r="6688" spans="1:11" ht="42" customHeight="1">
      <c r="A6688" s="4" t="s">
        <v>14837</v>
      </c>
      <c r="B6688" s="5" t="s">
        <v>14837</v>
      </c>
      <c r="C6688" s="5" t="s">
        <v>75</v>
      </c>
      <c r="D6688" s="5" t="s">
        <v>76</v>
      </c>
      <c r="E6688" s="5" t="s">
        <v>328</v>
      </c>
      <c r="F6688" s="9">
        <v>89</v>
      </c>
      <c r="G6688" s="9">
        <v>977</v>
      </c>
      <c r="H6688" s="5" t="s">
        <v>21</v>
      </c>
      <c r="I6688" s="5" t="s">
        <v>14857</v>
      </c>
      <c r="J6688" s="12" t="str">
        <f>HYPERLINK("https://www.boe.es/gazeta/dias/1801/09/15/pdfs/GMD-1801-89.pdf#page=4","Abrir facsímil")</f>
        <v>Abrir facsímil</v>
      </c>
      <c r="K6688" s="15" t="s">
        <v>23</v>
      </c>
    </row>
    <row r="6689" spans="1:11" ht="42" customHeight="1">
      <c r="A6689" s="4" t="s">
        <v>14837</v>
      </c>
      <c r="B6689" s="5" t="s">
        <v>14837</v>
      </c>
      <c r="C6689" s="5" t="s">
        <v>75</v>
      </c>
      <c r="D6689" s="5" t="s">
        <v>76</v>
      </c>
      <c r="E6689" s="5" t="s">
        <v>173</v>
      </c>
      <c r="F6689" s="9">
        <v>98</v>
      </c>
      <c r="G6689" s="9">
        <v>1071</v>
      </c>
      <c r="H6689" s="5" t="s">
        <v>21</v>
      </c>
      <c r="I6689" s="5" t="s">
        <v>14858</v>
      </c>
      <c r="J6689" s="12" t="str">
        <f>HYPERLINK("https://www.boe.es/gazeta/dias/1801/10/16/pdfs/GMD-1801-98.pdf#page=3","Abrir facsímil")</f>
        <v>Abrir facsímil</v>
      </c>
      <c r="K6689" s="15" t="s">
        <v>23</v>
      </c>
    </row>
    <row r="6690" spans="1:11" ht="42" customHeight="1">
      <c r="A6690" s="4" t="s">
        <v>14859</v>
      </c>
      <c r="B6690" s="5" t="s">
        <v>14859</v>
      </c>
      <c r="C6690" s="5" t="s">
        <v>75</v>
      </c>
      <c r="D6690" s="5" t="s">
        <v>76</v>
      </c>
      <c r="E6690" s="5" t="s">
        <v>94</v>
      </c>
      <c r="F6690" s="9">
        <v>19</v>
      </c>
      <c r="G6690" s="9">
        <v>239</v>
      </c>
      <c r="H6690" s="5" t="s">
        <v>21</v>
      </c>
      <c r="I6690" s="5" t="s">
        <v>14860</v>
      </c>
      <c r="J6690" s="12" t="str">
        <f>HYPERLINK("https://www.boe.es/gazeta/dias/1801/03/06/pdfs/GMD-1801-19.pdf#page=4","Abrir facsímil")</f>
        <v>Abrir facsímil</v>
      </c>
      <c r="K6690" s="15" t="s">
        <v>23</v>
      </c>
    </row>
    <row r="6691" spans="1:11" ht="42" customHeight="1">
      <c r="A6691" s="4" t="s">
        <v>14859</v>
      </c>
      <c r="B6691" s="5" t="s">
        <v>14859</v>
      </c>
      <c r="C6691" s="5" t="s">
        <v>38</v>
      </c>
      <c r="D6691" s="5" t="s">
        <v>39</v>
      </c>
      <c r="E6691" s="5" t="s">
        <v>264</v>
      </c>
      <c r="F6691" s="9">
        <v>111</v>
      </c>
      <c r="G6691" s="9">
        <v>1215</v>
      </c>
      <c r="H6691" s="5" t="s">
        <v>21</v>
      </c>
      <c r="I6691" s="5" t="s">
        <v>14861</v>
      </c>
      <c r="J6691" s="12" t="str">
        <f>HYPERLINK("https://www.boe.es/gazeta/dias/1801/12/01/pdfs/GMD-1801-111.pdf#page=4","Abrir facsímil")</f>
        <v>Abrir facsímil</v>
      </c>
      <c r="K6691" s="15" t="s">
        <v>23</v>
      </c>
    </row>
    <row r="6692" spans="1:11" ht="42" customHeight="1">
      <c r="A6692" s="4" t="s">
        <v>14862</v>
      </c>
      <c r="B6692" s="5" t="s">
        <v>14863</v>
      </c>
      <c r="C6692" s="5" t="s">
        <v>38</v>
      </c>
      <c r="D6692" s="5" t="s">
        <v>39</v>
      </c>
      <c r="E6692" s="5" t="s">
        <v>924</v>
      </c>
      <c r="F6692" s="9">
        <v>90</v>
      </c>
      <c r="G6692" s="9">
        <v>992</v>
      </c>
      <c r="H6692" s="5" t="s">
        <v>21</v>
      </c>
      <c r="I6692" s="5" t="s">
        <v>14864</v>
      </c>
      <c r="J6692" s="12" t="str">
        <f>HYPERLINK("https://www.boe.es/gazeta/dias/1801/09/18/pdfs/GMD-1801-90.pdf#page=7","Abrir facsímil")</f>
        <v>Abrir facsímil</v>
      </c>
      <c r="K6692" s="15" t="s">
        <v>23</v>
      </c>
    </row>
    <row r="6693" spans="1:11" ht="42" customHeight="1">
      <c r="A6693" s="4" t="s">
        <v>14865</v>
      </c>
      <c r="B6693" s="5" t="s">
        <v>14866</v>
      </c>
      <c r="C6693" s="5" t="s">
        <v>32</v>
      </c>
      <c r="D6693" s="5" t="s">
        <v>33</v>
      </c>
      <c r="E6693" s="5" t="s">
        <v>131</v>
      </c>
      <c r="F6693" s="9">
        <v>22</v>
      </c>
      <c r="G6693" s="9">
        <v>289</v>
      </c>
      <c r="H6693" s="5" t="s">
        <v>21</v>
      </c>
      <c r="I6693" s="5" t="s">
        <v>14867</v>
      </c>
      <c r="J6693" s="12" t="str">
        <f>HYPERLINK("https://www.boe.es/gazeta/dias/1801/03/17/pdfs/GMD-1801-22.pdf#page=6","Abrir facsímil")</f>
        <v>Abrir facsímil</v>
      </c>
      <c r="K6693" s="15" t="s">
        <v>23</v>
      </c>
    </row>
    <row r="6694" spans="1:11" ht="42" customHeight="1">
      <c r="A6694" s="4" t="s">
        <v>14868</v>
      </c>
      <c r="B6694" s="5" t="s">
        <v>14868</v>
      </c>
      <c r="C6694" s="5" t="s">
        <v>32</v>
      </c>
      <c r="D6694" s="5" t="s">
        <v>33</v>
      </c>
      <c r="E6694" s="5" t="s">
        <v>120</v>
      </c>
      <c r="F6694" s="9">
        <v>7</v>
      </c>
      <c r="G6694" s="9">
        <v>84</v>
      </c>
      <c r="H6694" s="5" t="s">
        <v>21</v>
      </c>
      <c r="I6694" s="5" t="s">
        <v>14869</v>
      </c>
      <c r="J6694" s="12" t="str">
        <f>HYPERLINK("https://www.boe.es/gazeta/dias/1801/01/23/pdfs/GMD-1801-7.pdf#page=8","Abrir facsímil")</f>
        <v>Abrir facsímil</v>
      </c>
      <c r="K6694" s="15" t="s">
        <v>23</v>
      </c>
    </row>
    <row r="6695" spans="1:11" ht="42" customHeight="1">
      <c r="A6695" s="4" t="s">
        <v>14870</v>
      </c>
      <c r="B6695" s="5" t="s">
        <v>14870</v>
      </c>
      <c r="C6695" s="5" t="s">
        <v>32</v>
      </c>
      <c r="D6695" s="5" t="s">
        <v>33</v>
      </c>
      <c r="E6695" s="5" t="s">
        <v>781</v>
      </c>
      <c r="F6695" s="9">
        <v>14</v>
      </c>
      <c r="G6695" s="9">
        <v>174</v>
      </c>
      <c r="H6695" s="5" t="s">
        <v>21</v>
      </c>
      <c r="I6695" s="5" t="s">
        <v>14871</v>
      </c>
      <c r="J6695" s="12" t="str">
        <f>HYPERLINK("https://www.boe.es/gazeta/dias/1801/02/17/pdfs/GMD-1801-14.pdf#page=9","Abrir facsímil")</f>
        <v>Abrir facsímil</v>
      </c>
      <c r="K6695" s="15" t="s">
        <v>23</v>
      </c>
    </row>
    <row r="6696" spans="1:11" ht="42" customHeight="1">
      <c r="A6696" s="4" t="s">
        <v>14872</v>
      </c>
      <c r="B6696" s="5" t="s">
        <v>14872</v>
      </c>
      <c r="C6696" s="5" t="s">
        <v>32</v>
      </c>
      <c r="D6696" s="5" t="s">
        <v>33</v>
      </c>
      <c r="E6696" s="5" t="s">
        <v>289</v>
      </c>
      <c r="F6696" s="9">
        <v>40</v>
      </c>
      <c r="G6696" s="9">
        <v>515</v>
      </c>
      <c r="H6696" s="5" t="s">
        <v>21</v>
      </c>
      <c r="I6696" s="5" t="s">
        <v>14873</v>
      </c>
      <c r="J6696" s="12" t="str">
        <f>HYPERLINK("https://www.boe.es/gazeta/dias/1801/05/19/pdfs/GMD-1801-40.pdf#page=7","Abrir facsímil")</f>
        <v>Abrir facsímil</v>
      </c>
      <c r="K6696" s="15" t="s">
        <v>23</v>
      </c>
    </row>
    <row r="6697" spans="1:11" ht="42" customHeight="1">
      <c r="A6697" s="4" t="s">
        <v>14874</v>
      </c>
      <c r="B6697" s="5" t="s">
        <v>14874</v>
      </c>
      <c r="C6697" s="5" t="s">
        <v>38</v>
      </c>
      <c r="D6697" s="5" t="s">
        <v>39</v>
      </c>
      <c r="E6697" s="5" t="s">
        <v>266</v>
      </c>
      <c r="F6697" s="9">
        <v>119</v>
      </c>
      <c r="G6697" s="9">
        <v>1301</v>
      </c>
      <c r="H6697" s="5" t="s">
        <v>21</v>
      </c>
      <c r="I6697" s="5" t="s">
        <v>14875</v>
      </c>
      <c r="J6697" s="12" t="str">
        <f>HYPERLINK("https://www.boe.es/gazeta/dias/1801/12/29/pdfs/GMD-1801-119.pdf#page=5","Abrir facsímil")</f>
        <v>Abrir facsímil</v>
      </c>
      <c r="K6697" s="15" t="s">
        <v>23</v>
      </c>
    </row>
    <row r="6698" spans="1:11" ht="42" customHeight="1">
      <c r="A6698" s="4" t="s">
        <v>14876</v>
      </c>
      <c r="B6698" s="5" t="s">
        <v>14876</v>
      </c>
      <c r="C6698" s="5" t="s">
        <v>80</v>
      </c>
      <c r="D6698" s="5" t="s">
        <v>81</v>
      </c>
      <c r="E6698" s="5" t="s">
        <v>82</v>
      </c>
      <c r="F6698" s="9">
        <v>75</v>
      </c>
      <c r="G6698" s="9" t="s">
        <v>86</v>
      </c>
      <c r="H6698" s="5" t="s">
        <v>21</v>
      </c>
      <c r="I6698" s="5" t="s">
        <v>14877</v>
      </c>
      <c r="J6698" s="12" t="str">
        <f>HYPERLINK("https://www.boe.es/gazeta/dias/1801/08/04/pdfs/GMD-C-1801-75.pdf#page=3","Abrir facsímil")</f>
        <v>Abrir facsímil</v>
      </c>
      <c r="K6698" s="15" t="s">
        <v>23</v>
      </c>
    </row>
    <row r="6699" spans="1:11" ht="42" customHeight="1">
      <c r="A6699" s="4" t="s">
        <v>14878</v>
      </c>
      <c r="B6699" s="5" t="s">
        <v>14879</v>
      </c>
      <c r="C6699" s="5" t="s">
        <v>80</v>
      </c>
      <c r="D6699" s="5" t="s">
        <v>81</v>
      </c>
      <c r="E6699" s="5" t="s">
        <v>82</v>
      </c>
      <c r="F6699" s="9">
        <v>75</v>
      </c>
      <c r="G6699" s="9" t="s">
        <v>668</v>
      </c>
      <c r="H6699" s="5" t="s">
        <v>21</v>
      </c>
      <c r="I6699" s="5" t="s">
        <v>14880</v>
      </c>
      <c r="J6699" s="12" t="str">
        <f>HYPERLINK("https://www.boe.es/gazeta/dias/1801/08/04/pdfs/GMD-C-1801-75.pdf#page=1","Abrir facsímil")</f>
        <v>Abrir facsímil</v>
      </c>
      <c r="K6699" s="15" t="s">
        <v>23</v>
      </c>
    </row>
    <row r="6700" spans="1:11" ht="42" customHeight="1">
      <c r="A6700" s="4" t="s">
        <v>14881</v>
      </c>
      <c r="B6700" s="5" t="s">
        <v>14882</v>
      </c>
      <c r="C6700" s="5" t="s">
        <v>32</v>
      </c>
      <c r="D6700" s="5" t="s">
        <v>33</v>
      </c>
      <c r="E6700" s="5" t="s">
        <v>194</v>
      </c>
      <c r="F6700" s="9">
        <v>92</v>
      </c>
      <c r="G6700" s="9">
        <v>1011</v>
      </c>
      <c r="H6700" s="5" t="s">
        <v>21</v>
      </c>
      <c r="I6700" s="5" t="s">
        <v>14883</v>
      </c>
      <c r="J6700" s="12" t="str">
        <f>HYPERLINK("https://www.boe.es/gazeta/dias/1801/09/25/pdfs/GMD-1801-92.pdf#page=6","Abrir facsímil")</f>
        <v>Abrir facsímil</v>
      </c>
      <c r="K6700" s="15" t="s">
        <v>23</v>
      </c>
    </row>
    <row r="6701" spans="1:11" ht="42" customHeight="1">
      <c r="A6701" s="4" t="s">
        <v>14884</v>
      </c>
      <c r="B6701" s="5" t="s">
        <v>14885</v>
      </c>
      <c r="C6701" s="5" t="s">
        <v>38</v>
      </c>
      <c r="D6701" s="5" t="s">
        <v>39</v>
      </c>
      <c r="E6701" s="5" t="s">
        <v>219</v>
      </c>
      <c r="F6701" s="9">
        <v>26</v>
      </c>
      <c r="G6701" s="9">
        <v>342</v>
      </c>
      <c r="H6701" s="5" t="s">
        <v>21</v>
      </c>
      <c r="I6701" s="5" t="s">
        <v>14886</v>
      </c>
      <c r="J6701" s="12" t="str">
        <f>HYPERLINK("https://www.boe.es/gazeta/dias/1801/03/31/pdfs/GMD-1801-26.pdf#page=6","Abrir facsímil")</f>
        <v>Abrir facsímil</v>
      </c>
      <c r="K6701" s="15" t="s">
        <v>23</v>
      </c>
    </row>
    <row r="6702" spans="1:11" ht="42" customHeight="1">
      <c r="A6702" s="4" t="s">
        <v>14887</v>
      </c>
      <c r="B6702" s="5" t="s">
        <v>14888</v>
      </c>
      <c r="C6702" s="5" t="s">
        <v>75</v>
      </c>
      <c r="D6702" s="5" t="s">
        <v>76</v>
      </c>
      <c r="E6702" s="5" t="s">
        <v>165</v>
      </c>
      <c r="F6702" s="9">
        <v>59</v>
      </c>
      <c r="G6702" s="9">
        <v>671</v>
      </c>
      <c r="H6702" s="5" t="s">
        <v>21</v>
      </c>
      <c r="I6702" s="5" t="s">
        <v>14889</v>
      </c>
      <c r="J6702" s="12" t="str">
        <f>HYPERLINK("https://www.boe.es/gazeta/dias/1801/06/23/pdfs/GMD-1801-59.pdf#page=4","Abrir facsímil")</f>
        <v>Abrir facsímil</v>
      </c>
      <c r="K6702" s="15" t="s">
        <v>23</v>
      </c>
    </row>
    <row r="6703" spans="1:11" ht="42" customHeight="1">
      <c r="A6703" s="4" t="s">
        <v>14887</v>
      </c>
      <c r="B6703" s="5" t="s">
        <v>14888</v>
      </c>
      <c r="C6703" s="5" t="s">
        <v>75</v>
      </c>
      <c r="D6703" s="5" t="s">
        <v>76</v>
      </c>
      <c r="E6703" s="5" t="s">
        <v>40</v>
      </c>
      <c r="F6703" s="9">
        <v>63</v>
      </c>
      <c r="G6703" s="9">
        <v>708</v>
      </c>
      <c r="H6703" s="5" t="s">
        <v>21</v>
      </c>
      <c r="I6703" s="5" t="s">
        <v>14890</v>
      </c>
      <c r="J6703" s="12" t="str">
        <f>HYPERLINK("https://www.boe.es/gazeta/dias/1801/07/03/pdfs/GMD-1801-63.pdf#page=5","Abrir facsímil")</f>
        <v>Abrir facsímil</v>
      </c>
      <c r="K6703" s="15" t="s">
        <v>23</v>
      </c>
    </row>
    <row r="6704" spans="1:11" ht="42" customHeight="1">
      <c r="A6704" s="4" t="s">
        <v>14887</v>
      </c>
      <c r="B6704" s="5" t="s">
        <v>14888</v>
      </c>
      <c r="C6704" s="5" t="s">
        <v>38</v>
      </c>
      <c r="D6704" s="5" t="s">
        <v>39</v>
      </c>
      <c r="E6704" s="5" t="s">
        <v>417</v>
      </c>
      <c r="F6704" s="9">
        <v>64</v>
      </c>
      <c r="G6704" s="9">
        <v>724</v>
      </c>
      <c r="H6704" s="5" t="s">
        <v>21</v>
      </c>
      <c r="I6704" s="5" t="s">
        <v>14891</v>
      </c>
      <c r="J6704" s="12" t="str">
        <f>HYPERLINK("https://www.boe.es/gazeta/dias/1801/07/07/pdfs/GMD-1801-64.pdf#page=5","Abrir facsímil")</f>
        <v>Abrir facsímil</v>
      </c>
      <c r="K6704" s="15" t="s">
        <v>23</v>
      </c>
    </row>
    <row r="6705" spans="1:11" ht="42" customHeight="1">
      <c r="A6705" s="4" t="s">
        <v>14887</v>
      </c>
      <c r="B6705" s="5" t="s">
        <v>14888</v>
      </c>
      <c r="C6705" s="5" t="s">
        <v>75</v>
      </c>
      <c r="D6705" s="5" t="s">
        <v>76</v>
      </c>
      <c r="E6705" s="5" t="s">
        <v>223</v>
      </c>
      <c r="F6705" s="9">
        <v>74</v>
      </c>
      <c r="G6705" s="9">
        <v>820</v>
      </c>
      <c r="H6705" s="5" t="s">
        <v>21</v>
      </c>
      <c r="I6705" s="5" t="s">
        <v>14892</v>
      </c>
      <c r="J6705" s="12" t="str">
        <f>HYPERLINK("https://www.boe.es/gazeta/dias/1801/07/31/pdfs/GMD-1801-74.pdf#page=1","Abrir facsímil")</f>
        <v>Abrir facsímil</v>
      </c>
      <c r="K6705" s="15" t="s">
        <v>23</v>
      </c>
    </row>
    <row r="6706" spans="1:11" ht="42" customHeight="1">
      <c r="A6706" s="4" t="s">
        <v>14887</v>
      </c>
      <c r="B6706" s="5" t="s">
        <v>14888</v>
      </c>
      <c r="C6706" s="5" t="s">
        <v>75</v>
      </c>
      <c r="D6706" s="5" t="s">
        <v>76</v>
      </c>
      <c r="E6706" s="5" t="s">
        <v>28</v>
      </c>
      <c r="F6706" s="9">
        <v>77</v>
      </c>
      <c r="G6706" s="9">
        <v>856</v>
      </c>
      <c r="H6706" s="5" t="s">
        <v>21</v>
      </c>
      <c r="I6706" s="5" t="s">
        <v>14893</v>
      </c>
      <c r="J6706" s="12" t="str">
        <f>HYPERLINK("https://www.boe.es/gazeta/dias/1801/08/11/pdfs/GMD-1801-77.pdf#page=1","Abrir facsímil")</f>
        <v>Abrir facsímil</v>
      </c>
      <c r="K6706" s="15" t="s">
        <v>23</v>
      </c>
    </row>
    <row r="6707" spans="1:11" ht="42" customHeight="1">
      <c r="A6707" s="4" t="s">
        <v>14887</v>
      </c>
      <c r="B6707" s="5" t="s">
        <v>14888</v>
      </c>
      <c r="C6707" s="5" t="s">
        <v>75</v>
      </c>
      <c r="D6707" s="5" t="s">
        <v>76</v>
      </c>
      <c r="E6707" s="5" t="s">
        <v>201</v>
      </c>
      <c r="F6707" s="9">
        <v>79</v>
      </c>
      <c r="G6707" s="9">
        <v>886</v>
      </c>
      <c r="H6707" s="5" t="s">
        <v>21</v>
      </c>
      <c r="I6707" s="5" t="s">
        <v>14894</v>
      </c>
      <c r="J6707" s="12" t="str">
        <f>HYPERLINK("https://www.boe.es/gazeta/dias/1801/08/18/pdfs/GMD-1801-79.pdf#page=3","Abrir facsímil")</f>
        <v>Abrir facsímil</v>
      </c>
      <c r="K6707" s="15" t="s">
        <v>23</v>
      </c>
    </row>
    <row r="6708" spans="1:11" ht="42" customHeight="1">
      <c r="A6708" s="4" t="s">
        <v>14887</v>
      </c>
      <c r="B6708" s="5" t="s">
        <v>14888</v>
      </c>
      <c r="C6708" s="5" t="s">
        <v>75</v>
      </c>
      <c r="D6708" s="5" t="s">
        <v>76</v>
      </c>
      <c r="E6708" s="5" t="s">
        <v>764</v>
      </c>
      <c r="F6708" s="9">
        <v>80</v>
      </c>
      <c r="G6708" s="9">
        <v>896</v>
      </c>
      <c r="H6708" s="5" t="s">
        <v>21</v>
      </c>
      <c r="I6708" s="5" t="s">
        <v>14895</v>
      </c>
      <c r="J6708" s="12" t="str">
        <f>HYPERLINK("https://www.boe.es/gazeta/dias/1801/08/21/pdfs/GMD-1801-80.pdf#page=5","Abrir facsímil")</f>
        <v>Abrir facsímil</v>
      </c>
      <c r="K6708" s="15" t="s">
        <v>23</v>
      </c>
    </row>
    <row r="6709" spans="1:11" ht="42" customHeight="1">
      <c r="A6709" s="4" t="s">
        <v>14887</v>
      </c>
      <c r="B6709" s="5" t="s">
        <v>14888</v>
      </c>
      <c r="C6709" s="5" t="s">
        <v>32</v>
      </c>
      <c r="D6709" s="5" t="s">
        <v>33</v>
      </c>
      <c r="E6709" s="5" t="s">
        <v>1436</v>
      </c>
      <c r="F6709" s="9">
        <v>95</v>
      </c>
      <c r="G6709" s="9">
        <v>1039</v>
      </c>
      <c r="H6709" s="5" t="s">
        <v>21</v>
      </c>
      <c r="I6709" s="5" t="s">
        <v>14896</v>
      </c>
      <c r="J6709" s="12" t="str">
        <f>HYPERLINK("https://www.boe.es/gazeta/dias/1801/10/06/pdfs/GMD-1801-95.pdf#page=3","Abrir facsímil")</f>
        <v>Abrir facsímil</v>
      </c>
      <c r="K6709" s="15" t="s">
        <v>23</v>
      </c>
    </row>
    <row r="6710" spans="1:11" ht="42" customHeight="1">
      <c r="A6710" s="4" t="s">
        <v>14887</v>
      </c>
      <c r="B6710" s="5" t="s">
        <v>14888</v>
      </c>
      <c r="C6710" s="5" t="s">
        <v>75</v>
      </c>
      <c r="D6710" s="5" t="s">
        <v>76</v>
      </c>
      <c r="E6710" s="5" t="s">
        <v>359</v>
      </c>
      <c r="F6710" s="9">
        <v>101</v>
      </c>
      <c r="G6710" s="9">
        <v>1110</v>
      </c>
      <c r="H6710" s="5" t="s">
        <v>21</v>
      </c>
      <c r="I6710" s="5" t="s">
        <v>14897</v>
      </c>
      <c r="J6710" s="12" t="str">
        <f>HYPERLINK("https://www.boe.es/gazeta/dias/1801/10/27/pdfs/GMD-1801-101.pdf#page=3","Abrir facsímil")</f>
        <v>Abrir facsímil</v>
      </c>
      <c r="K6710" s="15" t="s">
        <v>23</v>
      </c>
    </row>
    <row r="6711" spans="1:11" ht="42" customHeight="1">
      <c r="A6711" s="4" t="s">
        <v>14898</v>
      </c>
      <c r="B6711" s="5" t="s">
        <v>14899</v>
      </c>
      <c r="C6711" s="5" t="s">
        <v>38</v>
      </c>
      <c r="D6711" s="5" t="s">
        <v>39</v>
      </c>
      <c r="E6711" s="5" t="s">
        <v>82</v>
      </c>
      <c r="F6711" s="9">
        <v>75</v>
      </c>
      <c r="G6711" s="9">
        <v>839</v>
      </c>
      <c r="H6711" s="5" t="s">
        <v>21</v>
      </c>
      <c r="I6711" s="5" t="s">
        <v>14900</v>
      </c>
      <c r="J6711" s="12" t="str">
        <f>HYPERLINK("https://www.boe.es/gazeta/dias/1801/08/04/pdfs/GMD-1801-75.pdf#page=8","Abrir facsímil")</f>
        <v>Abrir facsímil</v>
      </c>
      <c r="K6711" s="15" t="s">
        <v>23</v>
      </c>
    </row>
    <row r="6712" spans="1:11" ht="42" customHeight="1">
      <c r="A6712" s="4" t="s">
        <v>14901</v>
      </c>
      <c r="B6712" s="5" t="s">
        <v>14902</v>
      </c>
      <c r="C6712" s="5" t="s">
        <v>75</v>
      </c>
      <c r="D6712" s="5" t="s">
        <v>76</v>
      </c>
      <c r="E6712" s="5" t="s">
        <v>194</v>
      </c>
      <c r="F6712" s="9">
        <v>92</v>
      </c>
      <c r="G6712" s="9">
        <v>1009</v>
      </c>
      <c r="H6712" s="5" t="s">
        <v>21</v>
      </c>
      <c r="I6712" s="5" t="s">
        <v>14903</v>
      </c>
      <c r="J6712" s="12" t="str">
        <f>HYPERLINK("https://www.boe.es/gazeta/dias/1801/09/25/pdfs/GMD-1801-92.pdf#page=4","Abrir facsímil")</f>
        <v>Abrir facsímil</v>
      </c>
      <c r="K6712" s="15" t="s">
        <v>23</v>
      </c>
    </row>
    <row r="6713" spans="1:11" ht="42" customHeight="1">
      <c r="A6713" s="4" t="s">
        <v>14904</v>
      </c>
      <c r="B6713" s="5" t="s">
        <v>14905</v>
      </c>
      <c r="C6713" s="5" t="s">
        <v>32</v>
      </c>
      <c r="D6713" s="5" t="s">
        <v>33</v>
      </c>
      <c r="E6713" s="5" t="s">
        <v>155</v>
      </c>
      <c r="F6713" s="9">
        <v>50</v>
      </c>
      <c r="G6713" s="9">
        <v>594</v>
      </c>
      <c r="H6713" s="5" t="s">
        <v>21</v>
      </c>
      <c r="I6713" s="5" t="s">
        <v>14906</v>
      </c>
      <c r="J6713" s="12" t="str">
        <f>HYPERLINK("https://www.boe.es/gazeta/dias/1801/06/09/pdfs/GMD-1801-50.pdf#page=6","Abrir facsímil")</f>
        <v>Abrir facsímil</v>
      </c>
      <c r="K6713" s="15" t="s">
        <v>23</v>
      </c>
    </row>
    <row r="6714" spans="1:11" ht="42" customHeight="1">
      <c r="A6714" s="4" t="s">
        <v>14907</v>
      </c>
      <c r="B6714" s="5" t="s">
        <v>14907</v>
      </c>
      <c r="C6714" s="5" t="s">
        <v>18</v>
      </c>
      <c r="D6714" s="5" t="s">
        <v>19</v>
      </c>
      <c r="E6714" s="5" t="s">
        <v>221</v>
      </c>
      <c r="F6714" s="9">
        <v>28</v>
      </c>
      <c r="G6714" s="9">
        <v>371</v>
      </c>
      <c r="H6714" s="5" t="s">
        <v>21</v>
      </c>
      <c r="I6714" s="5" t="s">
        <v>14908</v>
      </c>
      <c r="J6714" s="12" t="str">
        <f>HYPERLINK("https://www.boe.es/gazeta/dias/1801/04/07/pdfs/GMD-1801-28.pdf#page=11","Abrir facsímil")</f>
        <v>Abrir facsímil</v>
      </c>
      <c r="K6714" s="15" t="s">
        <v>23</v>
      </c>
    </row>
    <row r="6715" spans="1:11" ht="42" customHeight="1">
      <c r="A6715" s="4" t="s">
        <v>14909</v>
      </c>
      <c r="B6715" s="5" t="s">
        <v>14910</v>
      </c>
      <c r="C6715" s="5" t="s">
        <v>32</v>
      </c>
      <c r="D6715" s="5" t="s">
        <v>33</v>
      </c>
      <c r="E6715" s="5" t="s">
        <v>615</v>
      </c>
      <c r="F6715" s="9">
        <v>72</v>
      </c>
      <c r="G6715" s="9">
        <v>804</v>
      </c>
      <c r="H6715" s="5" t="s">
        <v>21</v>
      </c>
      <c r="I6715" s="5" t="s">
        <v>14911</v>
      </c>
      <c r="J6715" s="12" t="str">
        <f>HYPERLINK("https://www.boe.es/gazeta/dias/1801/07/24/pdfs/GMD-1801-72.pdf#page=9","Abrir facsímil")</f>
        <v>Abrir facsímil</v>
      </c>
      <c r="K6715" s="15" t="s">
        <v>23</v>
      </c>
    </row>
    <row r="6716" spans="1:11" ht="42" customHeight="1">
      <c r="A6716" s="4" t="s">
        <v>14912</v>
      </c>
      <c r="B6716" s="5" t="s">
        <v>14913</v>
      </c>
      <c r="C6716" s="5" t="s">
        <v>80</v>
      </c>
      <c r="D6716" s="5" t="s">
        <v>81</v>
      </c>
      <c r="E6716" s="5" t="s">
        <v>289</v>
      </c>
      <c r="F6716" s="9">
        <v>40</v>
      </c>
      <c r="G6716" s="9" t="s">
        <v>83</v>
      </c>
      <c r="H6716" s="5" t="s">
        <v>21</v>
      </c>
      <c r="I6716" s="5" t="s">
        <v>14914</v>
      </c>
      <c r="J6716" s="12" t="str">
        <f>HYPERLINK("https://www.boe.es/gazeta/dias/1801/05/19/pdfs/GMD-C-1801-40.pdf#page=2","Abrir facsímil")</f>
        <v>Abrir facsímil</v>
      </c>
      <c r="K6716" s="15" t="s">
        <v>23</v>
      </c>
    </row>
    <row r="6717" spans="1:11" ht="42" customHeight="1">
      <c r="A6717" s="4" t="s">
        <v>14915</v>
      </c>
      <c r="B6717" s="5" t="s">
        <v>14916</v>
      </c>
      <c r="C6717" s="5" t="s">
        <v>32</v>
      </c>
      <c r="D6717" s="5" t="s">
        <v>33</v>
      </c>
      <c r="E6717" s="5" t="s">
        <v>256</v>
      </c>
      <c r="F6717" s="9">
        <v>78</v>
      </c>
      <c r="G6717" s="9">
        <v>881</v>
      </c>
      <c r="H6717" s="5" t="s">
        <v>21</v>
      </c>
      <c r="I6717" s="5" t="s">
        <v>14917</v>
      </c>
      <c r="J6717" s="12" t="str">
        <f>HYPERLINK("https://www.boe.es/gazeta/dias/1801/08/14/pdfs/GMD-1801-78.pdf#page=10","Abrir facsímil")</f>
        <v>Abrir facsímil</v>
      </c>
      <c r="K6717" s="15" t="s">
        <v>23</v>
      </c>
    </row>
    <row r="6718" spans="1:11" ht="42" customHeight="1">
      <c r="A6718" s="4" t="s">
        <v>14918</v>
      </c>
      <c r="B6718" s="5" t="s">
        <v>14919</v>
      </c>
      <c r="C6718" s="5" t="s">
        <v>32</v>
      </c>
      <c r="D6718" s="5" t="s">
        <v>33</v>
      </c>
      <c r="E6718" s="5" t="s">
        <v>615</v>
      </c>
      <c r="F6718" s="9">
        <v>72</v>
      </c>
      <c r="G6718" s="9">
        <v>805</v>
      </c>
      <c r="H6718" s="5" t="s">
        <v>21</v>
      </c>
      <c r="I6718" s="5" t="s">
        <v>14920</v>
      </c>
      <c r="J6718" s="12" t="str">
        <f>HYPERLINK("https://www.boe.es/gazeta/dias/1801/07/24/pdfs/GMD-1801-72.pdf#page=10","Abrir facsímil")</f>
        <v>Abrir facsímil</v>
      </c>
      <c r="K6718" s="15" t="s">
        <v>23</v>
      </c>
    </row>
    <row r="6719" spans="1:11" ht="42" customHeight="1">
      <c r="A6719" s="4" t="s">
        <v>14921</v>
      </c>
      <c r="B6719" s="5" t="s">
        <v>14922</v>
      </c>
      <c r="C6719" s="5" t="s">
        <v>32</v>
      </c>
      <c r="D6719" s="5" t="s">
        <v>33</v>
      </c>
      <c r="E6719" s="5" t="s">
        <v>321</v>
      </c>
      <c r="F6719" s="9">
        <v>3</v>
      </c>
      <c r="G6719" s="9">
        <v>33</v>
      </c>
      <c r="H6719" s="5" t="s">
        <v>21</v>
      </c>
      <c r="I6719" s="5" t="s">
        <v>14923</v>
      </c>
      <c r="J6719" s="12" t="str">
        <f>HYPERLINK("https://www.boe.es/gazeta/dias/1801/01/09/pdfs/GMD-1801-3.pdf#page=9","Abrir facsímil")</f>
        <v>Abrir facsímil</v>
      </c>
      <c r="K6719" s="15" t="s">
        <v>23</v>
      </c>
    </row>
    <row r="6720" spans="1:11" ht="42" customHeight="1">
      <c r="A6720" s="4" t="s">
        <v>14924</v>
      </c>
      <c r="B6720" s="5" t="s">
        <v>14925</v>
      </c>
      <c r="C6720" s="5" t="s">
        <v>38</v>
      </c>
      <c r="D6720" s="5" t="s">
        <v>39</v>
      </c>
      <c r="E6720" s="5" t="s">
        <v>223</v>
      </c>
      <c r="F6720" s="9">
        <v>74</v>
      </c>
      <c r="G6720" s="9">
        <v>827</v>
      </c>
      <c r="H6720" s="5" t="s">
        <v>21</v>
      </c>
      <c r="I6720" s="5" t="s">
        <v>14926</v>
      </c>
      <c r="J6720" s="12" t="str">
        <f>HYPERLINK("https://www.boe.es/gazeta/dias/1801/07/31/pdfs/GMD-1801-74.pdf#page=8","Abrir facsímil")</f>
        <v>Abrir facsímil</v>
      </c>
      <c r="K6720" s="15" t="s">
        <v>23</v>
      </c>
    </row>
    <row r="6721" spans="1:11" ht="42" customHeight="1">
      <c r="A6721" s="4" t="s">
        <v>14927</v>
      </c>
      <c r="B6721" s="5" t="s">
        <v>14927</v>
      </c>
      <c r="C6721" s="5" t="s">
        <v>75</v>
      </c>
      <c r="D6721" s="5" t="s">
        <v>76</v>
      </c>
      <c r="E6721" s="5" t="s">
        <v>2237</v>
      </c>
      <c r="F6721" s="9">
        <v>82</v>
      </c>
      <c r="G6721" s="9">
        <v>913</v>
      </c>
      <c r="H6721" s="5" t="s">
        <v>21</v>
      </c>
      <c r="I6721" s="5" t="s">
        <v>14928</v>
      </c>
      <c r="J6721" s="12" t="str">
        <f>HYPERLINK("https://www.boe.es/gazeta/dias/1801/08/28/pdfs/GMD-1801-82.pdf#page=2","Abrir facsímil")</f>
        <v>Abrir facsímil</v>
      </c>
      <c r="K6721" s="15" t="s">
        <v>23</v>
      </c>
    </row>
    <row r="6722" spans="1:11" ht="42" customHeight="1">
      <c r="A6722" s="4" t="s">
        <v>14929</v>
      </c>
      <c r="B6722" s="5" t="s">
        <v>14930</v>
      </c>
      <c r="C6722" s="5" t="s">
        <v>69</v>
      </c>
      <c r="D6722" s="5" t="s">
        <v>19</v>
      </c>
      <c r="E6722" s="5" t="s">
        <v>171</v>
      </c>
      <c r="F6722" s="9">
        <v>76</v>
      </c>
      <c r="G6722" s="9">
        <v>852</v>
      </c>
      <c r="H6722" s="5" t="s">
        <v>21</v>
      </c>
      <c r="I6722" s="5" t="s">
        <v>14931</v>
      </c>
      <c r="J6722" s="12" t="str">
        <f>HYPERLINK("https://www.boe.es/gazeta/dias/1801/08/07/pdfs/GMD-1801-76.pdf#page=9","Abrir facsímil")</f>
        <v>Abrir facsímil</v>
      </c>
      <c r="K6722" s="15" t="s">
        <v>23</v>
      </c>
    </row>
    <row r="6723" spans="1:11" ht="42" customHeight="1">
      <c r="A6723" s="4" t="s">
        <v>14932</v>
      </c>
      <c r="B6723" s="5" t="s">
        <v>14933</v>
      </c>
      <c r="C6723" s="5" t="s">
        <v>26</v>
      </c>
      <c r="D6723" s="5" t="s">
        <v>27</v>
      </c>
      <c r="E6723" s="5" t="s">
        <v>262</v>
      </c>
      <c r="F6723" s="9">
        <v>109</v>
      </c>
      <c r="G6723" s="9">
        <v>1206</v>
      </c>
      <c r="H6723" s="5" t="s">
        <v>21</v>
      </c>
      <c r="I6723" s="5" t="s">
        <v>14934</v>
      </c>
      <c r="J6723" s="12" t="str">
        <f>HYPERLINK("https://www.boe.es/gazeta/dias/1801/11/24/pdfs/GMD-1801-109.pdf#page=11","Abrir facsímil")</f>
        <v>Abrir facsímil</v>
      </c>
      <c r="K6723" s="15" t="s">
        <v>23</v>
      </c>
    </row>
    <row r="6724" spans="1:11" ht="42" customHeight="1">
      <c r="A6724" s="4" t="s">
        <v>14935</v>
      </c>
      <c r="B6724" s="5" t="s">
        <v>14936</v>
      </c>
      <c r="C6724" s="5" t="s">
        <v>32</v>
      </c>
      <c r="D6724" s="5" t="s">
        <v>33</v>
      </c>
      <c r="E6724" s="5" t="s">
        <v>120</v>
      </c>
      <c r="F6724" s="9">
        <v>7</v>
      </c>
      <c r="G6724" s="9">
        <v>84</v>
      </c>
      <c r="H6724" s="5" t="s">
        <v>21</v>
      </c>
      <c r="I6724" s="5" t="s">
        <v>14937</v>
      </c>
      <c r="J6724" s="12" t="str">
        <f>HYPERLINK("https://www.boe.es/gazeta/dias/1801/01/23/pdfs/GMD-1801-7.pdf#page=8","Abrir facsímil")</f>
        <v>Abrir facsímil</v>
      </c>
      <c r="K6724" s="15" t="s">
        <v>23</v>
      </c>
    </row>
    <row r="6725" spans="1:11" ht="42" customHeight="1">
      <c r="A6725" s="4" t="s">
        <v>14938</v>
      </c>
      <c r="B6725" s="5" t="s">
        <v>14939</v>
      </c>
      <c r="C6725" s="5" t="s">
        <v>32</v>
      </c>
      <c r="D6725" s="5" t="s">
        <v>33</v>
      </c>
      <c r="E6725" s="5" t="s">
        <v>101</v>
      </c>
      <c r="F6725" s="9">
        <v>41</v>
      </c>
      <c r="G6725" s="9">
        <v>523</v>
      </c>
      <c r="H6725" s="5" t="s">
        <v>21</v>
      </c>
      <c r="I6725" s="5" t="s">
        <v>14940</v>
      </c>
      <c r="J6725" s="12" t="str">
        <f>HYPERLINK("https://www.boe.es/gazeta/dias/1801/05/22/pdfs/GMD-1801-41.pdf#page=7","Abrir facsímil")</f>
        <v>Abrir facsímil</v>
      </c>
      <c r="K6725" s="15" t="s">
        <v>23</v>
      </c>
    </row>
    <row r="6726" spans="1:11" ht="42" customHeight="1">
      <c r="A6726" s="4" t="s">
        <v>14941</v>
      </c>
      <c r="B6726" s="5" t="s">
        <v>14942</v>
      </c>
      <c r="C6726" s="5" t="s">
        <v>80</v>
      </c>
      <c r="D6726" s="5" t="s">
        <v>81</v>
      </c>
      <c r="E6726" s="5" t="s">
        <v>82</v>
      </c>
      <c r="F6726" s="9">
        <v>75</v>
      </c>
      <c r="G6726" s="9" t="s">
        <v>517</v>
      </c>
      <c r="H6726" s="5" t="s">
        <v>21</v>
      </c>
      <c r="I6726" s="5" t="s">
        <v>14943</v>
      </c>
      <c r="J6726" s="12" t="str">
        <f>HYPERLINK("https://www.boe.es/gazeta/dias/1801/08/04/pdfs/GMD-C-1801-75.pdf#page=7","Abrir facsímil")</f>
        <v>Abrir facsímil</v>
      </c>
      <c r="K6726" s="15" t="s">
        <v>23</v>
      </c>
    </row>
    <row r="6727" spans="1:11" ht="42" customHeight="1">
      <c r="A6727" s="4" t="s">
        <v>14944</v>
      </c>
      <c r="B6727" s="5" t="s">
        <v>14945</v>
      </c>
      <c r="C6727" s="5" t="s">
        <v>32</v>
      </c>
      <c r="D6727" s="5" t="s">
        <v>33</v>
      </c>
      <c r="E6727" s="5" t="s">
        <v>292</v>
      </c>
      <c r="F6727" s="9">
        <v>25</v>
      </c>
      <c r="G6727" s="9">
        <v>331</v>
      </c>
      <c r="H6727" s="5" t="s">
        <v>21</v>
      </c>
      <c r="I6727" s="5" t="s">
        <v>14946</v>
      </c>
      <c r="J6727" s="12" t="str">
        <f>HYPERLINK("https://www.boe.es/gazeta/dias/1801/03/27/pdfs/GMD-1801-25.pdf#page=10","Abrir facsímil")</f>
        <v>Abrir facsímil</v>
      </c>
      <c r="K6727" s="15" t="s">
        <v>23</v>
      </c>
    </row>
    <row r="6728" spans="1:11" ht="42" customHeight="1">
      <c r="A6728" s="4" t="s">
        <v>14947</v>
      </c>
      <c r="B6728" s="5" t="s">
        <v>14948</v>
      </c>
      <c r="C6728" s="5" t="s">
        <v>26</v>
      </c>
      <c r="D6728" s="5" t="s">
        <v>27</v>
      </c>
      <c r="E6728" s="5" t="s">
        <v>94</v>
      </c>
      <c r="F6728" s="9">
        <v>19</v>
      </c>
      <c r="G6728" s="9">
        <v>247</v>
      </c>
      <c r="H6728" s="5" t="s">
        <v>21</v>
      </c>
      <c r="I6728" s="5" t="s">
        <v>14949</v>
      </c>
      <c r="J6728" s="12" t="str">
        <f>HYPERLINK("https://www.boe.es/gazeta/dias/1801/03/06/pdfs/GMD-1801-19.pdf#page=12","Abrir facsímil")</f>
        <v>Abrir facsímil</v>
      </c>
      <c r="K6728" s="15" t="s">
        <v>23</v>
      </c>
    </row>
    <row r="6729" spans="1:11" ht="42" customHeight="1">
      <c r="A6729" s="4" t="s">
        <v>14950</v>
      </c>
      <c r="B6729" s="5" t="s">
        <v>14951</v>
      </c>
      <c r="C6729" s="5" t="s">
        <v>32</v>
      </c>
      <c r="D6729" s="5" t="s">
        <v>33</v>
      </c>
      <c r="E6729" s="5" t="s">
        <v>781</v>
      </c>
      <c r="F6729" s="9">
        <v>14</v>
      </c>
      <c r="G6729" s="9">
        <v>174</v>
      </c>
      <c r="H6729" s="5" t="s">
        <v>21</v>
      </c>
      <c r="I6729" s="5" t="s">
        <v>14952</v>
      </c>
      <c r="J6729" s="12" t="str">
        <f>HYPERLINK("https://www.boe.es/gazeta/dias/1801/02/17/pdfs/GMD-1801-14.pdf#page=9","Abrir facsímil")</f>
        <v>Abrir facsímil</v>
      </c>
      <c r="K6729" s="15" t="s">
        <v>23</v>
      </c>
    </row>
    <row r="6730" spans="1:11" ht="42" customHeight="1">
      <c r="A6730" s="4" t="s">
        <v>14953</v>
      </c>
      <c r="B6730" s="5" t="s">
        <v>14954</v>
      </c>
      <c r="C6730" s="5" t="s">
        <v>32</v>
      </c>
      <c r="D6730" s="5" t="s">
        <v>33</v>
      </c>
      <c r="E6730" s="5" t="s">
        <v>48</v>
      </c>
      <c r="F6730" s="9">
        <v>20</v>
      </c>
      <c r="G6730" s="9">
        <v>265</v>
      </c>
      <c r="H6730" s="5" t="s">
        <v>21</v>
      </c>
      <c r="I6730" s="5" t="s">
        <v>14955</v>
      </c>
      <c r="J6730" s="12" t="str">
        <f>HYPERLINK("https://www.boe.es/gazeta/dias/1801/03/10/pdfs/GMD-1801-20.pdf#page=10","Abrir facsímil")</f>
        <v>Abrir facsímil</v>
      </c>
      <c r="K6730" s="15" t="s">
        <v>23</v>
      </c>
    </row>
    <row r="6731" spans="1:11" ht="42" customHeight="1">
      <c r="A6731" s="4" t="s">
        <v>14956</v>
      </c>
      <c r="B6731" s="5" t="s">
        <v>14956</v>
      </c>
      <c r="C6731" s="5" t="s">
        <v>75</v>
      </c>
      <c r="D6731" s="5" t="s">
        <v>76</v>
      </c>
      <c r="E6731" s="5" t="s">
        <v>223</v>
      </c>
      <c r="F6731" s="9">
        <v>74</v>
      </c>
      <c r="G6731" s="9">
        <v>824</v>
      </c>
      <c r="H6731" s="5" t="s">
        <v>21</v>
      </c>
      <c r="I6731" s="5" t="s">
        <v>14957</v>
      </c>
      <c r="J6731" s="12" t="str">
        <f>HYPERLINK("https://www.boe.es/gazeta/dias/1801/07/31/pdfs/GMD-1801-74.pdf#page=5","Abrir facsímil")</f>
        <v>Abrir facsímil</v>
      </c>
      <c r="K6731" s="15" t="s">
        <v>23</v>
      </c>
    </row>
    <row r="6732" spans="1:11" ht="42" customHeight="1">
      <c r="A6732" s="4" t="s">
        <v>14958</v>
      </c>
      <c r="B6732" s="5" t="s">
        <v>14959</v>
      </c>
      <c r="C6732" s="5" t="s">
        <v>26</v>
      </c>
      <c r="D6732" s="5" t="s">
        <v>27</v>
      </c>
      <c r="E6732" s="5" t="s">
        <v>145</v>
      </c>
      <c r="F6732" s="9">
        <v>36</v>
      </c>
      <c r="G6732" s="9">
        <v>470</v>
      </c>
      <c r="H6732" s="5" t="s">
        <v>21</v>
      </c>
      <c r="I6732" s="5" t="s">
        <v>14960</v>
      </c>
      <c r="J6732" s="12" t="str">
        <f>HYPERLINK("https://www.boe.es/gazeta/dias/1801/05/05/pdfs/GMD-1801-36.pdf#page=14","Abrir facsímil")</f>
        <v>Abrir facsímil</v>
      </c>
      <c r="K6732" s="15" t="s">
        <v>23</v>
      </c>
    </row>
    <row r="6733" spans="1:11" ht="42" customHeight="1">
      <c r="A6733" s="4" t="s">
        <v>14961</v>
      </c>
      <c r="B6733" s="5" t="s">
        <v>14961</v>
      </c>
      <c r="C6733" s="5" t="s">
        <v>38</v>
      </c>
      <c r="D6733" s="5" t="s">
        <v>39</v>
      </c>
      <c r="E6733" s="5" t="s">
        <v>735</v>
      </c>
      <c r="F6733" s="9">
        <v>97</v>
      </c>
      <c r="G6733" s="9">
        <v>1061</v>
      </c>
      <c r="H6733" s="5" t="s">
        <v>21</v>
      </c>
      <c r="I6733" s="5" t="s">
        <v>14962</v>
      </c>
      <c r="J6733" s="12" t="str">
        <f>HYPERLINK("https://www.boe.es/gazeta/dias/1801/10/13/pdfs/GMD-1801-97.pdf#page=5","Abrir facsímil")</f>
        <v>Abrir facsímil</v>
      </c>
      <c r="K6733" s="15" t="s">
        <v>23</v>
      </c>
    </row>
    <row r="6734" spans="1:11" ht="42" customHeight="1">
      <c r="A6734" s="4" t="s">
        <v>14963</v>
      </c>
      <c r="B6734" s="5" t="s">
        <v>14964</v>
      </c>
      <c r="C6734" s="5" t="s">
        <v>75</v>
      </c>
      <c r="D6734" s="5" t="s">
        <v>76</v>
      </c>
      <c r="E6734" s="5" t="s">
        <v>99</v>
      </c>
      <c r="F6734" s="9">
        <v>32</v>
      </c>
      <c r="G6734" s="9">
        <v>406</v>
      </c>
      <c r="H6734" s="5" t="s">
        <v>21</v>
      </c>
      <c r="I6734" s="5" t="s">
        <v>14965</v>
      </c>
      <c r="J6734" s="12" t="str">
        <f>HYPERLINK("https://www.boe.es/gazeta/dias/1801/04/21/pdfs/GMD-1801-32.pdf#page=2","Abrir facsímil")</f>
        <v>Abrir facsímil</v>
      </c>
      <c r="K6734" s="15" t="s">
        <v>23</v>
      </c>
    </row>
    <row r="6735" spans="1:11" ht="42" customHeight="1">
      <c r="A6735" s="4" t="s">
        <v>14966</v>
      </c>
      <c r="B6735" s="5" t="s">
        <v>14967</v>
      </c>
      <c r="C6735" s="5" t="s">
        <v>32</v>
      </c>
      <c r="D6735" s="5" t="s">
        <v>33</v>
      </c>
      <c r="E6735" s="5" t="s">
        <v>131</v>
      </c>
      <c r="F6735" s="9">
        <v>22</v>
      </c>
      <c r="G6735" s="9">
        <v>289</v>
      </c>
      <c r="H6735" s="5" t="s">
        <v>21</v>
      </c>
      <c r="I6735" s="5" t="s">
        <v>14968</v>
      </c>
      <c r="J6735" s="12" t="str">
        <f>HYPERLINK("https://www.boe.es/gazeta/dias/1801/03/17/pdfs/GMD-1801-22.pdf#page=6","Abrir facsímil")</f>
        <v>Abrir facsímil</v>
      </c>
      <c r="K6735" s="15" t="s">
        <v>23</v>
      </c>
    </row>
    <row r="6736" spans="1:11" ht="42" customHeight="1">
      <c r="A6736" s="4" t="s">
        <v>14966</v>
      </c>
      <c r="B6736" s="5" t="s">
        <v>14967</v>
      </c>
      <c r="C6736" s="5" t="s">
        <v>32</v>
      </c>
      <c r="D6736" s="5" t="s">
        <v>33</v>
      </c>
      <c r="E6736" s="5" t="s">
        <v>434</v>
      </c>
      <c r="F6736" s="9" t="s">
        <v>435</v>
      </c>
      <c r="G6736" s="9">
        <v>649</v>
      </c>
      <c r="H6736" s="5" t="s">
        <v>21</v>
      </c>
      <c r="I6736" s="5" t="s">
        <v>14969</v>
      </c>
      <c r="J6736" s="12" t="str">
        <f>HYPERLINK("https://www.boe.es/gazeta/dias/1801/06/18/pdfs/GMD-1801-57E.pdf#page=1","Abrir facsímil")</f>
        <v>Abrir facsímil</v>
      </c>
      <c r="K6736" s="15" t="s">
        <v>23</v>
      </c>
    </row>
    <row r="6737" spans="1:11" ht="42" customHeight="1">
      <c r="A6737" s="4" t="s">
        <v>14970</v>
      </c>
      <c r="B6737" s="5" t="s">
        <v>14971</v>
      </c>
      <c r="C6737" s="5" t="s">
        <v>75</v>
      </c>
      <c r="D6737" s="5" t="s">
        <v>76</v>
      </c>
      <c r="E6737" s="5" t="s">
        <v>215</v>
      </c>
      <c r="F6737" s="9">
        <v>71</v>
      </c>
      <c r="G6737" s="9">
        <v>783</v>
      </c>
      <c r="H6737" s="5" t="s">
        <v>21</v>
      </c>
      <c r="I6737" s="5" t="s">
        <v>14972</v>
      </c>
      <c r="J6737" s="12" t="str">
        <f>HYPERLINK("https://www.boe.es/gazeta/dias/1801/07/21/pdfs/GMD-1801-71.pdf#page=4","Abrir facsímil")</f>
        <v>Abrir facsímil</v>
      </c>
      <c r="K6737" s="15" t="s">
        <v>23</v>
      </c>
    </row>
    <row r="6738" spans="1:11" ht="42" customHeight="1">
      <c r="A6738" s="4" t="s">
        <v>14973</v>
      </c>
      <c r="B6738" s="5" t="s">
        <v>14974</v>
      </c>
      <c r="C6738" s="5" t="s">
        <v>80</v>
      </c>
      <c r="D6738" s="5" t="s">
        <v>81</v>
      </c>
      <c r="E6738" s="5" t="s">
        <v>289</v>
      </c>
      <c r="F6738" s="9">
        <v>40</v>
      </c>
      <c r="G6738" s="9" t="s">
        <v>86</v>
      </c>
      <c r="H6738" s="5" t="s">
        <v>21</v>
      </c>
      <c r="I6738" s="5" t="s">
        <v>14975</v>
      </c>
      <c r="J6738" s="12" t="str">
        <f>HYPERLINK("https://www.boe.es/gazeta/dias/1801/05/19/pdfs/GMD-C-1801-40.pdf#page=3","Abrir facsímil")</f>
        <v>Abrir facsímil</v>
      </c>
      <c r="K6738" s="15" t="s">
        <v>23</v>
      </c>
    </row>
    <row r="6739" spans="1:11" ht="42" customHeight="1">
      <c r="A6739" s="4" t="s">
        <v>14976</v>
      </c>
      <c r="B6739" s="5" t="s">
        <v>14977</v>
      </c>
      <c r="C6739" s="5" t="s">
        <v>32</v>
      </c>
      <c r="D6739" s="5" t="s">
        <v>33</v>
      </c>
      <c r="E6739" s="5" t="s">
        <v>201</v>
      </c>
      <c r="F6739" s="9">
        <v>79</v>
      </c>
      <c r="G6739" s="9">
        <v>889</v>
      </c>
      <c r="H6739" s="5" t="s">
        <v>21</v>
      </c>
      <c r="I6739" s="5" t="s">
        <v>14978</v>
      </c>
      <c r="J6739" s="12" t="str">
        <f>HYPERLINK("https://www.boe.es/gazeta/dias/1801/08/18/pdfs/GMD-1801-79.pdf#page=6","Abrir facsímil")</f>
        <v>Abrir facsímil</v>
      </c>
      <c r="K6739" s="15" t="s">
        <v>23</v>
      </c>
    </row>
    <row r="6740" spans="1:11" ht="42" customHeight="1">
      <c r="A6740" s="4" t="s">
        <v>14979</v>
      </c>
      <c r="B6740" s="5" t="s">
        <v>14980</v>
      </c>
      <c r="C6740" s="5" t="s">
        <v>32</v>
      </c>
      <c r="D6740" s="5" t="s">
        <v>33</v>
      </c>
      <c r="E6740" s="5" t="s">
        <v>99</v>
      </c>
      <c r="F6740" s="9">
        <v>32</v>
      </c>
      <c r="G6740" s="9">
        <v>414</v>
      </c>
      <c r="H6740" s="5" t="s">
        <v>21</v>
      </c>
      <c r="I6740" s="5" t="s">
        <v>14981</v>
      </c>
      <c r="J6740" s="12" t="str">
        <f>HYPERLINK("https://www.boe.es/gazeta/dias/1801/04/21/pdfs/GMD-1801-32.pdf#page=10","Abrir facsímil")</f>
        <v>Abrir facsímil</v>
      </c>
      <c r="K6740" s="15" t="s">
        <v>23</v>
      </c>
    </row>
    <row r="6741" spans="1:11" ht="42" customHeight="1">
      <c r="A6741" s="4" t="s">
        <v>14982</v>
      </c>
      <c r="B6741" s="5" t="s">
        <v>14982</v>
      </c>
      <c r="C6741" s="5" t="s">
        <v>515</v>
      </c>
      <c r="D6741" s="5" t="s">
        <v>516</v>
      </c>
      <c r="E6741" s="5" t="s">
        <v>501</v>
      </c>
      <c r="F6741" s="9">
        <v>115</v>
      </c>
      <c r="G6741" s="9" t="s">
        <v>299</v>
      </c>
      <c r="H6741" s="5" t="s">
        <v>21</v>
      </c>
      <c r="I6741" s="5" t="s">
        <v>14983</v>
      </c>
      <c r="J6741" s="12" t="str">
        <f>HYPERLINK("https://www.boe.es/gazeta/dias/1801/12/15/pdfs/GMD-C-1801-115.pdf#page=5","Abrir facsímil")</f>
        <v>Abrir facsímil</v>
      </c>
      <c r="K6741" s="15" t="s">
        <v>23</v>
      </c>
    </row>
    <row r="6742" spans="1:11" ht="42" customHeight="1">
      <c r="A6742" s="4" t="s">
        <v>14984</v>
      </c>
      <c r="B6742" s="5" t="s">
        <v>14985</v>
      </c>
      <c r="C6742" s="5" t="s">
        <v>32</v>
      </c>
      <c r="D6742" s="5" t="s">
        <v>33</v>
      </c>
      <c r="E6742" s="5" t="s">
        <v>480</v>
      </c>
      <c r="F6742" s="9">
        <v>10</v>
      </c>
      <c r="G6742" s="9">
        <v>123</v>
      </c>
      <c r="H6742" s="5" t="s">
        <v>21</v>
      </c>
      <c r="I6742" s="5" t="s">
        <v>14986</v>
      </c>
      <c r="J6742" s="12" t="str">
        <f>HYPERLINK("https://www.boe.es/gazeta/dias/1801/02/03/pdfs/GMD-1801-10.pdf#page=8","Abrir facsímil")</f>
        <v>Abrir facsímil</v>
      </c>
      <c r="K6742" s="15" t="s">
        <v>23</v>
      </c>
    </row>
    <row r="6743" spans="1:11" ht="42" customHeight="1">
      <c r="A6743" s="4" t="s">
        <v>14987</v>
      </c>
      <c r="B6743" s="5" t="s">
        <v>14987</v>
      </c>
      <c r="C6743" s="5" t="s">
        <v>75</v>
      </c>
      <c r="D6743" s="5" t="s">
        <v>76</v>
      </c>
      <c r="E6743" s="5" t="s">
        <v>262</v>
      </c>
      <c r="F6743" s="9">
        <v>109</v>
      </c>
      <c r="G6743" s="9">
        <v>1197</v>
      </c>
      <c r="H6743" s="5" t="s">
        <v>21</v>
      </c>
      <c r="I6743" s="5" t="s">
        <v>14988</v>
      </c>
      <c r="J6743" s="12" t="str">
        <f>HYPERLINK("https://www.boe.es/gazeta/dias/1801/11/24/pdfs/GMD-1801-109.pdf#page=2","Abrir facsímil")</f>
        <v>Abrir facsímil</v>
      </c>
      <c r="K6743" s="15" t="s">
        <v>23</v>
      </c>
    </row>
    <row r="6744" spans="1:11" ht="42" customHeight="1">
      <c r="A6744" s="4" t="s">
        <v>14989</v>
      </c>
      <c r="B6744" s="5" t="s">
        <v>14989</v>
      </c>
      <c r="C6744" s="5" t="s">
        <v>18</v>
      </c>
      <c r="D6744" s="5" t="s">
        <v>19</v>
      </c>
      <c r="E6744" s="5" t="s">
        <v>155</v>
      </c>
      <c r="F6744" s="9">
        <v>50</v>
      </c>
      <c r="G6744" s="9">
        <v>593</v>
      </c>
      <c r="H6744" s="5" t="s">
        <v>21</v>
      </c>
      <c r="I6744" s="5" t="s">
        <v>14990</v>
      </c>
      <c r="J6744" s="12" t="str">
        <f>HYPERLINK("https://www.boe.es/gazeta/dias/1801/06/09/pdfs/GMD-1801-50.pdf#page=5","Abrir facsímil")</f>
        <v>Abrir facsímil</v>
      </c>
      <c r="K6744" s="15" t="s">
        <v>23</v>
      </c>
    </row>
    <row r="6745" spans="1:11" ht="42" customHeight="1">
      <c r="A6745" s="4" t="s">
        <v>14991</v>
      </c>
      <c r="B6745" s="5" t="s">
        <v>14991</v>
      </c>
      <c r="C6745" s="5" t="s">
        <v>38</v>
      </c>
      <c r="D6745" s="5" t="s">
        <v>39</v>
      </c>
      <c r="E6745" s="5" t="s">
        <v>131</v>
      </c>
      <c r="F6745" s="9">
        <v>22</v>
      </c>
      <c r="G6745" s="9">
        <v>286</v>
      </c>
      <c r="H6745" s="5" t="s">
        <v>21</v>
      </c>
      <c r="I6745" s="5" t="s">
        <v>14992</v>
      </c>
      <c r="J6745" s="12" t="str">
        <f>HYPERLINK("https://www.boe.es/gazeta/dias/1801/03/17/pdfs/GMD-1801-22.pdf#page=3","Abrir facsímil")</f>
        <v>Abrir facsímil</v>
      </c>
      <c r="K6745" s="15" t="s">
        <v>23</v>
      </c>
    </row>
    <row r="6746" spans="1:11" ht="42" customHeight="1">
      <c r="A6746" s="4" t="s">
        <v>14993</v>
      </c>
      <c r="B6746" s="5" t="s">
        <v>14993</v>
      </c>
      <c r="C6746" s="5" t="s">
        <v>75</v>
      </c>
      <c r="D6746" s="5" t="s">
        <v>76</v>
      </c>
      <c r="E6746" s="5" t="s">
        <v>169</v>
      </c>
      <c r="F6746" s="9">
        <v>70</v>
      </c>
      <c r="G6746" s="9">
        <v>769</v>
      </c>
      <c r="H6746" s="5" t="s">
        <v>21</v>
      </c>
      <c r="I6746" s="5" t="s">
        <v>14994</v>
      </c>
      <c r="J6746" s="12" t="str">
        <f>HYPERLINK("https://www.boe.es/gazeta/dias/1801/07/17/pdfs/GMD-1801-70.pdf#page=2","Abrir facsímil")</f>
        <v>Abrir facsímil</v>
      </c>
      <c r="K6746" s="15" t="s">
        <v>23</v>
      </c>
    </row>
    <row r="6747" spans="1:11" ht="42" customHeight="1">
      <c r="A6747" s="4" t="s">
        <v>14995</v>
      </c>
      <c r="B6747" s="5" t="s">
        <v>14995</v>
      </c>
      <c r="C6747" s="5" t="s">
        <v>32</v>
      </c>
      <c r="D6747" s="5" t="s">
        <v>33</v>
      </c>
      <c r="E6747" s="5" t="s">
        <v>723</v>
      </c>
      <c r="F6747" s="9">
        <v>113</v>
      </c>
      <c r="G6747" s="9">
        <v>1234</v>
      </c>
      <c r="H6747" s="5" t="s">
        <v>21</v>
      </c>
      <c r="I6747" s="5" t="s">
        <v>14996</v>
      </c>
      <c r="J6747" s="12" t="str">
        <f>HYPERLINK("https://www.boe.es/gazeta/dias/1801/12/08/pdfs/GMD-1801-113.pdf#page=7","Abrir facsímil")</f>
        <v>Abrir facsímil</v>
      </c>
      <c r="K6747" s="15" t="s">
        <v>23</v>
      </c>
    </row>
    <row r="6748" spans="1:11" ht="42" customHeight="1">
      <c r="A6748" s="4" t="s">
        <v>14997</v>
      </c>
      <c r="B6748" s="5" t="s">
        <v>14997</v>
      </c>
      <c r="C6748" s="5" t="s">
        <v>69</v>
      </c>
      <c r="D6748" s="5" t="s">
        <v>19</v>
      </c>
      <c r="E6748" s="5" t="s">
        <v>122</v>
      </c>
      <c r="F6748" s="9">
        <v>8</v>
      </c>
      <c r="G6748" s="9">
        <v>96</v>
      </c>
      <c r="H6748" s="5" t="s">
        <v>21</v>
      </c>
      <c r="I6748" s="5" t="s">
        <v>14998</v>
      </c>
      <c r="J6748" s="12" t="str">
        <f>HYPERLINK("https://www.boe.es/gazeta/dias/1801/01/27/pdfs/GMD-1801-8.pdf#page=8","Abrir facsímil")</f>
        <v>Abrir facsímil</v>
      </c>
      <c r="K6748" s="15" t="s">
        <v>23</v>
      </c>
    </row>
    <row r="6749" spans="1:11" ht="42" customHeight="1">
      <c r="A6749" s="4" t="s">
        <v>14999</v>
      </c>
      <c r="B6749" s="5" t="s">
        <v>14999</v>
      </c>
      <c r="C6749" s="5" t="s">
        <v>26</v>
      </c>
      <c r="D6749" s="5" t="s">
        <v>27</v>
      </c>
      <c r="E6749" s="5" t="s">
        <v>258</v>
      </c>
      <c r="F6749" s="9">
        <v>96</v>
      </c>
      <c r="G6749" s="9">
        <v>1048</v>
      </c>
      <c r="H6749" s="5" t="s">
        <v>21</v>
      </c>
      <c r="I6749" s="5" t="s">
        <v>15000</v>
      </c>
      <c r="J6749" s="12" t="str">
        <f>HYPERLINK("https://www.boe.es/gazeta/dias/1801/10/09/pdfs/GMD-1801-96.pdf#page=4","Abrir facsímil")</f>
        <v>Abrir facsímil</v>
      </c>
      <c r="K6749" s="15" t="s">
        <v>23</v>
      </c>
    </row>
    <row r="6750" spans="1:11" ht="42" customHeight="1">
      <c r="A6750" s="4" t="s">
        <v>15001</v>
      </c>
      <c r="B6750" s="5" t="s">
        <v>15001</v>
      </c>
      <c r="C6750" s="5" t="s">
        <v>38</v>
      </c>
      <c r="D6750" s="5" t="s">
        <v>39</v>
      </c>
      <c r="E6750" s="5" t="s">
        <v>215</v>
      </c>
      <c r="F6750" s="9">
        <v>71</v>
      </c>
      <c r="G6750" s="9">
        <v>788</v>
      </c>
      <c r="H6750" s="5" t="s">
        <v>21</v>
      </c>
      <c r="I6750" s="5" t="s">
        <v>15002</v>
      </c>
      <c r="J6750" s="12" t="str">
        <f>HYPERLINK("https://www.boe.es/gazeta/dias/1801/07/21/pdfs/GMD-1801-71.pdf#page=9","Abrir facsímil")</f>
        <v>Abrir facsímil</v>
      </c>
      <c r="K6750" s="15" t="s">
        <v>23</v>
      </c>
    </row>
    <row r="6751" spans="1:11" ht="42" customHeight="1">
      <c r="A6751" s="4" t="s">
        <v>15003</v>
      </c>
      <c r="B6751" s="5" t="s">
        <v>15003</v>
      </c>
      <c r="C6751" s="5" t="s">
        <v>38</v>
      </c>
      <c r="D6751" s="5" t="s">
        <v>39</v>
      </c>
      <c r="E6751" s="5" t="s">
        <v>417</v>
      </c>
      <c r="F6751" s="9">
        <v>64</v>
      </c>
      <c r="G6751" s="9">
        <v>723</v>
      </c>
      <c r="H6751" s="5" t="s">
        <v>21</v>
      </c>
      <c r="I6751" s="5" t="s">
        <v>15004</v>
      </c>
      <c r="J6751" s="12" t="str">
        <f>HYPERLINK("https://www.boe.es/gazeta/dias/1801/07/07/pdfs/GMD-1801-64.pdf#page=4","Abrir facsímil")</f>
        <v>Abrir facsímil</v>
      </c>
      <c r="K6751" s="15" t="s">
        <v>23</v>
      </c>
    </row>
    <row r="6752" spans="1:11" ht="42" customHeight="1">
      <c r="A6752" s="4" t="s">
        <v>15005</v>
      </c>
      <c r="B6752" s="5" t="s">
        <v>15005</v>
      </c>
      <c r="C6752" s="5" t="s">
        <v>32</v>
      </c>
      <c r="D6752" s="5" t="s">
        <v>33</v>
      </c>
      <c r="E6752" s="5" t="s">
        <v>171</v>
      </c>
      <c r="F6752" s="9">
        <v>76</v>
      </c>
      <c r="G6752" s="9">
        <v>845</v>
      </c>
      <c r="H6752" s="5" t="s">
        <v>21</v>
      </c>
      <c r="I6752" s="5" t="s">
        <v>15006</v>
      </c>
      <c r="J6752" s="12" t="str">
        <f>HYPERLINK("https://www.boe.es/gazeta/dias/1801/08/07/pdfs/GMD-1801-76.pdf#page=2","Abrir facsímil")</f>
        <v>Abrir facsímil</v>
      </c>
      <c r="K6752" s="15" t="s">
        <v>23</v>
      </c>
    </row>
    <row r="6753" spans="1:11" ht="42" customHeight="1">
      <c r="A6753" s="4" t="s">
        <v>15007</v>
      </c>
      <c r="B6753" s="5" t="s">
        <v>15007</v>
      </c>
      <c r="C6753" s="5" t="s">
        <v>32</v>
      </c>
      <c r="D6753" s="5" t="s">
        <v>33</v>
      </c>
      <c r="E6753" s="5" t="s">
        <v>171</v>
      </c>
      <c r="F6753" s="9">
        <v>76</v>
      </c>
      <c r="G6753" s="9">
        <v>845</v>
      </c>
      <c r="H6753" s="5" t="s">
        <v>21</v>
      </c>
      <c r="I6753" s="5" t="s">
        <v>15008</v>
      </c>
      <c r="J6753" s="12" t="str">
        <f>HYPERLINK("https://www.boe.es/gazeta/dias/1801/08/07/pdfs/GMD-1801-76.pdf#page=2","Abrir facsímil")</f>
        <v>Abrir facsímil</v>
      </c>
      <c r="K6753" s="15" t="s">
        <v>23</v>
      </c>
    </row>
    <row r="6754" spans="1:11" ht="42" customHeight="1">
      <c r="A6754" s="4" t="s">
        <v>15009</v>
      </c>
      <c r="B6754" s="5" t="s">
        <v>15009</v>
      </c>
      <c r="C6754" s="5" t="s">
        <v>75</v>
      </c>
      <c r="D6754" s="5" t="s">
        <v>76</v>
      </c>
      <c r="E6754" s="5" t="s">
        <v>640</v>
      </c>
      <c r="F6754" s="9">
        <v>81</v>
      </c>
      <c r="G6754" s="9">
        <v>905</v>
      </c>
      <c r="H6754" s="5" t="s">
        <v>21</v>
      </c>
      <c r="I6754" s="5" t="s">
        <v>15010</v>
      </c>
      <c r="J6754" s="12" t="str">
        <f>HYPERLINK("https://www.boe.es/gazeta/dias/1801/08/25/pdfs/GMD-1801-81.pdf#page=2","Abrir facsímil")</f>
        <v>Abrir facsímil</v>
      </c>
      <c r="K6754" s="15" t="s">
        <v>23</v>
      </c>
    </row>
    <row r="6755" spans="1:11" ht="42" customHeight="1">
      <c r="A6755" s="4" t="s">
        <v>15011</v>
      </c>
      <c r="B6755" s="5" t="s">
        <v>15011</v>
      </c>
      <c r="C6755" s="5" t="s">
        <v>32</v>
      </c>
      <c r="D6755" s="5" t="s">
        <v>33</v>
      </c>
      <c r="E6755" s="5" t="s">
        <v>453</v>
      </c>
      <c r="F6755" s="9">
        <v>100</v>
      </c>
      <c r="G6755" s="9">
        <v>1101</v>
      </c>
      <c r="H6755" s="5" t="s">
        <v>21</v>
      </c>
      <c r="I6755" s="5" t="s">
        <v>15012</v>
      </c>
      <c r="J6755" s="12" t="str">
        <f>HYPERLINK("https://www.boe.es/gazeta/dias/1801/10/23/pdfs/GMD-1801-100.pdf#page=10","Abrir facsímil")</f>
        <v>Abrir facsímil</v>
      </c>
      <c r="K6755" s="15" t="s">
        <v>23</v>
      </c>
    </row>
    <row r="6756" spans="1:11" ht="42" customHeight="1">
      <c r="A6756" s="4" t="s">
        <v>15013</v>
      </c>
      <c r="B6756" s="5" t="s">
        <v>15013</v>
      </c>
      <c r="C6756" s="5" t="s">
        <v>38</v>
      </c>
      <c r="D6756" s="5" t="s">
        <v>39</v>
      </c>
      <c r="E6756" s="5" t="s">
        <v>72</v>
      </c>
      <c r="F6756" s="9">
        <v>60</v>
      </c>
      <c r="G6756" s="9">
        <v>680</v>
      </c>
      <c r="H6756" s="5" t="s">
        <v>21</v>
      </c>
      <c r="I6756" s="5" t="s">
        <v>15014</v>
      </c>
      <c r="J6756" s="12" t="str">
        <f>HYPERLINK("https://www.boe.es/gazeta/dias/1801/06/26/pdfs/GMD-1801-60.pdf#page=1","Abrir facsímil")</f>
        <v>Abrir facsímil</v>
      </c>
      <c r="K6756" s="15" t="s">
        <v>23</v>
      </c>
    </row>
    <row r="6757" spans="1:11" ht="42" customHeight="1">
      <c r="A6757" s="4" t="s">
        <v>15015</v>
      </c>
      <c r="B6757" s="5" t="s">
        <v>15015</v>
      </c>
      <c r="C6757" s="5" t="s">
        <v>32</v>
      </c>
      <c r="D6757" s="5" t="s">
        <v>33</v>
      </c>
      <c r="E6757" s="5" t="s">
        <v>505</v>
      </c>
      <c r="F6757" s="9">
        <v>94</v>
      </c>
      <c r="G6757" s="9">
        <v>1025</v>
      </c>
      <c r="H6757" s="5" t="s">
        <v>21</v>
      </c>
      <c r="I6757" s="5" t="s">
        <v>15016</v>
      </c>
      <c r="J6757" s="12" t="str">
        <f>HYPERLINK("https://www.boe.es/gazeta/dias/1801/10/02/pdfs/GMD-1801-94.pdf#page=1","Abrir facsímil")</f>
        <v>Abrir facsímil</v>
      </c>
      <c r="K6757" s="15" t="s">
        <v>23</v>
      </c>
    </row>
    <row r="6758" spans="1:11" ht="42" customHeight="1">
      <c r="A6758" s="4" t="s">
        <v>15017</v>
      </c>
      <c r="B6758" s="5" t="s">
        <v>15017</v>
      </c>
      <c r="C6758" s="5" t="s">
        <v>18</v>
      </c>
      <c r="D6758" s="5" t="s">
        <v>19</v>
      </c>
      <c r="E6758" s="5" t="s">
        <v>262</v>
      </c>
      <c r="F6758" s="9">
        <v>109</v>
      </c>
      <c r="G6758" s="9">
        <v>1197</v>
      </c>
      <c r="H6758" s="5" t="s">
        <v>21</v>
      </c>
      <c r="I6758" s="5" t="s">
        <v>15018</v>
      </c>
      <c r="J6758" s="12" t="str">
        <f>HYPERLINK("https://www.boe.es/gazeta/dias/1801/11/24/pdfs/GMD-1801-109.pdf#page=2","Abrir facsímil")</f>
        <v>Abrir facsímil</v>
      </c>
      <c r="K6758" s="15" t="s">
        <v>23</v>
      </c>
    </row>
    <row r="6759" spans="1:11" ht="42" customHeight="1">
      <c r="A6759" s="4" t="s">
        <v>15019</v>
      </c>
      <c r="B6759" s="5" t="s">
        <v>15019</v>
      </c>
      <c r="C6759" s="5" t="s">
        <v>26</v>
      </c>
      <c r="D6759" s="5" t="s">
        <v>27</v>
      </c>
      <c r="E6759" s="5" t="s">
        <v>309</v>
      </c>
      <c r="F6759" s="9">
        <v>118</v>
      </c>
      <c r="G6759" s="9">
        <v>1291</v>
      </c>
      <c r="H6759" s="5" t="s">
        <v>21</v>
      </c>
      <c r="I6759" s="5" t="s">
        <v>15020</v>
      </c>
      <c r="J6759" s="12" t="str">
        <f>HYPERLINK("https://www.boe.es/gazeta/dias/1801/12/25/pdfs/GMD-1801-118.pdf#page=6","Abrir facsímil")</f>
        <v>Abrir facsímil</v>
      </c>
      <c r="K6759" s="15" t="s">
        <v>23</v>
      </c>
    </row>
    <row r="6760" spans="1:11" ht="42" customHeight="1">
      <c r="A6760" s="4" t="s">
        <v>15021</v>
      </c>
      <c r="B6760" s="5" t="s">
        <v>15021</v>
      </c>
      <c r="C6760" s="5" t="s">
        <v>75</v>
      </c>
      <c r="D6760" s="5" t="s">
        <v>76</v>
      </c>
      <c r="E6760" s="5" t="s">
        <v>94</v>
      </c>
      <c r="F6760" s="9">
        <v>19</v>
      </c>
      <c r="G6760" s="9">
        <v>239</v>
      </c>
      <c r="H6760" s="5" t="s">
        <v>21</v>
      </c>
      <c r="I6760" s="5" t="s">
        <v>15022</v>
      </c>
      <c r="J6760" s="12" t="str">
        <f>HYPERLINK("https://www.boe.es/gazeta/dias/1801/03/06/pdfs/GMD-1801-19.pdf#page=4","Abrir facsímil")</f>
        <v>Abrir facsímil</v>
      </c>
      <c r="K6760" s="15" t="s">
        <v>23</v>
      </c>
    </row>
    <row r="6761" spans="1:11" ht="42" customHeight="1">
      <c r="A6761" s="4" t="s">
        <v>15023</v>
      </c>
      <c r="B6761" s="5" t="s">
        <v>15023</v>
      </c>
      <c r="C6761" s="5" t="s">
        <v>75</v>
      </c>
      <c r="D6761" s="5" t="s">
        <v>76</v>
      </c>
      <c r="E6761" s="5" t="s">
        <v>1015</v>
      </c>
      <c r="F6761" s="9">
        <v>15</v>
      </c>
      <c r="G6761" s="9">
        <v>187</v>
      </c>
      <c r="H6761" s="5" t="s">
        <v>21</v>
      </c>
      <c r="I6761" s="5" t="s">
        <v>15024</v>
      </c>
      <c r="J6761" s="12" t="str">
        <f>HYPERLINK("https://www.boe.es/gazeta/dias/1801/02/20/pdfs/GMD-1801-15.pdf#page=6","Abrir facsímil")</f>
        <v>Abrir facsímil</v>
      </c>
      <c r="K6761" s="15" t="s">
        <v>23</v>
      </c>
    </row>
    <row r="6762" spans="1:11" ht="42" customHeight="1">
      <c r="A6762" s="4" t="s">
        <v>15025</v>
      </c>
      <c r="B6762" s="5" t="s">
        <v>15025</v>
      </c>
      <c r="C6762" s="5" t="s">
        <v>32</v>
      </c>
      <c r="D6762" s="5" t="s">
        <v>33</v>
      </c>
      <c r="E6762" s="5" t="s">
        <v>171</v>
      </c>
      <c r="F6762" s="9">
        <v>76</v>
      </c>
      <c r="G6762" s="9">
        <v>845</v>
      </c>
      <c r="H6762" s="5" t="s">
        <v>21</v>
      </c>
      <c r="I6762" s="5" t="s">
        <v>15026</v>
      </c>
      <c r="J6762" s="12" t="str">
        <f>HYPERLINK("https://www.boe.es/gazeta/dias/1801/08/07/pdfs/GMD-1801-76.pdf#page=2","Abrir facsímil")</f>
        <v>Abrir facsímil</v>
      </c>
      <c r="K6762" s="15" t="s">
        <v>23</v>
      </c>
    </row>
    <row r="6763" spans="1:11" ht="42" customHeight="1">
      <c r="A6763" s="4" t="s">
        <v>15027</v>
      </c>
      <c r="B6763" s="5" t="s">
        <v>15027</v>
      </c>
      <c r="C6763" s="5" t="s">
        <v>32</v>
      </c>
      <c r="D6763" s="5" t="s">
        <v>33</v>
      </c>
      <c r="E6763" s="5" t="s">
        <v>66</v>
      </c>
      <c r="F6763" s="9">
        <v>52</v>
      </c>
      <c r="G6763" s="9">
        <v>607</v>
      </c>
      <c r="H6763" s="5" t="s">
        <v>21</v>
      </c>
      <c r="I6763" s="5" t="s">
        <v>15028</v>
      </c>
      <c r="J6763" s="12" t="str">
        <f>HYPERLINK("https://www.boe.es/gazeta/dias/1801/06/12/pdfs/GMD-1801-52.pdf#page=6","Abrir facsímil")</f>
        <v>Abrir facsímil</v>
      </c>
      <c r="K6763" s="15" t="s">
        <v>23</v>
      </c>
    </row>
    <row r="6764" spans="1:11" ht="42" customHeight="1">
      <c r="A6764" s="4" t="s">
        <v>15029</v>
      </c>
      <c r="B6764" s="5" t="s">
        <v>15029</v>
      </c>
      <c r="C6764" s="5" t="s">
        <v>38</v>
      </c>
      <c r="D6764" s="5" t="s">
        <v>39</v>
      </c>
      <c r="E6764" s="5" t="s">
        <v>72</v>
      </c>
      <c r="F6764" s="9">
        <v>60</v>
      </c>
      <c r="G6764" s="9">
        <v>680</v>
      </c>
      <c r="H6764" s="5" t="s">
        <v>21</v>
      </c>
      <c r="I6764" s="5" t="s">
        <v>15030</v>
      </c>
      <c r="J6764" s="12" t="str">
        <f>HYPERLINK("https://www.boe.es/gazeta/dias/1801/06/26/pdfs/GMD-1801-60.pdf#page=1","Abrir facsímil")</f>
        <v>Abrir facsímil</v>
      </c>
      <c r="K6764" s="15" t="s">
        <v>23</v>
      </c>
    </row>
    <row r="6765" spans="1:11" ht="42" customHeight="1">
      <c r="A6765" s="4" t="s">
        <v>15031</v>
      </c>
      <c r="B6765" s="5" t="s">
        <v>15031</v>
      </c>
      <c r="C6765" s="5" t="s">
        <v>26</v>
      </c>
      <c r="D6765" s="5" t="s">
        <v>27</v>
      </c>
      <c r="E6765" s="5" t="s">
        <v>94</v>
      </c>
      <c r="F6765" s="9">
        <v>19</v>
      </c>
      <c r="G6765" s="9">
        <v>239</v>
      </c>
      <c r="H6765" s="5" t="s">
        <v>21</v>
      </c>
      <c r="I6765" s="5" t="s">
        <v>15032</v>
      </c>
      <c r="J6765" s="12" t="str">
        <f>HYPERLINK("https://www.boe.es/gazeta/dias/1801/03/06/pdfs/GMD-1801-19.pdf#page=4","Abrir facsímil")</f>
        <v>Abrir facsímil</v>
      </c>
      <c r="K6765" s="15" t="s">
        <v>23</v>
      </c>
    </row>
    <row r="6766" spans="1:11" ht="42" customHeight="1">
      <c r="A6766" s="4" t="s">
        <v>15033</v>
      </c>
      <c r="B6766" s="5" t="s">
        <v>15033</v>
      </c>
      <c r="C6766" s="5" t="s">
        <v>75</v>
      </c>
      <c r="D6766" s="5" t="s">
        <v>76</v>
      </c>
      <c r="E6766" s="5" t="s">
        <v>254</v>
      </c>
      <c r="F6766" s="9">
        <v>73</v>
      </c>
      <c r="G6766" s="9">
        <v>811</v>
      </c>
      <c r="H6766" s="5" t="s">
        <v>21</v>
      </c>
      <c r="I6766" s="5" t="s">
        <v>15034</v>
      </c>
      <c r="J6766" s="12" t="str">
        <f>HYPERLINK("https://www.boe.es/gazeta/dias/1801/07/28/pdfs/GMD-1801-73.pdf#page=4","Abrir facsímil")</f>
        <v>Abrir facsímil</v>
      </c>
      <c r="K6766" s="15" t="s">
        <v>23</v>
      </c>
    </row>
    <row r="6767" spans="1:11" ht="42" customHeight="1">
      <c r="A6767" s="4" t="s">
        <v>15035</v>
      </c>
      <c r="B6767" s="5" t="s">
        <v>15035</v>
      </c>
      <c r="C6767" s="5" t="s">
        <v>75</v>
      </c>
      <c r="D6767" s="5" t="s">
        <v>76</v>
      </c>
      <c r="E6767" s="5" t="s">
        <v>501</v>
      </c>
      <c r="F6767" s="9">
        <v>115</v>
      </c>
      <c r="G6767" s="9">
        <v>1251</v>
      </c>
      <c r="H6767" s="5" t="s">
        <v>21</v>
      </c>
      <c r="I6767" s="5" t="s">
        <v>15036</v>
      </c>
      <c r="J6767" s="12" t="str">
        <f>HYPERLINK("https://www.boe.es/gazeta/dias/1801/12/15/pdfs/GMD-1801-115.pdf#page=1","Abrir facsímil")</f>
        <v>Abrir facsímil</v>
      </c>
      <c r="K6767" s="15" t="s">
        <v>23</v>
      </c>
    </row>
    <row r="6768" spans="1:11" ht="42" customHeight="1">
      <c r="A6768" s="4" t="s">
        <v>15037</v>
      </c>
      <c r="B6768" s="5" t="s">
        <v>15037</v>
      </c>
      <c r="C6768" s="5" t="s">
        <v>32</v>
      </c>
      <c r="D6768" s="5" t="s">
        <v>33</v>
      </c>
      <c r="E6768" s="5" t="s">
        <v>165</v>
      </c>
      <c r="F6768" s="9">
        <v>59</v>
      </c>
      <c r="G6768" s="9">
        <v>668</v>
      </c>
      <c r="H6768" s="5" t="s">
        <v>21</v>
      </c>
      <c r="I6768" s="5" t="s">
        <v>15038</v>
      </c>
      <c r="J6768" s="12" t="str">
        <f>HYPERLINK("https://www.boe.es/gazeta/dias/1801/06/23/pdfs/GMD-1801-59.pdf#page=1","Abrir facsímil")</f>
        <v>Abrir facsímil</v>
      </c>
      <c r="K6768" s="15" t="s">
        <v>23</v>
      </c>
    </row>
    <row r="6769" spans="1:11" ht="42" customHeight="1">
      <c r="A6769" s="4" t="s">
        <v>15039</v>
      </c>
      <c r="B6769" s="5" t="s">
        <v>15039</v>
      </c>
      <c r="C6769" s="5" t="s">
        <v>38</v>
      </c>
      <c r="D6769" s="5" t="s">
        <v>39</v>
      </c>
      <c r="E6769" s="5" t="s">
        <v>131</v>
      </c>
      <c r="F6769" s="9">
        <v>22</v>
      </c>
      <c r="G6769" s="9">
        <v>286</v>
      </c>
      <c r="H6769" s="5" t="s">
        <v>21</v>
      </c>
      <c r="I6769" s="5" t="s">
        <v>15040</v>
      </c>
      <c r="J6769" s="12" t="str">
        <f>HYPERLINK("https://www.boe.es/gazeta/dias/1801/03/17/pdfs/GMD-1801-22.pdf#page=3","Abrir facsímil")</f>
        <v>Abrir facsímil</v>
      </c>
      <c r="K6769" s="15" t="s">
        <v>23</v>
      </c>
    </row>
    <row r="6770" spans="1:11" ht="42" customHeight="1">
      <c r="A6770" s="4" t="s">
        <v>15041</v>
      </c>
      <c r="B6770" s="5" t="s">
        <v>15041</v>
      </c>
      <c r="C6770" s="5" t="s">
        <v>32</v>
      </c>
      <c r="D6770" s="5" t="s">
        <v>33</v>
      </c>
      <c r="E6770" s="5" t="s">
        <v>211</v>
      </c>
      <c r="F6770" s="9">
        <v>87</v>
      </c>
      <c r="G6770" s="9">
        <v>960</v>
      </c>
      <c r="H6770" s="5" t="s">
        <v>21</v>
      </c>
      <c r="I6770" s="5" t="s">
        <v>15042</v>
      </c>
      <c r="J6770" s="12" t="str">
        <f>HYPERLINK("https://www.boe.es/gazeta/dias/1801/09/11/pdfs/GMD-1801-87.pdf#page=3","Abrir facsímil")</f>
        <v>Abrir facsímil</v>
      </c>
      <c r="K6770" s="15" t="s">
        <v>23</v>
      </c>
    </row>
    <row r="6771" spans="1:11" ht="42" customHeight="1">
      <c r="A6771" s="4" t="s">
        <v>15043</v>
      </c>
      <c r="B6771" s="5" t="s">
        <v>15043</v>
      </c>
      <c r="C6771" s="5" t="s">
        <v>75</v>
      </c>
      <c r="D6771" s="5" t="s">
        <v>76</v>
      </c>
      <c r="E6771" s="5" t="s">
        <v>165</v>
      </c>
      <c r="F6771" s="9">
        <v>59</v>
      </c>
      <c r="G6771" s="9">
        <v>668</v>
      </c>
      <c r="H6771" s="5" t="s">
        <v>21</v>
      </c>
      <c r="I6771" s="5" t="s">
        <v>15044</v>
      </c>
      <c r="J6771" s="12" t="str">
        <f>HYPERLINK("https://www.boe.es/gazeta/dias/1801/06/23/pdfs/GMD-1801-59.pdf#page=1","Abrir facsímil")</f>
        <v>Abrir facsímil</v>
      </c>
      <c r="K6771" s="15" t="s">
        <v>23</v>
      </c>
    </row>
    <row r="6772" spans="1:11" ht="42" customHeight="1">
      <c r="A6772" s="4" t="s">
        <v>15045</v>
      </c>
      <c r="B6772" s="5" t="s">
        <v>15045</v>
      </c>
      <c r="C6772" s="5" t="s">
        <v>75</v>
      </c>
      <c r="D6772" s="5" t="s">
        <v>76</v>
      </c>
      <c r="E6772" s="5" t="s">
        <v>349</v>
      </c>
      <c r="F6772" s="9">
        <v>112</v>
      </c>
      <c r="G6772" s="9">
        <v>1223</v>
      </c>
      <c r="H6772" s="5" t="s">
        <v>21</v>
      </c>
      <c r="I6772" s="5" t="s">
        <v>15046</v>
      </c>
      <c r="J6772" s="12" t="str">
        <f>HYPERLINK("https://www.boe.es/gazeta/dias/1801/12/04/pdfs/GMD-1801-112.pdf#page=4","Abrir facsímil")</f>
        <v>Abrir facsímil</v>
      </c>
      <c r="K6772" s="15" t="s">
        <v>23</v>
      </c>
    </row>
    <row r="6773" spans="1:11" ht="42" customHeight="1">
      <c r="A6773" s="4" t="s">
        <v>15047</v>
      </c>
      <c r="B6773" s="5" t="s">
        <v>15047</v>
      </c>
      <c r="C6773" s="5" t="s">
        <v>32</v>
      </c>
      <c r="D6773" s="5" t="s">
        <v>33</v>
      </c>
      <c r="E6773" s="5" t="s">
        <v>417</v>
      </c>
      <c r="F6773" s="9">
        <v>64</v>
      </c>
      <c r="G6773" s="9">
        <v>723</v>
      </c>
      <c r="H6773" s="5" t="s">
        <v>21</v>
      </c>
      <c r="I6773" s="5" t="s">
        <v>15048</v>
      </c>
      <c r="J6773" s="12" t="str">
        <f>HYPERLINK("https://www.boe.es/gazeta/dias/1801/07/07/pdfs/GMD-1801-64.pdf#page=4","Abrir facsímil")</f>
        <v>Abrir facsímil</v>
      </c>
      <c r="K6773" s="15" t="s">
        <v>23</v>
      </c>
    </row>
    <row r="6774" spans="1:11" ht="42" customHeight="1">
      <c r="A6774" s="4" t="s">
        <v>15049</v>
      </c>
      <c r="B6774" s="5" t="s">
        <v>15049</v>
      </c>
      <c r="C6774" s="5" t="s">
        <v>32</v>
      </c>
      <c r="D6774" s="5" t="s">
        <v>33</v>
      </c>
      <c r="E6774" s="5" t="s">
        <v>2237</v>
      </c>
      <c r="F6774" s="9">
        <v>82</v>
      </c>
      <c r="G6774" s="9">
        <v>914</v>
      </c>
      <c r="H6774" s="5" t="s">
        <v>21</v>
      </c>
      <c r="I6774" s="5" t="s">
        <v>15050</v>
      </c>
      <c r="J6774" s="12" t="str">
        <f>HYPERLINK("https://www.boe.es/gazeta/dias/1801/08/28/pdfs/GMD-1801-82.pdf#page=3","Abrir facsímil")</f>
        <v>Abrir facsímil</v>
      </c>
      <c r="K6774" s="15" t="s">
        <v>23</v>
      </c>
    </row>
    <row r="6775" spans="1:11" ht="42" customHeight="1">
      <c r="A6775" s="4" t="s">
        <v>15051</v>
      </c>
      <c r="B6775" s="5" t="s">
        <v>15051</v>
      </c>
      <c r="C6775" s="5" t="s">
        <v>32</v>
      </c>
      <c r="D6775" s="5" t="s">
        <v>33</v>
      </c>
      <c r="E6775" s="5" t="s">
        <v>124</v>
      </c>
      <c r="F6775" s="9">
        <v>12</v>
      </c>
      <c r="G6775" s="9">
        <v>149</v>
      </c>
      <c r="H6775" s="5" t="s">
        <v>21</v>
      </c>
      <c r="I6775" s="5" t="s">
        <v>15052</v>
      </c>
      <c r="J6775" s="12" t="str">
        <f>HYPERLINK("https://www.boe.es/gazeta/dias/1801/02/10/pdfs/GMD-1801-12.pdf#page=10","Abrir facsímil")</f>
        <v>Abrir facsímil</v>
      </c>
      <c r="K6775" s="15" t="s">
        <v>23</v>
      </c>
    </row>
    <row r="6776" spans="1:11" ht="42" customHeight="1">
      <c r="A6776" s="4" t="s">
        <v>15053</v>
      </c>
      <c r="B6776" s="5" t="s">
        <v>15053</v>
      </c>
      <c r="C6776" s="5" t="s">
        <v>32</v>
      </c>
      <c r="D6776" s="5" t="s">
        <v>33</v>
      </c>
      <c r="E6776" s="5" t="s">
        <v>155</v>
      </c>
      <c r="F6776" s="9">
        <v>50</v>
      </c>
      <c r="G6776" s="9">
        <v>591</v>
      </c>
      <c r="H6776" s="5" t="s">
        <v>21</v>
      </c>
      <c r="I6776" s="5" t="s">
        <v>15054</v>
      </c>
      <c r="J6776" s="12" t="str">
        <f>HYPERLINK("https://www.boe.es/gazeta/dias/1801/06/09/pdfs/GMD-1801-50.pdf#page=3","Abrir facsímil")</f>
        <v>Abrir facsímil</v>
      </c>
      <c r="K6776" s="15" t="s">
        <v>23</v>
      </c>
    </row>
    <row r="6777" spans="1:11" ht="42" customHeight="1">
      <c r="A6777" s="4" t="s">
        <v>15055</v>
      </c>
      <c r="B6777" s="5" t="s">
        <v>15055</v>
      </c>
      <c r="C6777" s="5" t="s">
        <v>38</v>
      </c>
      <c r="D6777" s="5" t="s">
        <v>39</v>
      </c>
      <c r="E6777" s="5" t="s">
        <v>2430</v>
      </c>
      <c r="F6777" s="9">
        <v>27</v>
      </c>
      <c r="G6777" s="9">
        <v>352</v>
      </c>
      <c r="H6777" s="5" t="s">
        <v>21</v>
      </c>
      <c r="I6777" s="5" t="s">
        <v>15056</v>
      </c>
      <c r="J6777" s="12" t="str">
        <f>HYPERLINK("https://www.boe.es/gazeta/dias/1801/04/03/pdfs/GMD-1801-27.pdf#page=4","Abrir facsímil")</f>
        <v>Abrir facsímil</v>
      </c>
      <c r="K6777" s="15" t="s">
        <v>23</v>
      </c>
    </row>
    <row r="6778" spans="1:11" ht="42" customHeight="1">
      <c r="A6778" s="4" t="s">
        <v>15057</v>
      </c>
      <c r="B6778" s="5" t="s">
        <v>15057</v>
      </c>
      <c r="C6778" s="5" t="s">
        <v>75</v>
      </c>
      <c r="D6778" s="5" t="s">
        <v>76</v>
      </c>
      <c r="E6778" s="5" t="s">
        <v>615</v>
      </c>
      <c r="F6778" s="9">
        <v>72</v>
      </c>
      <c r="G6778" s="9">
        <v>800</v>
      </c>
      <c r="H6778" s="5" t="s">
        <v>21</v>
      </c>
      <c r="I6778" s="5" t="s">
        <v>15058</v>
      </c>
      <c r="J6778" s="12" t="str">
        <f>HYPERLINK("https://www.boe.es/gazeta/dias/1801/07/24/pdfs/GMD-1801-72.pdf#page=5","Abrir facsímil")</f>
        <v>Abrir facsímil</v>
      </c>
      <c r="K6778" s="15" t="s">
        <v>23</v>
      </c>
    </row>
    <row r="6779" spans="1:11" ht="42" customHeight="1">
      <c r="A6779" s="4" t="s">
        <v>15059</v>
      </c>
      <c r="B6779" s="5" t="s">
        <v>15059</v>
      </c>
      <c r="C6779" s="5" t="s">
        <v>38</v>
      </c>
      <c r="D6779" s="5" t="s">
        <v>39</v>
      </c>
      <c r="E6779" s="5" t="s">
        <v>131</v>
      </c>
      <c r="F6779" s="9">
        <v>22</v>
      </c>
      <c r="G6779" s="9">
        <v>286</v>
      </c>
      <c r="H6779" s="5" t="s">
        <v>21</v>
      </c>
      <c r="I6779" s="5" t="s">
        <v>15060</v>
      </c>
      <c r="J6779" s="12" t="str">
        <f>HYPERLINK("https://www.boe.es/gazeta/dias/1801/03/17/pdfs/GMD-1801-22.pdf#page=3","Abrir facsímil")</f>
        <v>Abrir facsímil</v>
      </c>
      <c r="K6779" s="15" t="s">
        <v>23</v>
      </c>
    </row>
    <row r="6780" spans="1:11" ht="42" customHeight="1">
      <c r="A6780" s="4" t="s">
        <v>15061</v>
      </c>
      <c r="B6780" s="5" t="s">
        <v>15061</v>
      </c>
      <c r="C6780" s="5" t="s">
        <v>75</v>
      </c>
      <c r="D6780" s="5" t="s">
        <v>76</v>
      </c>
      <c r="E6780" s="5" t="s">
        <v>223</v>
      </c>
      <c r="F6780" s="9">
        <v>74</v>
      </c>
      <c r="G6780" s="9">
        <v>826</v>
      </c>
      <c r="H6780" s="5" t="s">
        <v>21</v>
      </c>
      <c r="I6780" s="5" t="s">
        <v>15062</v>
      </c>
      <c r="J6780" s="12" t="str">
        <f>HYPERLINK("https://www.boe.es/gazeta/dias/1801/07/31/pdfs/GMD-1801-74.pdf#page=7","Abrir facsímil")</f>
        <v>Abrir facsímil</v>
      </c>
      <c r="K6780" s="15" t="s">
        <v>23</v>
      </c>
    </row>
    <row r="6781" spans="1:11" ht="42" customHeight="1">
      <c r="A6781" s="4" t="s">
        <v>15063</v>
      </c>
      <c r="B6781" s="5" t="s">
        <v>15063</v>
      </c>
      <c r="C6781" s="5" t="s">
        <v>75</v>
      </c>
      <c r="D6781" s="5" t="s">
        <v>76</v>
      </c>
      <c r="E6781" s="5" t="s">
        <v>501</v>
      </c>
      <c r="F6781" s="9">
        <v>115</v>
      </c>
      <c r="G6781" s="9">
        <v>1254</v>
      </c>
      <c r="H6781" s="5" t="s">
        <v>21</v>
      </c>
      <c r="I6781" s="5" t="s">
        <v>15064</v>
      </c>
      <c r="J6781" s="12" t="str">
        <f>HYPERLINK("https://www.boe.es/gazeta/dias/1801/12/15/pdfs/GMD-1801-115.pdf#page=4","Abrir facsímil")</f>
        <v>Abrir facsímil</v>
      </c>
      <c r="K6781" s="15" t="s">
        <v>23</v>
      </c>
    </row>
    <row r="6782" spans="1:11" ht="42" customHeight="1">
      <c r="A6782" s="4" t="s">
        <v>15065</v>
      </c>
      <c r="B6782" s="5" t="s">
        <v>15065</v>
      </c>
      <c r="C6782" s="5" t="s">
        <v>75</v>
      </c>
      <c r="D6782" s="5" t="s">
        <v>76</v>
      </c>
      <c r="E6782" s="5" t="s">
        <v>378</v>
      </c>
      <c r="F6782" s="9">
        <v>23</v>
      </c>
      <c r="G6782" s="9">
        <v>300</v>
      </c>
      <c r="H6782" s="5" t="s">
        <v>21</v>
      </c>
      <c r="I6782" s="5" t="s">
        <v>15066</v>
      </c>
      <c r="J6782" s="12" t="str">
        <f>HYPERLINK("https://www.boe.es/gazeta/dias/1801/03/20/pdfs/GMD-1801-23.pdf#page=3","Abrir facsímil")</f>
        <v>Abrir facsímil</v>
      </c>
      <c r="K6782" s="15" t="s">
        <v>23</v>
      </c>
    </row>
    <row r="6783" spans="1:11" ht="42" customHeight="1">
      <c r="A6783" s="4" t="s">
        <v>15067</v>
      </c>
      <c r="B6783" s="5" t="s">
        <v>15067</v>
      </c>
      <c r="C6783" s="5" t="s">
        <v>32</v>
      </c>
      <c r="D6783" s="5" t="s">
        <v>33</v>
      </c>
      <c r="E6783" s="5" t="s">
        <v>48</v>
      </c>
      <c r="F6783" s="9">
        <v>20</v>
      </c>
      <c r="G6783" s="9">
        <v>263</v>
      </c>
      <c r="H6783" s="5" t="s">
        <v>21</v>
      </c>
      <c r="I6783" s="5" t="s">
        <v>15068</v>
      </c>
      <c r="J6783" s="12" t="str">
        <f>HYPERLINK("https://www.boe.es/gazeta/dias/1801/03/10/pdfs/GMD-1801-20.pdf#page=8","Abrir facsímil")</f>
        <v>Abrir facsímil</v>
      </c>
      <c r="K6783" s="15" t="s">
        <v>23</v>
      </c>
    </row>
    <row r="6784" spans="1:11" ht="42" customHeight="1">
      <c r="A6784" s="4" t="s">
        <v>15069</v>
      </c>
      <c r="B6784" s="5" t="s">
        <v>15069</v>
      </c>
      <c r="C6784" s="5" t="s">
        <v>75</v>
      </c>
      <c r="D6784" s="5" t="s">
        <v>76</v>
      </c>
      <c r="E6784" s="5" t="s">
        <v>186</v>
      </c>
      <c r="F6784" s="9">
        <v>21</v>
      </c>
      <c r="G6784" s="9">
        <v>276</v>
      </c>
      <c r="H6784" s="5" t="s">
        <v>21</v>
      </c>
      <c r="I6784" s="5" t="s">
        <v>15070</v>
      </c>
      <c r="J6784" s="12" t="str">
        <f>HYPERLINK("https://www.boe.es/gazeta/dias/1801/03/13/pdfs/GMD-1801-21.pdf#page=5","Abrir facsímil")</f>
        <v>Abrir facsímil</v>
      </c>
      <c r="K6784" s="15" t="s">
        <v>23</v>
      </c>
    </row>
    <row r="6785" spans="1:11" ht="42" customHeight="1">
      <c r="A6785" s="4" t="s">
        <v>15071</v>
      </c>
      <c r="B6785" s="5" t="s">
        <v>15071</v>
      </c>
      <c r="C6785" s="5" t="s">
        <v>75</v>
      </c>
      <c r="D6785" s="5" t="s">
        <v>76</v>
      </c>
      <c r="E6785" s="5" t="s">
        <v>256</v>
      </c>
      <c r="F6785" s="9">
        <v>78</v>
      </c>
      <c r="G6785" s="9">
        <v>876</v>
      </c>
      <c r="H6785" s="5" t="s">
        <v>21</v>
      </c>
      <c r="I6785" s="5" t="s">
        <v>15072</v>
      </c>
      <c r="J6785" s="12" t="str">
        <f>HYPERLINK("https://www.boe.es/gazeta/dias/1801/08/14/pdfs/GMD-1801-78.pdf#page=5","Abrir facsímil")</f>
        <v>Abrir facsímil</v>
      </c>
      <c r="K6785" s="15" t="s">
        <v>23</v>
      </c>
    </row>
    <row r="6786" spans="1:11" ht="42" customHeight="1">
      <c r="A6786" s="4" t="s">
        <v>15073</v>
      </c>
      <c r="B6786" s="5" t="s">
        <v>15073</v>
      </c>
      <c r="C6786" s="5" t="s">
        <v>75</v>
      </c>
      <c r="D6786" s="5" t="s">
        <v>76</v>
      </c>
      <c r="E6786" s="5" t="s">
        <v>126</v>
      </c>
      <c r="F6786" s="9">
        <v>13</v>
      </c>
      <c r="G6786" s="9">
        <v>154</v>
      </c>
      <c r="H6786" s="5" t="s">
        <v>21</v>
      </c>
      <c r="I6786" s="5" t="s">
        <v>15074</v>
      </c>
      <c r="J6786" s="12" t="str">
        <f>HYPERLINK("https://www.boe.es/gazeta/dias/1801/02/13/pdfs/GMD-1801-13.pdf#page=1","Abrir facsímil")</f>
        <v>Abrir facsímil</v>
      </c>
      <c r="K6786" s="15" t="s">
        <v>23</v>
      </c>
    </row>
    <row r="6787" spans="1:11" ht="42" customHeight="1">
      <c r="A6787" s="4" t="s">
        <v>15075</v>
      </c>
      <c r="B6787" s="5" t="s">
        <v>15075</v>
      </c>
      <c r="C6787" s="5" t="s">
        <v>75</v>
      </c>
      <c r="D6787" s="5" t="s">
        <v>76</v>
      </c>
      <c r="E6787" s="5" t="s">
        <v>20</v>
      </c>
      <c r="F6787" s="9">
        <v>37</v>
      </c>
      <c r="G6787" s="9">
        <v>479</v>
      </c>
      <c r="H6787" s="5" t="s">
        <v>21</v>
      </c>
      <c r="I6787" s="5" t="s">
        <v>15076</v>
      </c>
      <c r="J6787" s="12" t="str">
        <f>HYPERLINK("https://www.boe.es/gazeta/dias/1801/05/08/pdfs/GMD-1801-37.pdf#page=7","Abrir facsímil")</f>
        <v>Abrir facsímil</v>
      </c>
      <c r="K6787" s="15" t="s">
        <v>23</v>
      </c>
    </row>
    <row r="6788" spans="1:11" ht="42" customHeight="1">
      <c r="A6788" s="4" t="s">
        <v>15077</v>
      </c>
      <c r="B6788" s="5" t="s">
        <v>15077</v>
      </c>
      <c r="C6788" s="5" t="s">
        <v>75</v>
      </c>
      <c r="D6788" s="5" t="s">
        <v>76</v>
      </c>
      <c r="E6788" s="5" t="s">
        <v>935</v>
      </c>
      <c r="F6788" s="9">
        <v>116</v>
      </c>
      <c r="G6788" s="9">
        <v>1266</v>
      </c>
      <c r="H6788" s="5" t="s">
        <v>21</v>
      </c>
      <c r="I6788" s="5" t="s">
        <v>15078</v>
      </c>
      <c r="J6788" s="12" t="str">
        <f>HYPERLINK("https://www.boe.es/gazeta/dias/1801/12/18/pdfs/GMD-1801-116.pdf#page=8","Abrir facsímil")</f>
        <v>Abrir facsímil</v>
      </c>
      <c r="K6788" s="15" t="s">
        <v>23</v>
      </c>
    </row>
    <row r="6789" spans="1:11" ht="42" customHeight="1">
      <c r="A6789" s="4" t="s">
        <v>15079</v>
      </c>
      <c r="B6789" s="5" t="s">
        <v>15079</v>
      </c>
      <c r="C6789" s="5" t="s">
        <v>26</v>
      </c>
      <c r="D6789" s="5" t="s">
        <v>27</v>
      </c>
      <c r="E6789" s="5" t="s">
        <v>888</v>
      </c>
      <c r="F6789" s="9">
        <v>103</v>
      </c>
      <c r="G6789" s="9">
        <v>1139</v>
      </c>
      <c r="H6789" s="5" t="s">
        <v>21</v>
      </c>
      <c r="I6789" s="5" t="s">
        <v>15080</v>
      </c>
      <c r="J6789" s="12" t="str">
        <f>HYPERLINK("https://www.boe.es/gazeta/dias/1801/11/03/pdfs/GMD-1801-103.pdf#page=12","Abrir facsímil")</f>
        <v>Abrir facsímil</v>
      </c>
      <c r="K6789" s="15" t="s">
        <v>23</v>
      </c>
    </row>
    <row r="6790" spans="1:11" ht="42" customHeight="1">
      <c r="A6790" s="4" t="s">
        <v>15081</v>
      </c>
      <c r="B6790" s="5" t="s">
        <v>15081</v>
      </c>
      <c r="C6790" s="5" t="s">
        <v>32</v>
      </c>
      <c r="D6790" s="5" t="s">
        <v>33</v>
      </c>
      <c r="E6790" s="5" t="s">
        <v>258</v>
      </c>
      <c r="F6790" s="9">
        <v>96</v>
      </c>
      <c r="G6790" s="9">
        <v>1050</v>
      </c>
      <c r="H6790" s="5" t="s">
        <v>21</v>
      </c>
      <c r="I6790" s="5" t="s">
        <v>15082</v>
      </c>
      <c r="J6790" s="12" t="str">
        <f>HYPERLINK("https://www.boe.es/gazeta/dias/1801/10/09/pdfs/GMD-1801-96.pdf#page=6","Abrir facsímil")</f>
        <v>Abrir facsímil</v>
      </c>
      <c r="K6790" s="15" t="s">
        <v>23</v>
      </c>
    </row>
    <row r="6791" spans="1:11" ht="42" customHeight="1">
      <c r="A6791" s="4" t="s">
        <v>15083</v>
      </c>
      <c r="B6791" s="5" t="s">
        <v>15083</v>
      </c>
      <c r="C6791" s="5" t="s">
        <v>75</v>
      </c>
      <c r="D6791" s="5" t="s">
        <v>76</v>
      </c>
      <c r="E6791" s="5" t="s">
        <v>448</v>
      </c>
      <c r="F6791" s="9">
        <v>35</v>
      </c>
      <c r="G6791" s="9">
        <v>445</v>
      </c>
      <c r="H6791" s="5" t="s">
        <v>21</v>
      </c>
      <c r="I6791" s="5" t="s">
        <v>15084</v>
      </c>
      <c r="J6791" s="12" t="str">
        <f>HYPERLINK("https://www.boe.es/gazeta/dias/1801/05/01/pdfs/GMD-1801-35.pdf#page=1","Abrir facsímil")</f>
        <v>Abrir facsímil</v>
      </c>
      <c r="K6791" s="15" t="s">
        <v>23</v>
      </c>
    </row>
    <row r="6792" spans="1:11" ht="42" customHeight="1">
      <c r="A6792" s="4" t="s">
        <v>15085</v>
      </c>
      <c r="B6792" s="5" t="s">
        <v>15086</v>
      </c>
      <c r="C6792" s="5" t="s">
        <v>38</v>
      </c>
      <c r="D6792" s="5" t="s">
        <v>39</v>
      </c>
      <c r="E6792" s="5" t="s">
        <v>82</v>
      </c>
      <c r="F6792" s="9">
        <v>75</v>
      </c>
      <c r="G6792" s="9">
        <v>840</v>
      </c>
      <c r="H6792" s="5" t="s">
        <v>21</v>
      </c>
      <c r="I6792" s="5" t="s">
        <v>15087</v>
      </c>
      <c r="J6792" s="12" t="str">
        <f>HYPERLINK("https://www.boe.es/gazeta/dias/1801/08/04/pdfs/GMD-1801-75.pdf#page=9","Abrir facsímil")</f>
        <v>Abrir facsímil</v>
      </c>
      <c r="K6792" s="15" t="s">
        <v>23</v>
      </c>
    </row>
    <row r="6793" spans="1:11" ht="42" customHeight="1">
      <c r="A6793" s="4" t="s">
        <v>15088</v>
      </c>
      <c r="B6793" s="5" t="s">
        <v>15089</v>
      </c>
      <c r="C6793" s="5" t="s">
        <v>32</v>
      </c>
      <c r="D6793" s="5" t="s">
        <v>33</v>
      </c>
      <c r="E6793" s="5" t="s">
        <v>453</v>
      </c>
      <c r="F6793" s="9">
        <v>100</v>
      </c>
      <c r="G6793" s="9">
        <v>1100</v>
      </c>
      <c r="H6793" s="5" t="s">
        <v>21</v>
      </c>
      <c r="I6793" s="5" t="s">
        <v>15090</v>
      </c>
      <c r="J6793" s="12" t="str">
        <f>HYPERLINK("https://www.boe.es/gazeta/dias/1801/10/23/pdfs/GMD-1801-100.pdf#page=9","Abrir facsímil")</f>
        <v>Abrir facsímil</v>
      </c>
      <c r="K6793" s="15" t="s">
        <v>23</v>
      </c>
    </row>
    <row r="6794" spans="1:11" ht="42" customHeight="1">
      <c r="A6794" s="4" t="s">
        <v>15091</v>
      </c>
      <c r="B6794" s="5" t="s">
        <v>15092</v>
      </c>
      <c r="C6794" s="5" t="s">
        <v>38</v>
      </c>
      <c r="D6794" s="5" t="s">
        <v>39</v>
      </c>
      <c r="E6794" s="5" t="s">
        <v>215</v>
      </c>
      <c r="F6794" s="9">
        <v>71</v>
      </c>
      <c r="G6794" s="9">
        <v>789</v>
      </c>
      <c r="H6794" s="5" t="s">
        <v>21</v>
      </c>
      <c r="I6794" s="5" t="s">
        <v>15093</v>
      </c>
      <c r="J6794" s="12" t="str">
        <f>HYPERLINK("https://www.boe.es/gazeta/dias/1801/07/21/pdfs/GMD-1801-71.pdf#page=10","Abrir facsímil")</f>
        <v>Abrir facsímil</v>
      </c>
      <c r="K6794" s="15" t="s">
        <v>23</v>
      </c>
    </row>
    <row r="6795" spans="1:11" ht="42" customHeight="1">
      <c r="A6795" s="4" t="s">
        <v>15094</v>
      </c>
      <c r="B6795" s="5" t="s">
        <v>15094</v>
      </c>
      <c r="C6795" s="5" t="s">
        <v>69</v>
      </c>
      <c r="D6795" s="5" t="s">
        <v>19</v>
      </c>
      <c r="E6795" s="5" t="s">
        <v>266</v>
      </c>
      <c r="F6795" s="9">
        <v>119</v>
      </c>
      <c r="G6795" s="9">
        <v>1300</v>
      </c>
      <c r="H6795" s="5" t="s">
        <v>21</v>
      </c>
      <c r="I6795" s="5" t="s">
        <v>15095</v>
      </c>
      <c r="J6795" s="12" t="str">
        <f>HYPERLINK("https://www.boe.es/gazeta/dias/1801/12/29/pdfs/GMD-1801-119.pdf#page=4","Abrir facsímil")</f>
        <v>Abrir facsímil</v>
      </c>
      <c r="K6795" s="15" t="s">
        <v>23</v>
      </c>
    </row>
    <row r="6796" spans="1:11" ht="42" customHeight="1">
      <c r="A6796" s="4" t="s">
        <v>15096</v>
      </c>
      <c r="B6796" s="5" t="s">
        <v>15097</v>
      </c>
      <c r="C6796" s="5" t="s">
        <v>32</v>
      </c>
      <c r="D6796" s="5" t="s">
        <v>33</v>
      </c>
      <c r="E6796" s="5" t="s">
        <v>702</v>
      </c>
      <c r="F6796" s="9">
        <v>69</v>
      </c>
      <c r="G6796" s="9">
        <v>759</v>
      </c>
      <c r="H6796" s="5" t="s">
        <v>21</v>
      </c>
      <c r="I6796" s="5" t="s">
        <v>15098</v>
      </c>
      <c r="J6796" s="12" t="str">
        <f>HYPERLINK("https://www.boe.es/gazeta/dias/1801/07/14/pdfs/GMD-1801-69.pdf#page=4","Abrir facsímil")</f>
        <v>Abrir facsímil</v>
      </c>
      <c r="K6796" s="15" t="s">
        <v>23</v>
      </c>
    </row>
    <row r="6797" spans="1:11" ht="42" customHeight="1">
      <c r="A6797" s="4" t="s">
        <v>15099</v>
      </c>
      <c r="B6797" s="5" t="s">
        <v>15100</v>
      </c>
      <c r="C6797" s="5" t="s">
        <v>32</v>
      </c>
      <c r="D6797" s="5" t="s">
        <v>33</v>
      </c>
      <c r="E6797" s="5" t="s">
        <v>169</v>
      </c>
      <c r="F6797" s="9">
        <v>70</v>
      </c>
      <c r="G6797" s="9">
        <v>770</v>
      </c>
      <c r="H6797" s="5" t="s">
        <v>21</v>
      </c>
      <c r="I6797" s="5" t="s">
        <v>15101</v>
      </c>
      <c r="J6797" s="12" t="str">
        <f>HYPERLINK("https://www.boe.es/gazeta/dias/1801/07/17/pdfs/GMD-1801-70.pdf#page=3","Abrir facsímil")</f>
        <v>Abrir facsímil</v>
      </c>
      <c r="K6797" s="15" t="s">
        <v>23</v>
      </c>
    </row>
    <row r="6798" spans="1:11" ht="42" customHeight="1">
      <c r="A6798" s="4" t="s">
        <v>15102</v>
      </c>
      <c r="B6798" s="5" t="s">
        <v>15103</v>
      </c>
      <c r="C6798" s="5" t="s">
        <v>75</v>
      </c>
      <c r="D6798" s="5" t="s">
        <v>76</v>
      </c>
      <c r="E6798" s="5" t="s">
        <v>223</v>
      </c>
      <c r="F6798" s="9">
        <v>74</v>
      </c>
      <c r="G6798" s="9">
        <v>822</v>
      </c>
      <c r="H6798" s="5" t="s">
        <v>21</v>
      </c>
      <c r="I6798" s="5" t="s">
        <v>15104</v>
      </c>
      <c r="J6798" s="12" t="str">
        <f>HYPERLINK("https://www.boe.es/gazeta/dias/1801/07/31/pdfs/GMD-1801-74.pdf#page=3","Abrir facsímil")</f>
        <v>Abrir facsímil</v>
      </c>
      <c r="K6798" s="15" t="s">
        <v>23</v>
      </c>
    </row>
    <row r="6799" spans="1:11" ht="42" customHeight="1">
      <c r="A6799" s="4" t="s">
        <v>15105</v>
      </c>
      <c r="B6799" s="5" t="s">
        <v>15106</v>
      </c>
      <c r="C6799" s="5" t="s">
        <v>75</v>
      </c>
      <c r="D6799" s="5" t="s">
        <v>76</v>
      </c>
      <c r="E6799" s="5" t="s">
        <v>128</v>
      </c>
      <c r="F6799" s="9">
        <v>17</v>
      </c>
      <c r="G6799" s="9">
        <v>209</v>
      </c>
      <c r="H6799" s="5" t="s">
        <v>21</v>
      </c>
      <c r="I6799" s="5" t="s">
        <v>15107</v>
      </c>
      <c r="J6799" s="12" t="str">
        <f>HYPERLINK("https://www.boe.es/gazeta/dias/1801/02/27/pdfs/GMD-1801-17.pdf#page=4","Abrir facsímil")</f>
        <v>Abrir facsímil</v>
      </c>
      <c r="K6799" s="15" t="s">
        <v>23</v>
      </c>
    </row>
    <row r="6800" spans="1:11" ht="42" customHeight="1">
      <c r="A6800" s="4" t="s">
        <v>15108</v>
      </c>
      <c r="B6800" s="5" t="s">
        <v>15109</v>
      </c>
      <c r="C6800" s="5" t="s">
        <v>75</v>
      </c>
      <c r="D6800" s="5" t="s">
        <v>76</v>
      </c>
      <c r="E6800" s="5" t="s">
        <v>34</v>
      </c>
      <c r="F6800" s="9">
        <v>38</v>
      </c>
      <c r="G6800" s="9">
        <v>487</v>
      </c>
      <c r="H6800" s="5" t="s">
        <v>21</v>
      </c>
      <c r="I6800" s="5" t="s">
        <v>15110</v>
      </c>
      <c r="J6800" s="12" t="str">
        <f>HYPERLINK("https://www.boe.es/gazeta/dias/1801/05/12/pdfs/GMD-1801-38.pdf#page=3","Abrir facsímil")</f>
        <v>Abrir facsímil</v>
      </c>
      <c r="K6800" s="15" t="s">
        <v>23</v>
      </c>
    </row>
    <row r="6801" spans="1:11" ht="42" customHeight="1">
      <c r="A6801" s="4" t="s">
        <v>15111</v>
      </c>
      <c r="B6801" s="5" t="s">
        <v>15112</v>
      </c>
      <c r="C6801" s="5" t="s">
        <v>32</v>
      </c>
      <c r="D6801" s="5" t="s">
        <v>33</v>
      </c>
      <c r="E6801" s="5" t="s">
        <v>108</v>
      </c>
      <c r="F6801" s="9">
        <v>61</v>
      </c>
      <c r="G6801" s="9">
        <v>692</v>
      </c>
      <c r="H6801" s="5" t="s">
        <v>21</v>
      </c>
      <c r="I6801" s="5" t="s">
        <v>15113</v>
      </c>
      <c r="J6801" s="12" t="str">
        <f>HYPERLINK("https://www.boe.es/gazeta/dias/1801/06/30/pdfs/GMD-1801-61.pdf#page=1","Abrir facsímil")</f>
        <v>Abrir facsímil</v>
      </c>
      <c r="K6801" s="15" t="s">
        <v>23</v>
      </c>
    </row>
    <row r="6802" spans="1:11" ht="42" customHeight="1">
      <c r="A6802" s="4" t="s">
        <v>15111</v>
      </c>
      <c r="B6802" s="5" t="s">
        <v>15112</v>
      </c>
      <c r="C6802" s="5" t="s">
        <v>32</v>
      </c>
      <c r="D6802" s="5" t="s">
        <v>33</v>
      </c>
      <c r="E6802" s="5" t="s">
        <v>919</v>
      </c>
      <c r="F6802" s="9">
        <v>91</v>
      </c>
      <c r="G6802" s="9">
        <v>998</v>
      </c>
      <c r="H6802" s="5" t="s">
        <v>21</v>
      </c>
      <c r="I6802" s="5" t="s">
        <v>15114</v>
      </c>
      <c r="J6802" s="12" t="str">
        <f>HYPERLINK("https://www.boe.es/gazeta/dias/1801/09/22/pdfs/GMD-1801-91.pdf#page=1","Abrir facsímil")</f>
        <v>Abrir facsímil</v>
      </c>
      <c r="K6802" s="15" t="s">
        <v>23</v>
      </c>
    </row>
    <row r="6803" spans="1:11" ht="42" customHeight="1">
      <c r="A6803" s="4" t="s">
        <v>15115</v>
      </c>
      <c r="B6803" s="5" t="s">
        <v>15116</v>
      </c>
      <c r="C6803" s="5" t="s">
        <v>32</v>
      </c>
      <c r="D6803" s="5" t="s">
        <v>33</v>
      </c>
      <c r="E6803" s="5" t="s">
        <v>919</v>
      </c>
      <c r="F6803" s="9">
        <v>91</v>
      </c>
      <c r="G6803" s="9">
        <v>999</v>
      </c>
      <c r="H6803" s="5" t="s">
        <v>21</v>
      </c>
      <c r="I6803" s="5" t="s">
        <v>15117</v>
      </c>
      <c r="J6803" s="12" t="str">
        <f>HYPERLINK("https://www.boe.es/gazeta/dias/1801/09/22/pdfs/GMD-1801-91.pdf#page=2","Abrir facsímil")</f>
        <v>Abrir facsímil</v>
      </c>
      <c r="K6803" s="15" t="s">
        <v>23</v>
      </c>
    </row>
    <row r="6804" spans="1:11" ht="42" customHeight="1">
      <c r="A6804" s="4" t="s">
        <v>15118</v>
      </c>
      <c r="B6804" s="5" t="s">
        <v>15118</v>
      </c>
      <c r="C6804" s="5" t="s">
        <v>69</v>
      </c>
      <c r="D6804" s="5" t="s">
        <v>19</v>
      </c>
      <c r="E6804" s="5" t="s">
        <v>1085</v>
      </c>
      <c r="F6804" s="9">
        <v>99</v>
      </c>
      <c r="G6804" s="9">
        <v>1086</v>
      </c>
      <c r="H6804" s="5" t="s">
        <v>21</v>
      </c>
      <c r="I6804" s="5" t="s">
        <v>15119</v>
      </c>
      <c r="J6804" s="12" t="str">
        <f>HYPERLINK("https://www.boe.es/gazeta/dias/1801/10/20/pdfs/GMD-1801-99.pdf#page=3","Abrir facsímil")</f>
        <v>Abrir facsímil</v>
      </c>
      <c r="K6804" s="15" t="s">
        <v>23</v>
      </c>
    </row>
    <row r="6805" spans="1:11" ht="42" customHeight="1">
      <c r="A6805" s="4" t="s">
        <v>15120</v>
      </c>
      <c r="B6805" s="5" t="s">
        <v>15121</v>
      </c>
      <c r="C6805" s="5" t="s">
        <v>32</v>
      </c>
      <c r="D6805" s="5" t="s">
        <v>33</v>
      </c>
      <c r="E6805" s="5" t="s">
        <v>124</v>
      </c>
      <c r="F6805" s="9">
        <v>12</v>
      </c>
      <c r="G6805" s="9">
        <v>149</v>
      </c>
      <c r="H6805" s="5" t="s">
        <v>21</v>
      </c>
      <c r="I6805" s="5" t="s">
        <v>15122</v>
      </c>
      <c r="J6805" s="12" t="str">
        <f>HYPERLINK("https://www.boe.es/gazeta/dias/1801/02/10/pdfs/GMD-1801-12.pdf#page=10","Abrir facsímil")</f>
        <v>Abrir facsímil</v>
      </c>
      <c r="K6805" s="15" t="s">
        <v>23</v>
      </c>
    </row>
    <row r="6806" spans="1:11" ht="42" customHeight="1">
      <c r="A6806" s="4" t="s">
        <v>15123</v>
      </c>
      <c r="B6806" s="5" t="s">
        <v>15124</v>
      </c>
      <c r="C6806" s="5" t="s">
        <v>32</v>
      </c>
      <c r="D6806" s="5" t="s">
        <v>33</v>
      </c>
      <c r="E6806" s="5" t="s">
        <v>215</v>
      </c>
      <c r="F6806" s="9">
        <v>71</v>
      </c>
      <c r="G6806" s="9">
        <v>782</v>
      </c>
      <c r="H6806" s="5" t="s">
        <v>21</v>
      </c>
      <c r="I6806" s="5" t="s">
        <v>15125</v>
      </c>
      <c r="J6806" s="12" t="str">
        <f>HYPERLINK("https://www.boe.es/gazeta/dias/1801/07/21/pdfs/GMD-1801-71.pdf#page=3","Abrir facsímil")</f>
        <v>Abrir facsímil</v>
      </c>
      <c r="K6806" s="15" t="s">
        <v>23</v>
      </c>
    </row>
    <row r="6807" spans="1:11" ht="42" customHeight="1">
      <c r="A6807" s="4" t="s">
        <v>15126</v>
      </c>
      <c r="B6807" s="5" t="s">
        <v>15127</v>
      </c>
      <c r="C6807" s="5" t="s">
        <v>38</v>
      </c>
      <c r="D6807" s="5" t="s">
        <v>39</v>
      </c>
      <c r="E6807" s="5" t="s">
        <v>735</v>
      </c>
      <c r="F6807" s="9">
        <v>97</v>
      </c>
      <c r="G6807" s="9">
        <v>1068</v>
      </c>
      <c r="H6807" s="5" t="s">
        <v>21</v>
      </c>
      <c r="I6807" s="5" t="s">
        <v>15128</v>
      </c>
      <c r="J6807" s="12" t="str">
        <f>HYPERLINK("https://www.boe.es/gazeta/dias/1801/10/13/pdfs/GMD-1801-97.pdf#page=12","Abrir facsímil")</f>
        <v>Abrir facsímil</v>
      </c>
      <c r="K6807" s="15" t="s">
        <v>23</v>
      </c>
    </row>
    <row r="6808" spans="1:11" ht="42" customHeight="1">
      <c r="A6808" s="4" t="s">
        <v>15126</v>
      </c>
      <c r="B6808" s="5" t="s">
        <v>15127</v>
      </c>
      <c r="C6808" s="5" t="s">
        <v>32</v>
      </c>
      <c r="D6808" s="5" t="s">
        <v>33</v>
      </c>
      <c r="E6808" s="5" t="s">
        <v>888</v>
      </c>
      <c r="F6808" s="9">
        <v>103</v>
      </c>
      <c r="G6808" s="9">
        <v>1137</v>
      </c>
      <c r="H6808" s="5" t="s">
        <v>21</v>
      </c>
      <c r="I6808" s="5" t="s">
        <v>15129</v>
      </c>
      <c r="J6808" s="12" t="str">
        <f>HYPERLINK("https://www.boe.es/gazeta/dias/1801/11/03/pdfs/GMD-1801-103.pdf#page=10","Abrir facsímil")</f>
        <v>Abrir facsímil</v>
      </c>
      <c r="K6808" s="15" t="s">
        <v>23</v>
      </c>
    </row>
    <row r="6809" spans="1:11" ht="42" customHeight="1">
      <c r="A6809" s="4" t="s">
        <v>15126</v>
      </c>
      <c r="B6809" s="5" t="s">
        <v>15127</v>
      </c>
      <c r="C6809" s="5" t="s">
        <v>75</v>
      </c>
      <c r="D6809" s="5" t="s">
        <v>76</v>
      </c>
      <c r="E6809" s="5" t="s">
        <v>712</v>
      </c>
      <c r="F6809" s="9">
        <v>105</v>
      </c>
      <c r="G6809" s="9">
        <v>1156</v>
      </c>
      <c r="H6809" s="5" t="s">
        <v>21</v>
      </c>
      <c r="I6809" s="5" t="s">
        <v>15130</v>
      </c>
      <c r="J6809" s="12" t="str">
        <f>HYPERLINK("https://www.boe.es/gazeta/dias/1801/11/10/pdfs/GMD-1801-105.pdf#page=9","Abrir facsímil")</f>
        <v>Abrir facsímil</v>
      </c>
      <c r="K6809" s="15" t="s">
        <v>23</v>
      </c>
    </row>
    <row r="6810" spans="1:11" ht="42" customHeight="1">
      <c r="A6810" s="4" t="s">
        <v>15131</v>
      </c>
      <c r="B6810" s="5" t="s">
        <v>15132</v>
      </c>
      <c r="C6810" s="5" t="s">
        <v>18</v>
      </c>
      <c r="D6810" s="5" t="s">
        <v>19</v>
      </c>
      <c r="E6810" s="5" t="s">
        <v>77</v>
      </c>
      <c r="F6810" s="9">
        <v>93</v>
      </c>
      <c r="G6810" s="9">
        <v>1020</v>
      </c>
      <c r="H6810" s="5" t="s">
        <v>21</v>
      </c>
      <c r="I6810" s="5" t="s">
        <v>15133</v>
      </c>
      <c r="J6810" s="12" t="str">
        <f>HYPERLINK("https://www.boe.es/gazeta/dias/1801/09/29/pdfs/GMD-1801-93.pdf#page=7","Abrir facsímil")</f>
        <v>Abrir facsímil</v>
      </c>
      <c r="K6810" s="15" t="s">
        <v>23</v>
      </c>
    </row>
    <row r="6811" spans="1:11" ht="42" customHeight="1">
      <c r="A6811" s="4" t="s">
        <v>15134</v>
      </c>
      <c r="B6811" s="5" t="s">
        <v>15134</v>
      </c>
      <c r="C6811" s="5" t="s">
        <v>32</v>
      </c>
      <c r="D6811" s="5" t="s">
        <v>33</v>
      </c>
      <c r="E6811" s="5" t="s">
        <v>48</v>
      </c>
      <c r="F6811" s="9">
        <v>20</v>
      </c>
      <c r="G6811" s="9">
        <v>265</v>
      </c>
      <c r="H6811" s="5" t="s">
        <v>21</v>
      </c>
      <c r="I6811" s="5" t="s">
        <v>15135</v>
      </c>
      <c r="J6811" s="12" t="str">
        <f>HYPERLINK("https://www.boe.es/gazeta/dias/1801/03/10/pdfs/GMD-1801-20.pdf#page=10","Abrir facsímil")</f>
        <v>Abrir facsímil</v>
      </c>
      <c r="K6811" s="15" t="s">
        <v>23</v>
      </c>
    </row>
    <row r="6812" spans="1:11" ht="42" customHeight="1">
      <c r="A6812" s="4" t="s">
        <v>15136</v>
      </c>
      <c r="B6812" s="5" t="s">
        <v>15136</v>
      </c>
      <c r="C6812" s="5" t="s">
        <v>80</v>
      </c>
      <c r="D6812" s="5" t="s">
        <v>81</v>
      </c>
      <c r="E6812" s="5" t="s">
        <v>289</v>
      </c>
      <c r="F6812" s="9">
        <v>40</v>
      </c>
      <c r="G6812" s="9" t="s">
        <v>668</v>
      </c>
      <c r="H6812" s="5" t="s">
        <v>21</v>
      </c>
      <c r="I6812" s="5" t="s">
        <v>15137</v>
      </c>
      <c r="J6812" s="12" t="str">
        <f>HYPERLINK("https://www.boe.es/gazeta/dias/1801/05/19/pdfs/GMD-C-1801-40.pdf#page=1","Abrir facsímil")</f>
        <v>Abrir facsímil</v>
      </c>
      <c r="K6812" s="15" t="s">
        <v>23</v>
      </c>
    </row>
    <row r="6813" spans="1:11" ht="42" customHeight="1">
      <c r="A6813" s="4" t="s">
        <v>15138</v>
      </c>
      <c r="B6813" s="5" t="s">
        <v>15139</v>
      </c>
      <c r="C6813" s="5" t="s">
        <v>75</v>
      </c>
      <c r="D6813" s="5" t="s">
        <v>76</v>
      </c>
      <c r="E6813" s="5" t="s">
        <v>128</v>
      </c>
      <c r="F6813" s="9">
        <v>17</v>
      </c>
      <c r="G6813" s="9">
        <v>209</v>
      </c>
      <c r="H6813" s="5" t="s">
        <v>21</v>
      </c>
      <c r="I6813" s="5" t="s">
        <v>15140</v>
      </c>
      <c r="J6813" s="12" t="str">
        <f>HYPERLINK("https://www.boe.es/gazeta/dias/1801/02/27/pdfs/GMD-1801-17.pdf#page=4","Abrir facsímil")</f>
        <v>Abrir facsímil</v>
      </c>
      <c r="K6813" s="15" t="s">
        <v>23</v>
      </c>
    </row>
    <row r="6814" spans="1:11" ht="42" customHeight="1">
      <c r="A6814" s="4" t="s">
        <v>15141</v>
      </c>
      <c r="B6814" s="5" t="s">
        <v>15141</v>
      </c>
      <c r="C6814" s="5" t="s">
        <v>38</v>
      </c>
      <c r="D6814" s="5" t="s">
        <v>39</v>
      </c>
      <c r="E6814" s="5" t="s">
        <v>338</v>
      </c>
      <c r="F6814" s="9">
        <v>83</v>
      </c>
      <c r="G6814" s="9">
        <v>937</v>
      </c>
      <c r="H6814" s="5" t="s">
        <v>21</v>
      </c>
      <c r="I6814" s="5" t="s">
        <v>15142</v>
      </c>
      <c r="J6814" s="12" t="str">
        <f>HYPERLINK("https://www.boe.es/gazeta/dias/1801/09/01/pdfs/GMD-1801-83.pdf#page=12","Abrir facsímil")</f>
        <v>Abrir facsímil</v>
      </c>
      <c r="K6814" s="15" t="s">
        <v>23</v>
      </c>
    </row>
    <row r="6815" spans="1:11" ht="42" customHeight="1">
      <c r="A6815" s="4" t="s">
        <v>15143</v>
      </c>
      <c r="B6815" s="5" t="s">
        <v>15144</v>
      </c>
      <c r="C6815" s="5" t="s">
        <v>32</v>
      </c>
      <c r="D6815" s="5" t="s">
        <v>33</v>
      </c>
      <c r="E6815" s="5" t="s">
        <v>211</v>
      </c>
      <c r="F6815" s="9">
        <v>87</v>
      </c>
      <c r="G6815" s="9">
        <v>967</v>
      </c>
      <c r="H6815" s="5" t="s">
        <v>21</v>
      </c>
      <c r="I6815" s="5" t="s">
        <v>15145</v>
      </c>
      <c r="J6815" s="12" t="str">
        <f>HYPERLINK("https://www.boe.es/gazeta/dias/1801/09/11/pdfs/GMD-1801-87.pdf#page=10","Abrir facsímil")</f>
        <v>Abrir facsímil</v>
      </c>
      <c r="K6815" s="15" t="s">
        <v>23</v>
      </c>
    </row>
    <row r="6816" spans="1:11" ht="42" customHeight="1">
      <c r="A6816" s="4" t="s">
        <v>15146</v>
      </c>
      <c r="B6816" s="5" t="s">
        <v>15147</v>
      </c>
      <c r="C6816" s="5" t="s">
        <v>32</v>
      </c>
      <c r="D6816" s="5" t="s">
        <v>33</v>
      </c>
      <c r="E6816" s="5" t="s">
        <v>55</v>
      </c>
      <c r="F6816" s="9">
        <v>104</v>
      </c>
      <c r="G6816" s="9">
        <v>1145</v>
      </c>
      <c r="H6816" s="5" t="s">
        <v>21</v>
      </c>
      <c r="I6816" s="5" t="s">
        <v>15148</v>
      </c>
      <c r="J6816" s="12" t="str">
        <f>HYPERLINK("https://www.boe.es/gazeta/dias/1801/11/06/pdfs/GMD-1801-104.pdf#page=6","Abrir facsímil")</f>
        <v>Abrir facsímil</v>
      </c>
      <c r="K6816" s="15" t="s">
        <v>23</v>
      </c>
    </row>
    <row r="6817" spans="1:11" ht="42" customHeight="1">
      <c r="A6817" s="4" t="s">
        <v>15149</v>
      </c>
      <c r="B6817" s="5" t="s">
        <v>15150</v>
      </c>
      <c r="C6817" s="5" t="s">
        <v>32</v>
      </c>
      <c r="D6817" s="5" t="s">
        <v>33</v>
      </c>
      <c r="E6817" s="5" t="s">
        <v>50</v>
      </c>
      <c r="F6817" s="9">
        <v>29</v>
      </c>
      <c r="G6817" s="9">
        <v>382</v>
      </c>
      <c r="H6817" s="5" t="s">
        <v>21</v>
      </c>
      <c r="I6817" s="5" t="s">
        <v>15151</v>
      </c>
      <c r="J6817" s="12" t="str">
        <f>HYPERLINK("https://www.boe.es/gazeta/dias/1801/04/10/pdfs/GMD-1801-29.pdf#page=10","Abrir facsímil")</f>
        <v>Abrir facsímil</v>
      </c>
      <c r="K6817" s="15" t="s">
        <v>23</v>
      </c>
    </row>
    <row r="6818" spans="1:11" ht="42" customHeight="1">
      <c r="A6818" s="4" t="s">
        <v>15152</v>
      </c>
      <c r="B6818" s="5" t="s">
        <v>15153</v>
      </c>
      <c r="C6818" s="5" t="s">
        <v>80</v>
      </c>
      <c r="D6818" s="5" t="s">
        <v>81</v>
      </c>
      <c r="E6818" s="5" t="s">
        <v>82</v>
      </c>
      <c r="F6818" s="9">
        <v>75</v>
      </c>
      <c r="G6818" s="9" t="s">
        <v>86</v>
      </c>
      <c r="H6818" s="5" t="s">
        <v>21</v>
      </c>
      <c r="I6818" s="5" t="s">
        <v>15154</v>
      </c>
      <c r="J6818" s="12" t="str">
        <f>HYPERLINK("https://www.boe.es/gazeta/dias/1801/08/04/pdfs/GMD-C-1801-75.pdf#page=3","Abrir facsímil")</f>
        <v>Abrir facsímil</v>
      </c>
      <c r="K6818" s="15" t="s">
        <v>23</v>
      </c>
    </row>
    <row r="6819" spans="1:11" ht="42" customHeight="1">
      <c r="A6819" s="4" t="s">
        <v>15155</v>
      </c>
      <c r="B6819" s="5" t="s">
        <v>15156</v>
      </c>
      <c r="C6819" s="5" t="s">
        <v>75</v>
      </c>
      <c r="D6819" s="5" t="s">
        <v>76</v>
      </c>
      <c r="E6819" s="5" t="s">
        <v>1436</v>
      </c>
      <c r="F6819" s="9">
        <v>95</v>
      </c>
      <c r="G6819" s="9">
        <v>1037</v>
      </c>
      <c r="H6819" s="5" t="s">
        <v>21</v>
      </c>
      <c r="I6819" s="5" t="s">
        <v>15157</v>
      </c>
      <c r="J6819" s="12" t="str">
        <f>HYPERLINK("https://www.boe.es/gazeta/dias/1801/10/06/pdfs/GMD-1801-95.pdf#page=1","Abrir facsímil")</f>
        <v>Abrir facsímil</v>
      </c>
      <c r="K6819" s="15" t="s">
        <v>23</v>
      </c>
    </row>
    <row r="6820" spans="1:11" ht="42" customHeight="1">
      <c r="A6820" s="4" t="s">
        <v>15158</v>
      </c>
      <c r="B6820" s="5" t="s">
        <v>15159</v>
      </c>
      <c r="C6820" s="5" t="s">
        <v>32</v>
      </c>
      <c r="D6820" s="5" t="s">
        <v>33</v>
      </c>
      <c r="E6820" s="5" t="s">
        <v>151</v>
      </c>
      <c r="F6820" s="9">
        <v>45</v>
      </c>
      <c r="G6820" s="9">
        <v>558</v>
      </c>
      <c r="H6820" s="5" t="s">
        <v>21</v>
      </c>
      <c r="I6820" s="5" t="s">
        <v>15160</v>
      </c>
      <c r="J6820" s="12" t="str">
        <f>HYPERLINK("https://www.boe.es/gazeta/dias/1801/06/02/pdfs/GMD-1801-45.pdf#page=6","Abrir facsímil")</f>
        <v>Abrir facsímil</v>
      </c>
      <c r="K6820" s="15" t="s">
        <v>23</v>
      </c>
    </row>
    <row r="6821" spans="1:11" ht="42" customHeight="1">
      <c r="A6821" s="4" t="s">
        <v>15161</v>
      </c>
      <c r="B6821" s="5" t="s">
        <v>15162</v>
      </c>
      <c r="C6821" s="5" t="s">
        <v>38</v>
      </c>
      <c r="D6821" s="5" t="s">
        <v>39</v>
      </c>
      <c r="E6821" s="5" t="s">
        <v>155</v>
      </c>
      <c r="F6821" s="9">
        <v>50</v>
      </c>
      <c r="G6821" s="9">
        <v>593</v>
      </c>
      <c r="H6821" s="5" t="s">
        <v>21</v>
      </c>
      <c r="I6821" s="5" t="s">
        <v>15163</v>
      </c>
      <c r="J6821" s="12" t="str">
        <f>HYPERLINK("https://www.boe.es/gazeta/dias/1801/06/09/pdfs/GMD-1801-50.pdf#page=5","Abrir facsímil")</f>
        <v>Abrir facsímil</v>
      </c>
      <c r="K6821" s="15" t="s">
        <v>23</v>
      </c>
    </row>
    <row r="6822" spans="1:11" ht="42" customHeight="1">
      <c r="A6822" s="4" t="s">
        <v>15164</v>
      </c>
      <c r="B6822" s="5" t="s">
        <v>15164</v>
      </c>
      <c r="C6822" s="5" t="s">
        <v>75</v>
      </c>
      <c r="D6822" s="5" t="s">
        <v>76</v>
      </c>
      <c r="E6822" s="5" t="s">
        <v>128</v>
      </c>
      <c r="F6822" s="9">
        <v>17</v>
      </c>
      <c r="G6822" s="9">
        <v>208</v>
      </c>
      <c r="H6822" s="5" t="s">
        <v>21</v>
      </c>
      <c r="I6822" s="5" t="s">
        <v>15165</v>
      </c>
      <c r="J6822" s="12" t="str">
        <f>HYPERLINK("https://www.boe.es/gazeta/dias/1801/02/27/pdfs/GMD-1801-17.pdf#page=3","Abrir facsímil")</f>
        <v>Abrir facsímil</v>
      </c>
      <c r="K6822" s="15" t="s">
        <v>23</v>
      </c>
    </row>
    <row r="6823" spans="1:11" ht="42" customHeight="1">
      <c r="A6823" s="4" t="s">
        <v>15166</v>
      </c>
      <c r="B6823" s="5" t="s">
        <v>15166</v>
      </c>
      <c r="C6823" s="5" t="s">
        <v>75</v>
      </c>
      <c r="D6823" s="5" t="s">
        <v>76</v>
      </c>
      <c r="E6823" s="5" t="s">
        <v>219</v>
      </c>
      <c r="F6823" s="9">
        <v>26</v>
      </c>
      <c r="G6823" s="9">
        <v>341</v>
      </c>
      <c r="H6823" s="5" t="s">
        <v>21</v>
      </c>
      <c r="I6823" s="5" t="s">
        <v>15167</v>
      </c>
      <c r="J6823" s="12" t="str">
        <f>HYPERLINK("https://www.boe.es/gazeta/dias/1801/03/31/pdfs/GMD-1801-26.pdf#page=5","Abrir facsímil")</f>
        <v>Abrir facsímil</v>
      </c>
      <c r="K6823" s="15" t="s">
        <v>23</v>
      </c>
    </row>
    <row r="6824" spans="1:11" ht="42" customHeight="1">
      <c r="A6824" s="4" t="s">
        <v>15168</v>
      </c>
      <c r="B6824" s="5" t="s">
        <v>15169</v>
      </c>
      <c r="C6824" s="5" t="s">
        <v>75</v>
      </c>
      <c r="D6824" s="5" t="s">
        <v>76</v>
      </c>
      <c r="E6824" s="5" t="s">
        <v>1015</v>
      </c>
      <c r="F6824" s="9">
        <v>15</v>
      </c>
      <c r="G6824" s="9">
        <v>185</v>
      </c>
      <c r="H6824" s="5" t="s">
        <v>21</v>
      </c>
      <c r="I6824" s="5" t="s">
        <v>15170</v>
      </c>
      <c r="J6824" s="12" t="str">
        <f>HYPERLINK("https://www.boe.es/gazeta/dias/1801/02/20/pdfs/GMD-1801-15.pdf#page=4","Abrir facsímil")</f>
        <v>Abrir facsímil</v>
      </c>
      <c r="K6824" s="15" t="s">
        <v>23</v>
      </c>
    </row>
    <row r="6825" spans="1:11" ht="42" customHeight="1">
      <c r="A6825" s="4" t="s">
        <v>15171</v>
      </c>
      <c r="B6825" s="5" t="s">
        <v>15172</v>
      </c>
      <c r="C6825" s="5" t="s">
        <v>38</v>
      </c>
      <c r="D6825" s="5" t="s">
        <v>39</v>
      </c>
      <c r="E6825" s="5" t="s">
        <v>480</v>
      </c>
      <c r="F6825" s="9">
        <v>10</v>
      </c>
      <c r="G6825" s="9">
        <v>124</v>
      </c>
      <c r="H6825" s="5" t="s">
        <v>21</v>
      </c>
      <c r="I6825" s="5" t="s">
        <v>15173</v>
      </c>
      <c r="J6825" s="12" t="str">
        <f>HYPERLINK("https://www.boe.es/gazeta/dias/1801/02/03/pdfs/GMD-1801-10.pdf#page=9","Abrir facsímil")</f>
        <v>Abrir facsímil</v>
      </c>
      <c r="K6825" s="15" t="s">
        <v>23</v>
      </c>
    </row>
    <row r="6826" spans="1:11" ht="42" customHeight="1">
      <c r="A6826" s="4" t="s">
        <v>15174</v>
      </c>
      <c r="B6826" s="5" t="s">
        <v>15175</v>
      </c>
      <c r="C6826" s="5" t="s">
        <v>38</v>
      </c>
      <c r="D6826" s="5" t="s">
        <v>39</v>
      </c>
      <c r="E6826" s="5" t="s">
        <v>48</v>
      </c>
      <c r="F6826" s="9">
        <v>20</v>
      </c>
      <c r="G6826" s="9">
        <v>264</v>
      </c>
      <c r="H6826" s="5" t="s">
        <v>21</v>
      </c>
      <c r="I6826" s="5" t="s">
        <v>15176</v>
      </c>
      <c r="J6826" s="12" t="str">
        <f>HYPERLINK("https://www.boe.es/gazeta/dias/1801/03/10/pdfs/GMD-1801-20.pdf#page=9","Abrir facsímil")</f>
        <v>Abrir facsímil</v>
      </c>
      <c r="K6826" s="15" t="s">
        <v>23</v>
      </c>
    </row>
    <row r="6827" spans="1:11" ht="42" customHeight="1">
      <c r="A6827" s="4" t="s">
        <v>15177</v>
      </c>
      <c r="B6827" s="5" t="s">
        <v>15178</v>
      </c>
      <c r="C6827" s="5" t="s">
        <v>32</v>
      </c>
      <c r="D6827" s="5" t="s">
        <v>33</v>
      </c>
      <c r="E6827" s="5" t="s">
        <v>321</v>
      </c>
      <c r="F6827" s="9">
        <v>3</v>
      </c>
      <c r="G6827" s="9">
        <v>33</v>
      </c>
      <c r="H6827" s="5" t="s">
        <v>21</v>
      </c>
      <c r="I6827" s="5" t="s">
        <v>15179</v>
      </c>
      <c r="J6827" s="12" t="str">
        <f>HYPERLINK("https://www.boe.es/gazeta/dias/1801/01/09/pdfs/GMD-1801-3.pdf#page=9","Abrir facsímil")</f>
        <v>Abrir facsímil</v>
      </c>
      <c r="K6827" s="15" t="s">
        <v>23</v>
      </c>
    </row>
    <row r="6828" spans="1:11" ht="42" customHeight="1">
      <c r="A6828" s="4" t="s">
        <v>15180</v>
      </c>
      <c r="B6828" s="5" t="s">
        <v>15181</v>
      </c>
      <c r="C6828" s="5" t="s">
        <v>26</v>
      </c>
      <c r="D6828" s="5" t="s">
        <v>27</v>
      </c>
      <c r="E6828" s="5" t="s">
        <v>62</v>
      </c>
      <c r="F6828" s="9">
        <v>6</v>
      </c>
      <c r="G6828" s="9">
        <v>76</v>
      </c>
      <c r="H6828" s="5" t="s">
        <v>21</v>
      </c>
      <c r="I6828" s="5" t="s">
        <v>15182</v>
      </c>
      <c r="J6828" s="12" t="str">
        <f>HYPERLINK("https://www.boe.es/gazeta/dias/1801/01/20/pdfs/GMD-1801-6.pdf#page=12","Abrir facsímil")</f>
        <v>Abrir facsímil</v>
      </c>
      <c r="K6828" s="15" t="s">
        <v>23</v>
      </c>
    </row>
    <row r="6829" spans="1:11" ht="42" customHeight="1">
      <c r="A6829" s="4" t="s">
        <v>15183</v>
      </c>
      <c r="B6829" s="5" t="s">
        <v>15184</v>
      </c>
      <c r="C6829" s="5" t="s">
        <v>32</v>
      </c>
      <c r="D6829" s="5" t="s">
        <v>33</v>
      </c>
      <c r="E6829" s="5" t="s">
        <v>702</v>
      </c>
      <c r="F6829" s="9">
        <v>69</v>
      </c>
      <c r="G6829" s="9">
        <v>763</v>
      </c>
      <c r="H6829" s="5" t="s">
        <v>21</v>
      </c>
      <c r="I6829" s="5" t="s">
        <v>15185</v>
      </c>
      <c r="J6829" s="12" t="str">
        <f>HYPERLINK("https://www.boe.es/gazeta/dias/1801/07/14/pdfs/GMD-1801-69.pdf#page=8","Abrir facsímil")</f>
        <v>Abrir facsímil</v>
      </c>
      <c r="K6829" s="15" t="s">
        <v>23</v>
      </c>
    </row>
    <row r="6830" spans="1:11" ht="42" customHeight="1">
      <c r="A6830" s="4" t="s">
        <v>15186</v>
      </c>
      <c r="B6830" s="5" t="s">
        <v>15187</v>
      </c>
      <c r="C6830" s="5" t="s">
        <v>26</v>
      </c>
      <c r="D6830" s="5" t="s">
        <v>27</v>
      </c>
      <c r="E6830" s="5" t="s">
        <v>101</v>
      </c>
      <c r="F6830" s="9">
        <v>41</v>
      </c>
      <c r="G6830" s="9">
        <v>524</v>
      </c>
      <c r="H6830" s="5" t="s">
        <v>21</v>
      </c>
      <c r="I6830" s="5" t="s">
        <v>15188</v>
      </c>
      <c r="J6830" s="12" t="str">
        <f>HYPERLINK("https://www.boe.es/gazeta/dias/1801/05/22/pdfs/GMD-1801-41.pdf#page=8","Abrir facsímil")</f>
        <v>Abrir facsímil</v>
      </c>
      <c r="K6830" s="15" t="s">
        <v>23</v>
      </c>
    </row>
    <row r="6831" spans="1:11" ht="42" customHeight="1">
      <c r="A6831" s="4" t="s">
        <v>15189</v>
      </c>
      <c r="B6831" s="5" t="s">
        <v>15190</v>
      </c>
      <c r="C6831" s="5" t="s">
        <v>32</v>
      </c>
      <c r="D6831" s="5" t="s">
        <v>33</v>
      </c>
      <c r="E6831" s="5" t="s">
        <v>90</v>
      </c>
      <c r="F6831" s="9">
        <v>1</v>
      </c>
      <c r="G6831" s="9">
        <v>8</v>
      </c>
      <c r="H6831" s="5" t="s">
        <v>21</v>
      </c>
      <c r="I6831" s="5" t="s">
        <v>15191</v>
      </c>
      <c r="J6831" s="12" t="str">
        <f>HYPERLINK("https://www.boe.es/gazeta/dias/1801/01/02/pdfs/GMD-1801-1.pdf#page=8","Abrir facsímil")</f>
        <v>Abrir facsímil</v>
      </c>
      <c r="K6831" s="15" t="s">
        <v>23</v>
      </c>
    </row>
    <row r="6832" spans="1:11" ht="42" customHeight="1">
      <c r="A6832" s="4" t="s">
        <v>15192</v>
      </c>
      <c r="B6832" s="5" t="s">
        <v>15193</v>
      </c>
      <c r="C6832" s="5" t="s">
        <v>32</v>
      </c>
      <c r="D6832" s="5" t="s">
        <v>33</v>
      </c>
      <c r="E6832" s="5" t="s">
        <v>161</v>
      </c>
      <c r="F6832" s="9">
        <v>58</v>
      </c>
      <c r="G6832" s="9">
        <v>664</v>
      </c>
      <c r="H6832" s="5" t="s">
        <v>21</v>
      </c>
      <c r="I6832" s="5" t="s">
        <v>15194</v>
      </c>
      <c r="J6832" s="12" t="str">
        <f>HYPERLINK("https://www.boe.es/gazeta/dias/1801/06/19/pdfs/GMD-1801-58.pdf#page=9","Abrir facsímil")</f>
        <v>Abrir facsímil</v>
      </c>
      <c r="K6832" s="15" t="s">
        <v>23</v>
      </c>
    </row>
    <row r="6833" spans="1:11" ht="42" customHeight="1">
      <c r="A6833" s="4" t="s">
        <v>15195</v>
      </c>
      <c r="B6833" s="5" t="s">
        <v>15196</v>
      </c>
      <c r="C6833" s="5" t="s">
        <v>80</v>
      </c>
      <c r="D6833" s="5" t="s">
        <v>81</v>
      </c>
      <c r="E6833" s="5" t="s">
        <v>289</v>
      </c>
      <c r="F6833" s="9">
        <v>40</v>
      </c>
      <c r="G6833" s="9" t="s">
        <v>996</v>
      </c>
      <c r="H6833" s="5" t="s">
        <v>21</v>
      </c>
      <c r="I6833" s="5" t="s">
        <v>15197</v>
      </c>
      <c r="J6833" s="12" t="str">
        <f>HYPERLINK("https://www.boe.es/gazeta/dias/1801/05/19/pdfs/GMD-C-1801-40.pdf#page=6","Abrir facsímil")</f>
        <v>Abrir facsímil</v>
      </c>
      <c r="K6833" s="15" t="s">
        <v>23</v>
      </c>
    </row>
    <row r="6834" spans="1:11" ht="42" customHeight="1">
      <c r="A6834" s="4" t="s">
        <v>15198</v>
      </c>
      <c r="B6834" s="5" t="s">
        <v>15199</v>
      </c>
      <c r="C6834" s="5" t="s">
        <v>32</v>
      </c>
      <c r="D6834" s="5" t="s">
        <v>33</v>
      </c>
      <c r="E6834" s="5" t="s">
        <v>465</v>
      </c>
      <c r="F6834" s="9">
        <v>4</v>
      </c>
      <c r="G6834" s="9">
        <v>46</v>
      </c>
      <c r="H6834" s="5" t="s">
        <v>21</v>
      </c>
      <c r="I6834" s="5" t="s">
        <v>15200</v>
      </c>
      <c r="J6834" s="12" t="str">
        <f>HYPERLINK("https://www.boe.es/gazeta/dias/1801/01/13/pdfs/GMD-1801-4.pdf#page=10","Abrir facsímil")</f>
        <v>Abrir facsímil</v>
      </c>
      <c r="K6834" s="15" t="s">
        <v>23</v>
      </c>
    </row>
    <row r="6835" spans="1:11" ht="42" customHeight="1">
      <c r="A6835" s="4" t="s">
        <v>15201</v>
      </c>
      <c r="B6835" s="5" t="s">
        <v>15202</v>
      </c>
      <c r="C6835" s="5" t="s">
        <v>32</v>
      </c>
      <c r="D6835" s="5" t="s">
        <v>33</v>
      </c>
      <c r="E6835" s="5" t="s">
        <v>90</v>
      </c>
      <c r="F6835" s="9">
        <v>1</v>
      </c>
      <c r="G6835" s="9">
        <v>8</v>
      </c>
      <c r="H6835" s="5" t="s">
        <v>21</v>
      </c>
      <c r="I6835" s="5" t="s">
        <v>15203</v>
      </c>
      <c r="J6835" s="12" t="str">
        <f>HYPERLINK("https://www.boe.es/gazeta/dias/1801/01/02/pdfs/GMD-1801-1.pdf#page=8","Abrir facsímil")</f>
        <v>Abrir facsímil</v>
      </c>
      <c r="K6835" s="15" t="s">
        <v>23</v>
      </c>
    </row>
    <row r="6836" spans="1:11" ht="42" customHeight="1">
      <c r="A6836" s="4" t="s">
        <v>15204</v>
      </c>
      <c r="B6836" s="5" t="s">
        <v>15205</v>
      </c>
      <c r="C6836" s="5" t="s">
        <v>80</v>
      </c>
      <c r="D6836" s="5" t="s">
        <v>81</v>
      </c>
      <c r="E6836" s="5" t="s">
        <v>289</v>
      </c>
      <c r="F6836" s="9">
        <v>40</v>
      </c>
      <c r="G6836" s="9" t="s">
        <v>83</v>
      </c>
      <c r="H6836" s="5" t="s">
        <v>21</v>
      </c>
      <c r="I6836" s="5" t="s">
        <v>15206</v>
      </c>
      <c r="J6836" s="12" t="str">
        <f>HYPERLINK("https://www.boe.es/gazeta/dias/1801/05/19/pdfs/GMD-C-1801-40.pdf#page=2","Abrir facsímil")</f>
        <v>Abrir facsímil</v>
      </c>
      <c r="K6836" s="15" t="s">
        <v>23</v>
      </c>
    </row>
    <row r="6837" spans="1:11" ht="42" customHeight="1">
      <c r="A6837" s="4" t="s">
        <v>15207</v>
      </c>
      <c r="B6837" s="5" t="s">
        <v>15207</v>
      </c>
      <c r="C6837" s="5" t="s">
        <v>26</v>
      </c>
      <c r="D6837" s="5" t="s">
        <v>27</v>
      </c>
      <c r="E6837" s="5" t="s">
        <v>275</v>
      </c>
      <c r="F6837" s="9">
        <v>9</v>
      </c>
      <c r="G6837" s="9" t="s">
        <v>305</v>
      </c>
      <c r="H6837" s="5" t="s">
        <v>21</v>
      </c>
      <c r="I6837" s="5" t="s">
        <v>15208</v>
      </c>
      <c r="J6837" s="12" t="str">
        <f>HYPERLINK("https://www.boe.es/gazeta/dias/1801/01/30/pdfs/GMD-C-1801-9.pdf#page=4","Abrir facsímil")</f>
        <v>Abrir facsímil</v>
      </c>
      <c r="K6837" s="15" t="s">
        <v>23</v>
      </c>
    </row>
    <row r="6838" spans="1:11" ht="42" customHeight="1">
      <c r="A6838" s="4" t="s">
        <v>15207</v>
      </c>
      <c r="B6838" s="5" t="s">
        <v>15207</v>
      </c>
      <c r="C6838" s="5" t="s">
        <v>26</v>
      </c>
      <c r="D6838" s="5" t="s">
        <v>27</v>
      </c>
      <c r="E6838" s="5" t="s">
        <v>501</v>
      </c>
      <c r="F6838" s="9">
        <v>115</v>
      </c>
      <c r="G6838" s="9" t="s">
        <v>996</v>
      </c>
      <c r="H6838" s="5" t="s">
        <v>21</v>
      </c>
      <c r="I6838" s="5" t="s">
        <v>15209</v>
      </c>
      <c r="J6838" s="12" t="str">
        <f>HYPERLINK("https://www.boe.es/gazeta/dias/1801/12/15/pdfs/GMD-C-1801-115.pdf#page=6","Abrir facsímil")</f>
        <v>Abrir facsímil</v>
      </c>
      <c r="K6838" s="15" t="s">
        <v>23</v>
      </c>
    </row>
    <row r="6839" spans="1:11" ht="42" customHeight="1">
      <c r="A6839" s="4" t="s">
        <v>15210</v>
      </c>
      <c r="B6839" s="5" t="s">
        <v>15210</v>
      </c>
      <c r="C6839" s="5" t="s">
        <v>26</v>
      </c>
      <c r="D6839" s="5" t="s">
        <v>27</v>
      </c>
      <c r="E6839" s="5" t="s">
        <v>1085</v>
      </c>
      <c r="F6839" s="9">
        <v>99</v>
      </c>
      <c r="G6839" s="9">
        <v>1091</v>
      </c>
      <c r="H6839" s="5" t="s">
        <v>21</v>
      </c>
      <c r="I6839" s="5" t="s">
        <v>15211</v>
      </c>
      <c r="J6839" s="12" t="str">
        <f>HYPERLINK("https://www.boe.es/gazeta/dias/1801/10/20/pdfs/GMD-1801-99.pdf#page=8","Abrir facsímil")</f>
        <v>Abrir facsímil</v>
      </c>
      <c r="K6839" s="15" t="s">
        <v>23</v>
      </c>
    </row>
    <row r="6840" spans="1:11" ht="42" customHeight="1">
      <c r="A6840" s="4" t="s">
        <v>15212</v>
      </c>
      <c r="B6840" s="5" t="s">
        <v>15213</v>
      </c>
      <c r="C6840" s="5" t="s">
        <v>75</v>
      </c>
      <c r="D6840" s="5" t="s">
        <v>76</v>
      </c>
      <c r="E6840" s="5" t="s">
        <v>151</v>
      </c>
      <c r="F6840" s="9">
        <v>45</v>
      </c>
      <c r="G6840" s="9">
        <v>556</v>
      </c>
      <c r="H6840" s="5" t="s">
        <v>21</v>
      </c>
      <c r="I6840" s="5" t="s">
        <v>15214</v>
      </c>
      <c r="J6840" s="12" t="str">
        <f>HYPERLINK("https://www.boe.es/gazeta/dias/1801/06/02/pdfs/GMD-1801-45.pdf#page=4","Abrir facsímil")</f>
        <v>Abrir facsímil</v>
      </c>
      <c r="K6840" s="15" t="s">
        <v>23</v>
      </c>
    </row>
    <row r="6841" spans="1:11" ht="42" customHeight="1">
      <c r="A6841" s="4" t="s">
        <v>15215</v>
      </c>
      <c r="B6841" s="5" t="s">
        <v>15216</v>
      </c>
      <c r="C6841" s="5" t="s">
        <v>80</v>
      </c>
      <c r="D6841" s="5" t="s">
        <v>81</v>
      </c>
      <c r="E6841" s="5" t="s">
        <v>82</v>
      </c>
      <c r="F6841" s="9">
        <v>75</v>
      </c>
      <c r="G6841" s="9" t="s">
        <v>83</v>
      </c>
      <c r="H6841" s="5" t="s">
        <v>21</v>
      </c>
      <c r="I6841" s="5" t="s">
        <v>15217</v>
      </c>
      <c r="J6841" s="12" t="str">
        <f>HYPERLINK("https://www.boe.es/gazeta/dias/1801/08/04/pdfs/GMD-C-1801-75.pdf#page=2","Abrir facsímil")</f>
        <v>Abrir facsímil</v>
      </c>
      <c r="K6841" s="15" t="s">
        <v>23</v>
      </c>
    </row>
    <row r="6842" spans="1:11" ht="42" customHeight="1">
      <c r="A6842" s="4" t="s">
        <v>15218</v>
      </c>
      <c r="B6842" s="5" t="s">
        <v>15219</v>
      </c>
      <c r="C6842" s="5" t="s">
        <v>80</v>
      </c>
      <c r="D6842" s="5" t="s">
        <v>81</v>
      </c>
      <c r="E6842" s="5" t="s">
        <v>82</v>
      </c>
      <c r="F6842" s="9">
        <v>75</v>
      </c>
      <c r="G6842" s="9" t="s">
        <v>83</v>
      </c>
      <c r="H6842" s="5" t="s">
        <v>21</v>
      </c>
      <c r="I6842" s="5" t="s">
        <v>15220</v>
      </c>
      <c r="J6842" s="12" t="str">
        <f>HYPERLINK("https://www.boe.es/gazeta/dias/1801/08/04/pdfs/GMD-C-1801-75.pdf#page=2","Abrir facsímil")</f>
        <v>Abrir facsímil</v>
      </c>
      <c r="K6842" s="15" t="s">
        <v>23</v>
      </c>
    </row>
    <row r="6843" spans="1:11" ht="42" customHeight="1">
      <c r="A6843" s="4" t="s">
        <v>15221</v>
      </c>
      <c r="B6843" s="5" t="s">
        <v>15222</v>
      </c>
      <c r="C6843" s="5" t="s">
        <v>69</v>
      </c>
      <c r="D6843" s="5" t="s">
        <v>19</v>
      </c>
      <c r="E6843" s="5" t="s">
        <v>266</v>
      </c>
      <c r="F6843" s="9">
        <v>119</v>
      </c>
      <c r="G6843" s="9">
        <v>1304</v>
      </c>
      <c r="H6843" s="5" t="s">
        <v>21</v>
      </c>
      <c r="I6843" s="5" t="s">
        <v>15223</v>
      </c>
      <c r="J6843" s="12" t="str">
        <f>HYPERLINK("https://www.boe.es/gazeta/dias/1801/12/29/pdfs/GMD-1801-119.pdf#page=8","Abrir facsímil")</f>
        <v>Abrir facsímil</v>
      </c>
      <c r="K6843" s="15" t="s">
        <v>23</v>
      </c>
    </row>
    <row r="6844" spans="1:11" ht="42" customHeight="1">
      <c r="A6844" s="4" t="s">
        <v>15224</v>
      </c>
      <c r="B6844" s="5" t="s">
        <v>15225</v>
      </c>
      <c r="C6844" s="5" t="s">
        <v>515</v>
      </c>
      <c r="D6844" s="5" t="s">
        <v>516</v>
      </c>
      <c r="E6844" s="5" t="s">
        <v>501</v>
      </c>
      <c r="F6844" s="9">
        <v>115</v>
      </c>
      <c r="G6844" s="9" t="s">
        <v>83</v>
      </c>
      <c r="H6844" s="5" t="s">
        <v>21</v>
      </c>
      <c r="I6844" s="5" t="s">
        <v>15226</v>
      </c>
      <c r="J6844" s="12" t="str">
        <f>HYPERLINK("https://www.boe.es/gazeta/dias/1801/12/15/pdfs/GMD-C-1801-115.pdf#page=2","Abrir facsímil")</f>
        <v>Abrir facsímil</v>
      </c>
      <c r="K6844" s="15" t="s">
        <v>23</v>
      </c>
    </row>
    <row r="6845" spans="1:11" ht="42" customHeight="1">
      <c r="A6845" s="4" t="s">
        <v>15227</v>
      </c>
      <c r="B6845" s="5" t="s">
        <v>15227</v>
      </c>
      <c r="C6845" s="5" t="s">
        <v>32</v>
      </c>
      <c r="D6845" s="5" t="s">
        <v>33</v>
      </c>
      <c r="E6845" s="5" t="s">
        <v>112</v>
      </c>
      <c r="F6845" s="9">
        <v>114</v>
      </c>
      <c r="G6845" s="9">
        <v>1247</v>
      </c>
      <c r="H6845" s="5" t="s">
        <v>21</v>
      </c>
      <c r="I6845" s="5" t="s">
        <v>15228</v>
      </c>
      <c r="J6845" s="12" t="str">
        <f>HYPERLINK("https://www.boe.es/gazeta/dias/1801/12/11/pdfs/GMD-1801-114.pdf#page=9","Abrir facsímil")</f>
        <v>Abrir facsímil</v>
      </c>
      <c r="K6845" s="15" t="s">
        <v>23</v>
      </c>
    </row>
    <row r="6846" spans="1:11" ht="42" customHeight="1">
      <c r="A6846" s="4" t="s">
        <v>15229</v>
      </c>
      <c r="B6846" s="5" t="s">
        <v>15229</v>
      </c>
      <c r="C6846" s="5" t="s">
        <v>32</v>
      </c>
      <c r="D6846" s="5" t="s">
        <v>33</v>
      </c>
      <c r="E6846" s="5" t="s">
        <v>135</v>
      </c>
      <c r="F6846" s="9">
        <v>24</v>
      </c>
      <c r="G6846" s="9">
        <v>318</v>
      </c>
      <c r="H6846" s="5" t="s">
        <v>21</v>
      </c>
      <c r="I6846" s="5" t="s">
        <v>15230</v>
      </c>
      <c r="J6846" s="12" t="str">
        <f>HYPERLINK("https://www.boe.es/gazeta/dias/1801/03/24/pdfs/GMD-1801-24.pdf#page=9","Abrir facsímil")</f>
        <v>Abrir facsímil</v>
      </c>
      <c r="K6846" s="15" t="s">
        <v>23</v>
      </c>
    </row>
    <row r="6847" spans="1:11" ht="42" customHeight="1">
      <c r="A6847" s="4" t="s">
        <v>15231</v>
      </c>
      <c r="B6847" s="5" t="s">
        <v>15231</v>
      </c>
      <c r="C6847" s="5" t="s">
        <v>69</v>
      </c>
      <c r="D6847" s="5" t="s">
        <v>19</v>
      </c>
      <c r="E6847" s="5" t="s">
        <v>751</v>
      </c>
      <c r="F6847" s="9">
        <v>106</v>
      </c>
      <c r="G6847" s="9">
        <v>1166</v>
      </c>
      <c r="H6847" s="5" t="s">
        <v>21</v>
      </c>
      <c r="I6847" s="5" t="s">
        <v>15232</v>
      </c>
      <c r="J6847" s="12" t="str">
        <f>HYPERLINK("https://www.boe.es/gazeta/dias/1801/11/13/pdfs/GMD-1801-106.pdf#page=7","Abrir facsímil")</f>
        <v>Abrir facsímil</v>
      </c>
      <c r="K6847" s="15" t="s">
        <v>23</v>
      </c>
    </row>
    <row r="6848" spans="1:11" ht="42" customHeight="1">
      <c r="A6848" s="4" t="s">
        <v>15233</v>
      </c>
      <c r="B6848" s="5" t="s">
        <v>15233</v>
      </c>
      <c r="C6848" s="5" t="s">
        <v>69</v>
      </c>
      <c r="D6848" s="5" t="s">
        <v>19</v>
      </c>
      <c r="E6848" s="5" t="s">
        <v>66</v>
      </c>
      <c r="F6848" s="9">
        <v>52</v>
      </c>
      <c r="G6848" s="9">
        <v>605</v>
      </c>
      <c r="H6848" s="5" t="s">
        <v>21</v>
      </c>
      <c r="I6848" s="5" t="s">
        <v>15234</v>
      </c>
      <c r="J6848" s="12" t="str">
        <f>HYPERLINK("https://www.boe.es/gazeta/dias/1801/06/12/pdfs/GMD-1801-52.pdf#page=4","Abrir facsímil")</f>
        <v>Abrir facsímil</v>
      </c>
      <c r="K6848" s="15" t="s">
        <v>23</v>
      </c>
    </row>
    <row r="6849" spans="1:11" ht="42" customHeight="1">
      <c r="A6849" s="4" t="s">
        <v>15235</v>
      </c>
      <c r="B6849" s="5" t="s">
        <v>15235</v>
      </c>
      <c r="C6849" s="5" t="s">
        <v>38</v>
      </c>
      <c r="D6849" s="5" t="s">
        <v>39</v>
      </c>
      <c r="E6849" s="5" t="s">
        <v>155</v>
      </c>
      <c r="F6849" s="9">
        <v>50</v>
      </c>
      <c r="G6849" s="9">
        <v>599</v>
      </c>
      <c r="H6849" s="5" t="s">
        <v>21</v>
      </c>
      <c r="I6849" s="5" t="s">
        <v>15236</v>
      </c>
      <c r="J6849" s="12" t="str">
        <f>HYPERLINK("https://www.boe.es/gazeta/dias/1801/06/09/pdfs/GMD-1801-50.pdf#page=11","Abrir facsímil")</f>
        <v>Abrir facsímil</v>
      </c>
      <c r="K6849" s="15" t="s">
        <v>23</v>
      </c>
    </row>
    <row r="6850" spans="1:11" ht="42" customHeight="1">
      <c r="A6850" s="4" t="s">
        <v>15237</v>
      </c>
      <c r="B6850" s="5" t="s">
        <v>15238</v>
      </c>
      <c r="C6850" s="5" t="s">
        <v>69</v>
      </c>
      <c r="D6850" s="5" t="s">
        <v>19</v>
      </c>
      <c r="E6850" s="5" t="s">
        <v>112</v>
      </c>
      <c r="F6850" s="9">
        <v>114</v>
      </c>
      <c r="G6850" s="9">
        <v>1249</v>
      </c>
      <c r="H6850" s="5" t="s">
        <v>21</v>
      </c>
      <c r="I6850" s="5" t="s">
        <v>15239</v>
      </c>
      <c r="J6850" s="12" t="str">
        <f>HYPERLINK("https://www.boe.es/gazeta/dias/1801/12/11/pdfs/GMD-1801-114.pdf#page=11","Abrir facsímil")</f>
        <v>Abrir facsímil</v>
      </c>
      <c r="K6850" s="15" t="s">
        <v>23</v>
      </c>
    </row>
    <row r="6851" spans="1:11" ht="42" customHeight="1">
      <c r="A6851" s="4" t="s">
        <v>15240</v>
      </c>
      <c r="B6851" s="5" t="s">
        <v>15241</v>
      </c>
      <c r="C6851" s="5" t="s">
        <v>32</v>
      </c>
      <c r="D6851" s="5" t="s">
        <v>33</v>
      </c>
      <c r="E6851" s="5" t="s">
        <v>480</v>
      </c>
      <c r="F6851" s="9">
        <v>10</v>
      </c>
      <c r="G6851" s="9">
        <v>123</v>
      </c>
      <c r="H6851" s="5" t="s">
        <v>21</v>
      </c>
      <c r="I6851" s="5" t="s">
        <v>15242</v>
      </c>
      <c r="J6851" s="12" t="str">
        <f>HYPERLINK("https://www.boe.es/gazeta/dias/1801/02/03/pdfs/GMD-1801-10.pdf#page=8","Abrir facsímil")</f>
        <v>Abrir facsímil</v>
      </c>
      <c r="K6851" s="15" t="s">
        <v>23</v>
      </c>
    </row>
    <row r="6852" spans="1:11" ht="42" customHeight="1">
      <c r="A6852" s="4" t="s">
        <v>15243</v>
      </c>
      <c r="B6852" s="5" t="s">
        <v>15244</v>
      </c>
      <c r="C6852" s="5" t="s">
        <v>38</v>
      </c>
      <c r="D6852" s="5" t="s">
        <v>39</v>
      </c>
      <c r="E6852" s="5" t="s">
        <v>328</v>
      </c>
      <c r="F6852" s="9">
        <v>89</v>
      </c>
      <c r="G6852" s="9">
        <v>981</v>
      </c>
      <c r="H6852" s="5" t="s">
        <v>21</v>
      </c>
      <c r="I6852" s="5" t="s">
        <v>15245</v>
      </c>
      <c r="J6852" s="12" t="str">
        <f>HYPERLINK("https://www.boe.es/gazeta/dias/1801/09/15/pdfs/GMD-1801-89.pdf#page=8","Abrir facsímil")</f>
        <v>Abrir facsímil</v>
      </c>
      <c r="K6852" s="15" t="s">
        <v>23</v>
      </c>
    </row>
    <row r="6853" spans="1:11" ht="42" customHeight="1">
      <c r="A6853" s="4" t="s">
        <v>15246</v>
      </c>
      <c r="B6853" s="5" t="s">
        <v>15247</v>
      </c>
      <c r="C6853" s="5" t="s">
        <v>32</v>
      </c>
      <c r="D6853" s="5" t="s">
        <v>33</v>
      </c>
      <c r="E6853" s="5" t="s">
        <v>48</v>
      </c>
      <c r="F6853" s="9">
        <v>20</v>
      </c>
      <c r="G6853" s="9">
        <v>264</v>
      </c>
      <c r="H6853" s="5" t="s">
        <v>21</v>
      </c>
      <c r="I6853" s="5" t="s">
        <v>15248</v>
      </c>
      <c r="J6853" s="12" t="str">
        <f>HYPERLINK("https://www.boe.es/gazeta/dias/1801/03/10/pdfs/GMD-1801-20.pdf#page=9","Abrir facsímil")</f>
        <v>Abrir facsímil</v>
      </c>
      <c r="K6853" s="15" t="s">
        <v>23</v>
      </c>
    </row>
    <row r="6854" spans="1:11" ht="42" customHeight="1">
      <c r="A6854" s="4" t="s">
        <v>15249</v>
      </c>
      <c r="B6854" s="5" t="s">
        <v>15250</v>
      </c>
      <c r="C6854" s="5" t="s">
        <v>69</v>
      </c>
      <c r="D6854" s="5" t="s">
        <v>19</v>
      </c>
      <c r="E6854" s="5" t="s">
        <v>935</v>
      </c>
      <c r="F6854" s="9">
        <v>116</v>
      </c>
      <c r="G6854" s="9">
        <v>1269</v>
      </c>
      <c r="H6854" s="5" t="s">
        <v>21</v>
      </c>
      <c r="I6854" s="5" t="s">
        <v>15251</v>
      </c>
      <c r="J6854" s="12" t="str">
        <f>HYPERLINK("https://www.boe.es/gazeta/dias/1801/12/18/pdfs/GMD-1801-116.pdf#page=11","Abrir facsímil")</f>
        <v>Abrir facsímil</v>
      </c>
      <c r="K6854" s="15" t="s">
        <v>23</v>
      </c>
    </row>
    <row r="6855" spans="1:11" ht="42" customHeight="1">
      <c r="A6855" s="4" t="s">
        <v>15252</v>
      </c>
      <c r="B6855" s="5" t="s">
        <v>15253</v>
      </c>
      <c r="C6855" s="5" t="s">
        <v>1481</v>
      </c>
      <c r="D6855" s="5" t="s">
        <v>1482</v>
      </c>
      <c r="E6855" s="5" t="s">
        <v>434</v>
      </c>
      <c r="F6855" s="9" t="s">
        <v>435</v>
      </c>
      <c r="G6855" s="9">
        <v>650</v>
      </c>
      <c r="H6855" s="5" t="s">
        <v>21</v>
      </c>
      <c r="I6855" s="5" t="s">
        <v>15254</v>
      </c>
      <c r="J6855" s="12" t="str">
        <f>HYPERLINK("https://www.boe.es/gazeta/dias/1801/06/18/pdfs/GMD-1801-57E.pdf#page=2","Abrir facsímil")</f>
        <v>Abrir facsímil</v>
      </c>
      <c r="K6855" s="15" t="s">
        <v>23</v>
      </c>
    </row>
    <row r="6856" spans="1:11" ht="42" customHeight="1">
      <c r="A6856" s="4" t="s">
        <v>15255</v>
      </c>
      <c r="B6856" s="5" t="s">
        <v>15256</v>
      </c>
      <c r="C6856" s="5" t="s">
        <v>75</v>
      </c>
      <c r="D6856" s="5" t="s">
        <v>76</v>
      </c>
      <c r="E6856" s="5" t="s">
        <v>169</v>
      </c>
      <c r="F6856" s="9">
        <v>70</v>
      </c>
      <c r="G6856" s="9">
        <v>776</v>
      </c>
      <c r="H6856" s="5" t="s">
        <v>21</v>
      </c>
      <c r="I6856" s="5" t="s">
        <v>15257</v>
      </c>
      <c r="J6856" s="12" t="str">
        <f>HYPERLINK("https://www.boe.es/gazeta/dias/1801/07/17/pdfs/GMD-1801-70.pdf#page=9","Abrir facsímil")</f>
        <v>Abrir facsímil</v>
      </c>
      <c r="K6856" s="15" t="s">
        <v>23</v>
      </c>
    </row>
    <row r="6857" spans="1:11" ht="42" customHeight="1">
      <c r="A6857" s="4" t="s">
        <v>15258</v>
      </c>
      <c r="B6857" s="5" t="s">
        <v>15259</v>
      </c>
      <c r="C6857" s="5" t="s">
        <v>38</v>
      </c>
      <c r="D6857" s="5" t="s">
        <v>39</v>
      </c>
      <c r="E6857" s="5" t="s">
        <v>702</v>
      </c>
      <c r="F6857" s="9">
        <v>69</v>
      </c>
      <c r="G6857" s="9">
        <v>764</v>
      </c>
      <c r="H6857" s="5" t="s">
        <v>21</v>
      </c>
      <c r="I6857" s="5" t="s">
        <v>15260</v>
      </c>
      <c r="J6857" s="12" t="str">
        <f>HYPERLINK("https://www.boe.es/gazeta/dias/1801/07/14/pdfs/GMD-1801-69.pdf#page=9","Abrir facsímil")</f>
        <v>Abrir facsímil</v>
      </c>
      <c r="K6857" s="15" t="s">
        <v>23</v>
      </c>
    </row>
    <row r="6858" spans="1:11" ht="42" customHeight="1">
      <c r="A6858" s="4" t="s">
        <v>15258</v>
      </c>
      <c r="B6858" s="5" t="s">
        <v>15259</v>
      </c>
      <c r="C6858" s="5" t="s">
        <v>38</v>
      </c>
      <c r="D6858" s="5" t="s">
        <v>39</v>
      </c>
      <c r="E6858" s="5" t="s">
        <v>215</v>
      </c>
      <c r="F6858" s="9">
        <v>71</v>
      </c>
      <c r="G6858" s="9">
        <v>788</v>
      </c>
      <c r="H6858" s="5" t="s">
        <v>21</v>
      </c>
      <c r="I6858" s="5" t="s">
        <v>15261</v>
      </c>
      <c r="J6858" s="12" t="str">
        <f>HYPERLINK("https://www.boe.es/gazeta/dias/1801/07/21/pdfs/GMD-1801-71.pdf#page=9","Abrir facsímil")</f>
        <v>Abrir facsímil</v>
      </c>
      <c r="K6858" s="15" t="s">
        <v>23</v>
      </c>
    </row>
    <row r="6859" spans="1:11" ht="42" customHeight="1">
      <c r="A6859" s="4" t="s">
        <v>15258</v>
      </c>
      <c r="B6859" s="5" t="s">
        <v>15259</v>
      </c>
      <c r="C6859" s="5" t="s">
        <v>515</v>
      </c>
      <c r="D6859" s="5" t="s">
        <v>516</v>
      </c>
      <c r="E6859" s="5" t="s">
        <v>751</v>
      </c>
      <c r="F6859" s="9">
        <v>106</v>
      </c>
      <c r="G6859" s="9">
        <v>1169</v>
      </c>
      <c r="H6859" s="5" t="s">
        <v>21</v>
      </c>
      <c r="I6859" s="5" t="s">
        <v>15262</v>
      </c>
      <c r="J6859" s="12" t="str">
        <f>HYPERLINK("https://www.boe.es/gazeta/dias/1801/11/13/pdfs/GMD-C-1801-106.pdf#page=2","Abrir facsímil")</f>
        <v>Abrir facsímil</v>
      </c>
      <c r="K6859" s="15" t="s">
        <v>23</v>
      </c>
    </row>
    <row r="6860" spans="1:11" ht="42" customHeight="1">
      <c r="A6860" s="4" t="s">
        <v>15258</v>
      </c>
      <c r="B6860" s="5" t="s">
        <v>15259</v>
      </c>
      <c r="C6860" s="5" t="s">
        <v>75</v>
      </c>
      <c r="D6860" s="5" t="s">
        <v>76</v>
      </c>
      <c r="E6860" s="5" t="s">
        <v>1939</v>
      </c>
      <c r="F6860" s="9">
        <v>107</v>
      </c>
      <c r="G6860" s="9">
        <v>1180</v>
      </c>
      <c r="H6860" s="5" t="s">
        <v>21</v>
      </c>
      <c r="I6860" s="5" t="s">
        <v>15263</v>
      </c>
      <c r="J6860" s="12" t="str">
        <f>HYPERLINK("https://www.boe.es/gazeta/dias/1801/11/17/pdfs/GMD-1801-107.pdf#page=9","Abrir facsímil")</f>
        <v>Abrir facsímil</v>
      </c>
      <c r="K6860" s="15" t="s">
        <v>23</v>
      </c>
    </row>
    <row r="6861" spans="1:11" ht="42" customHeight="1">
      <c r="A6861" s="4" t="s">
        <v>15258</v>
      </c>
      <c r="B6861" s="5" t="s">
        <v>15259</v>
      </c>
      <c r="C6861" s="5" t="s">
        <v>38</v>
      </c>
      <c r="D6861" s="5" t="s">
        <v>39</v>
      </c>
      <c r="E6861" s="5" t="s">
        <v>1058</v>
      </c>
      <c r="F6861" s="9">
        <v>108</v>
      </c>
      <c r="G6861" s="9">
        <v>1193</v>
      </c>
      <c r="H6861" s="5" t="s">
        <v>21</v>
      </c>
      <c r="I6861" s="5" t="s">
        <v>15264</v>
      </c>
      <c r="J6861" s="12" t="str">
        <f>HYPERLINK("https://www.boe.es/gazeta/dias/1801/11/20/pdfs/GMD-1801-108.pdf#page=10","Abrir facsímil")</f>
        <v>Abrir facsímil</v>
      </c>
      <c r="K6861" s="15" t="s">
        <v>23</v>
      </c>
    </row>
    <row r="6862" spans="1:11" ht="42" customHeight="1">
      <c r="A6862" s="4" t="s">
        <v>15265</v>
      </c>
      <c r="B6862" s="5" t="s">
        <v>15266</v>
      </c>
      <c r="C6862" s="5" t="s">
        <v>32</v>
      </c>
      <c r="D6862" s="5" t="s">
        <v>33</v>
      </c>
      <c r="E6862" s="5" t="s">
        <v>256</v>
      </c>
      <c r="F6862" s="9">
        <v>78</v>
      </c>
      <c r="G6862" s="9">
        <v>881</v>
      </c>
      <c r="H6862" s="5" t="s">
        <v>21</v>
      </c>
      <c r="I6862" s="5" t="s">
        <v>15267</v>
      </c>
      <c r="J6862" s="12" t="str">
        <f>HYPERLINK("https://www.boe.es/gazeta/dias/1801/08/14/pdfs/GMD-1801-78.pdf#page=10","Abrir facsímil")</f>
        <v>Abrir facsímil</v>
      </c>
      <c r="K6862" s="15" t="s">
        <v>23</v>
      </c>
    </row>
    <row r="6863" spans="1:11" ht="42" customHeight="1">
      <c r="A6863" s="4" t="s">
        <v>15268</v>
      </c>
      <c r="B6863" s="5" t="s">
        <v>15268</v>
      </c>
      <c r="C6863" s="5" t="s">
        <v>75</v>
      </c>
      <c r="D6863" s="5" t="s">
        <v>76</v>
      </c>
      <c r="E6863" s="5" t="s">
        <v>94</v>
      </c>
      <c r="F6863" s="9">
        <v>19</v>
      </c>
      <c r="G6863" s="9">
        <v>244</v>
      </c>
      <c r="H6863" s="5" t="s">
        <v>21</v>
      </c>
      <c r="I6863" s="5" t="s">
        <v>15269</v>
      </c>
      <c r="J6863" s="12" t="str">
        <f>HYPERLINK("https://www.boe.es/gazeta/dias/1801/03/06/pdfs/GMD-1801-19.pdf#page=9","Abrir facsímil")</f>
        <v>Abrir facsímil</v>
      </c>
      <c r="K6863" s="15" t="s">
        <v>23</v>
      </c>
    </row>
    <row r="6864" spans="1:11" ht="42" customHeight="1">
      <c r="A6864" s="4" t="s">
        <v>15270</v>
      </c>
      <c r="B6864" s="5" t="s">
        <v>15270</v>
      </c>
      <c r="C6864" s="5" t="s">
        <v>38</v>
      </c>
      <c r="D6864" s="5" t="s">
        <v>39</v>
      </c>
      <c r="E6864" s="5" t="s">
        <v>615</v>
      </c>
      <c r="F6864" s="9">
        <v>72</v>
      </c>
      <c r="G6864" s="9">
        <v>803</v>
      </c>
      <c r="H6864" s="5" t="s">
        <v>21</v>
      </c>
      <c r="I6864" s="5" t="s">
        <v>15271</v>
      </c>
      <c r="J6864" s="12" t="str">
        <f>HYPERLINK("https://www.boe.es/gazeta/dias/1801/07/24/pdfs/GMD-1801-72.pdf#page=8","Abrir facsímil")</f>
        <v>Abrir facsímil</v>
      </c>
      <c r="K6864" s="15" t="s">
        <v>23</v>
      </c>
    </row>
    <row r="6865" spans="1:11" ht="42" customHeight="1">
      <c r="A6865" s="4" t="s">
        <v>15272</v>
      </c>
      <c r="B6865" s="5" t="s">
        <v>15272</v>
      </c>
      <c r="C6865" s="5" t="s">
        <v>75</v>
      </c>
      <c r="D6865" s="5" t="s">
        <v>76</v>
      </c>
      <c r="E6865" s="5" t="s">
        <v>169</v>
      </c>
      <c r="F6865" s="9">
        <v>70</v>
      </c>
      <c r="G6865" s="9">
        <v>776</v>
      </c>
      <c r="H6865" s="5" t="s">
        <v>21</v>
      </c>
      <c r="I6865" s="5" t="s">
        <v>15273</v>
      </c>
      <c r="J6865" s="12" t="str">
        <f>HYPERLINK("https://www.boe.es/gazeta/dias/1801/07/17/pdfs/GMD-1801-70.pdf#page=9","Abrir facsímil")</f>
        <v>Abrir facsímil</v>
      </c>
      <c r="K6865" s="15" t="s">
        <v>23</v>
      </c>
    </row>
    <row r="6866" spans="1:11" ht="42" customHeight="1">
      <c r="A6866" s="4" t="s">
        <v>15274</v>
      </c>
      <c r="B6866" s="5" t="s">
        <v>15275</v>
      </c>
      <c r="C6866" s="5" t="s">
        <v>18</v>
      </c>
      <c r="D6866" s="5" t="s">
        <v>19</v>
      </c>
      <c r="E6866" s="5" t="s">
        <v>292</v>
      </c>
      <c r="F6866" s="9">
        <v>25</v>
      </c>
      <c r="G6866" s="9">
        <v>332</v>
      </c>
      <c r="H6866" s="5" t="s">
        <v>21</v>
      </c>
      <c r="I6866" s="5" t="s">
        <v>15276</v>
      </c>
      <c r="J6866" s="12" t="str">
        <f>HYPERLINK("https://www.boe.es/gazeta/dias/1801/03/27/pdfs/GMD-1801-25.pdf#page=11","Abrir facsímil")</f>
        <v>Abrir facsímil</v>
      </c>
      <c r="K6866" s="15" t="s">
        <v>23</v>
      </c>
    </row>
    <row r="6867" spans="1:11" ht="42" customHeight="1">
      <c r="A6867" s="4" t="s">
        <v>15277</v>
      </c>
      <c r="B6867" s="5" t="s">
        <v>15278</v>
      </c>
      <c r="C6867" s="5" t="s">
        <v>32</v>
      </c>
      <c r="D6867" s="5" t="s">
        <v>33</v>
      </c>
      <c r="E6867" s="5" t="s">
        <v>615</v>
      </c>
      <c r="F6867" s="9">
        <v>72</v>
      </c>
      <c r="G6867" s="9">
        <v>805</v>
      </c>
      <c r="H6867" s="5" t="s">
        <v>21</v>
      </c>
      <c r="I6867" s="5" t="s">
        <v>15279</v>
      </c>
      <c r="J6867" s="12" t="str">
        <f>HYPERLINK("https://www.boe.es/gazeta/dias/1801/07/24/pdfs/GMD-1801-72.pdf#page=10","Abrir facsímil")</f>
        <v>Abrir facsímil</v>
      </c>
      <c r="K6867" s="15" t="s">
        <v>23</v>
      </c>
    </row>
    <row r="6868" spans="1:11" ht="42" customHeight="1">
      <c r="A6868" s="4" t="s">
        <v>15280</v>
      </c>
      <c r="B6868" s="5" t="s">
        <v>15281</v>
      </c>
      <c r="C6868" s="5" t="s">
        <v>32</v>
      </c>
      <c r="D6868" s="5" t="s">
        <v>33</v>
      </c>
      <c r="E6868" s="5" t="s">
        <v>462</v>
      </c>
      <c r="F6868" s="9">
        <v>5</v>
      </c>
      <c r="G6868" s="9">
        <v>57</v>
      </c>
      <c r="H6868" s="5" t="s">
        <v>21</v>
      </c>
      <c r="I6868" s="5" t="s">
        <v>15282</v>
      </c>
      <c r="J6868" s="12" t="str">
        <f>HYPERLINK("https://www.boe.es/gazeta/dias/1801/01/16/pdfs/GMD-1801-5.pdf#page=9","Abrir facsímil")</f>
        <v>Abrir facsímil</v>
      </c>
      <c r="K6868" s="15" t="s">
        <v>23</v>
      </c>
    </row>
    <row r="6869" spans="1:11" ht="42" customHeight="1">
      <c r="A6869" s="4" t="s">
        <v>15283</v>
      </c>
      <c r="B6869" s="5" t="s">
        <v>15284</v>
      </c>
      <c r="C6869" s="5" t="s">
        <v>69</v>
      </c>
      <c r="D6869" s="5" t="s">
        <v>19</v>
      </c>
      <c r="E6869" s="5" t="s">
        <v>112</v>
      </c>
      <c r="F6869" s="9">
        <v>114</v>
      </c>
      <c r="G6869" s="9">
        <v>1247</v>
      </c>
      <c r="H6869" s="5" t="s">
        <v>21</v>
      </c>
      <c r="I6869" s="5" t="s">
        <v>15285</v>
      </c>
      <c r="J6869" s="12" t="str">
        <f>HYPERLINK("https://www.boe.es/gazeta/dias/1801/12/11/pdfs/GMD-1801-114.pdf#page=9","Abrir facsímil")</f>
        <v>Abrir facsímil</v>
      </c>
      <c r="K6869" s="15" t="s">
        <v>23</v>
      </c>
    </row>
    <row r="6870" spans="1:11" ht="42" customHeight="1">
      <c r="A6870" s="4" t="s">
        <v>15286</v>
      </c>
      <c r="B6870" s="5" t="s">
        <v>15287</v>
      </c>
      <c r="C6870" s="5" t="s">
        <v>80</v>
      </c>
      <c r="D6870" s="5" t="s">
        <v>81</v>
      </c>
      <c r="E6870" s="5" t="s">
        <v>289</v>
      </c>
      <c r="F6870" s="9">
        <v>40</v>
      </c>
      <c r="G6870" s="9" t="s">
        <v>996</v>
      </c>
      <c r="H6870" s="5" t="s">
        <v>21</v>
      </c>
      <c r="I6870" s="5" t="s">
        <v>15288</v>
      </c>
      <c r="J6870" s="12" t="str">
        <f>HYPERLINK("https://www.boe.es/gazeta/dias/1801/05/19/pdfs/GMD-C-1801-40.pdf#page=6","Abrir facsímil")</f>
        <v>Abrir facsímil</v>
      </c>
      <c r="K6870" s="15" t="s">
        <v>23</v>
      </c>
    </row>
    <row r="6871" spans="1:11" ht="42" customHeight="1">
      <c r="A6871" s="4" t="s">
        <v>15289</v>
      </c>
      <c r="B6871" s="5" t="s">
        <v>15289</v>
      </c>
      <c r="C6871" s="5" t="s">
        <v>32</v>
      </c>
      <c r="D6871" s="5" t="s">
        <v>33</v>
      </c>
      <c r="E6871" s="5" t="s">
        <v>292</v>
      </c>
      <c r="F6871" s="9">
        <v>25</v>
      </c>
      <c r="G6871" s="9">
        <v>331</v>
      </c>
      <c r="H6871" s="5" t="s">
        <v>21</v>
      </c>
      <c r="I6871" s="5" t="s">
        <v>15290</v>
      </c>
      <c r="J6871" s="12" t="str">
        <f>HYPERLINK("https://www.boe.es/gazeta/dias/1801/03/27/pdfs/GMD-1801-25.pdf#page=10","Abrir facsímil")</f>
        <v>Abrir facsímil</v>
      </c>
      <c r="K6871" s="15" t="s">
        <v>23</v>
      </c>
    </row>
    <row r="6872" spans="1:11" ht="42" customHeight="1">
      <c r="A6872" s="4" t="s">
        <v>15291</v>
      </c>
      <c r="B6872" s="5" t="s">
        <v>15292</v>
      </c>
      <c r="C6872" s="5" t="s">
        <v>75</v>
      </c>
      <c r="D6872" s="5" t="s">
        <v>76</v>
      </c>
      <c r="E6872" s="5" t="s">
        <v>190</v>
      </c>
      <c r="F6872" s="9">
        <v>16</v>
      </c>
      <c r="G6872" s="9">
        <v>195</v>
      </c>
      <c r="H6872" s="5" t="s">
        <v>21</v>
      </c>
      <c r="I6872" s="5" t="s">
        <v>15293</v>
      </c>
      <c r="J6872" s="12" t="str">
        <f>HYPERLINK("https://www.boe.es/gazeta/dias/1801/02/24/pdfs/GMD-1801-16.pdf#page=2","Abrir facsímil")</f>
        <v>Abrir facsímil</v>
      </c>
      <c r="K6872" s="15" t="s">
        <v>23</v>
      </c>
    </row>
    <row r="6873" spans="1:11" ht="42" customHeight="1">
      <c r="A6873" s="4" t="s">
        <v>15294</v>
      </c>
      <c r="B6873" s="5" t="s">
        <v>15295</v>
      </c>
      <c r="C6873" s="5" t="s">
        <v>80</v>
      </c>
      <c r="D6873" s="5" t="s">
        <v>81</v>
      </c>
      <c r="E6873" s="5" t="s">
        <v>82</v>
      </c>
      <c r="F6873" s="9">
        <v>75</v>
      </c>
      <c r="G6873" s="9" t="s">
        <v>668</v>
      </c>
      <c r="H6873" s="5" t="s">
        <v>21</v>
      </c>
      <c r="I6873" s="5" t="s">
        <v>15296</v>
      </c>
      <c r="J6873" s="12" t="str">
        <f>HYPERLINK("https://www.boe.es/gazeta/dias/1801/08/04/pdfs/GMD-C-1801-75.pdf#page=1","Abrir facsímil")</f>
        <v>Abrir facsímil</v>
      </c>
      <c r="K6873" s="15" t="s">
        <v>23</v>
      </c>
    </row>
    <row r="6874" spans="1:11" ht="42" customHeight="1">
      <c r="A6874" s="4" t="s">
        <v>15297</v>
      </c>
      <c r="B6874" s="5" t="s">
        <v>15298</v>
      </c>
      <c r="C6874" s="5" t="s">
        <v>26</v>
      </c>
      <c r="D6874" s="5" t="s">
        <v>27</v>
      </c>
      <c r="E6874" s="5" t="s">
        <v>501</v>
      </c>
      <c r="F6874" s="9">
        <v>115</v>
      </c>
      <c r="G6874" s="9" t="s">
        <v>299</v>
      </c>
      <c r="H6874" s="5" t="s">
        <v>21</v>
      </c>
      <c r="I6874" s="5" t="s">
        <v>15299</v>
      </c>
      <c r="J6874" s="12" t="str">
        <f>HYPERLINK("https://www.boe.es/gazeta/dias/1801/12/15/pdfs/GMD-C-1801-115.pdf#page=5","Abrir facsímil")</f>
        <v>Abrir facsímil</v>
      </c>
      <c r="K6874" s="15" t="s">
        <v>23</v>
      </c>
    </row>
    <row r="6875" spans="1:11" ht="42" customHeight="1">
      <c r="A6875" s="4" t="s">
        <v>15300</v>
      </c>
      <c r="B6875" s="5" t="s">
        <v>15301</v>
      </c>
      <c r="C6875" s="5" t="s">
        <v>80</v>
      </c>
      <c r="D6875" s="5" t="s">
        <v>81</v>
      </c>
      <c r="E6875" s="5" t="s">
        <v>82</v>
      </c>
      <c r="F6875" s="9">
        <v>75</v>
      </c>
      <c r="G6875" s="9" t="s">
        <v>86</v>
      </c>
      <c r="H6875" s="5" t="s">
        <v>21</v>
      </c>
      <c r="I6875" s="5" t="s">
        <v>15302</v>
      </c>
      <c r="J6875" s="12" t="str">
        <f>HYPERLINK("https://www.boe.es/gazeta/dias/1801/08/04/pdfs/GMD-C-1801-75.pdf#page=3","Abrir facsímil")</f>
        <v>Abrir facsímil</v>
      </c>
      <c r="K6875" s="15" t="s">
        <v>23</v>
      </c>
    </row>
    <row r="6876" spans="1:11" ht="42" customHeight="1">
      <c r="A6876" s="4" t="s">
        <v>15303</v>
      </c>
      <c r="B6876" s="5" t="s">
        <v>15303</v>
      </c>
      <c r="C6876" s="5" t="s">
        <v>75</v>
      </c>
      <c r="D6876" s="5" t="s">
        <v>76</v>
      </c>
      <c r="E6876" s="5" t="s">
        <v>935</v>
      </c>
      <c r="F6876" s="9">
        <v>116</v>
      </c>
      <c r="G6876" s="9">
        <v>1260</v>
      </c>
      <c r="H6876" s="5" t="s">
        <v>21</v>
      </c>
      <c r="I6876" s="5" t="s">
        <v>15304</v>
      </c>
      <c r="J6876" s="12" t="str">
        <f>HYPERLINK("https://www.boe.es/gazeta/dias/1801/12/18/pdfs/GMD-1801-116.pdf#page=2","Abrir facsímil")</f>
        <v>Abrir facsímil</v>
      </c>
      <c r="K6876" s="15" t="s">
        <v>23</v>
      </c>
    </row>
    <row r="6877" spans="1:11" ht="42" customHeight="1">
      <c r="A6877" s="4" t="s">
        <v>15305</v>
      </c>
      <c r="B6877" s="5" t="s">
        <v>15305</v>
      </c>
      <c r="C6877" s="5" t="s">
        <v>32</v>
      </c>
      <c r="D6877" s="5" t="s">
        <v>33</v>
      </c>
      <c r="E6877" s="5" t="s">
        <v>90</v>
      </c>
      <c r="F6877" s="9">
        <v>1</v>
      </c>
      <c r="G6877" s="9">
        <v>8</v>
      </c>
      <c r="H6877" s="5" t="s">
        <v>21</v>
      </c>
      <c r="I6877" s="5" t="s">
        <v>15306</v>
      </c>
      <c r="J6877" s="12" t="str">
        <f>HYPERLINK("https://www.boe.es/gazeta/dias/1801/01/02/pdfs/GMD-1801-1.pdf#page=8","Abrir facsímil")</f>
        <v>Abrir facsímil</v>
      </c>
      <c r="K6877" s="15" t="s">
        <v>23</v>
      </c>
    </row>
    <row r="6878" spans="1:11" ht="42" customHeight="1">
      <c r="A6878" s="4" t="s">
        <v>15307</v>
      </c>
      <c r="B6878" s="5" t="s">
        <v>15308</v>
      </c>
      <c r="C6878" s="5" t="s">
        <v>32</v>
      </c>
      <c r="D6878" s="5" t="s">
        <v>33</v>
      </c>
      <c r="E6878" s="5" t="s">
        <v>505</v>
      </c>
      <c r="F6878" s="9">
        <v>94</v>
      </c>
      <c r="G6878" s="9">
        <v>1033</v>
      </c>
      <c r="H6878" s="5" t="s">
        <v>21</v>
      </c>
      <c r="I6878" s="5" t="s">
        <v>15309</v>
      </c>
      <c r="J6878" s="12" t="str">
        <f>HYPERLINK("https://www.boe.es/gazeta/dias/1801/10/02/pdfs/GMD-1801-94.pdf#page=9","Abrir facsímil")</f>
        <v>Abrir facsímil</v>
      </c>
      <c r="K6878" s="15" t="s">
        <v>23</v>
      </c>
    </row>
    <row r="6879" spans="1:11" ht="42" customHeight="1">
      <c r="A6879" s="4" t="s">
        <v>15310</v>
      </c>
      <c r="B6879" s="5" t="s">
        <v>15311</v>
      </c>
      <c r="C6879" s="5" t="s">
        <v>18</v>
      </c>
      <c r="D6879" s="5" t="s">
        <v>19</v>
      </c>
      <c r="E6879" s="5" t="s">
        <v>62</v>
      </c>
      <c r="F6879" s="9">
        <v>6</v>
      </c>
      <c r="G6879" s="9">
        <v>76</v>
      </c>
      <c r="H6879" s="5" t="s">
        <v>21</v>
      </c>
      <c r="I6879" s="5" t="s">
        <v>15312</v>
      </c>
      <c r="J6879" s="12" t="str">
        <f>HYPERLINK("https://www.boe.es/gazeta/dias/1801/01/20/pdfs/GMD-1801-6.pdf#page=12","Abrir facsímil")</f>
        <v>Abrir facsímil</v>
      </c>
      <c r="K6879" s="15" t="s">
        <v>23</v>
      </c>
    </row>
    <row r="6880" spans="1:11" ht="42" customHeight="1">
      <c r="A6880" s="4" t="s">
        <v>15313</v>
      </c>
      <c r="B6880" s="5" t="s">
        <v>15313</v>
      </c>
      <c r="C6880" s="5" t="s">
        <v>32</v>
      </c>
      <c r="D6880" s="5" t="s">
        <v>33</v>
      </c>
      <c r="E6880" s="5" t="s">
        <v>145</v>
      </c>
      <c r="F6880" s="9">
        <v>36</v>
      </c>
      <c r="G6880" s="9">
        <v>468</v>
      </c>
      <c r="H6880" s="5" t="s">
        <v>21</v>
      </c>
      <c r="I6880" s="5" t="s">
        <v>15314</v>
      </c>
      <c r="J6880" s="12" t="str">
        <f>HYPERLINK("https://www.boe.es/gazeta/dias/1801/05/05/pdfs/GMD-1801-36.pdf#page=12","Abrir facsímil")</f>
        <v>Abrir facsímil</v>
      </c>
      <c r="K6880" s="15" t="s">
        <v>23</v>
      </c>
    </row>
    <row r="6881" spans="1:11" ht="42" customHeight="1">
      <c r="A6881" s="4" t="s">
        <v>15315</v>
      </c>
      <c r="B6881" s="5" t="s">
        <v>15315</v>
      </c>
      <c r="C6881" s="5" t="s">
        <v>32</v>
      </c>
      <c r="D6881" s="5" t="s">
        <v>33</v>
      </c>
      <c r="E6881" s="5" t="s">
        <v>417</v>
      </c>
      <c r="F6881" s="9">
        <v>64</v>
      </c>
      <c r="G6881" s="9">
        <v>729</v>
      </c>
      <c r="H6881" s="5" t="s">
        <v>21</v>
      </c>
      <c r="I6881" s="5" t="s">
        <v>15316</v>
      </c>
      <c r="J6881" s="12" t="str">
        <f>HYPERLINK("https://www.boe.es/gazeta/dias/1801/07/07/pdfs/GMD-1801-64.pdf#page=10","Abrir facsímil")</f>
        <v>Abrir facsímil</v>
      </c>
      <c r="K6881" s="15" t="s">
        <v>23</v>
      </c>
    </row>
    <row r="6882" spans="1:11" ht="42" customHeight="1">
      <c r="A6882" s="4" t="s">
        <v>15317</v>
      </c>
      <c r="B6882" s="5" t="s">
        <v>15317</v>
      </c>
      <c r="C6882" s="5" t="s">
        <v>32</v>
      </c>
      <c r="D6882" s="5" t="s">
        <v>33</v>
      </c>
      <c r="E6882" s="5" t="s">
        <v>201</v>
      </c>
      <c r="F6882" s="9">
        <v>79</v>
      </c>
      <c r="G6882" s="9">
        <v>888</v>
      </c>
      <c r="H6882" s="5" t="s">
        <v>21</v>
      </c>
      <c r="I6882" s="5" t="s">
        <v>15318</v>
      </c>
      <c r="J6882" s="12" t="str">
        <f>HYPERLINK("https://www.boe.es/gazeta/dias/1801/08/18/pdfs/GMD-1801-79.pdf#page=5","Abrir facsímil")</f>
        <v>Abrir facsímil</v>
      </c>
      <c r="K6882" s="15" t="s">
        <v>23</v>
      </c>
    </row>
    <row r="6883" spans="1:11" ht="42" customHeight="1">
      <c r="A6883" s="4" t="s">
        <v>15319</v>
      </c>
      <c r="B6883" s="5" t="s">
        <v>15319</v>
      </c>
      <c r="C6883" s="5" t="s">
        <v>69</v>
      </c>
      <c r="D6883" s="5" t="s">
        <v>19</v>
      </c>
      <c r="E6883" s="5" t="s">
        <v>34</v>
      </c>
      <c r="F6883" s="9">
        <v>38</v>
      </c>
      <c r="G6883" s="9">
        <v>493</v>
      </c>
      <c r="H6883" s="5" t="s">
        <v>21</v>
      </c>
      <c r="I6883" s="5" t="s">
        <v>15320</v>
      </c>
      <c r="J6883" s="12" t="str">
        <f>HYPERLINK("https://www.boe.es/gazeta/dias/1801/05/12/pdfs/GMD-1801-38.pdf#page=9","Abrir facsímil")</f>
        <v>Abrir facsímil</v>
      </c>
      <c r="K6883" s="15" t="s">
        <v>23</v>
      </c>
    </row>
    <row r="6884" spans="1:11" ht="42" customHeight="1">
      <c r="A6884" s="4" t="s">
        <v>15321</v>
      </c>
      <c r="B6884" s="5" t="s">
        <v>15322</v>
      </c>
      <c r="C6884" s="5" t="s">
        <v>18</v>
      </c>
      <c r="D6884" s="5" t="s">
        <v>19</v>
      </c>
      <c r="E6884" s="5" t="s">
        <v>215</v>
      </c>
      <c r="F6884" s="9">
        <v>71</v>
      </c>
      <c r="G6884" s="9">
        <v>789</v>
      </c>
      <c r="H6884" s="5" t="s">
        <v>21</v>
      </c>
      <c r="I6884" s="5" t="s">
        <v>15323</v>
      </c>
      <c r="J6884" s="12" t="str">
        <f>HYPERLINK("https://www.boe.es/gazeta/dias/1801/07/21/pdfs/GMD-1801-71.pdf#page=10","Abrir facsímil")</f>
        <v>Abrir facsímil</v>
      </c>
      <c r="K6884" s="15" t="s">
        <v>23</v>
      </c>
    </row>
    <row r="6885" spans="1:11" ht="42" customHeight="1">
      <c r="A6885" s="4" t="s">
        <v>15324</v>
      </c>
      <c r="B6885" s="5" t="s">
        <v>15325</v>
      </c>
      <c r="C6885" s="5" t="s">
        <v>26</v>
      </c>
      <c r="D6885" s="5" t="s">
        <v>27</v>
      </c>
      <c r="E6885" s="5" t="s">
        <v>1015</v>
      </c>
      <c r="F6885" s="9">
        <v>15</v>
      </c>
      <c r="G6885" s="9">
        <v>183</v>
      </c>
      <c r="H6885" s="5" t="s">
        <v>21</v>
      </c>
      <c r="I6885" s="5" t="s">
        <v>15326</v>
      </c>
      <c r="J6885" s="12" t="str">
        <f>HYPERLINK("https://www.boe.es/gazeta/dias/1801/02/20/pdfs/GMD-1801-15.pdf#page=2","Abrir facsímil")</f>
        <v>Abrir facsímil</v>
      </c>
      <c r="K6885" s="15" t="s">
        <v>23</v>
      </c>
    </row>
    <row r="6886" spans="1:11" ht="42" customHeight="1">
      <c r="A6886" s="4" t="s">
        <v>15324</v>
      </c>
      <c r="B6886" s="5" t="s">
        <v>15325</v>
      </c>
      <c r="C6886" s="5" t="s">
        <v>75</v>
      </c>
      <c r="D6886" s="5" t="s">
        <v>76</v>
      </c>
      <c r="E6886" s="5" t="s">
        <v>313</v>
      </c>
      <c r="F6886" s="9">
        <v>39</v>
      </c>
      <c r="G6886" s="9">
        <v>497</v>
      </c>
      <c r="H6886" s="5" t="s">
        <v>21</v>
      </c>
      <c r="I6886" s="5" t="s">
        <v>15327</v>
      </c>
      <c r="J6886" s="12" t="str">
        <f>HYPERLINK("https://www.boe.es/gazeta/dias/1801/05/15/pdfs/GMD-1801-39.pdf#page=1","Abrir facsímil")</f>
        <v>Abrir facsímil</v>
      </c>
      <c r="K6886" s="15" t="s">
        <v>23</v>
      </c>
    </row>
    <row r="6887" spans="1:11" ht="42" customHeight="1">
      <c r="A6887" s="4" t="s">
        <v>15324</v>
      </c>
      <c r="B6887" s="5" t="s">
        <v>15325</v>
      </c>
      <c r="C6887" s="5" t="s">
        <v>75</v>
      </c>
      <c r="D6887" s="5" t="s">
        <v>76</v>
      </c>
      <c r="E6887" s="5" t="s">
        <v>702</v>
      </c>
      <c r="F6887" s="9">
        <v>69</v>
      </c>
      <c r="G6887" s="9">
        <v>758</v>
      </c>
      <c r="H6887" s="5" t="s">
        <v>21</v>
      </c>
      <c r="I6887" s="5" t="s">
        <v>15328</v>
      </c>
      <c r="J6887" s="12" t="str">
        <f>HYPERLINK("https://www.boe.es/gazeta/dias/1801/07/14/pdfs/GMD-1801-69.pdf#page=3","Abrir facsímil")</f>
        <v>Abrir facsímil</v>
      </c>
      <c r="K6887" s="15" t="s">
        <v>23</v>
      </c>
    </row>
    <row r="6888" spans="1:11" ht="42" customHeight="1">
      <c r="A6888" s="4" t="s">
        <v>15329</v>
      </c>
      <c r="B6888" s="5" t="s">
        <v>15330</v>
      </c>
      <c r="C6888" s="5" t="s">
        <v>75</v>
      </c>
      <c r="D6888" s="5" t="s">
        <v>76</v>
      </c>
      <c r="E6888" s="5" t="s">
        <v>137</v>
      </c>
      <c r="F6888" s="9">
        <v>30</v>
      </c>
      <c r="G6888" s="9">
        <v>385</v>
      </c>
      <c r="H6888" s="5" t="s">
        <v>21</v>
      </c>
      <c r="I6888" s="5" t="s">
        <v>15331</v>
      </c>
      <c r="J6888" s="12" t="str">
        <f>HYPERLINK("https://www.boe.es/gazeta/dias/1801/04/14/pdfs/GMD-1801-30.pdf#page=1","Abrir facsímil")</f>
        <v>Abrir facsímil</v>
      </c>
      <c r="K6888" s="15" t="s">
        <v>23</v>
      </c>
    </row>
    <row r="6889" spans="1:11" ht="42" customHeight="1">
      <c r="A6889" s="4" t="s">
        <v>15329</v>
      </c>
      <c r="B6889" s="5" t="s">
        <v>15330</v>
      </c>
      <c r="C6889" s="5" t="s">
        <v>75</v>
      </c>
      <c r="D6889" s="5" t="s">
        <v>76</v>
      </c>
      <c r="E6889" s="5" t="s">
        <v>137</v>
      </c>
      <c r="F6889" s="9">
        <v>30</v>
      </c>
      <c r="G6889" s="9">
        <v>386</v>
      </c>
      <c r="H6889" s="5" t="s">
        <v>21</v>
      </c>
      <c r="I6889" s="5" t="s">
        <v>15332</v>
      </c>
      <c r="J6889" s="12" t="str">
        <f>HYPERLINK("https://www.boe.es/gazeta/dias/1801/04/14/pdfs/GMD-1801-30.pdf#page=2","Abrir facsímil")</f>
        <v>Abrir facsímil</v>
      </c>
      <c r="K6889" s="15" t="s">
        <v>23</v>
      </c>
    </row>
    <row r="6890" spans="1:11" ht="42" customHeight="1">
      <c r="A6890" s="4" t="s">
        <v>15329</v>
      </c>
      <c r="B6890" s="5" t="s">
        <v>15330</v>
      </c>
      <c r="C6890" s="5" t="s">
        <v>75</v>
      </c>
      <c r="D6890" s="5" t="s">
        <v>76</v>
      </c>
      <c r="E6890" s="5" t="s">
        <v>615</v>
      </c>
      <c r="F6890" s="9">
        <v>72</v>
      </c>
      <c r="G6890" s="9">
        <v>798</v>
      </c>
      <c r="H6890" s="5" t="s">
        <v>21</v>
      </c>
      <c r="I6890" s="5" t="s">
        <v>15333</v>
      </c>
      <c r="J6890" s="12" t="str">
        <f>HYPERLINK("https://www.boe.es/gazeta/dias/1801/07/24/pdfs/GMD-1801-72.pdf#page=3","Abrir facsímil")</f>
        <v>Abrir facsímil</v>
      </c>
      <c r="K6890" s="15" t="s">
        <v>23</v>
      </c>
    </row>
    <row r="6891" spans="1:11" ht="42" customHeight="1">
      <c r="A6891" s="4" t="s">
        <v>15334</v>
      </c>
      <c r="B6891" s="5" t="s">
        <v>15335</v>
      </c>
      <c r="C6891" s="5" t="s">
        <v>38</v>
      </c>
      <c r="D6891" s="5" t="s">
        <v>39</v>
      </c>
      <c r="E6891" s="5" t="s">
        <v>462</v>
      </c>
      <c r="F6891" s="9">
        <v>5</v>
      </c>
      <c r="G6891" s="9">
        <v>57</v>
      </c>
      <c r="H6891" s="5" t="s">
        <v>21</v>
      </c>
      <c r="I6891" s="5" t="s">
        <v>15336</v>
      </c>
      <c r="J6891" s="12" t="str">
        <f>HYPERLINK("https://www.boe.es/gazeta/dias/1801/01/16/pdfs/GMD-1801-5.pdf#page=9","Abrir facsímil")</f>
        <v>Abrir facsímil</v>
      </c>
      <c r="K6891" s="15" t="s">
        <v>23</v>
      </c>
    </row>
    <row r="6892" spans="1:11" ht="42" customHeight="1">
      <c r="A6892" s="4" t="s">
        <v>15337</v>
      </c>
      <c r="B6892" s="5" t="s">
        <v>15338</v>
      </c>
      <c r="C6892" s="5" t="s">
        <v>69</v>
      </c>
      <c r="D6892" s="5" t="s">
        <v>19</v>
      </c>
      <c r="E6892" s="5" t="s">
        <v>309</v>
      </c>
      <c r="F6892" s="9">
        <v>118</v>
      </c>
      <c r="G6892" s="9">
        <v>1292</v>
      </c>
      <c r="H6892" s="5" t="s">
        <v>21</v>
      </c>
      <c r="I6892" s="5" t="s">
        <v>15339</v>
      </c>
      <c r="J6892" s="12" t="str">
        <f>HYPERLINK("https://www.boe.es/gazeta/dias/1801/12/25/pdfs/GMD-1801-118.pdf#page=7","Abrir facsímil")</f>
        <v>Abrir facsímil</v>
      </c>
      <c r="K6892" s="15" t="s">
        <v>23</v>
      </c>
    </row>
    <row r="6893" spans="1:11" ht="42" customHeight="1">
      <c r="A6893" s="4" t="s">
        <v>15340</v>
      </c>
      <c r="B6893" s="5" t="s">
        <v>15341</v>
      </c>
      <c r="C6893" s="5" t="s">
        <v>32</v>
      </c>
      <c r="D6893" s="5" t="s">
        <v>33</v>
      </c>
      <c r="E6893" s="5" t="s">
        <v>90</v>
      </c>
      <c r="F6893" s="9">
        <v>1</v>
      </c>
      <c r="G6893" s="9">
        <v>8</v>
      </c>
      <c r="H6893" s="5" t="s">
        <v>21</v>
      </c>
      <c r="I6893" s="5" t="s">
        <v>15342</v>
      </c>
      <c r="J6893" s="12" t="str">
        <f>HYPERLINK("https://www.boe.es/gazeta/dias/1801/01/02/pdfs/GMD-1801-1.pdf#page=8","Abrir facsímil")</f>
        <v>Abrir facsímil</v>
      </c>
      <c r="K6893" s="15" t="s">
        <v>23</v>
      </c>
    </row>
    <row r="6894" spans="1:11" ht="42" customHeight="1">
      <c r="A6894" s="4" t="s">
        <v>15343</v>
      </c>
      <c r="B6894" s="5" t="s">
        <v>15343</v>
      </c>
      <c r="C6894" s="5" t="s">
        <v>32</v>
      </c>
      <c r="D6894" s="5" t="s">
        <v>33</v>
      </c>
      <c r="E6894" s="5" t="s">
        <v>62</v>
      </c>
      <c r="F6894" s="9">
        <v>6</v>
      </c>
      <c r="G6894" s="9">
        <v>75</v>
      </c>
      <c r="H6894" s="5" t="s">
        <v>21</v>
      </c>
      <c r="I6894" s="5" t="s">
        <v>15344</v>
      </c>
      <c r="J6894" s="12" t="str">
        <f>HYPERLINK("https://www.boe.es/gazeta/dias/1801/01/20/pdfs/GMD-1801-6.pdf#page=11","Abrir facsímil")</f>
        <v>Abrir facsímil</v>
      </c>
      <c r="K6894" s="15" t="s">
        <v>23</v>
      </c>
    </row>
    <row r="6895" spans="1:11" ht="42" customHeight="1">
      <c r="A6895" s="4" t="s">
        <v>15343</v>
      </c>
      <c r="B6895" s="5" t="s">
        <v>15343</v>
      </c>
      <c r="C6895" s="5" t="s">
        <v>32</v>
      </c>
      <c r="D6895" s="5" t="s">
        <v>33</v>
      </c>
      <c r="E6895" s="5" t="s">
        <v>182</v>
      </c>
      <c r="F6895" s="9">
        <v>18</v>
      </c>
      <c r="G6895" s="9">
        <v>233</v>
      </c>
      <c r="H6895" s="5" t="s">
        <v>21</v>
      </c>
      <c r="I6895" s="5" t="s">
        <v>15345</v>
      </c>
      <c r="J6895" s="12" t="str">
        <f>HYPERLINK("https://www.boe.es/gazeta/dias/1801/03/03/pdfs/GMD-C-1801-18.pdf#page=2","Abrir facsímil")</f>
        <v>Abrir facsímil</v>
      </c>
      <c r="K6895" s="15" t="s">
        <v>23</v>
      </c>
    </row>
    <row r="6896" spans="1:11" ht="42" customHeight="1">
      <c r="A6896" s="4" t="s">
        <v>15346</v>
      </c>
      <c r="B6896" s="5" t="s">
        <v>15346</v>
      </c>
      <c r="C6896" s="5" t="s">
        <v>26</v>
      </c>
      <c r="D6896" s="5" t="s">
        <v>27</v>
      </c>
      <c r="E6896" s="5" t="s">
        <v>448</v>
      </c>
      <c r="F6896" s="9">
        <v>35</v>
      </c>
      <c r="G6896" s="9">
        <v>456</v>
      </c>
      <c r="H6896" s="5" t="s">
        <v>21</v>
      </c>
      <c r="I6896" s="5" t="s">
        <v>15347</v>
      </c>
      <c r="J6896" s="12" t="str">
        <f>HYPERLINK("https://www.boe.es/gazeta/dias/1801/05/01/pdfs/GMD-1801-35.pdf#page=12","Abrir facsímil")</f>
        <v>Abrir facsímil</v>
      </c>
      <c r="K6896" s="15" t="s">
        <v>23</v>
      </c>
    </row>
    <row r="6897" spans="1:11" ht="42" customHeight="1">
      <c r="A6897" s="4" t="s">
        <v>15348</v>
      </c>
      <c r="B6897" s="5" t="s">
        <v>15349</v>
      </c>
      <c r="C6897" s="5" t="s">
        <v>26</v>
      </c>
      <c r="D6897" s="5" t="s">
        <v>27</v>
      </c>
      <c r="E6897" s="5" t="s">
        <v>223</v>
      </c>
      <c r="F6897" s="9">
        <v>74</v>
      </c>
      <c r="G6897" s="9">
        <v>828</v>
      </c>
      <c r="H6897" s="5" t="s">
        <v>21</v>
      </c>
      <c r="I6897" s="5" t="s">
        <v>15350</v>
      </c>
      <c r="J6897" s="12" t="str">
        <f>HYPERLINK("https://www.boe.es/gazeta/dias/1801/07/31/pdfs/GMD-1801-74.pdf#page=9","Abrir facsímil")</f>
        <v>Abrir facsímil</v>
      </c>
      <c r="K6897" s="15" t="s">
        <v>23</v>
      </c>
    </row>
    <row r="6898" spans="1:11" ht="42" customHeight="1">
      <c r="A6898" s="4" t="s">
        <v>15351</v>
      </c>
      <c r="B6898" s="5" t="s">
        <v>15352</v>
      </c>
      <c r="C6898" s="5" t="s">
        <v>32</v>
      </c>
      <c r="D6898" s="5" t="s">
        <v>33</v>
      </c>
      <c r="E6898" s="5" t="s">
        <v>888</v>
      </c>
      <c r="F6898" s="9">
        <v>103</v>
      </c>
      <c r="G6898" s="9">
        <v>1132</v>
      </c>
      <c r="H6898" s="5" t="s">
        <v>21</v>
      </c>
      <c r="I6898" s="5" t="s">
        <v>15353</v>
      </c>
      <c r="J6898" s="12" t="str">
        <f>HYPERLINK("https://www.boe.es/gazeta/dias/1801/11/03/pdfs/GMD-1801-103.pdf#page=5","Abrir facsímil")</f>
        <v>Abrir facsímil</v>
      </c>
      <c r="K6898" s="15" t="s">
        <v>23</v>
      </c>
    </row>
    <row r="6899" spans="1:11" ht="42" customHeight="1">
      <c r="A6899" s="4" t="s">
        <v>15354</v>
      </c>
      <c r="B6899" s="5" t="s">
        <v>15355</v>
      </c>
      <c r="C6899" s="5" t="s">
        <v>38</v>
      </c>
      <c r="D6899" s="5" t="s">
        <v>39</v>
      </c>
      <c r="E6899" s="5" t="s">
        <v>182</v>
      </c>
      <c r="F6899" s="9">
        <v>18</v>
      </c>
      <c r="G6899" s="9">
        <v>228</v>
      </c>
      <c r="H6899" s="5" t="s">
        <v>21</v>
      </c>
      <c r="I6899" s="5" t="s">
        <v>15356</v>
      </c>
      <c r="J6899" s="12" t="str">
        <f>HYPERLINK("https://www.boe.es/gazeta/dias/1801/03/03/pdfs/GMD-1801-18.pdf#page=9","Abrir facsímil")</f>
        <v>Abrir facsímil</v>
      </c>
      <c r="K6899" s="15" t="s">
        <v>23</v>
      </c>
    </row>
    <row r="6900" spans="1:11" ht="42" customHeight="1">
      <c r="A6900" s="4" t="s">
        <v>15357</v>
      </c>
      <c r="B6900" s="5" t="s">
        <v>15358</v>
      </c>
      <c r="C6900" s="5" t="s">
        <v>38</v>
      </c>
      <c r="D6900" s="5" t="s">
        <v>39</v>
      </c>
      <c r="E6900" s="5" t="s">
        <v>781</v>
      </c>
      <c r="F6900" s="9">
        <v>14</v>
      </c>
      <c r="G6900" s="9">
        <v>174</v>
      </c>
      <c r="H6900" s="5" t="s">
        <v>21</v>
      </c>
      <c r="I6900" s="5" t="s">
        <v>15359</v>
      </c>
      <c r="J6900" s="12" t="str">
        <f>HYPERLINK("https://www.boe.es/gazeta/dias/1801/02/17/pdfs/GMD-1801-14.pdf#page=9","Abrir facsímil")</f>
        <v>Abrir facsímil</v>
      </c>
      <c r="K6900" s="15" t="s">
        <v>23</v>
      </c>
    </row>
    <row r="6901" spans="1:11" ht="42" customHeight="1">
      <c r="A6901" s="4" t="s">
        <v>15360</v>
      </c>
      <c r="B6901" s="5" t="s">
        <v>15361</v>
      </c>
      <c r="C6901" s="5" t="s">
        <v>32</v>
      </c>
      <c r="D6901" s="5" t="s">
        <v>33</v>
      </c>
      <c r="E6901" s="5" t="s">
        <v>120</v>
      </c>
      <c r="F6901" s="9">
        <v>7</v>
      </c>
      <c r="G6901" s="9">
        <v>84</v>
      </c>
      <c r="H6901" s="5" t="s">
        <v>21</v>
      </c>
      <c r="I6901" s="5" t="s">
        <v>15362</v>
      </c>
      <c r="J6901" s="12" t="str">
        <f>HYPERLINK("https://www.boe.es/gazeta/dias/1801/01/23/pdfs/GMD-1801-7.pdf#page=8","Abrir facsímil")</f>
        <v>Abrir facsímil</v>
      </c>
      <c r="K6901" s="15" t="s">
        <v>23</v>
      </c>
    </row>
    <row r="6902" spans="1:11" ht="42" customHeight="1">
      <c r="A6902" s="4" t="s">
        <v>15363</v>
      </c>
      <c r="B6902" s="5" t="s">
        <v>15364</v>
      </c>
      <c r="C6902" s="5" t="s">
        <v>75</v>
      </c>
      <c r="D6902" s="5" t="s">
        <v>76</v>
      </c>
      <c r="E6902" s="5" t="s">
        <v>155</v>
      </c>
      <c r="F6902" s="9">
        <v>50</v>
      </c>
      <c r="G6902" s="9">
        <v>589</v>
      </c>
      <c r="H6902" s="5" t="s">
        <v>21</v>
      </c>
      <c r="I6902" s="5" t="s">
        <v>15365</v>
      </c>
      <c r="J6902" s="12" t="str">
        <f>HYPERLINK("https://www.boe.es/gazeta/dias/1801/06/09/pdfs/GMD-1801-50.pdf#page=1","Abrir facsímil")</f>
        <v>Abrir facsímil</v>
      </c>
      <c r="K6902" s="15" t="s">
        <v>23</v>
      </c>
    </row>
    <row r="6903" spans="1:11" ht="42" customHeight="1">
      <c r="A6903" s="4" t="s">
        <v>15363</v>
      </c>
      <c r="B6903" s="5" t="s">
        <v>15364</v>
      </c>
      <c r="C6903" s="5" t="s">
        <v>75</v>
      </c>
      <c r="D6903" s="5" t="s">
        <v>76</v>
      </c>
      <c r="E6903" s="5" t="s">
        <v>66</v>
      </c>
      <c r="F6903" s="9">
        <v>52</v>
      </c>
      <c r="G6903" s="9">
        <v>602</v>
      </c>
      <c r="H6903" s="5" t="s">
        <v>21</v>
      </c>
      <c r="I6903" s="5" t="s">
        <v>15366</v>
      </c>
      <c r="J6903" s="12" t="str">
        <f>HYPERLINK("https://www.boe.es/gazeta/dias/1801/06/12/pdfs/GMD-1801-52.pdf#page=1","Abrir facsímil")</f>
        <v>Abrir facsímil</v>
      </c>
      <c r="K6903" s="15" t="s">
        <v>23</v>
      </c>
    </row>
    <row r="6904" spans="1:11" ht="42" customHeight="1">
      <c r="A6904" s="4" t="s">
        <v>15363</v>
      </c>
      <c r="B6904" s="5" t="s">
        <v>15364</v>
      </c>
      <c r="C6904" s="5" t="s">
        <v>75</v>
      </c>
      <c r="D6904" s="5" t="s">
        <v>76</v>
      </c>
      <c r="E6904" s="5" t="s">
        <v>66</v>
      </c>
      <c r="F6904" s="9">
        <v>52</v>
      </c>
      <c r="G6904" s="9">
        <v>605</v>
      </c>
      <c r="H6904" s="5" t="s">
        <v>21</v>
      </c>
      <c r="I6904" s="5" t="s">
        <v>15367</v>
      </c>
      <c r="J6904" s="12" t="str">
        <f>HYPERLINK("https://www.boe.es/gazeta/dias/1801/06/12/pdfs/GMD-1801-52.pdf#page=4","Abrir facsímil")</f>
        <v>Abrir facsímil</v>
      </c>
      <c r="K6904" s="15" t="s">
        <v>23</v>
      </c>
    </row>
    <row r="6905" spans="1:11" ht="42" customHeight="1">
      <c r="A6905" s="4" t="s">
        <v>15368</v>
      </c>
      <c r="B6905" s="5" t="s">
        <v>15369</v>
      </c>
      <c r="C6905" s="5" t="s">
        <v>32</v>
      </c>
      <c r="D6905" s="5" t="s">
        <v>33</v>
      </c>
      <c r="E6905" s="5" t="s">
        <v>211</v>
      </c>
      <c r="F6905" s="9">
        <v>87</v>
      </c>
      <c r="G6905" s="9">
        <v>966</v>
      </c>
      <c r="H6905" s="5" t="s">
        <v>21</v>
      </c>
      <c r="I6905" s="5" t="s">
        <v>15370</v>
      </c>
      <c r="J6905" s="12" t="str">
        <f>HYPERLINK("https://www.boe.es/gazeta/dias/1801/09/11/pdfs/GMD-1801-87.pdf#page=9","Abrir facsímil")</f>
        <v>Abrir facsímil</v>
      </c>
      <c r="K6905" s="15" t="s">
        <v>23</v>
      </c>
    </row>
    <row r="6906" spans="1:11" ht="42" customHeight="1">
      <c r="A6906" s="4" t="s">
        <v>15371</v>
      </c>
      <c r="B6906" s="5" t="s">
        <v>15372</v>
      </c>
      <c r="C6906" s="5" t="s">
        <v>32</v>
      </c>
      <c r="D6906" s="5" t="s">
        <v>33</v>
      </c>
      <c r="E6906" s="5" t="s">
        <v>120</v>
      </c>
      <c r="F6906" s="9">
        <v>7</v>
      </c>
      <c r="G6906" s="9">
        <v>84</v>
      </c>
      <c r="H6906" s="5" t="s">
        <v>21</v>
      </c>
      <c r="I6906" s="5" t="s">
        <v>15373</v>
      </c>
      <c r="J6906" s="12" t="str">
        <f>HYPERLINK("https://www.boe.es/gazeta/dias/1801/01/23/pdfs/GMD-1801-7.pdf#page=8","Abrir facsímil")</f>
        <v>Abrir facsímil</v>
      </c>
      <c r="K6906" s="15" t="s">
        <v>23</v>
      </c>
    </row>
    <row r="6907" spans="1:11" ht="42" customHeight="1">
      <c r="A6907" s="4" t="s">
        <v>15374</v>
      </c>
      <c r="B6907" s="5" t="s">
        <v>15375</v>
      </c>
      <c r="C6907" s="5" t="s">
        <v>26</v>
      </c>
      <c r="D6907" s="5" t="s">
        <v>27</v>
      </c>
      <c r="E6907" s="5" t="s">
        <v>501</v>
      </c>
      <c r="F6907" s="9">
        <v>115</v>
      </c>
      <c r="G6907" s="9" t="s">
        <v>668</v>
      </c>
      <c r="H6907" s="5" t="s">
        <v>21</v>
      </c>
      <c r="I6907" s="5" t="s">
        <v>15376</v>
      </c>
      <c r="J6907" s="12" t="str">
        <f>HYPERLINK("https://www.boe.es/gazeta/dias/1801/12/15/pdfs/GMD-C-1801-115.pdf#page=1","Abrir facsímil")</f>
        <v>Abrir facsímil</v>
      </c>
      <c r="K6907" s="15" t="s">
        <v>23</v>
      </c>
    </row>
    <row r="6908" spans="1:11" ht="42" customHeight="1">
      <c r="A6908" s="4" t="s">
        <v>15377</v>
      </c>
      <c r="B6908" s="5" t="s">
        <v>15378</v>
      </c>
      <c r="C6908" s="5" t="s">
        <v>32</v>
      </c>
      <c r="D6908" s="5" t="s">
        <v>33</v>
      </c>
      <c r="E6908" s="5" t="s">
        <v>462</v>
      </c>
      <c r="F6908" s="9">
        <v>5</v>
      </c>
      <c r="G6908" s="9">
        <v>57</v>
      </c>
      <c r="H6908" s="5" t="s">
        <v>21</v>
      </c>
      <c r="I6908" s="5" t="s">
        <v>15379</v>
      </c>
      <c r="J6908" s="12" t="str">
        <f>HYPERLINK("https://www.boe.es/gazeta/dias/1801/01/16/pdfs/GMD-1801-5.pdf#page=9","Abrir facsímil")</f>
        <v>Abrir facsímil</v>
      </c>
      <c r="K6908" s="15" t="s">
        <v>23</v>
      </c>
    </row>
    <row r="6909" spans="1:11" ht="42" customHeight="1">
      <c r="A6909" s="4" t="s">
        <v>15380</v>
      </c>
      <c r="B6909" s="5" t="s">
        <v>15381</v>
      </c>
      <c r="C6909" s="5" t="s">
        <v>32</v>
      </c>
      <c r="D6909" s="5" t="s">
        <v>33</v>
      </c>
      <c r="E6909" s="5" t="s">
        <v>462</v>
      </c>
      <c r="F6909" s="9">
        <v>5</v>
      </c>
      <c r="G6909" s="9">
        <v>57</v>
      </c>
      <c r="H6909" s="5" t="s">
        <v>21</v>
      </c>
      <c r="I6909" s="5" t="s">
        <v>15382</v>
      </c>
      <c r="J6909" s="12" t="str">
        <f>HYPERLINK("https://www.boe.es/gazeta/dias/1801/01/16/pdfs/GMD-1801-5.pdf#page=9","Abrir facsímil")</f>
        <v>Abrir facsímil</v>
      </c>
      <c r="K6909" s="15" t="s">
        <v>23</v>
      </c>
    </row>
    <row r="6910" spans="1:11" ht="42" customHeight="1">
      <c r="A6910" s="4" t="s">
        <v>15383</v>
      </c>
      <c r="B6910" s="5" t="s">
        <v>15384</v>
      </c>
      <c r="C6910" s="5" t="s">
        <v>32</v>
      </c>
      <c r="D6910" s="5" t="s">
        <v>33</v>
      </c>
      <c r="E6910" s="5" t="s">
        <v>1436</v>
      </c>
      <c r="F6910" s="9">
        <v>95</v>
      </c>
      <c r="G6910" s="9">
        <v>1043</v>
      </c>
      <c r="H6910" s="5" t="s">
        <v>21</v>
      </c>
      <c r="I6910" s="5" t="s">
        <v>15385</v>
      </c>
      <c r="J6910" s="12" t="str">
        <f>HYPERLINK("https://www.boe.es/gazeta/dias/1801/10/06/pdfs/GMD-1801-95.pdf#page=7","Abrir facsímil")</f>
        <v>Abrir facsímil</v>
      </c>
      <c r="K6910" s="15" t="s">
        <v>23</v>
      </c>
    </row>
    <row r="6911" spans="1:11" ht="42" customHeight="1">
      <c r="A6911" s="4" t="s">
        <v>15386</v>
      </c>
      <c r="B6911" s="5" t="s">
        <v>15387</v>
      </c>
      <c r="C6911" s="5" t="s">
        <v>32</v>
      </c>
      <c r="D6911" s="5" t="s">
        <v>33</v>
      </c>
      <c r="E6911" s="5" t="s">
        <v>640</v>
      </c>
      <c r="F6911" s="9">
        <v>81</v>
      </c>
      <c r="G6911" s="9">
        <v>909</v>
      </c>
      <c r="H6911" s="5" t="s">
        <v>21</v>
      </c>
      <c r="I6911" s="5" t="s">
        <v>15388</v>
      </c>
      <c r="J6911" s="12" t="str">
        <f>HYPERLINK("https://www.boe.es/gazeta/dias/1801/08/25/pdfs/GMD-1801-81.pdf#page=6","Abrir facsímil")</f>
        <v>Abrir facsímil</v>
      </c>
      <c r="K6911" s="15" t="s">
        <v>23</v>
      </c>
    </row>
    <row r="6912" spans="1:11" ht="42" customHeight="1">
      <c r="A6912" s="4" t="s">
        <v>15389</v>
      </c>
      <c r="B6912" s="5" t="s">
        <v>15390</v>
      </c>
      <c r="C6912" s="5" t="s">
        <v>32</v>
      </c>
      <c r="D6912" s="5" t="s">
        <v>33</v>
      </c>
      <c r="E6912" s="5" t="s">
        <v>90</v>
      </c>
      <c r="F6912" s="9">
        <v>1</v>
      </c>
      <c r="G6912" s="9">
        <v>9</v>
      </c>
      <c r="H6912" s="5" t="s">
        <v>21</v>
      </c>
      <c r="I6912" s="5" t="s">
        <v>15391</v>
      </c>
      <c r="J6912" s="12" t="str">
        <f>HYPERLINK("https://www.boe.es/gazeta/dias/1801/01/02/pdfs/GMD-1801-1.pdf#page=9","Abrir facsímil")</f>
        <v>Abrir facsímil</v>
      </c>
      <c r="K6912" s="15" t="s">
        <v>23</v>
      </c>
    </row>
    <row r="6913" spans="1:11" ht="42" customHeight="1">
      <c r="A6913" s="4" t="s">
        <v>15392</v>
      </c>
      <c r="B6913" s="5" t="s">
        <v>15393</v>
      </c>
      <c r="C6913" s="5" t="s">
        <v>32</v>
      </c>
      <c r="D6913" s="5" t="s">
        <v>33</v>
      </c>
      <c r="E6913" s="5" t="s">
        <v>122</v>
      </c>
      <c r="F6913" s="9">
        <v>8</v>
      </c>
      <c r="G6913" s="9">
        <v>97</v>
      </c>
      <c r="H6913" s="5" t="s">
        <v>21</v>
      </c>
      <c r="I6913" s="5" t="s">
        <v>15394</v>
      </c>
      <c r="J6913" s="12" t="str">
        <f>HYPERLINK("https://www.boe.es/gazeta/dias/1801/01/27/pdfs/GMD-1801-8.pdf#page=9","Abrir facsímil")</f>
        <v>Abrir facsímil</v>
      </c>
      <c r="K6913" s="15" t="s">
        <v>23</v>
      </c>
    </row>
    <row r="6914" spans="1:11" ht="42" customHeight="1">
      <c r="A6914" s="4" t="s">
        <v>15395</v>
      </c>
      <c r="B6914" s="5" t="s">
        <v>15396</v>
      </c>
      <c r="C6914" s="5" t="s">
        <v>69</v>
      </c>
      <c r="D6914" s="5" t="s">
        <v>19</v>
      </c>
      <c r="E6914" s="5" t="s">
        <v>77</v>
      </c>
      <c r="F6914" s="9">
        <v>93</v>
      </c>
      <c r="G6914" s="9">
        <v>1014</v>
      </c>
      <c r="H6914" s="5" t="s">
        <v>21</v>
      </c>
      <c r="I6914" s="5" t="s">
        <v>15397</v>
      </c>
      <c r="J6914" s="12" t="str">
        <f>HYPERLINK("https://www.boe.es/gazeta/dias/1801/09/29/pdfs/GMD-1801-93.pdf#page=1","Abrir facsímil")</f>
        <v>Abrir facsímil</v>
      </c>
      <c r="K6914" s="15" t="s">
        <v>23</v>
      </c>
    </row>
    <row r="6915" spans="1:11" ht="42" customHeight="1">
      <c r="A6915" s="4" t="s">
        <v>15398</v>
      </c>
      <c r="B6915" s="5" t="s">
        <v>15399</v>
      </c>
      <c r="C6915" s="5" t="s">
        <v>32</v>
      </c>
      <c r="D6915" s="5" t="s">
        <v>33</v>
      </c>
      <c r="E6915" s="5" t="s">
        <v>77</v>
      </c>
      <c r="F6915" s="9">
        <v>93</v>
      </c>
      <c r="G6915" s="9">
        <v>1014</v>
      </c>
      <c r="H6915" s="5" t="s">
        <v>21</v>
      </c>
      <c r="I6915" s="5" t="s">
        <v>15400</v>
      </c>
      <c r="J6915" s="12" t="str">
        <f>HYPERLINK("https://www.boe.es/gazeta/dias/1801/09/29/pdfs/GMD-1801-93.pdf#page=1","Abrir facsímil")</f>
        <v>Abrir facsímil</v>
      </c>
      <c r="K6915" s="15" t="s">
        <v>23</v>
      </c>
    </row>
    <row r="6916" spans="1:11" ht="42" customHeight="1">
      <c r="A6916" s="4" t="s">
        <v>15401</v>
      </c>
      <c r="B6916" s="5" t="s">
        <v>15402</v>
      </c>
      <c r="C6916" s="5" t="s">
        <v>32</v>
      </c>
      <c r="D6916" s="5" t="s">
        <v>33</v>
      </c>
      <c r="E6916" s="5" t="s">
        <v>90</v>
      </c>
      <c r="F6916" s="9">
        <v>1</v>
      </c>
      <c r="G6916" s="9">
        <v>8</v>
      </c>
      <c r="H6916" s="5" t="s">
        <v>21</v>
      </c>
      <c r="I6916" s="5" t="s">
        <v>15403</v>
      </c>
      <c r="J6916" s="12" t="str">
        <f>HYPERLINK("https://www.boe.es/gazeta/dias/1801/01/02/pdfs/GMD-1801-1.pdf#page=8","Abrir facsímil")</f>
        <v>Abrir facsímil</v>
      </c>
      <c r="K6916" s="15" t="s">
        <v>23</v>
      </c>
    </row>
    <row r="6917" spans="1:11" ht="42" customHeight="1">
      <c r="A6917" s="4" t="s">
        <v>15404</v>
      </c>
      <c r="B6917" s="5" t="s">
        <v>15405</v>
      </c>
      <c r="C6917" s="5" t="s">
        <v>80</v>
      </c>
      <c r="D6917" s="5" t="s">
        <v>81</v>
      </c>
      <c r="E6917" s="5" t="s">
        <v>82</v>
      </c>
      <c r="F6917" s="9">
        <v>75</v>
      </c>
      <c r="G6917" s="9" t="s">
        <v>83</v>
      </c>
      <c r="H6917" s="5" t="s">
        <v>21</v>
      </c>
      <c r="I6917" s="5" t="s">
        <v>15406</v>
      </c>
      <c r="J6917" s="12" t="str">
        <f>HYPERLINK("https://www.boe.es/gazeta/dias/1801/08/04/pdfs/GMD-C-1801-75.pdf#page=2","Abrir facsímil")</f>
        <v>Abrir facsímil</v>
      </c>
      <c r="K6917" s="15" t="s">
        <v>23</v>
      </c>
    </row>
    <row r="6918" spans="1:11" ht="42" customHeight="1">
      <c r="A6918" s="4" t="s">
        <v>15407</v>
      </c>
      <c r="B6918" s="5" t="s">
        <v>15408</v>
      </c>
      <c r="C6918" s="5" t="s">
        <v>32</v>
      </c>
      <c r="D6918" s="5" t="s">
        <v>33</v>
      </c>
      <c r="E6918" s="5" t="s">
        <v>143</v>
      </c>
      <c r="F6918" s="9">
        <v>34</v>
      </c>
      <c r="G6918" s="9">
        <v>430</v>
      </c>
      <c r="H6918" s="5" t="s">
        <v>21</v>
      </c>
      <c r="I6918" s="5" t="s">
        <v>15409</v>
      </c>
      <c r="J6918" s="12" t="str">
        <f>HYPERLINK("https://www.boe.es/gazeta/dias/1801/04/28/pdfs/GMD-1801-34.pdf#page=2","Abrir facsímil")</f>
        <v>Abrir facsímil</v>
      </c>
      <c r="K6918" s="15" t="s">
        <v>23</v>
      </c>
    </row>
    <row r="6919" spans="1:11" ht="42" customHeight="1">
      <c r="A6919" s="4" t="s">
        <v>15410</v>
      </c>
      <c r="B6919" s="5" t="s">
        <v>15411</v>
      </c>
      <c r="C6919" s="5" t="s">
        <v>32</v>
      </c>
      <c r="D6919" s="5" t="s">
        <v>33</v>
      </c>
      <c r="E6919" s="5" t="s">
        <v>48</v>
      </c>
      <c r="F6919" s="9">
        <v>20</v>
      </c>
      <c r="G6919" s="9">
        <v>265</v>
      </c>
      <c r="H6919" s="5" t="s">
        <v>21</v>
      </c>
      <c r="I6919" s="5" t="s">
        <v>15412</v>
      </c>
      <c r="J6919" s="12" t="str">
        <f>HYPERLINK("https://www.boe.es/gazeta/dias/1801/03/10/pdfs/GMD-1801-20.pdf#page=10","Abrir facsímil")</f>
        <v>Abrir facsímil</v>
      </c>
      <c r="K6919" s="15" t="s">
        <v>23</v>
      </c>
    </row>
    <row r="6920" spans="1:11" ht="42" customHeight="1">
      <c r="A6920" s="4" t="s">
        <v>15413</v>
      </c>
      <c r="B6920" s="5" t="s">
        <v>15414</v>
      </c>
      <c r="C6920" s="5" t="s">
        <v>32</v>
      </c>
      <c r="D6920" s="5" t="s">
        <v>33</v>
      </c>
      <c r="E6920" s="5" t="s">
        <v>50</v>
      </c>
      <c r="F6920" s="9">
        <v>29</v>
      </c>
      <c r="G6920" s="9">
        <v>382</v>
      </c>
      <c r="H6920" s="5" t="s">
        <v>21</v>
      </c>
      <c r="I6920" s="5" t="s">
        <v>15415</v>
      </c>
      <c r="J6920" s="12" t="str">
        <f>HYPERLINK("https://www.boe.es/gazeta/dias/1801/04/10/pdfs/GMD-1801-29.pdf#page=10","Abrir facsímil")</f>
        <v>Abrir facsímil</v>
      </c>
      <c r="K6920" s="15" t="s">
        <v>23</v>
      </c>
    </row>
    <row r="6921" spans="1:11" ht="42" customHeight="1">
      <c r="A6921" s="4" t="s">
        <v>15416</v>
      </c>
      <c r="B6921" s="5" t="s">
        <v>15417</v>
      </c>
      <c r="C6921" s="5" t="s">
        <v>80</v>
      </c>
      <c r="D6921" s="5" t="s">
        <v>81</v>
      </c>
      <c r="E6921" s="5" t="s">
        <v>289</v>
      </c>
      <c r="F6921" s="9">
        <v>40</v>
      </c>
      <c r="G6921" s="9" t="s">
        <v>517</v>
      </c>
      <c r="H6921" s="5" t="s">
        <v>21</v>
      </c>
      <c r="I6921" s="5" t="s">
        <v>15418</v>
      </c>
      <c r="J6921" s="12" t="str">
        <f>HYPERLINK("https://www.boe.es/gazeta/dias/1801/05/19/pdfs/GMD-C-1801-40.pdf#page=7","Abrir facsímil")</f>
        <v>Abrir facsímil</v>
      </c>
      <c r="K6921" s="15" t="s">
        <v>23</v>
      </c>
    </row>
    <row r="6922" spans="1:11" ht="42" customHeight="1">
      <c r="A6922" s="4" t="s">
        <v>15419</v>
      </c>
      <c r="B6922" s="5" t="s">
        <v>15419</v>
      </c>
      <c r="C6922" s="5" t="s">
        <v>38</v>
      </c>
      <c r="D6922" s="5" t="s">
        <v>39</v>
      </c>
      <c r="E6922" s="5" t="s">
        <v>712</v>
      </c>
      <c r="F6922" s="9">
        <v>105</v>
      </c>
      <c r="G6922" s="9">
        <v>1157</v>
      </c>
      <c r="H6922" s="5" t="s">
        <v>21</v>
      </c>
      <c r="I6922" s="5" t="s">
        <v>15420</v>
      </c>
      <c r="J6922" s="12" t="str">
        <f>HYPERLINK("https://www.boe.es/gazeta/dias/1801/11/10/pdfs/GMD-1801-105.pdf#page=10","Abrir facsímil")</f>
        <v>Abrir facsímil</v>
      </c>
      <c r="K6922" s="15" t="s">
        <v>23</v>
      </c>
    </row>
    <row r="6923" spans="1:11" ht="42" customHeight="1">
      <c r="A6923" s="4" t="s">
        <v>15421</v>
      </c>
      <c r="B6923" s="5" t="s">
        <v>15422</v>
      </c>
      <c r="C6923" s="5" t="s">
        <v>32</v>
      </c>
      <c r="D6923" s="5" t="s">
        <v>33</v>
      </c>
      <c r="E6923" s="5" t="s">
        <v>165</v>
      </c>
      <c r="F6923" s="9">
        <v>59</v>
      </c>
      <c r="G6923" s="9">
        <v>676</v>
      </c>
      <c r="H6923" s="5" t="s">
        <v>21</v>
      </c>
      <c r="I6923" s="5" t="s">
        <v>15423</v>
      </c>
      <c r="J6923" s="12" t="str">
        <f>HYPERLINK("https://www.boe.es/gazeta/dias/1801/06/23/pdfs/GMD-1801-59.pdf#page=9","Abrir facsímil")</f>
        <v>Abrir facsímil</v>
      </c>
      <c r="K6923" s="15" t="s">
        <v>23</v>
      </c>
    </row>
    <row r="6924" spans="1:11" ht="42" customHeight="1">
      <c r="A6924" s="4" t="s">
        <v>15424</v>
      </c>
      <c r="B6924" s="5" t="s">
        <v>15424</v>
      </c>
      <c r="C6924" s="5" t="s">
        <v>32</v>
      </c>
      <c r="D6924" s="5" t="s">
        <v>33</v>
      </c>
      <c r="E6924" s="5" t="s">
        <v>135</v>
      </c>
      <c r="F6924" s="9">
        <v>24</v>
      </c>
      <c r="G6924" s="9">
        <v>310</v>
      </c>
      <c r="H6924" s="5" t="s">
        <v>21</v>
      </c>
      <c r="I6924" s="5" t="s">
        <v>15425</v>
      </c>
      <c r="J6924" s="12" t="str">
        <f>HYPERLINK("https://www.boe.es/gazeta/dias/1801/03/24/pdfs/GMD-1801-24.pdf#page=1","Abrir facsímil")</f>
        <v>Abrir facsímil</v>
      </c>
      <c r="K6924" s="15" t="s">
        <v>23</v>
      </c>
    </row>
    <row r="6925" spans="1:11" ht="42" customHeight="1">
      <c r="A6925" s="4" t="s">
        <v>15426</v>
      </c>
      <c r="B6925" s="5" t="s">
        <v>15426</v>
      </c>
      <c r="C6925" s="5" t="s">
        <v>26</v>
      </c>
      <c r="D6925" s="5" t="s">
        <v>27</v>
      </c>
      <c r="E6925" s="5" t="s">
        <v>223</v>
      </c>
      <c r="F6925" s="9">
        <v>74</v>
      </c>
      <c r="G6925" s="9">
        <v>830</v>
      </c>
      <c r="H6925" s="5" t="s">
        <v>21</v>
      </c>
      <c r="I6925" s="5" t="s">
        <v>15427</v>
      </c>
      <c r="J6925" s="12" t="str">
        <f>HYPERLINK("https://www.boe.es/gazeta/dias/1801/07/31/pdfs/GMD-1801-74.pdf#page=11","Abrir facsímil")</f>
        <v>Abrir facsímil</v>
      </c>
      <c r="K6925" s="15" t="s">
        <v>23</v>
      </c>
    </row>
    <row r="6926" spans="1:11" ht="42" customHeight="1">
      <c r="A6926" s="4" t="s">
        <v>15428</v>
      </c>
      <c r="B6926" s="5" t="s">
        <v>15429</v>
      </c>
      <c r="C6926" s="5" t="s">
        <v>32</v>
      </c>
      <c r="D6926" s="5" t="s">
        <v>33</v>
      </c>
      <c r="E6926" s="5" t="s">
        <v>781</v>
      </c>
      <c r="F6926" s="9">
        <v>14</v>
      </c>
      <c r="G6926" s="9">
        <v>173</v>
      </c>
      <c r="H6926" s="5" t="s">
        <v>21</v>
      </c>
      <c r="I6926" s="5" t="s">
        <v>15430</v>
      </c>
      <c r="J6926" s="12" t="str">
        <f>HYPERLINK("https://www.boe.es/gazeta/dias/1801/02/17/pdfs/GMD-1801-14.pdf#page=8","Abrir facsímil")</f>
        <v>Abrir facsímil</v>
      </c>
      <c r="K6926" s="15" t="s">
        <v>23</v>
      </c>
    </row>
    <row r="6927" spans="1:11" ht="42" customHeight="1">
      <c r="A6927" s="4" t="s">
        <v>15431</v>
      </c>
      <c r="B6927" s="5" t="s">
        <v>15432</v>
      </c>
      <c r="C6927" s="5" t="s">
        <v>75</v>
      </c>
      <c r="D6927" s="5" t="s">
        <v>76</v>
      </c>
      <c r="E6927" s="5" t="s">
        <v>20</v>
      </c>
      <c r="F6927" s="9">
        <v>37</v>
      </c>
      <c r="G6927" s="9">
        <v>479</v>
      </c>
      <c r="H6927" s="5" t="s">
        <v>21</v>
      </c>
      <c r="I6927" s="5" t="s">
        <v>15433</v>
      </c>
      <c r="J6927" s="12" t="str">
        <f>HYPERLINK("https://www.boe.es/gazeta/dias/1801/05/08/pdfs/GMD-1801-37.pdf#page=7","Abrir facsímil")</f>
        <v>Abrir facsímil</v>
      </c>
      <c r="K6927" s="15" t="s">
        <v>23</v>
      </c>
    </row>
    <row r="6928" spans="1:11" ht="42" customHeight="1">
      <c r="A6928" s="4" t="s">
        <v>15434</v>
      </c>
      <c r="B6928" s="5" t="s">
        <v>15434</v>
      </c>
      <c r="C6928" s="5" t="s">
        <v>75</v>
      </c>
      <c r="D6928" s="5" t="s">
        <v>76</v>
      </c>
      <c r="E6928" s="5" t="s">
        <v>935</v>
      </c>
      <c r="F6928" s="9">
        <v>116</v>
      </c>
      <c r="G6928" s="9">
        <v>1259</v>
      </c>
      <c r="H6928" s="5" t="s">
        <v>21</v>
      </c>
      <c r="I6928" s="5" t="s">
        <v>15435</v>
      </c>
      <c r="J6928" s="12" t="str">
        <f>HYPERLINK("https://www.boe.es/gazeta/dias/1801/12/18/pdfs/GMD-1801-116.pdf#page=1","Abrir facsímil")</f>
        <v>Abrir facsímil</v>
      </c>
      <c r="K6928" s="15" t="s">
        <v>23</v>
      </c>
    </row>
    <row r="6929" spans="1:11" ht="42" customHeight="1">
      <c r="A6929" s="4" t="s">
        <v>15436</v>
      </c>
      <c r="B6929" s="5" t="s">
        <v>15437</v>
      </c>
      <c r="C6929" s="5" t="s">
        <v>75</v>
      </c>
      <c r="D6929" s="5" t="s">
        <v>76</v>
      </c>
      <c r="E6929" s="5" t="s">
        <v>2237</v>
      </c>
      <c r="F6929" s="9">
        <v>82</v>
      </c>
      <c r="G6929" s="9">
        <v>912</v>
      </c>
      <c r="H6929" s="5" t="s">
        <v>21</v>
      </c>
      <c r="I6929" s="5" t="s">
        <v>15438</v>
      </c>
      <c r="J6929" s="12" t="str">
        <f>HYPERLINK("https://www.boe.es/gazeta/dias/1801/08/28/pdfs/GMD-1801-82.pdf#page=1","Abrir facsímil")</f>
        <v>Abrir facsímil</v>
      </c>
      <c r="K6929" s="15" t="s">
        <v>23</v>
      </c>
    </row>
    <row r="6930" spans="1:11" ht="42" customHeight="1">
      <c r="A6930" s="4" t="s">
        <v>15439</v>
      </c>
      <c r="B6930" s="5" t="s">
        <v>15440</v>
      </c>
      <c r="C6930" s="5" t="s">
        <v>32</v>
      </c>
      <c r="D6930" s="5" t="s">
        <v>33</v>
      </c>
      <c r="E6930" s="5" t="s">
        <v>292</v>
      </c>
      <c r="F6930" s="9">
        <v>25</v>
      </c>
      <c r="G6930" s="9">
        <v>331</v>
      </c>
      <c r="H6930" s="5" t="s">
        <v>21</v>
      </c>
      <c r="I6930" s="5" t="s">
        <v>15441</v>
      </c>
      <c r="J6930" s="12" t="str">
        <f>HYPERLINK("https://www.boe.es/gazeta/dias/1801/03/27/pdfs/GMD-1801-25.pdf#page=10","Abrir facsímil")</f>
        <v>Abrir facsímil</v>
      </c>
      <c r="K6930" s="15" t="s">
        <v>23</v>
      </c>
    </row>
    <row r="6931" spans="1:11" ht="42" customHeight="1">
      <c r="A6931" s="4" t="s">
        <v>15442</v>
      </c>
      <c r="B6931" s="5" t="s">
        <v>15443</v>
      </c>
      <c r="C6931" s="5" t="s">
        <v>26</v>
      </c>
      <c r="D6931" s="5" t="s">
        <v>27</v>
      </c>
      <c r="E6931" s="5" t="s">
        <v>141</v>
      </c>
      <c r="F6931" s="9">
        <v>33</v>
      </c>
      <c r="G6931" s="9">
        <v>423</v>
      </c>
      <c r="H6931" s="5" t="s">
        <v>21</v>
      </c>
      <c r="I6931" s="5" t="s">
        <v>15444</v>
      </c>
      <c r="J6931" s="12" t="str">
        <f>HYPERLINK("https://www.boe.es/gazeta/dias/1801/04/24/pdfs/GMD-1801-33.pdf#page=7","Abrir facsímil")</f>
        <v>Abrir facsímil</v>
      </c>
      <c r="K6931" s="15" t="s">
        <v>23</v>
      </c>
    </row>
    <row r="6932" spans="1:11" ht="42" customHeight="1">
      <c r="A6932" s="4" t="s">
        <v>15445</v>
      </c>
      <c r="B6932" s="5" t="s">
        <v>15446</v>
      </c>
      <c r="C6932" s="5" t="s">
        <v>75</v>
      </c>
      <c r="D6932" s="5" t="s">
        <v>76</v>
      </c>
      <c r="E6932" s="5" t="s">
        <v>90</v>
      </c>
      <c r="F6932" s="9">
        <v>1</v>
      </c>
      <c r="G6932" s="9">
        <v>6</v>
      </c>
      <c r="H6932" s="5" t="s">
        <v>21</v>
      </c>
      <c r="I6932" s="5" t="s">
        <v>15447</v>
      </c>
      <c r="J6932" s="12" t="str">
        <f>HYPERLINK("https://www.boe.es/gazeta/dias/1801/01/02/pdfs/GMD-1801-1.pdf#page=6","Abrir facsímil")</f>
        <v>Abrir facsímil</v>
      </c>
      <c r="K6932" s="15" t="s">
        <v>23</v>
      </c>
    </row>
    <row r="6933" spans="1:11" ht="42" customHeight="1">
      <c r="A6933" s="4" t="s">
        <v>15445</v>
      </c>
      <c r="B6933" s="5" t="s">
        <v>15446</v>
      </c>
      <c r="C6933" s="5" t="s">
        <v>75</v>
      </c>
      <c r="D6933" s="5" t="s">
        <v>76</v>
      </c>
      <c r="E6933" s="5" t="s">
        <v>462</v>
      </c>
      <c r="F6933" s="9">
        <v>5</v>
      </c>
      <c r="G6933" s="9">
        <v>55</v>
      </c>
      <c r="H6933" s="5" t="s">
        <v>21</v>
      </c>
      <c r="I6933" s="5" t="s">
        <v>15448</v>
      </c>
      <c r="J6933" s="12" t="str">
        <f>HYPERLINK("https://www.boe.es/gazeta/dias/1801/01/16/pdfs/GMD-1801-5.pdf#page=7","Abrir facsímil")</f>
        <v>Abrir facsímil</v>
      </c>
      <c r="K6933" s="15" t="s">
        <v>23</v>
      </c>
    </row>
    <row r="6934" spans="1:11" ht="42" customHeight="1">
      <c r="A6934" s="4" t="s">
        <v>15445</v>
      </c>
      <c r="B6934" s="5" t="s">
        <v>15446</v>
      </c>
      <c r="C6934" s="5" t="s">
        <v>75</v>
      </c>
      <c r="D6934" s="5" t="s">
        <v>76</v>
      </c>
      <c r="E6934" s="5" t="s">
        <v>120</v>
      </c>
      <c r="F6934" s="9">
        <v>7</v>
      </c>
      <c r="G6934" s="9">
        <v>82</v>
      </c>
      <c r="H6934" s="5" t="s">
        <v>21</v>
      </c>
      <c r="I6934" s="5" t="s">
        <v>15449</v>
      </c>
      <c r="J6934" s="12" t="str">
        <f>HYPERLINK("https://www.boe.es/gazeta/dias/1801/01/23/pdfs/GMD-1801-7.pdf#page=6","Abrir facsímil")</f>
        <v>Abrir facsímil</v>
      </c>
      <c r="K6934" s="15" t="s">
        <v>23</v>
      </c>
    </row>
    <row r="6935" spans="1:11" ht="42" customHeight="1">
      <c r="A6935" s="4" t="s">
        <v>15445</v>
      </c>
      <c r="B6935" s="5" t="s">
        <v>15446</v>
      </c>
      <c r="C6935" s="5" t="s">
        <v>75</v>
      </c>
      <c r="D6935" s="5" t="s">
        <v>76</v>
      </c>
      <c r="E6935" s="5" t="s">
        <v>122</v>
      </c>
      <c r="F6935" s="9">
        <v>8</v>
      </c>
      <c r="G6935" s="9">
        <v>92</v>
      </c>
      <c r="H6935" s="5" t="s">
        <v>21</v>
      </c>
      <c r="I6935" s="5" t="s">
        <v>15450</v>
      </c>
      <c r="J6935" s="12" t="str">
        <f>HYPERLINK("https://www.boe.es/gazeta/dias/1801/01/27/pdfs/GMD-1801-8.pdf#page=4","Abrir facsímil")</f>
        <v>Abrir facsímil</v>
      </c>
      <c r="K6935" s="15" t="s">
        <v>23</v>
      </c>
    </row>
    <row r="6936" spans="1:11" ht="42" customHeight="1">
      <c r="A6936" s="4" t="s">
        <v>15451</v>
      </c>
      <c r="B6936" s="5" t="s">
        <v>15452</v>
      </c>
      <c r="C6936" s="5" t="s">
        <v>75</v>
      </c>
      <c r="D6936" s="5" t="s">
        <v>76</v>
      </c>
      <c r="E6936" s="5" t="s">
        <v>480</v>
      </c>
      <c r="F6936" s="9">
        <v>10</v>
      </c>
      <c r="G6936" s="9">
        <v>120</v>
      </c>
      <c r="H6936" s="5" t="s">
        <v>21</v>
      </c>
      <c r="I6936" s="5" t="s">
        <v>15453</v>
      </c>
      <c r="J6936" s="12" t="str">
        <f>HYPERLINK("https://www.boe.es/gazeta/dias/1801/02/03/pdfs/GMD-1801-10.pdf#page=5","Abrir facsímil")</f>
        <v>Abrir facsímil</v>
      </c>
      <c r="K6936" s="15" t="s">
        <v>23</v>
      </c>
    </row>
    <row r="6937" spans="1:11" ht="42" customHeight="1">
      <c r="A6937" s="4" t="s">
        <v>15445</v>
      </c>
      <c r="B6937" s="5" t="s">
        <v>15446</v>
      </c>
      <c r="C6937" s="5" t="s">
        <v>75</v>
      </c>
      <c r="D6937" s="5" t="s">
        <v>76</v>
      </c>
      <c r="E6937" s="5" t="s">
        <v>179</v>
      </c>
      <c r="F6937" s="9">
        <v>11</v>
      </c>
      <c r="G6937" s="9">
        <v>134</v>
      </c>
      <c r="H6937" s="5" t="s">
        <v>21</v>
      </c>
      <c r="I6937" s="5" t="s">
        <v>15454</v>
      </c>
      <c r="J6937" s="12" t="str">
        <f>HYPERLINK("https://www.boe.es/gazeta/dias/1801/02/06/pdfs/GMD-1801-11.pdf#page=7","Abrir facsímil")</f>
        <v>Abrir facsímil</v>
      </c>
      <c r="K6937" s="15" t="s">
        <v>23</v>
      </c>
    </row>
    <row r="6938" spans="1:11" ht="42" customHeight="1">
      <c r="A6938" s="4" t="s">
        <v>15455</v>
      </c>
      <c r="B6938" s="5" t="s">
        <v>15456</v>
      </c>
      <c r="C6938" s="5" t="s">
        <v>75</v>
      </c>
      <c r="D6938" s="5" t="s">
        <v>76</v>
      </c>
      <c r="E6938" s="5" t="s">
        <v>465</v>
      </c>
      <c r="F6938" s="9">
        <v>4</v>
      </c>
      <c r="G6938" s="9">
        <v>43</v>
      </c>
      <c r="H6938" s="5" t="s">
        <v>21</v>
      </c>
      <c r="I6938" s="5" t="s">
        <v>15457</v>
      </c>
      <c r="J6938" s="12" t="str">
        <f>HYPERLINK("https://www.boe.es/gazeta/dias/1801/01/13/pdfs/GMD-1801-4.pdf#page=7","Abrir facsímil")</f>
        <v>Abrir facsímil</v>
      </c>
      <c r="K6938" s="15" t="s">
        <v>23</v>
      </c>
    </row>
    <row r="6939" spans="1:11" ht="42" customHeight="1">
      <c r="A6939" s="4" t="s">
        <v>15458</v>
      </c>
      <c r="B6939" s="5" t="s">
        <v>15459</v>
      </c>
      <c r="C6939" s="5" t="s">
        <v>75</v>
      </c>
      <c r="D6939" s="5" t="s">
        <v>76</v>
      </c>
      <c r="E6939" s="5" t="s">
        <v>120</v>
      </c>
      <c r="F6939" s="9">
        <v>7</v>
      </c>
      <c r="G6939" s="9">
        <v>83</v>
      </c>
      <c r="H6939" s="5" t="s">
        <v>21</v>
      </c>
      <c r="I6939" s="5" t="s">
        <v>15460</v>
      </c>
      <c r="J6939" s="12" t="str">
        <f>HYPERLINK("https://www.boe.es/gazeta/dias/1801/01/23/pdfs/GMD-1801-7.pdf#page=7","Abrir facsímil")</f>
        <v>Abrir facsímil</v>
      </c>
      <c r="K6939" s="15" t="s">
        <v>23</v>
      </c>
    </row>
    <row r="6940" spans="1:11" ht="42" customHeight="1">
      <c r="A6940" s="4" t="s">
        <v>15461</v>
      </c>
      <c r="B6940" s="5" t="s">
        <v>15462</v>
      </c>
      <c r="C6940" s="5" t="s">
        <v>32</v>
      </c>
      <c r="D6940" s="5" t="s">
        <v>33</v>
      </c>
      <c r="E6940" s="5" t="s">
        <v>101</v>
      </c>
      <c r="F6940" s="9">
        <v>41</v>
      </c>
      <c r="G6940" s="9">
        <v>523</v>
      </c>
      <c r="H6940" s="5" t="s">
        <v>21</v>
      </c>
      <c r="I6940" s="5" t="s">
        <v>15463</v>
      </c>
      <c r="J6940" s="12" t="str">
        <f>HYPERLINK("https://www.boe.es/gazeta/dias/1801/05/22/pdfs/GMD-1801-41.pdf#page=7","Abrir facsímil")</f>
        <v>Abrir facsímil</v>
      </c>
      <c r="K6940" s="15" t="s">
        <v>23</v>
      </c>
    </row>
    <row r="6941" spans="1:11" ht="42" customHeight="1">
      <c r="A6941" s="4" t="s">
        <v>15461</v>
      </c>
      <c r="B6941" s="5" t="s">
        <v>15462</v>
      </c>
      <c r="C6941" s="5" t="s">
        <v>38</v>
      </c>
      <c r="D6941" s="5" t="s">
        <v>39</v>
      </c>
      <c r="E6941" s="5" t="s">
        <v>55</v>
      </c>
      <c r="F6941" s="9">
        <v>104</v>
      </c>
      <c r="G6941" s="9">
        <v>1146</v>
      </c>
      <c r="H6941" s="5" t="s">
        <v>21</v>
      </c>
      <c r="I6941" s="5" t="s">
        <v>15464</v>
      </c>
      <c r="J6941" s="12" t="str">
        <f>HYPERLINK("https://www.boe.es/gazeta/dias/1801/11/06/pdfs/GMD-1801-104.pdf#page=7","Abrir facsímil")</f>
        <v>Abrir facsímil</v>
      </c>
      <c r="K6941" s="15" t="s">
        <v>23</v>
      </c>
    </row>
    <row r="6942" spans="1:11" ht="42" customHeight="1">
      <c r="A6942" s="4" t="s">
        <v>15465</v>
      </c>
      <c r="B6942" s="5" t="s">
        <v>15466</v>
      </c>
      <c r="C6942" s="5" t="s">
        <v>26</v>
      </c>
      <c r="D6942" s="5" t="s">
        <v>27</v>
      </c>
      <c r="E6942" s="5" t="s">
        <v>131</v>
      </c>
      <c r="F6942" s="9">
        <v>22</v>
      </c>
      <c r="G6942" s="9">
        <v>294</v>
      </c>
      <c r="H6942" s="5" t="s">
        <v>21</v>
      </c>
      <c r="I6942" s="5" t="s">
        <v>15467</v>
      </c>
      <c r="J6942" s="12" t="str">
        <f>HYPERLINK("https://www.boe.es/gazeta/dias/1801/03/17/pdfs/GMD-1801-22.pdf#page=11","Abrir facsímil")</f>
        <v>Abrir facsímil</v>
      </c>
      <c r="K6942" s="15" t="s">
        <v>23</v>
      </c>
    </row>
    <row r="6943" spans="1:11" ht="42" customHeight="1">
      <c r="A6943" s="4" t="s">
        <v>15468</v>
      </c>
      <c r="B6943" s="5" t="s">
        <v>15468</v>
      </c>
      <c r="C6943" s="5" t="s">
        <v>75</v>
      </c>
      <c r="D6943" s="5" t="s">
        <v>76</v>
      </c>
      <c r="E6943" s="5" t="s">
        <v>120</v>
      </c>
      <c r="F6943" s="9">
        <v>7</v>
      </c>
      <c r="G6943" s="9">
        <v>80</v>
      </c>
      <c r="H6943" s="5" t="s">
        <v>21</v>
      </c>
      <c r="I6943" s="5" t="s">
        <v>15469</v>
      </c>
      <c r="J6943" s="12" t="str">
        <f>HYPERLINK("https://www.boe.es/gazeta/dias/1801/01/23/pdfs/GMD-1801-7.pdf#page=4","Abrir facsímil")</f>
        <v>Abrir facsímil</v>
      </c>
      <c r="K6943" s="15" t="s">
        <v>23</v>
      </c>
    </row>
    <row r="6944" spans="1:11" ht="42" customHeight="1">
      <c r="A6944" s="4" t="s">
        <v>15470</v>
      </c>
      <c r="B6944" s="5" t="s">
        <v>15471</v>
      </c>
      <c r="C6944" s="5" t="s">
        <v>80</v>
      </c>
      <c r="D6944" s="5" t="s">
        <v>81</v>
      </c>
      <c r="E6944" s="5" t="s">
        <v>82</v>
      </c>
      <c r="F6944" s="9">
        <v>75</v>
      </c>
      <c r="G6944" s="9" t="s">
        <v>83</v>
      </c>
      <c r="H6944" s="5" t="s">
        <v>21</v>
      </c>
      <c r="I6944" s="5" t="s">
        <v>15472</v>
      </c>
      <c r="J6944" s="12" t="str">
        <f>HYPERLINK("https://www.boe.es/gazeta/dias/1801/08/04/pdfs/GMD-C-1801-75.pdf#page=2","Abrir facsímil")</f>
        <v>Abrir facsímil</v>
      </c>
      <c r="K6944" s="15" t="s">
        <v>23</v>
      </c>
    </row>
    <row r="6945" spans="1:11" ht="42" customHeight="1">
      <c r="A6945" s="4" t="s">
        <v>15473</v>
      </c>
      <c r="B6945" s="5" t="s">
        <v>15474</v>
      </c>
      <c r="C6945" s="5" t="s">
        <v>32</v>
      </c>
      <c r="D6945" s="5" t="s">
        <v>33</v>
      </c>
      <c r="E6945" s="5" t="s">
        <v>182</v>
      </c>
      <c r="F6945" s="9">
        <v>18</v>
      </c>
      <c r="G6945" s="9">
        <v>225</v>
      </c>
      <c r="H6945" s="5" t="s">
        <v>21</v>
      </c>
      <c r="I6945" s="5" t="s">
        <v>15475</v>
      </c>
      <c r="J6945" s="12" t="str">
        <f>HYPERLINK("https://www.boe.es/gazeta/dias/1801/03/03/pdfs/GMD-1801-18.pdf#page=6","Abrir facsímil")</f>
        <v>Abrir facsímil</v>
      </c>
      <c r="K6945" s="15" t="s">
        <v>23</v>
      </c>
    </row>
    <row r="6946" spans="1:11" ht="42" customHeight="1">
      <c r="A6946" s="4" t="s">
        <v>15476</v>
      </c>
      <c r="B6946" s="5" t="s">
        <v>15477</v>
      </c>
      <c r="C6946" s="5" t="s">
        <v>80</v>
      </c>
      <c r="D6946" s="5" t="s">
        <v>81</v>
      </c>
      <c r="E6946" s="5" t="s">
        <v>82</v>
      </c>
      <c r="F6946" s="9">
        <v>75</v>
      </c>
      <c r="G6946" s="9" t="s">
        <v>517</v>
      </c>
      <c r="H6946" s="5" t="s">
        <v>21</v>
      </c>
      <c r="I6946" s="5" t="s">
        <v>15478</v>
      </c>
      <c r="J6946" s="12" t="str">
        <f>HYPERLINK("https://www.boe.es/gazeta/dias/1801/08/04/pdfs/GMD-C-1801-75.pdf#page=7","Abrir facsímil")</f>
        <v>Abrir facsímil</v>
      </c>
      <c r="K6946" s="15" t="s">
        <v>23</v>
      </c>
    </row>
    <row r="6947" spans="1:11" ht="42" customHeight="1">
      <c r="A6947" s="4" t="s">
        <v>15479</v>
      </c>
      <c r="B6947" s="5" t="s">
        <v>15480</v>
      </c>
      <c r="C6947" s="5" t="s">
        <v>75</v>
      </c>
      <c r="D6947" s="5" t="s">
        <v>76</v>
      </c>
      <c r="E6947" s="5" t="s">
        <v>122</v>
      </c>
      <c r="F6947" s="9">
        <v>8</v>
      </c>
      <c r="G6947" s="9">
        <v>91</v>
      </c>
      <c r="H6947" s="5" t="s">
        <v>21</v>
      </c>
      <c r="I6947" s="5" t="s">
        <v>15481</v>
      </c>
      <c r="J6947" s="12" t="str">
        <f>HYPERLINK("https://www.boe.es/gazeta/dias/1801/01/27/pdfs/GMD-1801-8.pdf#page=3","Abrir facsímil")</f>
        <v>Abrir facsímil</v>
      </c>
      <c r="K6947" s="15" t="s">
        <v>23</v>
      </c>
    </row>
    <row r="6948" spans="1:11" ht="42" customHeight="1">
      <c r="A6948" s="4" t="s">
        <v>15482</v>
      </c>
      <c r="B6948" s="5" t="s">
        <v>15483</v>
      </c>
      <c r="C6948" s="5" t="s">
        <v>32</v>
      </c>
      <c r="D6948" s="5" t="s">
        <v>33</v>
      </c>
      <c r="E6948" s="5" t="s">
        <v>462</v>
      </c>
      <c r="F6948" s="9">
        <v>5</v>
      </c>
      <c r="G6948" s="9">
        <v>57</v>
      </c>
      <c r="H6948" s="5" t="s">
        <v>21</v>
      </c>
      <c r="I6948" s="5" t="s">
        <v>15484</v>
      </c>
      <c r="J6948" s="12" t="str">
        <f>HYPERLINK("https://www.boe.es/gazeta/dias/1801/01/16/pdfs/GMD-1801-5.pdf#page=9","Abrir facsímil")</f>
        <v>Abrir facsímil</v>
      </c>
      <c r="K6948" s="15" t="s">
        <v>23</v>
      </c>
    </row>
    <row r="6949" spans="1:11" ht="42" customHeight="1">
      <c r="A6949" s="4" t="s">
        <v>15485</v>
      </c>
      <c r="B6949" s="5" t="s">
        <v>15486</v>
      </c>
      <c r="C6949" s="5" t="s">
        <v>26</v>
      </c>
      <c r="D6949" s="5" t="s">
        <v>27</v>
      </c>
      <c r="E6949" s="5" t="s">
        <v>128</v>
      </c>
      <c r="F6949" s="9">
        <v>17</v>
      </c>
      <c r="G6949" s="9">
        <v>217</v>
      </c>
      <c r="H6949" s="5" t="s">
        <v>21</v>
      </c>
      <c r="I6949" s="5" t="s">
        <v>15487</v>
      </c>
      <c r="J6949" s="12" t="str">
        <f>HYPERLINK("https://www.boe.es/gazeta/dias/1801/02/27/pdfs/GMD-1801-17.pdf#page=12","Abrir facsímil")</f>
        <v>Abrir facsímil</v>
      </c>
      <c r="K6949" s="15" t="s">
        <v>23</v>
      </c>
    </row>
    <row r="6950" spans="1:11" ht="42" customHeight="1">
      <c r="A6950" s="4" t="s">
        <v>15485</v>
      </c>
      <c r="B6950" s="5" t="s">
        <v>15486</v>
      </c>
      <c r="C6950" s="5" t="s">
        <v>515</v>
      </c>
      <c r="D6950" s="5" t="s">
        <v>516</v>
      </c>
      <c r="E6950" s="5" t="s">
        <v>501</v>
      </c>
      <c r="F6950" s="9">
        <v>115</v>
      </c>
      <c r="G6950" s="9" t="s">
        <v>86</v>
      </c>
      <c r="H6950" s="5" t="s">
        <v>21</v>
      </c>
      <c r="I6950" s="5" t="s">
        <v>15488</v>
      </c>
      <c r="J6950" s="12" t="str">
        <f>HYPERLINK("https://www.boe.es/gazeta/dias/1801/12/15/pdfs/GMD-C-1801-115.pdf#page=3","Abrir facsímil")</f>
        <v>Abrir facsímil</v>
      </c>
      <c r="K6950" s="15" t="s">
        <v>23</v>
      </c>
    </row>
    <row r="6951" spans="1:11" ht="42" customHeight="1">
      <c r="A6951" s="4" t="s">
        <v>15489</v>
      </c>
      <c r="B6951" s="5" t="s">
        <v>15490</v>
      </c>
      <c r="C6951" s="5" t="s">
        <v>38</v>
      </c>
      <c r="D6951" s="5" t="s">
        <v>39</v>
      </c>
      <c r="E6951" s="5" t="s">
        <v>615</v>
      </c>
      <c r="F6951" s="9">
        <v>72</v>
      </c>
      <c r="G6951" s="9">
        <v>803</v>
      </c>
      <c r="H6951" s="5" t="s">
        <v>21</v>
      </c>
      <c r="I6951" s="5" t="s">
        <v>15491</v>
      </c>
      <c r="J6951" s="12" t="str">
        <f>HYPERLINK("https://www.boe.es/gazeta/dias/1801/07/24/pdfs/GMD-1801-72.pdf#page=8","Abrir facsímil")</f>
        <v>Abrir facsímil</v>
      </c>
      <c r="K6951" s="15" t="s">
        <v>23</v>
      </c>
    </row>
    <row r="6952" spans="1:11" ht="42" customHeight="1">
      <c r="A6952" s="4" t="s">
        <v>15492</v>
      </c>
      <c r="B6952" s="5" t="s">
        <v>15493</v>
      </c>
      <c r="C6952" s="5" t="s">
        <v>80</v>
      </c>
      <c r="D6952" s="5" t="s">
        <v>81</v>
      </c>
      <c r="E6952" s="5" t="s">
        <v>82</v>
      </c>
      <c r="F6952" s="9">
        <v>75</v>
      </c>
      <c r="G6952" s="9" t="s">
        <v>83</v>
      </c>
      <c r="H6952" s="5" t="s">
        <v>21</v>
      </c>
      <c r="I6952" s="5" t="s">
        <v>15494</v>
      </c>
      <c r="J6952" s="12" t="str">
        <f>HYPERLINK("https://www.boe.es/gazeta/dias/1801/08/04/pdfs/GMD-C-1801-75.pdf#page=2","Abrir facsímil")</f>
        <v>Abrir facsímil</v>
      </c>
      <c r="K6952" s="15" t="s">
        <v>23</v>
      </c>
    </row>
    <row r="6953" spans="1:11" ht="42" customHeight="1">
      <c r="A6953" s="4" t="s">
        <v>15495</v>
      </c>
      <c r="B6953" s="5" t="s">
        <v>15495</v>
      </c>
      <c r="C6953" s="5" t="s">
        <v>26</v>
      </c>
      <c r="D6953" s="5" t="s">
        <v>27</v>
      </c>
      <c r="E6953" s="5" t="s">
        <v>94</v>
      </c>
      <c r="F6953" s="9">
        <v>19</v>
      </c>
      <c r="G6953" s="9">
        <v>247</v>
      </c>
      <c r="H6953" s="5" t="s">
        <v>21</v>
      </c>
      <c r="I6953" s="5" t="s">
        <v>15496</v>
      </c>
      <c r="J6953" s="12" t="str">
        <f>HYPERLINK("https://www.boe.es/gazeta/dias/1801/03/06/pdfs/GMD-1801-19.pdf#page=12","Abrir facsímil")</f>
        <v>Abrir facsímil</v>
      </c>
      <c r="K6953" s="15" t="s">
        <v>23</v>
      </c>
    </row>
    <row r="6954" spans="1:11" ht="42" customHeight="1">
      <c r="A6954" s="4" t="s">
        <v>15497</v>
      </c>
      <c r="B6954" s="5" t="s">
        <v>15498</v>
      </c>
      <c r="C6954" s="5" t="s">
        <v>32</v>
      </c>
      <c r="D6954" s="5" t="s">
        <v>33</v>
      </c>
      <c r="E6954" s="5" t="s">
        <v>44</v>
      </c>
      <c r="F6954" s="9">
        <v>117</v>
      </c>
      <c r="G6954" s="9">
        <v>1282</v>
      </c>
      <c r="H6954" s="5" t="s">
        <v>21</v>
      </c>
      <c r="I6954" s="5" t="s">
        <v>15499</v>
      </c>
      <c r="J6954" s="12" t="str">
        <f>HYPERLINK("https://www.boe.es/gazeta/dias/1801/12/22/pdfs/GMD-1801-117.pdf#page=9","Abrir facsímil")</f>
        <v>Abrir facsímil</v>
      </c>
      <c r="K6954" s="15" t="s">
        <v>23</v>
      </c>
    </row>
    <row r="6955" spans="1:11" ht="42" customHeight="1">
      <c r="A6955" s="4" t="s">
        <v>15500</v>
      </c>
      <c r="B6955" s="5" t="s">
        <v>15500</v>
      </c>
      <c r="C6955" s="5" t="s">
        <v>38</v>
      </c>
      <c r="D6955" s="5" t="s">
        <v>39</v>
      </c>
      <c r="E6955" s="5" t="s">
        <v>735</v>
      </c>
      <c r="F6955" s="9">
        <v>97</v>
      </c>
      <c r="G6955" s="9">
        <v>1061</v>
      </c>
      <c r="H6955" s="5" t="s">
        <v>21</v>
      </c>
      <c r="I6955" s="5" t="s">
        <v>15501</v>
      </c>
      <c r="J6955" s="12" t="str">
        <f>HYPERLINK("https://www.boe.es/gazeta/dias/1801/10/13/pdfs/GMD-1801-97.pdf#page=5","Abrir facsímil")</f>
        <v>Abrir facsímil</v>
      </c>
      <c r="K6955" s="15" t="s">
        <v>23</v>
      </c>
    </row>
    <row r="6956" spans="1:11" ht="42" customHeight="1">
      <c r="A6956" s="4" t="s">
        <v>15502</v>
      </c>
      <c r="B6956" s="5" t="s">
        <v>15503</v>
      </c>
      <c r="C6956" s="5" t="s">
        <v>32</v>
      </c>
      <c r="D6956" s="5" t="s">
        <v>33</v>
      </c>
      <c r="E6956" s="5" t="s">
        <v>924</v>
      </c>
      <c r="F6956" s="9">
        <v>90</v>
      </c>
      <c r="G6956" s="9">
        <v>992</v>
      </c>
      <c r="H6956" s="5" t="s">
        <v>21</v>
      </c>
      <c r="I6956" s="5" t="s">
        <v>15504</v>
      </c>
      <c r="J6956" s="12" t="str">
        <f>HYPERLINK("https://www.boe.es/gazeta/dias/1801/09/18/pdfs/GMD-1801-90.pdf#page=7","Abrir facsímil")</f>
        <v>Abrir facsímil</v>
      </c>
      <c r="K6956" s="15" t="s">
        <v>23</v>
      </c>
    </row>
    <row r="6957" spans="1:11" ht="42" customHeight="1">
      <c r="A6957" s="4" t="s">
        <v>15505</v>
      </c>
      <c r="B6957" s="5" t="s">
        <v>15506</v>
      </c>
      <c r="C6957" s="5" t="s">
        <v>75</v>
      </c>
      <c r="D6957" s="5" t="s">
        <v>76</v>
      </c>
      <c r="E6957" s="5" t="s">
        <v>465</v>
      </c>
      <c r="F6957" s="9">
        <v>4</v>
      </c>
      <c r="G6957" s="9">
        <v>45</v>
      </c>
      <c r="H6957" s="5" t="s">
        <v>21</v>
      </c>
      <c r="I6957" s="5" t="s">
        <v>15507</v>
      </c>
      <c r="J6957" s="12" t="str">
        <f>HYPERLINK("https://www.boe.es/gazeta/dias/1801/01/13/pdfs/GMD-1801-4.pdf#page=9","Abrir facsímil")</f>
        <v>Abrir facsímil</v>
      </c>
      <c r="K6957" s="15" t="s">
        <v>23</v>
      </c>
    </row>
    <row r="6958" spans="1:11" ht="42" customHeight="1">
      <c r="A6958" s="4" t="s">
        <v>15508</v>
      </c>
      <c r="B6958" s="5" t="s">
        <v>15509</v>
      </c>
      <c r="C6958" s="5" t="s">
        <v>38</v>
      </c>
      <c r="D6958" s="5" t="s">
        <v>39</v>
      </c>
      <c r="E6958" s="5" t="s">
        <v>352</v>
      </c>
      <c r="F6958" s="9">
        <v>43</v>
      </c>
      <c r="G6958" s="9">
        <v>533</v>
      </c>
      <c r="H6958" s="5" t="s">
        <v>21</v>
      </c>
      <c r="I6958" s="5" t="s">
        <v>15510</v>
      </c>
      <c r="J6958" s="12" t="str">
        <f>HYPERLINK("https://www.boe.es/gazeta/dias/1801/05/26/pdfs/GMD-1801-43.pdf#page=5","Abrir facsímil")</f>
        <v>Abrir facsímil</v>
      </c>
      <c r="K6958" s="15" t="s">
        <v>23</v>
      </c>
    </row>
    <row r="6959" spans="1:11" ht="42" customHeight="1">
      <c r="A6959" s="4" t="s">
        <v>15511</v>
      </c>
      <c r="B6959" s="5" t="s">
        <v>15511</v>
      </c>
      <c r="C6959" s="5" t="s">
        <v>32</v>
      </c>
      <c r="D6959" s="5" t="s">
        <v>33</v>
      </c>
      <c r="E6959" s="5" t="s">
        <v>155</v>
      </c>
      <c r="F6959" s="9">
        <v>50</v>
      </c>
      <c r="G6959" s="9">
        <v>592</v>
      </c>
      <c r="H6959" s="5" t="s">
        <v>21</v>
      </c>
      <c r="I6959" s="5" t="s">
        <v>15512</v>
      </c>
      <c r="J6959" s="12" t="str">
        <f>HYPERLINK("https://www.boe.es/gazeta/dias/1801/06/09/pdfs/GMD-1801-50.pdf#page=4","Abrir facsímil")</f>
        <v>Abrir facsímil</v>
      </c>
      <c r="K6959" s="15" t="s">
        <v>23</v>
      </c>
    </row>
    <row r="6960" spans="1:11" ht="42" customHeight="1">
      <c r="A6960" s="4" t="s">
        <v>15513</v>
      </c>
      <c r="B6960" s="5" t="s">
        <v>15513</v>
      </c>
      <c r="C6960" s="5" t="s">
        <v>69</v>
      </c>
      <c r="D6960" s="5" t="s">
        <v>19</v>
      </c>
      <c r="E6960" s="5" t="s">
        <v>223</v>
      </c>
      <c r="F6960" s="9">
        <v>74</v>
      </c>
      <c r="G6960" s="9">
        <v>830</v>
      </c>
      <c r="H6960" s="5" t="s">
        <v>21</v>
      </c>
      <c r="I6960" s="5" t="s">
        <v>15514</v>
      </c>
      <c r="J6960" s="12" t="str">
        <f>HYPERLINK("https://www.boe.es/gazeta/dias/1801/07/31/pdfs/GMD-1801-74.pdf#page=11","Abrir facsímil")</f>
        <v>Abrir facsímil</v>
      </c>
      <c r="K6960" s="15" t="s">
        <v>23</v>
      </c>
    </row>
    <row r="6961" spans="1:11" ht="42" customHeight="1">
      <c r="A6961" s="4" t="s">
        <v>15515</v>
      </c>
      <c r="B6961" s="5" t="s">
        <v>15515</v>
      </c>
      <c r="C6961" s="5" t="s">
        <v>32</v>
      </c>
      <c r="D6961" s="5" t="s">
        <v>33</v>
      </c>
      <c r="E6961" s="5" t="s">
        <v>501</v>
      </c>
      <c r="F6961" s="9">
        <v>115</v>
      </c>
      <c r="G6961" s="9">
        <v>1255</v>
      </c>
      <c r="H6961" s="5" t="s">
        <v>21</v>
      </c>
      <c r="I6961" s="5" t="s">
        <v>15516</v>
      </c>
      <c r="J6961" s="12" t="str">
        <f>HYPERLINK("https://www.boe.es/gazeta/dias/1801/12/15/pdfs/GMD-1801-115.pdf#page=5","Abrir facsímil")</f>
        <v>Abrir facsímil</v>
      </c>
      <c r="K6961" s="15" t="s">
        <v>23</v>
      </c>
    </row>
    <row r="6962" spans="1:11" ht="42" customHeight="1">
      <c r="A6962" s="4" t="s">
        <v>15517</v>
      </c>
      <c r="B6962" s="5" t="s">
        <v>15517</v>
      </c>
      <c r="C6962" s="5" t="s">
        <v>26</v>
      </c>
      <c r="D6962" s="5" t="s">
        <v>27</v>
      </c>
      <c r="E6962" s="5" t="s">
        <v>40</v>
      </c>
      <c r="F6962" s="9">
        <v>63</v>
      </c>
      <c r="G6962" s="9">
        <v>715</v>
      </c>
      <c r="H6962" s="5" t="s">
        <v>21</v>
      </c>
      <c r="I6962" s="5" t="s">
        <v>15518</v>
      </c>
      <c r="J6962" s="12" t="str">
        <f>HYPERLINK("https://www.boe.es/gazeta/dias/1801/07/03/pdfs/GMD-1801-63.pdf#page=12","Abrir facsímil")</f>
        <v>Abrir facsímil</v>
      </c>
      <c r="K6962" s="15" t="s">
        <v>23</v>
      </c>
    </row>
    <row r="6963" spans="1:11" ht="42" customHeight="1">
      <c r="A6963" s="4" t="s">
        <v>15519</v>
      </c>
      <c r="B6963" s="5" t="s">
        <v>15520</v>
      </c>
      <c r="C6963" s="5" t="s">
        <v>75</v>
      </c>
      <c r="D6963" s="5" t="s">
        <v>76</v>
      </c>
      <c r="E6963" s="5" t="s">
        <v>101</v>
      </c>
      <c r="F6963" s="9">
        <v>41</v>
      </c>
      <c r="G6963" s="9">
        <v>521</v>
      </c>
      <c r="H6963" s="5" t="s">
        <v>21</v>
      </c>
      <c r="I6963" s="5" t="s">
        <v>15521</v>
      </c>
      <c r="J6963" s="12" t="str">
        <f>HYPERLINK("https://www.boe.es/gazeta/dias/1801/05/22/pdfs/GMD-1801-41.pdf#page=5","Abrir facsímil")</f>
        <v>Abrir facsímil</v>
      </c>
      <c r="K6963" s="15" t="s">
        <v>23</v>
      </c>
    </row>
    <row r="6964" spans="1:11" ht="42" customHeight="1">
      <c r="A6964" s="4" t="s">
        <v>15522</v>
      </c>
      <c r="B6964" s="5" t="s">
        <v>15522</v>
      </c>
      <c r="C6964" s="5" t="s">
        <v>18</v>
      </c>
      <c r="D6964" s="5" t="s">
        <v>19</v>
      </c>
      <c r="E6964" s="5" t="s">
        <v>122</v>
      </c>
      <c r="F6964" s="9">
        <v>8</v>
      </c>
      <c r="G6964" s="9">
        <v>99</v>
      </c>
      <c r="H6964" s="5" t="s">
        <v>21</v>
      </c>
      <c r="I6964" s="5" t="s">
        <v>15523</v>
      </c>
      <c r="J6964" s="12" t="str">
        <f>HYPERLINK("https://www.boe.es/gazeta/dias/1801/01/27/pdfs/GMD-1801-8.pdf#page=11","Abrir facsímil")</f>
        <v>Abrir facsímil</v>
      </c>
      <c r="K6964" s="15" t="s">
        <v>23</v>
      </c>
    </row>
    <row r="6965" spans="1:11" ht="42" customHeight="1">
      <c r="A6965" s="4" t="s">
        <v>15524</v>
      </c>
      <c r="B6965" s="5" t="s">
        <v>15525</v>
      </c>
      <c r="C6965" s="5" t="s">
        <v>32</v>
      </c>
      <c r="D6965" s="5" t="s">
        <v>33</v>
      </c>
      <c r="E6965" s="5" t="s">
        <v>50</v>
      </c>
      <c r="F6965" s="9">
        <v>29</v>
      </c>
      <c r="G6965" s="9">
        <v>382</v>
      </c>
      <c r="H6965" s="5" t="s">
        <v>21</v>
      </c>
      <c r="I6965" s="5" t="s">
        <v>15526</v>
      </c>
      <c r="J6965" s="12" t="str">
        <f>HYPERLINK("https://www.boe.es/gazeta/dias/1801/04/10/pdfs/GMD-1801-29.pdf#page=10","Abrir facsímil")</f>
        <v>Abrir facsímil</v>
      </c>
      <c r="K6965" s="15" t="s">
        <v>23</v>
      </c>
    </row>
    <row r="6966" spans="1:11" ht="42" customHeight="1">
      <c r="A6966" s="4" t="s">
        <v>15527</v>
      </c>
      <c r="B6966" s="5" t="s">
        <v>15528</v>
      </c>
      <c r="C6966" s="5" t="s">
        <v>38</v>
      </c>
      <c r="D6966" s="5" t="s">
        <v>39</v>
      </c>
      <c r="E6966" s="5" t="s">
        <v>72</v>
      </c>
      <c r="F6966" s="9">
        <v>60</v>
      </c>
      <c r="G6966" s="9">
        <v>687</v>
      </c>
      <c r="H6966" s="5" t="s">
        <v>21</v>
      </c>
      <c r="I6966" s="5" t="s">
        <v>15529</v>
      </c>
      <c r="J6966" s="12" t="str">
        <f>HYPERLINK("https://www.boe.es/gazeta/dias/1801/06/26/pdfs/GMD-1801-60.pdf#page=8","Abrir facsímil")</f>
        <v>Abrir facsímil</v>
      </c>
      <c r="K6966" s="15" t="s">
        <v>23</v>
      </c>
    </row>
    <row r="6967" spans="1:11" ht="42" customHeight="1">
      <c r="A6967" s="4" t="s">
        <v>15530</v>
      </c>
      <c r="B6967" s="5" t="s">
        <v>15530</v>
      </c>
      <c r="C6967" s="5" t="s">
        <v>32</v>
      </c>
      <c r="D6967" s="5" t="s">
        <v>33</v>
      </c>
      <c r="E6967" s="5" t="s">
        <v>40</v>
      </c>
      <c r="F6967" s="9">
        <v>63</v>
      </c>
      <c r="G6967" s="9">
        <v>708</v>
      </c>
      <c r="H6967" s="5" t="s">
        <v>21</v>
      </c>
      <c r="I6967" s="5" t="s">
        <v>15531</v>
      </c>
      <c r="J6967" s="12" t="str">
        <f>HYPERLINK("https://www.boe.es/gazeta/dias/1801/07/03/pdfs/GMD-1801-63.pdf#page=5","Abrir facsímil")</f>
        <v>Abrir facsímil</v>
      </c>
      <c r="K6967" s="15" t="s">
        <v>23</v>
      </c>
    </row>
    <row r="6968" spans="1:11" ht="42" customHeight="1">
      <c r="A6968" s="4" t="s">
        <v>15532</v>
      </c>
      <c r="B6968" s="5" t="s">
        <v>15533</v>
      </c>
      <c r="C6968" s="5" t="s">
        <v>32</v>
      </c>
      <c r="D6968" s="5" t="s">
        <v>33</v>
      </c>
      <c r="E6968" s="5" t="s">
        <v>151</v>
      </c>
      <c r="F6968" s="9">
        <v>45</v>
      </c>
      <c r="G6968" s="9">
        <v>561</v>
      </c>
      <c r="H6968" s="5" t="s">
        <v>21</v>
      </c>
      <c r="I6968" s="5" t="s">
        <v>15534</v>
      </c>
      <c r="J6968" s="12" t="str">
        <f>HYPERLINK("https://www.boe.es/gazeta/dias/1801/06/02/pdfs/GMD-1801-45.pdf#page=9","Abrir facsímil")</f>
        <v>Abrir facsímil</v>
      </c>
      <c r="K6968" s="15" t="s">
        <v>23</v>
      </c>
    </row>
    <row r="6969" spans="1:11" ht="42" customHeight="1">
      <c r="A6969" s="4" t="s">
        <v>15535</v>
      </c>
      <c r="B6969" s="5" t="s">
        <v>15536</v>
      </c>
      <c r="C6969" s="5" t="s">
        <v>69</v>
      </c>
      <c r="D6969" s="5" t="s">
        <v>19</v>
      </c>
      <c r="E6969" s="5" t="s">
        <v>105</v>
      </c>
      <c r="F6969" s="9">
        <v>44</v>
      </c>
      <c r="G6969" s="9">
        <v>548</v>
      </c>
      <c r="H6969" s="5" t="s">
        <v>21</v>
      </c>
      <c r="I6969" s="5" t="s">
        <v>15537</v>
      </c>
      <c r="J6969" s="12" t="str">
        <f>HYPERLINK("https://www.boe.es/gazeta/dias/1801/05/29/pdfs/GMD-1801-44.pdf#page=8","Abrir facsímil")</f>
        <v>Abrir facsímil</v>
      </c>
      <c r="K6969" s="15" t="s">
        <v>23</v>
      </c>
    </row>
    <row r="6970" spans="1:11" ht="42" customHeight="1">
      <c r="A6970" s="4" t="s">
        <v>15538</v>
      </c>
      <c r="B6970" s="5" t="s">
        <v>15539</v>
      </c>
      <c r="C6970" s="5" t="s">
        <v>32</v>
      </c>
      <c r="D6970" s="5" t="s">
        <v>33</v>
      </c>
      <c r="E6970" s="5" t="s">
        <v>62</v>
      </c>
      <c r="F6970" s="9">
        <v>6</v>
      </c>
      <c r="G6970" s="9">
        <v>72</v>
      </c>
      <c r="H6970" s="5" t="s">
        <v>21</v>
      </c>
      <c r="I6970" s="5" t="s">
        <v>15540</v>
      </c>
      <c r="J6970" s="12" t="str">
        <f>HYPERLINK("https://www.boe.es/gazeta/dias/1801/01/20/pdfs/GMD-1801-6.pdf#page=8","Abrir facsímil")</f>
        <v>Abrir facsímil</v>
      </c>
      <c r="K6970" s="15" t="s">
        <v>23</v>
      </c>
    </row>
    <row r="6971" spans="1:11" ht="42" customHeight="1">
      <c r="A6971" s="4" t="s">
        <v>15538</v>
      </c>
      <c r="B6971" s="5" t="s">
        <v>15539</v>
      </c>
      <c r="C6971" s="5" t="s">
        <v>80</v>
      </c>
      <c r="D6971" s="5" t="s">
        <v>81</v>
      </c>
      <c r="E6971" s="5" t="s">
        <v>82</v>
      </c>
      <c r="F6971" s="9">
        <v>75</v>
      </c>
      <c r="G6971" s="9" t="s">
        <v>83</v>
      </c>
      <c r="H6971" s="5" t="s">
        <v>21</v>
      </c>
      <c r="I6971" s="5" t="s">
        <v>15541</v>
      </c>
      <c r="J6971" s="12" t="str">
        <f>HYPERLINK("https://www.boe.es/gazeta/dias/1801/08/04/pdfs/GMD-C-1801-75.pdf#page=2","Abrir facsímil")</f>
        <v>Abrir facsímil</v>
      </c>
      <c r="K6971" s="15" t="s">
        <v>23</v>
      </c>
    </row>
    <row r="6972" spans="1:11" ht="42" customHeight="1">
      <c r="A6972" s="4" t="s">
        <v>15542</v>
      </c>
      <c r="B6972" s="5" t="s">
        <v>15543</v>
      </c>
      <c r="C6972" s="5" t="s">
        <v>32</v>
      </c>
      <c r="D6972" s="5" t="s">
        <v>33</v>
      </c>
      <c r="E6972" s="5" t="s">
        <v>186</v>
      </c>
      <c r="F6972" s="9">
        <v>21</v>
      </c>
      <c r="G6972" s="9">
        <v>280</v>
      </c>
      <c r="H6972" s="5" t="s">
        <v>21</v>
      </c>
      <c r="I6972" s="5" t="s">
        <v>15544</v>
      </c>
      <c r="J6972" s="12" t="str">
        <f>HYPERLINK("https://www.boe.es/gazeta/dias/1801/03/13/pdfs/GMD-1801-21.pdf#page=9","Abrir facsímil")</f>
        <v>Abrir facsímil</v>
      </c>
      <c r="K6972" s="15" t="s">
        <v>23</v>
      </c>
    </row>
    <row r="6973" spans="1:11" ht="42" customHeight="1">
      <c r="A6973" s="4" t="s">
        <v>15545</v>
      </c>
      <c r="B6973" s="5" t="s">
        <v>15546</v>
      </c>
      <c r="C6973" s="5" t="s">
        <v>80</v>
      </c>
      <c r="D6973" s="5" t="s">
        <v>81</v>
      </c>
      <c r="E6973" s="5" t="s">
        <v>82</v>
      </c>
      <c r="F6973" s="9">
        <v>75</v>
      </c>
      <c r="G6973" s="9" t="s">
        <v>996</v>
      </c>
      <c r="H6973" s="5" t="s">
        <v>21</v>
      </c>
      <c r="I6973" s="5" t="s">
        <v>15547</v>
      </c>
      <c r="J6973" s="12" t="str">
        <f>HYPERLINK("https://www.boe.es/gazeta/dias/1801/08/04/pdfs/GMD-C-1801-75.pdf#page=6","Abrir facsímil")</f>
        <v>Abrir facsímil</v>
      </c>
      <c r="K6973" s="15" t="s">
        <v>23</v>
      </c>
    </row>
    <row r="6974" spans="1:11" ht="42" customHeight="1">
      <c r="A6974" s="4" t="s">
        <v>15548</v>
      </c>
      <c r="B6974" s="5" t="s">
        <v>15549</v>
      </c>
      <c r="C6974" s="5" t="s">
        <v>38</v>
      </c>
      <c r="D6974" s="5" t="s">
        <v>39</v>
      </c>
      <c r="E6974" s="5" t="s">
        <v>126</v>
      </c>
      <c r="F6974" s="9">
        <v>13</v>
      </c>
      <c r="G6974" s="9">
        <v>159</v>
      </c>
      <c r="H6974" s="5" t="s">
        <v>21</v>
      </c>
      <c r="I6974" s="5" t="s">
        <v>15550</v>
      </c>
      <c r="J6974" s="12" t="str">
        <f>HYPERLINK("https://www.boe.es/gazeta/dias/1801/02/13/pdfs/GMD-1801-13.pdf#page=6","Abrir facsímil")</f>
        <v>Abrir facsímil</v>
      </c>
      <c r="K6974" s="15" t="s">
        <v>23</v>
      </c>
    </row>
    <row r="6975" spans="1:11" ht="42" customHeight="1">
      <c r="A6975" s="4" t="s">
        <v>15548</v>
      </c>
      <c r="B6975" s="5" t="s">
        <v>15549</v>
      </c>
      <c r="C6975" s="5" t="s">
        <v>75</v>
      </c>
      <c r="D6975" s="5" t="s">
        <v>76</v>
      </c>
      <c r="E6975" s="5" t="s">
        <v>190</v>
      </c>
      <c r="F6975" s="9">
        <v>16</v>
      </c>
      <c r="G6975" s="9">
        <v>198</v>
      </c>
      <c r="H6975" s="5" t="s">
        <v>21</v>
      </c>
      <c r="I6975" s="5" t="s">
        <v>15551</v>
      </c>
      <c r="J6975" s="12" t="str">
        <f>HYPERLINK("https://www.boe.es/gazeta/dias/1801/02/24/pdfs/GMD-1801-16.pdf#page=5","Abrir facsímil")</f>
        <v>Abrir facsímil</v>
      </c>
      <c r="K6975" s="15" t="s">
        <v>23</v>
      </c>
    </row>
    <row r="6976" spans="1:11" ht="42" customHeight="1">
      <c r="A6976" s="4" t="s">
        <v>15548</v>
      </c>
      <c r="B6976" s="5" t="s">
        <v>15549</v>
      </c>
      <c r="C6976" s="5" t="s">
        <v>38</v>
      </c>
      <c r="D6976" s="5" t="s">
        <v>39</v>
      </c>
      <c r="E6976" s="5" t="s">
        <v>723</v>
      </c>
      <c r="F6976" s="9">
        <v>113</v>
      </c>
      <c r="G6976" s="9">
        <v>1233</v>
      </c>
      <c r="H6976" s="5" t="s">
        <v>21</v>
      </c>
      <c r="I6976" s="5" t="s">
        <v>15552</v>
      </c>
      <c r="J6976" s="12" t="str">
        <f>HYPERLINK("https://www.boe.es/gazeta/dias/1801/12/08/pdfs/GMD-1801-113.pdf#page=6","Abrir facsímil")</f>
        <v>Abrir facsímil</v>
      </c>
      <c r="K6976" s="15" t="s">
        <v>23</v>
      </c>
    </row>
    <row r="6977" spans="1:11" ht="42" customHeight="1">
      <c r="A6977" s="4" t="s">
        <v>15553</v>
      </c>
      <c r="B6977" s="5" t="s">
        <v>15554</v>
      </c>
      <c r="C6977" s="5" t="s">
        <v>75</v>
      </c>
      <c r="D6977" s="5" t="s">
        <v>76</v>
      </c>
      <c r="E6977" s="5" t="s">
        <v>190</v>
      </c>
      <c r="F6977" s="9">
        <v>16</v>
      </c>
      <c r="G6977" s="9">
        <v>198</v>
      </c>
      <c r="H6977" s="5" t="s">
        <v>21</v>
      </c>
      <c r="I6977" s="5" t="s">
        <v>15555</v>
      </c>
      <c r="J6977" s="12" t="str">
        <f>HYPERLINK("https://www.boe.es/gazeta/dias/1801/02/24/pdfs/GMD-1801-16.pdf#page=5","Abrir facsímil")</f>
        <v>Abrir facsímil</v>
      </c>
      <c r="K6977" s="15" t="s">
        <v>23</v>
      </c>
    </row>
    <row r="6978" spans="1:11" ht="42" customHeight="1">
      <c r="A6978" s="4" t="s">
        <v>15556</v>
      </c>
      <c r="B6978" s="5" t="s">
        <v>15557</v>
      </c>
      <c r="C6978" s="5" t="s">
        <v>75</v>
      </c>
      <c r="D6978" s="5" t="s">
        <v>76</v>
      </c>
      <c r="E6978" s="5" t="s">
        <v>190</v>
      </c>
      <c r="F6978" s="9">
        <v>16</v>
      </c>
      <c r="G6978" s="9">
        <v>199</v>
      </c>
      <c r="H6978" s="5" t="s">
        <v>21</v>
      </c>
      <c r="I6978" s="5" t="s">
        <v>15558</v>
      </c>
      <c r="J6978" s="12" t="str">
        <f>HYPERLINK("https://www.boe.es/gazeta/dias/1801/02/24/pdfs/GMD-1801-16.pdf#page=6","Abrir facsímil")</f>
        <v>Abrir facsímil</v>
      </c>
      <c r="K6978" s="15" t="s">
        <v>23</v>
      </c>
    </row>
    <row r="6979" spans="1:11" ht="42" customHeight="1">
      <c r="A6979" s="4" t="s">
        <v>15559</v>
      </c>
      <c r="B6979" s="5" t="s">
        <v>15560</v>
      </c>
      <c r="C6979" s="5" t="s">
        <v>75</v>
      </c>
      <c r="D6979" s="5" t="s">
        <v>76</v>
      </c>
      <c r="E6979" s="5" t="s">
        <v>935</v>
      </c>
      <c r="F6979" s="9">
        <v>116</v>
      </c>
      <c r="G6979" s="9">
        <v>1266</v>
      </c>
      <c r="H6979" s="5" t="s">
        <v>21</v>
      </c>
      <c r="I6979" s="5" t="s">
        <v>15561</v>
      </c>
      <c r="J6979" s="12" t="str">
        <f>HYPERLINK("https://www.boe.es/gazeta/dias/1801/12/18/pdfs/GMD-1801-116.pdf#page=8","Abrir facsímil")</f>
        <v>Abrir facsímil</v>
      </c>
      <c r="K6979" s="15" t="s">
        <v>23</v>
      </c>
    </row>
    <row r="6980" spans="1:11" ht="42" customHeight="1">
      <c r="A6980" s="4" t="s">
        <v>15562</v>
      </c>
      <c r="B6980" s="5" t="s">
        <v>15563</v>
      </c>
      <c r="C6980" s="5" t="s">
        <v>75</v>
      </c>
      <c r="D6980" s="5" t="s">
        <v>76</v>
      </c>
      <c r="E6980" s="5" t="s">
        <v>480</v>
      </c>
      <c r="F6980" s="9">
        <v>10</v>
      </c>
      <c r="G6980" s="9">
        <v>120</v>
      </c>
      <c r="H6980" s="5" t="s">
        <v>21</v>
      </c>
      <c r="I6980" s="5" t="s">
        <v>15564</v>
      </c>
      <c r="J6980" s="12" t="str">
        <f>HYPERLINK("https://www.boe.es/gazeta/dias/1801/02/03/pdfs/GMD-1801-10.pdf#page=5","Abrir facsímil")</f>
        <v>Abrir facsímil</v>
      </c>
      <c r="K6980" s="15" t="s">
        <v>23</v>
      </c>
    </row>
    <row r="6981" spans="1:11" ht="42" customHeight="1">
      <c r="A6981" s="4" t="s">
        <v>15565</v>
      </c>
      <c r="B6981" s="5" t="s">
        <v>15565</v>
      </c>
      <c r="C6981" s="5" t="s">
        <v>32</v>
      </c>
      <c r="D6981" s="5" t="s">
        <v>33</v>
      </c>
      <c r="E6981" s="5" t="s">
        <v>262</v>
      </c>
      <c r="F6981" s="9">
        <v>109</v>
      </c>
      <c r="G6981" s="9">
        <v>1204</v>
      </c>
      <c r="H6981" s="5" t="s">
        <v>21</v>
      </c>
      <c r="I6981" s="5" t="s">
        <v>15566</v>
      </c>
      <c r="J6981" s="12" t="str">
        <f>HYPERLINK("https://www.boe.es/gazeta/dias/1801/11/24/pdfs/GMD-1801-109.pdf#page=9","Abrir facsímil")</f>
        <v>Abrir facsímil</v>
      </c>
      <c r="K6981" s="15" t="s">
        <v>23</v>
      </c>
    </row>
    <row r="6982" spans="1:11" ht="42" customHeight="1">
      <c r="A6982" s="4" t="s">
        <v>15567</v>
      </c>
      <c r="B6982" s="5" t="s">
        <v>15567</v>
      </c>
      <c r="C6982" s="5" t="s">
        <v>26</v>
      </c>
      <c r="D6982" s="5" t="s">
        <v>27</v>
      </c>
      <c r="E6982" s="5" t="s">
        <v>501</v>
      </c>
      <c r="F6982" s="9">
        <v>115</v>
      </c>
      <c r="G6982" s="9" t="s">
        <v>502</v>
      </c>
      <c r="H6982" s="5" t="s">
        <v>21</v>
      </c>
      <c r="I6982" s="5" t="s">
        <v>15568</v>
      </c>
      <c r="J6982" s="12" t="str">
        <f>HYPERLINK("https://www.boe.es/gazeta/dias/1801/12/15/pdfs/GMD-C-1801-115.pdf#page=8","Abrir facsímil")</f>
        <v>Abrir facsímil</v>
      </c>
      <c r="K6982" s="15" t="s">
        <v>23</v>
      </c>
    </row>
    <row r="6983" spans="1:11" ht="42" customHeight="1">
      <c r="A6983" s="4" t="s">
        <v>15569</v>
      </c>
      <c r="B6983" s="5" t="s">
        <v>15570</v>
      </c>
      <c r="C6983" s="5" t="s">
        <v>69</v>
      </c>
      <c r="D6983" s="5" t="s">
        <v>19</v>
      </c>
      <c r="E6983" s="5" t="s">
        <v>108</v>
      </c>
      <c r="F6983" s="9">
        <v>61</v>
      </c>
      <c r="G6983" s="9">
        <v>697</v>
      </c>
      <c r="H6983" s="5" t="s">
        <v>21</v>
      </c>
      <c r="I6983" s="5" t="s">
        <v>15571</v>
      </c>
      <c r="J6983" s="12" t="str">
        <f>HYPERLINK("https://www.boe.es/gazeta/dias/1801/06/30/pdfs/GMD-1801-61.pdf#page=6","Abrir facsímil")</f>
        <v>Abrir facsímil</v>
      </c>
      <c r="K6983" s="15" t="s">
        <v>23</v>
      </c>
    </row>
    <row r="6984" spans="1:11" ht="42" customHeight="1">
      <c r="A6984" s="4" t="s">
        <v>15572</v>
      </c>
      <c r="B6984" s="5" t="s">
        <v>15573</v>
      </c>
      <c r="C6984" s="5" t="s">
        <v>69</v>
      </c>
      <c r="D6984" s="5" t="s">
        <v>19</v>
      </c>
      <c r="E6984" s="5" t="s">
        <v>108</v>
      </c>
      <c r="F6984" s="9">
        <v>61</v>
      </c>
      <c r="G6984" s="9">
        <v>697</v>
      </c>
      <c r="H6984" s="5" t="s">
        <v>21</v>
      </c>
      <c r="I6984" s="5" t="s">
        <v>15574</v>
      </c>
      <c r="J6984" s="12" t="str">
        <f>HYPERLINK("https://www.boe.es/gazeta/dias/1801/06/30/pdfs/GMD-1801-61.pdf#page=6","Abrir facsímil")</f>
        <v>Abrir facsímil</v>
      </c>
      <c r="K6984" s="15" t="s">
        <v>23</v>
      </c>
    </row>
    <row r="6985" spans="1:11" ht="42" customHeight="1">
      <c r="A6985" s="4" t="s">
        <v>15575</v>
      </c>
      <c r="B6985" s="5" t="s">
        <v>15575</v>
      </c>
      <c r="C6985" s="5" t="s">
        <v>38</v>
      </c>
      <c r="D6985" s="5" t="s">
        <v>39</v>
      </c>
      <c r="E6985" s="5" t="s">
        <v>173</v>
      </c>
      <c r="F6985" s="9">
        <v>98</v>
      </c>
      <c r="G6985" s="9">
        <v>1079</v>
      </c>
      <c r="H6985" s="5" t="s">
        <v>21</v>
      </c>
      <c r="I6985" s="5" t="s">
        <v>15576</v>
      </c>
      <c r="J6985" s="12" t="str">
        <f>HYPERLINK("https://www.boe.es/gazeta/dias/1801/10/16/pdfs/GMD-1801-98.pdf#page=11","Abrir facsímil")</f>
        <v>Abrir facsímil</v>
      </c>
      <c r="K6985" s="15" t="s">
        <v>23</v>
      </c>
    </row>
    <row r="6986" spans="1:11" ht="42" customHeight="1">
      <c r="A6986" s="4" t="s">
        <v>15575</v>
      </c>
      <c r="B6986" s="5" t="s">
        <v>15575</v>
      </c>
      <c r="C6986" s="5" t="s">
        <v>38</v>
      </c>
      <c r="D6986" s="5" t="s">
        <v>39</v>
      </c>
      <c r="E6986" s="5" t="s">
        <v>1058</v>
      </c>
      <c r="F6986" s="9">
        <v>108</v>
      </c>
      <c r="G6986" s="9">
        <v>1194</v>
      </c>
      <c r="H6986" s="5" t="s">
        <v>21</v>
      </c>
      <c r="I6986" s="5" t="s">
        <v>15577</v>
      </c>
      <c r="J6986" s="12" t="str">
        <f>HYPERLINK("https://www.boe.es/gazeta/dias/1801/11/20/pdfs/GMD-1801-108.pdf#page=11","Abrir facsímil")</f>
        <v>Abrir facsímil</v>
      </c>
      <c r="K6986" s="15" t="s">
        <v>23</v>
      </c>
    </row>
    <row r="6987" spans="1:11" ht="42" customHeight="1">
      <c r="A6987" s="4" t="s">
        <v>15578</v>
      </c>
      <c r="B6987" s="5" t="s">
        <v>15578</v>
      </c>
      <c r="C6987" s="5" t="s">
        <v>515</v>
      </c>
      <c r="D6987" s="5" t="s">
        <v>516</v>
      </c>
      <c r="E6987" s="5" t="s">
        <v>143</v>
      </c>
      <c r="F6987" s="9">
        <v>34</v>
      </c>
      <c r="G6987" s="9">
        <v>442</v>
      </c>
      <c r="H6987" s="5" t="s">
        <v>21</v>
      </c>
      <c r="I6987" s="5" t="s">
        <v>15579</v>
      </c>
      <c r="J6987" s="12" t="str">
        <f>HYPERLINK("https://www.boe.es/gazeta/dias/1801/04/28/pdfs/GMD-C-1801-34.pdf#page=2","Abrir facsímil")</f>
        <v>Abrir facsímil</v>
      </c>
      <c r="K6987" s="15" t="s">
        <v>23</v>
      </c>
    </row>
    <row r="6988" spans="1:11" ht="42" customHeight="1">
      <c r="A6988" s="4" t="s">
        <v>15580</v>
      </c>
      <c r="B6988" s="5" t="s">
        <v>15580</v>
      </c>
      <c r="C6988" s="5" t="s">
        <v>69</v>
      </c>
      <c r="D6988" s="5" t="s">
        <v>19</v>
      </c>
      <c r="E6988" s="5" t="s">
        <v>465</v>
      </c>
      <c r="F6988" s="9">
        <v>4</v>
      </c>
      <c r="G6988" s="9">
        <v>46</v>
      </c>
      <c r="H6988" s="5" t="s">
        <v>21</v>
      </c>
      <c r="I6988" s="5" t="s">
        <v>15581</v>
      </c>
      <c r="J6988" s="12" t="str">
        <f>HYPERLINK("https://www.boe.es/gazeta/dias/1801/01/13/pdfs/GMD-1801-4.pdf#page=10","Abrir facsímil")</f>
        <v>Abrir facsímil</v>
      </c>
      <c r="K6988" s="15" t="s">
        <v>23</v>
      </c>
    </row>
    <row r="6989" spans="1:11" ht="42" customHeight="1">
      <c r="A6989" s="4" t="s">
        <v>15582</v>
      </c>
      <c r="B6989" s="5" t="s">
        <v>15583</v>
      </c>
      <c r="C6989" s="5" t="s">
        <v>32</v>
      </c>
      <c r="D6989" s="5" t="s">
        <v>33</v>
      </c>
      <c r="E6989" s="5" t="s">
        <v>321</v>
      </c>
      <c r="F6989" s="9">
        <v>3</v>
      </c>
      <c r="G6989" s="9">
        <v>32</v>
      </c>
      <c r="H6989" s="5" t="s">
        <v>21</v>
      </c>
      <c r="I6989" s="5" t="s">
        <v>15584</v>
      </c>
      <c r="J6989" s="12" t="str">
        <f>HYPERLINK("https://www.boe.es/gazeta/dias/1801/01/09/pdfs/GMD-1801-3.pdf#page=8","Abrir facsímil")</f>
        <v>Abrir facsímil</v>
      </c>
      <c r="K6989" s="15" t="s">
        <v>23</v>
      </c>
    </row>
    <row r="6990" spans="1:11" ht="42" customHeight="1">
      <c r="A6990" s="4" t="s">
        <v>15585</v>
      </c>
      <c r="B6990" s="5" t="s">
        <v>15586</v>
      </c>
      <c r="C6990" s="5" t="s">
        <v>26</v>
      </c>
      <c r="D6990" s="5" t="s">
        <v>27</v>
      </c>
      <c r="E6990" s="5" t="s">
        <v>90</v>
      </c>
      <c r="F6990" s="9">
        <v>1</v>
      </c>
      <c r="G6990" s="9">
        <v>12</v>
      </c>
      <c r="H6990" s="5" t="s">
        <v>21</v>
      </c>
      <c r="I6990" s="5" t="s">
        <v>15587</v>
      </c>
      <c r="J6990" s="12" t="str">
        <f>HYPERLINK("https://www.boe.es/gazeta/dias/1801/01/02/pdfs/GMD-1801-1.pdf#page=12","Abrir facsímil")</f>
        <v>Abrir facsímil</v>
      </c>
      <c r="K6990" s="15" t="s">
        <v>23</v>
      </c>
    </row>
    <row r="6991" spans="1:11" ht="42" customHeight="1">
      <c r="A6991" s="4" t="s">
        <v>15588</v>
      </c>
      <c r="B6991" s="5" t="s">
        <v>15589</v>
      </c>
      <c r="C6991" s="5" t="s">
        <v>32</v>
      </c>
      <c r="D6991" s="5" t="s">
        <v>33</v>
      </c>
      <c r="E6991" s="5" t="s">
        <v>48</v>
      </c>
      <c r="F6991" s="9">
        <v>20</v>
      </c>
      <c r="G6991" s="9">
        <v>265</v>
      </c>
      <c r="H6991" s="5" t="s">
        <v>21</v>
      </c>
      <c r="I6991" s="5" t="s">
        <v>15590</v>
      </c>
      <c r="J6991" s="12" t="str">
        <f>HYPERLINK("https://www.boe.es/gazeta/dias/1801/03/10/pdfs/GMD-1801-20.pdf#page=10","Abrir facsímil")</f>
        <v>Abrir facsímil</v>
      </c>
      <c r="K6991" s="15" t="s">
        <v>23</v>
      </c>
    </row>
    <row r="6992" spans="1:11" ht="42" customHeight="1">
      <c r="A6992" s="4" t="s">
        <v>15591</v>
      </c>
      <c r="B6992" s="5" t="s">
        <v>15592</v>
      </c>
      <c r="C6992" s="5" t="s">
        <v>32</v>
      </c>
      <c r="D6992" s="5" t="s">
        <v>33</v>
      </c>
      <c r="E6992" s="5" t="s">
        <v>44</v>
      </c>
      <c r="F6992" s="9">
        <v>117</v>
      </c>
      <c r="G6992" s="9">
        <v>1282</v>
      </c>
      <c r="H6992" s="5" t="s">
        <v>21</v>
      </c>
      <c r="I6992" s="5" t="s">
        <v>15593</v>
      </c>
      <c r="J6992" s="12" t="str">
        <f>HYPERLINK("https://www.boe.es/gazeta/dias/1801/12/22/pdfs/GMD-1801-117.pdf#page=9","Abrir facsímil")</f>
        <v>Abrir facsímil</v>
      </c>
      <c r="K6992" s="15" t="s">
        <v>23</v>
      </c>
    </row>
    <row r="6993" spans="1:11" ht="42" customHeight="1">
      <c r="A6993" s="4" t="s">
        <v>15594</v>
      </c>
      <c r="B6993" s="5" t="s">
        <v>15595</v>
      </c>
      <c r="C6993" s="5" t="s">
        <v>18</v>
      </c>
      <c r="D6993" s="5" t="s">
        <v>19</v>
      </c>
      <c r="E6993" s="5" t="s">
        <v>190</v>
      </c>
      <c r="F6993" s="9">
        <v>16</v>
      </c>
      <c r="G6993" s="9">
        <v>202</v>
      </c>
      <c r="H6993" s="5" t="s">
        <v>21</v>
      </c>
      <c r="I6993" s="5" t="s">
        <v>15596</v>
      </c>
      <c r="J6993" s="12" t="str">
        <f>HYPERLINK("https://www.boe.es/gazeta/dias/1801/02/24/pdfs/GMD-1801-16.pdf#page=9","Abrir facsímil")</f>
        <v>Abrir facsímil</v>
      </c>
      <c r="K6993" s="15" t="s">
        <v>23</v>
      </c>
    </row>
    <row r="6994" spans="1:11" ht="42" customHeight="1">
      <c r="A6994" s="4" t="s">
        <v>15597</v>
      </c>
      <c r="B6994" s="5" t="s">
        <v>15598</v>
      </c>
      <c r="C6994" s="5" t="s">
        <v>26</v>
      </c>
      <c r="D6994" s="5" t="s">
        <v>27</v>
      </c>
      <c r="E6994" s="5" t="s">
        <v>105</v>
      </c>
      <c r="F6994" s="9">
        <v>44</v>
      </c>
      <c r="G6994" s="9">
        <v>552</v>
      </c>
      <c r="H6994" s="5" t="s">
        <v>21</v>
      </c>
      <c r="I6994" s="5" t="s">
        <v>15599</v>
      </c>
      <c r="J6994" s="12" t="str">
        <f>HYPERLINK("https://www.boe.es/gazeta/dias/1801/05/29/pdfs/GMD-1801-44.pdf#page=12","Abrir facsímil")</f>
        <v>Abrir facsímil</v>
      </c>
      <c r="K6994" s="15" t="s">
        <v>23</v>
      </c>
    </row>
    <row r="6995" spans="1:11" ht="42" customHeight="1">
      <c r="A6995" s="4" t="s">
        <v>15597</v>
      </c>
      <c r="B6995" s="5" t="s">
        <v>15598</v>
      </c>
      <c r="C6995" s="5" t="s">
        <v>26</v>
      </c>
      <c r="D6995" s="5" t="s">
        <v>27</v>
      </c>
      <c r="E6995" s="5" t="s">
        <v>712</v>
      </c>
      <c r="F6995" s="9">
        <v>105</v>
      </c>
      <c r="G6995" s="9">
        <v>1159</v>
      </c>
      <c r="H6995" s="5" t="s">
        <v>21</v>
      </c>
      <c r="I6995" s="5" t="s">
        <v>15600</v>
      </c>
      <c r="J6995" s="12" t="str">
        <f>HYPERLINK("https://www.boe.es/gazeta/dias/1801/11/10/pdfs/GMD-1801-105.pdf#page=12","Abrir facsímil")</f>
        <v>Abrir facsímil</v>
      </c>
      <c r="K6995" s="15" t="s">
        <v>23</v>
      </c>
    </row>
    <row r="6996" spans="1:11" ht="42" customHeight="1">
      <c r="A6996" s="4" t="s">
        <v>15601</v>
      </c>
      <c r="B6996" s="5" t="s">
        <v>15602</v>
      </c>
      <c r="C6996" s="5" t="s">
        <v>26</v>
      </c>
      <c r="D6996" s="5" t="s">
        <v>27</v>
      </c>
      <c r="E6996" s="5" t="s">
        <v>171</v>
      </c>
      <c r="F6996" s="9">
        <v>76</v>
      </c>
      <c r="G6996" s="9">
        <v>855</v>
      </c>
      <c r="H6996" s="5" t="s">
        <v>21</v>
      </c>
      <c r="I6996" s="5" t="s">
        <v>15603</v>
      </c>
      <c r="J6996" s="12" t="str">
        <f>HYPERLINK("https://www.boe.es/gazeta/dias/1801/08/07/pdfs/GMD-1801-76.pdf#page=12","Abrir facsímil")</f>
        <v>Abrir facsímil</v>
      </c>
      <c r="K6996" s="15" t="s">
        <v>23</v>
      </c>
    </row>
    <row r="6997" spans="1:11" ht="42" customHeight="1">
      <c r="A6997" s="4" t="s">
        <v>15604</v>
      </c>
      <c r="B6997" s="5" t="s">
        <v>15605</v>
      </c>
      <c r="C6997" s="5" t="s">
        <v>18</v>
      </c>
      <c r="D6997" s="5" t="s">
        <v>19</v>
      </c>
      <c r="E6997" s="5" t="s">
        <v>128</v>
      </c>
      <c r="F6997" s="9">
        <v>17</v>
      </c>
      <c r="G6997" s="9">
        <v>216</v>
      </c>
      <c r="H6997" s="5" t="s">
        <v>21</v>
      </c>
      <c r="I6997" s="5" t="s">
        <v>15606</v>
      </c>
      <c r="J6997" s="12" t="str">
        <f>HYPERLINK("https://www.boe.es/gazeta/dias/1801/02/27/pdfs/GMD-1801-17.pdf#page=11","Abrir facsímil")</f>
        <v>Abrir facsímil</v>
      </c>
      <c r="K6997" s="15" t="s">
        <v>23</v>
      </c>
    </row>
    <row r="6998" spans="1:11" ht="42" customHeight="1">
      <c r="A6998" s="4" t="s">
        <v>15607</v>
      </c>
      <c r="B6998" s="5" t="s">
        <v>15608</v>
      </c>
      <c r="C6998" s="5" t="s">
        <v>515</v>
      </c>
      <c r="D6998" s="5" t="s">
        <v>516</v>
      </c>
      <c r="E6998" s="5" t="s">
        <v>501</v>
      </c>
      <c r="F6998" s="9">
        <v>115</v>
      </c>
      <c r="G6998" s="9" t="s">
        <v>305</v>
      </c>
      <c r="H6998" s="5" t="s">
        <v>21</v>
      </c>
      <c r="I6998" s="5" t="s">
        <v>15609</v>
      </c>
      <c r="J6998" s="12" t="str">
        <f>HYPERLINK("https://www.boe.es/gazeta/dias/1801/12/15/pdfs/GMD-C-1801-115.pdf#page=4","Abrir facsímil")</f>
        <v>Abrir facsímil</v>
      </c>
      <c r="K6998" s="15" t="s">
        <v>23</v>
      </c>
    </row>
    <row r="6999" spans="1:11" ht="42" customHeight="1">
      <c r="A6999" s="4" t="s">
        <v>15610</v>
      </c>
      <c r="B6999" s="5" t="s">
        <v>15611</v>
      </c>
      <c r="C6999" s="5" t="s">
        <v>18</v>
      </c>
      <c r="D6999" s="5" t="s">
        <v>19</v>
      </c>
      <c r="E6999" s="5" t="s">
        <v>448</v>
      </c>
      <c r="F6999" s="9">
        <v>35</v>
      </c>
      <c r="G6999" s="9">
        <v>455</v>
      </c>
      <c r="H6999" s="5" t="s">
        <v>21</v>
      </c>
      <c r="I6999" s="5" t="s">
        <v>15612</v>
      </c>
      <c r="J6999" s="12" t="str">
        <f>HYPERLINK("https://www.boe.es/gazeta/dias/1801/05/01/pdfs/GMD-1801-35.pdf#page=11","Abrir facsímil")</f>
        <v>Abrir facsímil</v>
      </c>
      <c r="K6999" s="15" t="s">
        <v>23</v>
      </c>
    </row>
    <row r="7000" spans="1:11" ht="42" customHeight="1">
      <c r="A7000" s="4" t="s">
        <v>15613</v>
      </c>
      <c r="B7000" s="5" t="s">
        <v>15614</v>
      </c>
      <c r="C7000" s="5" t="s">
        <v>26</v>
      </c>
      <c r="D7000" s="5" t="s">
        <v>27</v>
      </c>
      <c r="E7000" s="5" t="s">
        <v>501</v>
      </c>
      <c r="F7000" s="9">
        <v>115</v>
      </c>
      <c r="G7000" s="9" t="s">
        <v>305</v>
      </c>
      <c r="H7000" s="5" t="s">
        <v>21</v>
      </c>
      <c r="I7000" s="5" t="s">
        <v>15615</v>
      </c>
      <c r="J7000" s="12" t="str">
        <f>HYPERLINK("https://www.boe.es/gazeta/dias/1801/12/15/pdfs/GMD-C-1801-115.pdf#page=4","Abrir facsímil")</f>
        <v>Abrir facsímil</v>
      </c>
      <c r="K7000" s="15" t="s">
        <v>23</v>
      </c>
    </row>
    <row r="7001" spans="1:11" ht="42" customHeight="1">
      <c r="A7001" s="4" t="s">
        <v>15616</v>
      </c>
      <c r="B7001" s="5" t="s">
        <v>15617</v>
      </c>
      <c r="C7001" s="5" t="s">
        <v>38</v>
      </c>
      <c r="D7001" s="5" t="s">
        <v>39</v>
      </c>
      <c r="E7001" s="5" t="s">
        <v>70</v>
      </c>
      <c r="F7001" s="9">
        <v>2</v>
      </c>
      <c r="G7001" s="9">
        <v>21</v>
      </c>
      <c r="H7001" s="5" t="s">
        <v>21</v>
      </c>
      <c r="I7001" s="5" t="s">
        <v>15618</v>
      </c>
      <c r="J7001" s="12" t="str">
        <f>HYPERLINK("https://www.boe.es/gazeta/dias/1801/01/06/pdfs/GMD-1801-2.pdf#page=9","Abrir facsímil")</f>
        <v>Abrir facsímil</v>
      </c>
      <c r="K7001" s="15" t="s">
        <v>23</v>
      </c>
    </row>
    <row r="7002" spans="1:11" ht="42" customHeight="1">
      <c r="A7002" s="4" t="s">
        <v>15619</v>
      </c>
      <c r="B7002" s="5" t="s">
        <v>15620</v>
      </c>
      <c r="C7002" s="5" t="s">
        <v>32</v>
      </c>
      <c r="D7002" s="5" t="s">
        <v>33</v>
      </c>
      <c r="E7002" s="5" t="s">
        <v>219</v>
      </c>
      <c r="F7002" s="9">
        <v>26</v>
      </c>
      <c r="G7002" s="9">
        <v>346</v>
      </c>
      <c r="H7002" s="5" t="s">
        <v>21</v>
      </c>
      <c r="I7002" s="5" t="s">
        <v>15621</v>
      </c>
      <c r="J7002" s="12" t="str">
        <f>HYPERLINK("https://www.boe.es/gazeta/dias/1801/03/31/pdfs/GMD-1801-26.pdf#page=10","Abrir facsímil")</f>
        <v>Abrir facsímil</v>
      </c>
      <c r="K7002" s="15" t="s">
        <v>23</v>
      </c>
    </row>
    <row r="7003" spans="1:11" ht="42" customHeight="1">
      <c r="A7003" s="4" t="s">
        <v>15622</v>
      </c>
      <c r="B7003" s="5" t="s">
        <v>15623</v>
      </c>
      <c r="C7003" s="5" t="s">
        <v>18</v>
      </c>
      <c r="D7003" s="5" t="s">
        <v>19</v>
      </c>
      <c r="E7003" s="5" t="s">
        <v>48</v>
      </c>
      <c r="F7003" s="9">
        <v>20</v>
      </c>
      <c r="G7003" s="9">
        <v>264</v>
      </c>
      <c r="H7003" s="5" t="s">
        <v>21</v>
      </c>
      <c r="I7003" s="5" t="s">
        <v>15624</v>
      </c>
      <c r="J7003" s="12" t="str">
        <f>HYPERLINK("https://www.boe.es/gazeta/dias/1801/03/10/pdfs/GMD-1801-20.pdf#page=9","Abrir facsímil")</f>
        <v>Abrir facsímil</v>
      </c>
      <c r="K7003" s="15" t="s">
        <v>23</v>
      </c>
    </row>
    <row r="7004" spans="1:11" ht="42" customHeight="1">
      <c r="A7004" s="4" t="s">
        <v>15625</v>
      </c>
      <c r="B7004" s="5" t="s">
        <v>15626</v>
      </c>
      <c r="C7004" s="5" t="s">
        <v>69</v>
      </c>
      <c r="D7004" s="5" t="s">
        <v>19</v>
      </c>
      <c r="E7004" s="5" t="s">
        <v>1085</v>
      </c>
      <c r="F7004" s="9">
        <v>99</v>
      </c>
      <c r="G7004" s="9">
        <v>1089</v>
      </c>
      <c r="H7004" s="5" t="s">
        <v>21</v>
      </c>
      <c r="I7004" s="5" t="s">
        <v>15627</v>
      </c>
      <c r="J7004" s="12" t="str">
        <f>HYPERLINK("https://www.boe.es/gazeta/dias/1801/10/20/pdfs/GMD-1801-99.pdf#page=6","Abrir facsímil")</f>
        <v>Abrir facsímil</v>
      </c>
      <c r="K7004" s="15" t="s">
        <v>23</v>
      </c>
    </row>
    <row r="7005" spans="1:11" ht="42" customHeight="1">
      <c r="A7005" s="4" t="s">
        <v>15628</v>
      </c>
      <c r="B7005" s="5" t="s">
        <v>15629</v>
      </c>
      <c r="C7005" s="5" t="s">
        <v>69</v>
      </c>
      <c r="D7005" s="5" t="s">
        <v>19</v>
      </c>
      <c r="E7005" s="5" t="s">
        <v>82</v>
      </c>
      <c r="F7005" s="9">
        <v>75</v>
      </c>
      <c r="G7005" s="9">
        <v>840</v>
      </c>
      <c r="H7005" s="5" t="s">
        <v>21</v>
      </c>
      <c r="I7005" s="5" t="s">
        <v>15630</v>
      </c>
      <c r="J7005" s="12" t="str">
        <f>HYPERLINK("https://www.boe.es/gazeta/dias/1801/08/04/pdfs/GMD-1801-75.pdf#page=9","Abrir facsímil")</f>
        <v>Abrir facsímil</v>
      </c>
      <c r="K7005" s="15" t="s">
        <v>23</v>
      </c>
    </row>
    <row r="7006" spans="1:11" ht="42" customHeight="1">
      <c r="A7006" s="4" t="s">
        <v>15631</v>
      </c>
      <c r="B7006" s="5" t="s">
        <v>15632</v>
      </c>
      <c r="C7006" s="5" t="s">
        <v>32</v>
      </c>
      <c r="D7006" s="5" t="s">
        <v>33</v>
      </c>
      <c r="E7006" s="5" t="s">
        <v>179</v>
      </c>
      <c r="F7006" s="9">
        <v>11</v>
      </c>
      <c r="G7006" s="9">
        <v>138</v>
      </c>
      <c r="H7006" s="5" t="s">
        <v>21</v>
      </c>
      <c r="I7006" s="5" t="s">
        <v>15633</v>
      </c>
      <c r="J7006" s="12" t="str">
        <f>HYPERLINK("https://www.boe.es/gazeta/dias/1801/02/06/pdfs/GMD-1801-11.pdf#page=11","Abrir facsímil")</f>
        <v>Abrir facsímil</v>
      </c>
      <c r="K7006" s="15" t="s">
        <v>23</v>
      </c>
    </row>
    <row r="7007" spans="1:11" ht="42" customHeight="1">
      <c r="A7007" s="4" t="s">
        <v>15634</v>
      </c>
      <c r="B7007" s="5" t="s">
        <v>15635</v>
      </c>
      <c r="C7007" s="5" t="s">
        <v>69</v>
      </c>
      <c r="D7007" s="5" t="s">
        <v>19</v>
      </c>
      <c r="E7007" s="5" t="s">
        <v>112</v>
      </c>
      <c r="F7007" s="9">
        <v>114</v>
      </c>
      <c r="G7007" s="9">
        <v>1248</v>
      </c>
      <c r="H7007" s="5" t="s">
        <v>21</v>
      </c>
      <c r="I7007" s="5" t="s">
        <v>15636</v>
      </c>
      <c r="J7007" s="12" t="str">
        <f>HYPERLINK("https://www.boe.es/gazeta/dias/1801/12/11/pdfs/GMD-1801-114.pdf#page=10","Abrir facsímil")</f>
        <v>Abrir facsímil</v>
      </c>
      <c r="K7007" s="15" t="s">
        <v>23</v>
      </c>
    </row>
    <row r="7008" spans="1:11" ht="42" customHeight="1">
      <c r="A7008" s="4" t="s">
        <v>15637</v>
      </c>
      <c r="B7008" s="5" t="s">
        <v>15638</v>
      </c>
      <c r="C7008" s="5" t="s">
        <v>80</v>
      </c>
      <c r="D7008" s="5" t="s">
        <v>81</v>
      </c>
      <c r="E7008" s="5" t="s">
        <v>289</v>
      </c>
      <c r="F7008" s="9">
        <v>40</v>
      </c>
      <c r="G7008" s="9" t="s">
        <v>502</v>
      </c>
      <c r="H7008" s="5" t="s">
        <v>21</v>
      </c>
      <c r="I7008" s="5" t="s">
        <v>15639</v>
      </c>
      <c r="J7008" s="12" t="str">
        <f>HYPERLINK("https://www.boe.es/gazeta/dias/1801/05/19/pdfs/GMD-C-1801-40.pdf#page=8","Abrir facsímil")</f>
        <v>Abrir facsímil</v>
      </c>
      <c r="K7008" s="15" t="s">
        <v>23</v>
      </c>
    </row>
    <row r="7009" spans="1:11" ht="42" customHeight="1">
      <c r="A7009" s="4" t="s">
        <v>15640</v>
      </c>
      <c r="B7009" s="5" t="s">
        <v>15641</v>
      </c>
      <c r="C7009" s="5" t="s">
        <v>32</v>
      </c>
      <c r="D7009" s="5" t="s">
        <v>33</v>
      </c>
      <c r="E7009" s="5" t="s">
        <v>135</v>
      </c>
      <c r="F7009" s="9">
        <v>24</v>
      </c>
      <c r="G7009" s="9">
        <v>318</v>
      </c>
      <c r="H7009" s="5" t="s">
        <v>21</v>
      </c>
      <c r="I7009" s="5" t="s">
        <v>15642</v>
      </c>
      <c r="J7009" s="12" t="str">
        <f>HYPERLINK("https://www.boe.es/gazeta/dias/1801/03/24/pdfs/GMD-1801-24.pdf#page=9","Abrir facsímil")</f>
        <v>Abrir facsímil</v>
      </c>
      <c r="K7009" s="15" t="s">
        <v>23</v>
      </c>
    </row>
    <row r="7010" spans="1:11" ht="42" customHeight="1">
      <c r="A7010" s="4" t="s">
        <v>15643</v>
      </c>
      <c r="B7010" s="5" t="s">
        <v>15644</v>
      </c>
      <c r="C7010" s="5" t="s">
        <v>69</v>
      </c>
      <c r="D7010" s="5" t="s">
        <v>19</v>
      </c>
      <c r="E7010" s="5" t="s">
        <v>448</v>
      </c>
      <c r="F7010" s="9">
        <v>35</v>
      </c>
      <c r="G7010" s="9">
        <v>454</v>
      </c>
      <c r="H7010" s="5" t="s">
        <v>21</v>
      </c>
      <c r="I7010" s="5" t="s">
        <v>15645</v>
      </c>
      <c r="J7010" s="12" t="str">
        <f>HYPERLINK("https://www.boe.es/gazeta/dias/1801/05/01/pdfs/GMD-1801-35.pdf#page=10","Abrir facsímil")</f>
        <v>Abrir facsímil</v>
      </c>
      <c r="K7010" s="15" t="s">
        <v>23</v>
      </c>
    </row>
    <row r="7011" spans="1:11" ht="42" customHeight="1">
      <c r="A7011" s="4" t="s">
        <v>15646</v>
      </c>
      <c r="B7011" s="5" t="s">
        <v>15647</v>
      </c>
      <c r="C7011" s="5" t="s">
        <v>32</v>
      </c>
      <c r="D7011" s="5" t="s">
        <v>33</v>
      </c>
      <c r="E7011" s="5" t="s">
        <v>448</v>
      </c>
      <c r="F7011" s="9">
        <v>35</v>
      </c>
      <c r="G7011" s="9">
        <v>454</v>
      </c>
      <c r="H7011" s="5" t="s">
        <v>21</v>
      </c>
      <c r="I7011" s="5" t="s">
        <v>15648</v>
      </c>
      <c r="J7011" s="12" t="str">
        <f>HYPERLINK("https://www.boe.es/gazeta/dias/1801/05/01/pdfs/GMD-1801-35.pdf#page=10","Abrir facsímil")</f>
        <v>Abrir facsímil</v>
      </c>
      <c r="K7011" s="15" t="s">
        <v>23</v>
      </c>
    </row>
    <row r="7012" spans="1:11" ht="42" customHeight="1">
      <c r="A7012" s="4" t="s">
        <v>15649</v>
      </c>
      <c r="B7012" s="5" t="s">
        <v>15650</v>
      </c>
      <c r="C7012" s="5" t="s">
        <v>75</v>
      </c>
      <c r="D7012" s="5" t="s">
        <v>76</v>
      </c>
      <c r="E7012" s="5" t="s">
        <v>338</v>
      </c>
      <c r="F7012" s="9">
        <v>83</v>
      </c>
      <c r="G7012" s="9">
        <v>933</v>
      </c>
      <c r="H7012" s="5" t="s">
        <v>21</v>
      </c>
      <c r="I7012" s="5" t="s">
        <v>15651</v>
      </c>
      <c r="J7012" s="12" t="str">
        <f>HYPERLINK("https://www.boe.es/gazeta/dias/1801/09/01/pdfs/GMD-1801-83.pdf#page=8","Abrir facsímil")</f>
        <v>Abrir facsímil</v>
      </c>
      <c r="K7012" s="15" t="s">
        <v>23</v>
      </c>
    </row>
    <row r="7013" spans="1:11" ht="42" customHeight="1">
      <c r="A7013" s="4" t="s">
        <v>15652</v>
      </c>
      <c r="B7013" s="5" t="s">
        <v>15653</v>
      </c>
      <c r="C7013" s="5" t="s">
        <v>32</v>
      </c>
      <c r="D7013" s="5" t="s">
        <v>33</v>
      </c>
      <c r="E7013" s="5" t="s">
        <v>751</v>
      </c>
      <c r="F7013" s="9">
        <v>106</v>
      </c>
      <c r="G7013" s="9">
        <v>1165</v>
      </c>
      <c r="H7013" s="5" t="s">
        <v>21</v>
      </c>
      <c r="I7013" s="5" t="s">
        <v>15654</v>
      </c>
      <c r="J7013" s="12" t="str">
        <f>HYPERLINK("https://www.boe.es/gazeta/dias/1801/11/13/pdfs/GMD-1801-106.pdf#page=6","Abrir facsímil")</f>
        <v>Abrir facsímil</v>
      </c>
      <c r="K7013" s="15" t="s">
        <v>23</v>
      </c>
    </row>
    <row r="7014" spans="1:11" ht="42" customHeight="1">
      <c r="A7014" s="4" t="s">
        <v>15655</v>
      </c>
      <c r="B7014" s="5" t="s">
        <v>15656</v>
      </c>
      <c r="C7014" s="5" t="s">
        <v>69</v>
      </c>
      <c r="D7014" s="5" t="s">
        <v>19</v>
      </c>
      <c r="E7014" s="5" t="s">
        <v>254</v>
      </c>
      <c r="F7014" s="9">
        <v>73</v>
      </c>
      <c r="G7014" s="9">
        <v>815</v>
      </c>
      <c r="H7014" s="5" t="s">
        <v>21</v>
      </c>
      <c r="I7014" s="5" t="s">
        <v>15657</v>
      </c>
      <c r="J7014" s="12" t="str">
        <f>HYPERLINK("https://www.boe.es/gazeta/dias/1801/07/28/pdfs/GMD-1801-73.pdf#page=8","Abrir facsímil")</f>
        <v>Abrir facsímil</v>
      </c>
      <c r="K7014" s="15" t="s">
        <v>23</v>
      </c>
    </row>
    <row r="7015" spans="1:11" ht="42" customHeight="1">
      <c r="A7015" s="4" t="s">
        <v>15658</v>
      </c>
      <c r="B7015" s="5" t="s">
        <v>15659</v>
      </c>
      <c r="C7015" s="5" t="s">
        <v>32</v>
      </c>
      <c r="D7015" s="5" t="s">
        <v>33</v>
      </c>
      <c r="E7015" s="5" t="s">
        <v>90</v>
      </c>
      <c r="F7015" s="9">
        <v>1</v>
      </c>
      <c r="G7015" s="9">
        <v>9</v>
      </c>
      <c r="H7015" s="5" t="s">
        <v>21</v>
      </c>
      <c r="I7015" s="5" t="s">
        <v>15660</v>
      </c>
      <c r="J7015" s="12" t="str">
        <f>HYPERLINK("https://www.boe.es/gazeta/dias/1801/01/02/pdfs/GMD-1801-1.pdf#page=9","Abrir facsímil")</f>
        <v>Abrir facsímil</v>
      </c>
      <c r="K7015" s="15" t="s">
        <v>23</v>
      </c>
    </row>
    <row r="7016" spans="1:11" ht="42" customHeight="1">
      <c r="A7016" s="4" t="s">
        <v>15661</v>
      </c>
      <c r="B7016" s="5" t="s">
        <v>15662</v>
      </c>
      <c r="C7016" s="5" t="s">
        <v>69</v>
      </c>
      <c r="D7016" s="5" t="s">
        <v>19</v>
      </c>
      <c r="E7016" s="5" t="s">
        <v>94</v>
      </c>
      <c r="F7016" s="9">
        <v>19</v>
      </c>
      <c r="G7016" s="9">
        <v>244</v>
      </c>
      <c r="H7016" s="5" t="s">
        <v>21</v>
      </c>
      <c r="I7016" s="5" t="s">
        <v>15663</v>
      </c>
      <c r="J7016" s="12" t="str">
        <f>HYPERLINK("https://www.boe.es/gazeta/dias/1801/03/06/pdfs/GMD-1801-19.pdf#page=9","Abrir facsímil")</f>
        <v>Abrir facsímil</v>
      </c>
      <c r="K7016" s="15" t="s">
        <v>23</v>
      </c>
    </row>
    <row r="7017" spans="1:11" ht="42" customHeight="1">
      <c r="A7017" s="4" t="s">
        <v>15664</v>
      </c>
      <c r="B7017" s="5" t="s">
        <v>15665</v>
      </c>
      <c r="C7017" s="5" t="s">
        <v>38</v>
      </c>
      <c r="D7017" s="5" t="s">
        <v>39</v>
      </c>
      <c r="E7017" s="5" t="s">
        <v>453</v>
      </c>
      <c r="F7017" s="9">
        <v>100</v>
      </c>
      <c r="G7017" s="9">
        <v>1099</v>
      </c>
      <c r="H7017" s="5" t="s">
        <v>21</v>
      </c>
      <c r="I7017" s="5" t="s">
        <v>15666</v>
      </c>
      <c r="J7017" s="12" t="str">
        <f>HYPERLINK("https://www.boe.es/gazeta/dias/1801/10/23/pdfs/GMD-1801-100.pdf#page=8","Abrir facsímil")</f>
        <v>Abrir facsímil</v>
      </c>
      <c r="K7017" s="15" t="s">
        <v>23</v>
      </c>
    </row>
    <row r="7018" spans="1:11" ht="42" customHeight="1">
      <c r="A7018" s="4" t="s">
        <v>15667</v>
      </c>
      <c r="B7018" s="5" t="s">
        <v>15668</v>
      </c>
      <c r="C7018" s="5" t="s">
        <v>69</v>
      </c>
      <c r="D7018" s="5" t="s">
        <v>19</v>
      </c>
      <c r="E7018" s="5" t="s">
        <v>158</v>
      </c>
      <c r="F7018" s="9">
        <v>55</v>
      </c>
      <c r="G7018" s="9">
        <v>631</v>
      </c>
      <c r="H7018" s="5" t="s">
        <v>21</v>
      </c>
      <c r="I7018" s="5" t="s">
        <v>15669</v>
      </c>
      <c r="J7018" s="12" t="str">
        <f>HYPERLINK("https://www.boe.es/gazeta/dias/1801/06/16/pdfs/GMD-1801-55.pdf#page=7","Abrir facsímil")</f>
        <v>Abrir facsímil</v>
      </c>
      <c r="K7018" s="15" t="s">
        <v>23</v>
      </c>
    </row>
    <row r="7019" spans="1:11" ht="42" customHeight="1">
      <c r="A7019" s="4" t="s">
        <v>15667</v>
      </c>
      <c r="B7019" s="5" t="s">
        <v>15668</v>
      </c>
      <c r="C7019" s="5" t="s">
        <v>32</v>
      </c>
      <c r="D7019" s="5" t="s">
        <v>33</v>
      </c>
      <c r="E7019" s="5" t="s">
        <v>201</v>
      </c>
      <c r="F7019" s="9">
        <v>79</v>
      </c>
      <c r="G7019" s="9">
        <v>889</v>
      </c>
      <c r="H7019" s="5" t="s">
        <v>21</v>
      </c>
      <c r="I7019" s="5" t="s">
        <v>15670</v>
      </c>
      <c r="J7019" s="12" t="str">
        <f>HYPERLINK("https://www.boe.es/gazeta/dias/1801/08/18/pdfs/GMD-1801-79.pdf#page=6","Abrir facsímil")</f>
        <v>Abrir facsímil</v>
      </c>
      <c r="K7019" s="15" t="s">
        <v>23</v>
      </c>
    </row>
    <row r="7020" spans="1:11" ht="42" customHeight="1">
      <c r="A7020" s="4" t="s">
        <v>15671</v>
      </c>
      <c r="B7020" s="5" t="s">
        <v>15672</v>
      </c>
      <c r="C7020" s="5" t="s">
        <v>32</v>
      </c>
      <c r="D7020" s="5" t="s">
        <v>33</v>
      </c>
      <c r="E7020" s="5" t="s">
        <v>465</v>
      </c>
      <c r="F7020" s="9">
        <v>4</v>
      </c>
      <c r="G7020" s="9">
        <v>46</v>
      </c>
      <c r="H7020" s="5" t="s">
        <v>21</v>
      </c>
      <c r="I7020" s="5" t="s">
        <v>15673</v>
      </c>
      <c r="J7020" s="12" t="str">
        <f>HYPERLINK("https://www.boe.es/gazeta/dias/1801/01/13/pdfs/GMD-1801-4.pdf#page=10","Abrir facsímil")</f>
        <v>Abrir facsímil</v>
      </c>
      <c r="K7020" s="15" t="s">
        <v>23</v>
      </c>
    </row>
    <row r="7021" spans="1:11" ht="42" customHeight="1">
      <c r="A7021" s="4" t="s">
        <v>15671</v>
      </c>
      <c r="B7021" s="5" t="s">
        <v>15672</v>
      </c>
      <c r="C7021" s="5" t="s">
        <v>32</v>
      </c>
      <c r="D7021" s="5" t="s">
        <v>33</v>
      </c>
      <c r="E7021" s="5" t="s">
        <v>151</v>
      </c>
      <c r="F7021" s="9">
        <v>45</v>
      </c>
      <c r="G7021" s="9">
        <v>561</v>
      </c>
      <c r="H7021" s="5" t="s">
        <v>21</v>
      </c>
      <c r="I7021" s="5" t="s">
        <v>15674</v>
      </c>
      <c r="J7021" s="12" t="str">
        <f>HYPERLINK("https://www.boe.es/gazeta/dias/1801/06/02/pdfs/GMD-1801-45.pdf#page=9","Abrir facsímil")</f>
        <v>Abrir facsímil</v>
      </c>
      <c r="K7021" s="15" t="s">
        <v>23</v>
      </c>
    </row>
    <row r="7022" spans="1:11" ht="42" customHeight="1">
      <c r="A7022" s="4" t="s">
        <v>15675</v>
      </c>
      <c r="B7022" s="5" t="s">
        <v>15676</v>
      </c>
      <c r="C7022" s="5" t="s">
        <v>32</v>
      </c>
      <c r="D7022" s="5" t="s">
        <v>33</v>
      </c>
      <c r="E7022" s="5" t="s">
        <v>90</v>
      </c>
      <c r="F7022" s="9">
        <v>1</v>
      </c>
      <c r="G7022" s="9">
        <v>9</v>
      </c>
      <c r="H7022" s="5" t="s">
        <v>21</v>
      </c>
      <c r="I7022" s="5" t="s">
        <v>15677</v>
      </c>
      <c r="J7022" s="12" t="str">
        <f>HYPERLINK("https://www.boe.es/gazeta/dias/1801/01/02/pdfs/GMD-1801-1.pdf#page=9","Abrir facsímil")</f>
        <v>Abrir facsímil</v>
      </c>
      <c r="K7022" s="15" t="s">
        <v>23</v>
      </c>
    </row>
    <row r="7023" spans="1:11" ht="42" customHeight="1">
      <c r="A7023" s="4" t="s">
        <v>15678</v>
      </c>
      <c r="B7023" s="5" t="s">
        <v>15679</v>
      </c>
      <c r="C7023" s="5" t="s">
        <v>32</v>
      </c>
      <c r="D7023" s="5" t="s">
        <v>33</v>
      </c>
      <c r="E7023" s="5" t="s">
        <v>359</v>
      </c>
      <c r="F7023" s="9">
        <v>101</v>
      </c>
      <c r="G7023" s="9">
        <v>1113</v>
      </c>
      <c r="H7023" s="5" t="s">
        <v>21</v>
      </c>
      <c r="I7023" s="5" t="s">
        <v>15680</v>
      </c>
      <c r="J7023" s="12" t="str">
        <f>HYPERLINK("https://www.boe.es/gazeta/dias/1801/10/27/pdfs/GMD-1801-101.pdf#page=6","Abrir facsímil")</f>
        <v>Abrir facsímil</v>
      </c>
      <c r="K7023" s="15" t="s">
        <v>23</v>
      </c>
    </row>
    <row r="7024" spans="1:11" ht="42" customHeight="1">
      <c r="A7024" s="4" t="s">
        <v>15681</v>
      </c>
      <c r="B7024" s="5" t="s">
        <v>15682</v>
      </c>
      <c r="C7024" s="5" t="s">
        <v>32</v>
      </c>
      <c r="D7024" s="5" t="s">
        <v>33</v>
      </c>
      <c r="E7024" s="5" t="s">
        <v>77</v>
      </c>
      <c r="F7024" s="9">
        <v>93</v>
      </c>
      <c r="G7024" s="9">
        <v>1020</v>
      </c>
      <c r="H7024" s="5" t="s">
        <v>21</v>
      </c>
      <c r="I7024" s="5" t="s">
        <v>15683</v>
      </c>
      <c r="J7024" s="12" t="str">
        <f>HYPERLINK("https://www.boe.es/gazeta/dias/1801/09/29/pdfs/GMD-1801-93.pdf#page=7","Abrir facsímil")</f>
        <v>Abrir facsímil</v>
      </c>
      <c r="K7024" s="15" t="s">
        <v>23</v>
      </c>
    </row>
    <row r="7025" spans="1:11" ht="42" customHeight="1">
      <c r="A7025" s="4" t="s">
        <v>15681</v>
      </c>
      <c r="B7025" s="5" t="s">
        <v>15682</v>
      </c>
      <c r="C7025" s="5" t="s">
        <v>26</v>
      </c>
      <c r="D7025" s="5" t="s">
        <v>27</v>
      </c>
      <c r="E7025" s="5" t="s">
        <v>453</v>
      </c>
      <c r="F7025" s="9">
        <v>100</v>
      </c>
      <c r="G7025" s="9">
        <v>1102</v>
      </c>
      <c r="H7025" s="5" t="s">
        <v>21</v>
      </c>
      <c r="I7025" s="5" t="s">
        <v>15684</v>
      </c>
      <c r="J7025" s="12" t="str">
        <f>HYPERLINK("https://www.boe.es/gazeta/dias/1801/10/23/pdfs/GMD-1801-100.pdf#page=11","Abrir facsímil")</f>
        <v>Abrir facsímil</v>
      </c>
      <c r="K7025" s="15" t="s">
        <v>23</v>
      </c>
    </row>
    <row r="7026" spans="1:11" ht="42" customHeight="1">
      <c r="A7026" s="4" t="s">
        <v>15685</v>
      </c>
      <c r="B7026" s="5" t="s">
        <v>15686</v>
      </c>
      <c r="C7026" s="5" t="s">
        <v>32</v>
      </c>
      <c r="D7026" s="5" t="s">
        <v>33</v>
      </c>
      <c r="E7026" s="5" t="s">
        <v>44</v>
      </c>
      <c r="F7026" s="9">
        <v>117</v>
      </c>
      <c r="G7026" s="9">
        <v>1282</v>
      </c>
      <c r="H7026" s="5" t="s">
        <v>21</v>
      </c>
      <c r="I7026" s="5" t="s">
        <v>15687</v>
      </c>
      <c r="J7026" s="12" t="str">
        <f>HYPERLINK("https://www.boe.es/gazeta/dias/1801/12/22/pdfs/GMD-1801-117.pdf#page=9","Abrir facsímil")</f>
        <v>Abrir facsímil</v>
      </c>
      <c r="K7026" s="15" t="s">
        <v>23</v>
      </c>
    </row>
    <row r="7027" spans="1:11" ht="42" customHeight="1">
      <c r="A7027" s="4" t="s">
        <v>15688</v>
      </c>
      <c r="B7027" s="5" t="s">
        <v>15689</v>
      </c>
      <c r="C7027" s="5" t="s">
        <v>32</v>
      </c>
      <c r="D7027" s="5" t="s">
        <v>33</v>
      </c>
      <c r="E7027" s="5" t="s">
        <v>275</v>
      </c>
      <c r="F7027" s="9">
        <v>9</v>
      </c>
      <c r="G7027" s="9">
        <v>112</v>
      </c>
      <c r="H7027" s="5" t="s">
        <v>21</v>
      </c>
      <c r="I7027" s="5" t="s">
        <v>15690</v>
      </c>
      <c r="J7027" s="12" t="str">
        <f>HYPERLINK("https://www.boe.es/gazeta/dias/1801/01/30/pdfs/GMD-1801-9.pdf#page=9","Abrir facsímil")</f>
        <v>Abrir facsímil</v>
      </c>
      <c r="K7027" s="15" t="s">
        <v>23</v>
      </c>
    </row>
    <row r="7028" spans="1:11" ht="42" customHeight="1">
      <c r="A7028" s="4" t="s">
        <v>15688</v>
      </c>
      <c r="B7028" s="5" t="s">
        <v>15689</v>
      </c>
      <c r="C7028" s="5" t="s">
        <v>32</v>
      </c>
      <c r="D7028" s="5" t="s">
        <v>33</v>
      </c>
      <c r="E7028" s="5" t="s">
        <v>1015</v>
      </c>
      <c r="F7028" s="9">
        <v>15</v>
      </c>
      <c r="G7028" s="9">
        <v>190</v>
      </c>
      <c r="H7028" s="5" t="s">
        <v>21</v>
      </c>
      <c r="I7028" s="5" t="s">
        <v>15691</v>
      </c>
      <c r="J7028" s="12" t="str">
        <f>HYPERLINK("https://www.boe.es/gazeta/dias/1801/02/20/pdfs/GMD-1801-15.pdf#page=9","Abrir facsímil")</f>
        <v>Abrir facsímil</v>
      </c>
      <c r="K7028" s="15" t="s">
        <v>23</v>
      </c>
    </row>
    <row r="7029" spans="1:11" ht="42" customHeight="1">
      <c r="A7029" s="4" t="s">
        <v>15688</v>
      </c>
      <c r="B7029" s="5" t="s">
        <v>15689</v>
      </c>
      <c r="C7029" s="5" t="s">
        <v>32</v>
      </c>
      <c r="D7029" s="5" t="s">
        <v>33</v>
      </c>
      <c r="E7029" s="5" t="s">
        <v>328</v>
      </c>
      <c r="F7029" s="9">
        <v>89</v>
      </c>
      <c r="G7029" s="9">
        <v>983</v>
      </c>
      <c r="H7029" s="5" t="s">
        <v>21</v>
      </c>
      <c r="I7029" s="5" t="s">
        <v>15692</v>
      </c>
      <c r="J7029" s="12" t="str">
        <f>HYPERLINK("https://www.boe.es/gazeta/dias/1801/09/15/pdfs/GMD-1801-89.pdf#page=10","Abrir facsímil")</f>
        <v>Abrir facsímil</v>
      </c>
      <c r="K7029" s="15" t="s">
        <v>23</v>
      </c>
    </row>
    <row r="7030" spans="1:11" ht="42" customHeight="1">
      <c r="A7030" s="4" t="s">
        <v>15693</v>
      </c>
      <c r="B7030" s="5" t="s">
        <v>15694</v>
      </c>
      <c r="C7030" s="5" t="s">
        <v>38</v>
      </c>
      <c r="D7030" s="5" t="s">
        <v>39</v>
      </c>
      <c r="E7030" s="5" t="s">
        <v>131</v>
      </c>
      <c r="F7030" s="9">
        <v>22</v>
      </c>
      <c r="G7030" s="9">
        <v>290</v>
      </c>
      <c r="H7030" s="5" t="s">
        <v>21</v>
      </c>
      <c r="I7030" s="5" t="s">
        <v>15695</v>
      </c>
      <c r="J7030" s="12" t="str">
        <f>HYPERLINK("https://www.boe.es/gazeta/dias/1801/03/17/pdfs/GMD-1801-22.pdf#page=7","Abrir facsímil")</f>
        <v>Abrir facsímil</v>
      </c>
      <c r="K7030" s="15" t="s">
        <v>23</v>
      </c>
    </row>
    <row r="7031" spans="1:11" ht="42" customHeight="1">
      <c r="A7031" s="4" t="s">
        <v>15696</v>
      </c>
      <c r="B7031" s="5" t="s">
        <v>15697</v>
      </c>
      <c r="C7031" s="5" t="s">
        <v>32</v>
      </c>
      <c r="D7031" s="5" t="s">
        <v>33</v>
      </c>
      <c r="E7031" s="5" t="s">
        <v>453</v>
      </c>
      <c r="F7031" s="9">
        <v>100</v>
      </c>
      <c r="G7031" s="9">
        <v>1100</v>
      </c>
      <c r="H7031" s="5" t="s">
        <v>21</v>
      </c>
      <c r="I7031" s="5" t="s">
        <v>15698</v>
      </c>
      <c r="J7031" s="12" t="str">
        <f>HYPERLINK("https://www.boe.es/gazeta/dias/1801/10/23/pdfs/GMD-1801-100.pdf#page=9","Abrir facsímil")</f>
        <v>Abrir facsímil</v>
      </c>
      <c r="K7031" s="15" t="s">
        <v>23</v>
      </c>
    </row>
    <row r="7032" spans="1:11" ht="42" customHeight="1">
      <c r="A7032" s="4" t="s">
        <v>15699</v>
      </c>
      <c r="B7032" s="5" t="s">
        <v>15700</v>
      </c>
      <c r="C7032" s="5" t="s">
        <v>32</v>
      </c>
      <c r="D7032" s="5" t="s">
        <v>33</v>
      </c>
      <c r="E7032" s="5" t="s">
        <v>764</v>
      </c>
      <c r="F7032" s="9">
        <v>80</v>
      </c>
      <c r="G7032" s="9">
        <v>898</v>
      </c>
      <c r="H7032" s="5" t="s">
        <v>21</v>
      </c>
      <c r="I7032" s="5" t="s">
        <v>15701</v>
      </c>
      <c r="J7032" s="12" t="str">
        <f>HYPERLINK("https://www.boe.es/gazeta/dias/1801/08/21/pdfs/GMD-1801-80.pdf#page=7","Abrir facsímil")</f>
        <v>Abrir facsímil</v>
      </c>
      <c r="K7032" s="15" t="s">
        <v>23</v>
      </c>
    </row>
    <row r="7033" spans="1:11" ht="42" customHeight="1">
      <c r="A7033" s="4" t="s">
        <v>15702</v>
      </c>
      <c r="B7033" s="5" t="s">
        <v>15703</v>
      </c>
      <c r="C7033" s="5" t="s">
        <v>75</v>
      </c>
      <c r="D7033" s="5" t="s">
        <v>76</v>
      </c>
      <c r="E7033" s="5" t="s">
        <v>66</v>
      </c>
      <c r="F7033" s="9">
        <v>52</v>
      </c>
      <c r="G7033" s="9">
        <v>605</v>
      </c>
      <c r="H7033" s="5" t="s">
        <v>21</v>
      </c>
      <c r="I7033" s="5" t="s">
        <v>15704</v>
      </c>
      <c r="J7033" s="12" t="str">
        <f>HYPERLINK("https://www.boe.es/gazeta/dias/1801/06/12/pdfs/GMD-1801-52.pdf#page=4","Abrir facsímil")</f>
        <v>Abrir facsímil</v>
      </c>
      <c r="K7033" s="15" t="s">
        <v>23</v>
      </c>
    </row>
    <row r="7034" spans="1:11" ht="42" customHeight="1">
      <c r="A7034" s="4" t="s">
        <v>15702</v>
      </c>
      <c r="B7034" s="5" t="s">
        <v>15703</v>
      </c>
      <c r="C7034" s="5" t="s">
        <v>75</v>
      </c>
      <c r="D7034" s="5" t="s">
        <v>76</v>
      </c>
      <c r="E7034" s="5" t="s">
        <v>165</v>
      </c>
      <c r="F7034" s="9">
        <v>59</v>
      </c>
      <c r="G7034" s="9">
        <v>674</v>
      </c>
      <c r="H7034" s="5" t="s">
        <v>21</v>
      </c>
      <c r="I7034" s="5" t="s">
        <v>15705</v>
      </c>
      <c r="J7034" s="12" t="str">
        <f>HYPERLINK("https://www.boe.es/gazeta/dias/1801/06/23/pdfs/GMD-1801-59.pdf#page=7","Abrir facsímil")</f>
        <v>Abrir facsímil</v>
      </c>
      <c r="K7034" s="15" t="s">
        <v>23</v>
      </c>
    </row>
    <row r="7035" spans="1:11" ht="42" customHeight="1">
      <c r="A7035" s="4" t="s">
        <v>15706</v>
      </c>
      <c r="B7035" s="5" t="s">
        <v>15707</v>
      </c>
      <c r="C7035" s="5" t="s">
        <v>32</v>
      </c>
      <c r="D7035" s="5" t="s">
        <v>33</v>
      </c>
      <c r="E7035" s="5" t="s">
        <v>615</v>
      </c>
      <c r="F7035" s="9">
        <v>72</v>
      </c>
      <c r="G7035" s="9">
        <v>805</v>
      </c>
      <c r="H7035" s="5" t="s">
        <v>21</v>
      </c>
      <c r="I7035" s="5" t="s">
        <v>15708</v>
      </c>
      <c r="J7035" s="12" t="str">
        <f>HYPERLINK("https://www.boe.es/gazeta/dias/1801/07/24/pdfs/GMD-1801-72.pdf#page=10","Abrir facsímil")</f>
        <v>Abrir facsímil</v>
      </c>
      <c r="K7035" s="15" t="s">
        <v>23</v>
      </c>
    </row>
    <row r="7036" spans="1:11" ht="42" customHeight="1">
      <c r="A7036" s="4" t="s">
        <v>15709</v>
      </c>
      <c r="B7036" s="5" t="s">
        <v>15710</v>
      </c>
      <c r="C7036" s="5" t="s">
        <v>32</v>
      </c>
      <c r="D7036" s="5" t="s">
        <v>33</v>
      </c>
      <c r="E7036" s="5" t="s">
        <v>702</v>
      </c>
      <c r="F7036" s="9">
        <v>69</v>
      </c>
      <c r="G7036" s="9">
        <v>763</v>
      </c>
      <c r="H7036" s="5" t="s">
        <v>21</v>
      </c>
      <c r="I7036" s="5" t="s">
        <v>15711</v>
      </c>
      <c r="J7036" s="12" t="str">
        <f>HYPERLINK("https://www.boe.es/gazeta/dias/1801/07/14/pdfs/GMD-1801-69.pdf#page=8","Abrir facsímil")</f>
        <v>Abrir facsímil</v>
      </c>
      <c r="K7036" s="15" t="s">
        <v>23</v>
      </c>
    </row>
    <row r="7037" spans="1:11" ht="42" customHeight="1">
      <c r="A7037" s="4" t="s">
        <v>15712</v>
      </c>
      <c r="B7037" s="5" t="s">
        <v>15713</v>
      </c>
      <c r="C7037" s="5" t="s">
        <v>32</v>
      </c>
      <c r="D7037" s="5" t="s">
        <v>33</v>
      </c>
      <c r="E7037" s="5" t="s">
        <v>221</v>
      </c>
      <c r="F7037" s="9">
        <v>28</v>
      </c>
      <c r="G7037" s="9">
        <v>370</v>
      </c>
      <c r="H7037" s="5" t="s">
        <v>21</v>
      </c>
      <c r="I7037" s="5" t="s">
        <v>15714</v>
      </c>
      <c r="J7037" s="12" t="str">
        <f>HYPERLINK("https://www.boe.es/gazeta/dias/1801/04/07/pdfs/GMD-1801-28.pdf#page=10","Abrir facsímil")</f>
        <v>Abrir facsímil</v>
      </c>
      <c r="K7037" s="15" t="s">
        <v>23</v>
      </c>
    </row>
    <row r="7038" spans="1:11" ht="42" customHeight="1">
      <c r="A7038" s="4" t="s">
        <v>15715</v>
      </c>
      <c r="B7038" s="5" t="s">
        <v>15716</v>
      </c>
      <c r="C7038" s="5" t="s">
        <v>32</v>
      </c>
      <c r="D7038" s="5" t="s">
        <v>33</v>
      </c>
      <c r="E7038" s="5" t="s">
        <v>313</v>
      </c>
      <c r="F7038" s="9">
        <v>39</v>
      </c>
      <c r="G7038" s="9">
        <v>505</v>
      </c>
      <c r="H7038" s="5" t="s">
        <v>21</v>
      </c>
      <c r="I7038" s="5" t="s">
        <v>15717</v>
      </c>
      <c r="J7038" s="12" t="str">
        <f>HYPERLINK("https://www.boe.es/gazeta/dias/1801/05/15/pdfs/GMD-1801-39.pdf#page=9","Abrir facsímil")</f>
        <v>Abrir facsímil</v>
      </c>
      <c r="K7038" s="15" t="s">
        <v>23</v>
      </c>
    </row>
    <row r="7039" spans="1:11" ht="42" customHeight="1">
      <c r="A7039" s="4" t="s">
        <v>15718</v>
      </c>
      <c r="B7039" s="5" t="s">
        <v>15719</v>
      </c>
      <c r="C7039" s="5" t="s">
        <v>69</v>
      </c>
      <c r="D7039" s="5" t="s">
        <v>19</v>
      </c>
      <c r="E7039" s="5" t="s">
        <v>453</v>
      </c>
      <c r="F7039" s="9">
        <v>100</v>
      </c>
      <c r="G7039" s="9">
        <v>1100</v>
      </c>
      <c r="H7039" s="5" t="s">
        <v>21</v>
      </c>
      <c r="I7039" s="5" t="s">
        <v>15720</v>
      </c>
      <c r="J7039" s="12" t="str">
        <f>HYPERLINK("https://www.boe.es/gazeta/dias/1801/10/23/pdfs/GMD-1801-100.pdf#page=9","Abrir facsímil")</f>
        <v>Abrir facsímil</v>
      </c>
      <c r="K7039" s="15" t="s">
        <v>23</v>
      </c>
    </row>
    <row r="7040" spans="1:11" ht="42" customHeight="1">
      <c r="A7040" s="4" t="s">
        <v>15721</v>
      </c>
      <c r="B7040" s="5" t="s">
        <v>15722</v>
      </c>
      <c r="C7040" s="5" t="s">
        <v>32</v>
      </c>
      <c r="D7040" s="5" t="s">
        <v>33</v>
      </c>
      <c r="E7040" s="5" t="s">
        <v>919</v>
      </c>
      <c r="F7040" s="9">
        <v>91</v>
      </c>
      <c r="G7040" s="9">
        <v>1003</v>
      </c>
      <c r="H7040" s="5" t="s">
        <v>21</v>
      </c>
      <c r="I7040" s="5" t="s">
        <v>15723</v>
      </c>
      <c r="J7040" s="12" t="str">
        <f>HYPERLINK("https://www.boe.es/gazeta/dias/1801/09/22/pdfs/GMD-1801-91.pdf#page=6","Abrir facsímil")</f>
        <v>Abrir facsímil</v>
      </c>
      <c r="K7040" s="15" t="s">
        <v>23</v>
      </c>
    </row>
    <row r="7041" spans="1:11" ht="42" customHeight="1">
      <c r="A7041" s="4" t="s">
        <v>15724</v>
      </c>
      <c r="B7041" s="5" t="s">
        <v>15725</v>
      </c>
      <c r="C7041" s="5" t="s">
        <v>26</v>
      </c>
      <c r="D7041" s="5" t="s">
        <v>27</v>
      </c>
      <c r="E7041" s="5" t="s">
        <v>190</v>
      </c>
      <c r="F7041" s="9">
        <v>16</v>
      </c>
      <c r="G7041" s="9">
        <v>204</v>
      </c>
      <c r="H7041" s="5" t="s">
        <v>21</v>
      </c>
      <c r="I7041" s="5" t="s">
        <v>15726</v>
      </c>
      <c r="J7041" s="12" t="str">
        <f>HYPERLINK("https://www.boe.es/gazeta/dias/1801/02/24/pdfs/GMD-1801-16.pdf#page=11","Abrir facsímil")</f>
        <v>Abrir facsímil</v>
      </c>
      <c r="K7041" s="15" t="s">
        <v>23</v>
      </c>
    </row>
    <row r="7042" spans="1:11" ht="42" customHeight="1">
      <c r="A7042" s="4" t="s">
        <v>15727</v>
      </c>
      <c r="B7042" s="5" t="s">
        <v>15728</v>
      </c>
      <c r="C7042" s="5" t="s">
        <v>26</v>
      </c>
      <c r="D7042" s="5" t="s">
        <v>27</v>
      </c>
      <c r="E7042" s="5" t="s">
        <v>143</v>
      </c>
      <c r="F7042" s="9">
        <v>34</v>
      </c>
      <c r="G7042" s="9">
        <v>440</v>
      </c>
      <c r="H7042" s="5" t="s">
        <v>21</v>
      </c>
      <c r="I7042" s="5" t="s">
        <v>15729</v>
      </c>
      <c r="J7042" s="12" t="str">
        <f>HYPERLINK("https://www.boe.es/gazeta/dias/1801/04/28/pdfs/GMD-1801-34.pdf#page=12","Abrir facsímil")</f>
        <v>Abrir facsímil</v>
      </c>
      <c r="K7042" s="15" t="s">
        <v>23</v>
      </c>
    </row>
    <row r="7043" spans="1:11" ht="42" customHeight="1">
      <c r="A7043" s="4" t="s">
        <v>15727</v>
      </c>
      <c r="B7043" s="5" t="s">
        <v>15728</v>
      </c>
      <c r="C7043" s="5" t="s">
        <v>26</v>
      </c>
      <c r="D7043" s="5" t="s">
        <v>27</v>
      </c>
      <c r="E7043" s="5" t="s">
        <v>101</v>
      </c>
      <c r="F7043" s="9">
        <v>41</v>
      </c>
      <c r="G7043" s="9">
        <v>524</v>
      </c>
      <c r="H7043" s="5" t="s">
        <v>21</v>
      </c>
      <c r="I7043" s="5" t="s">
        <v>15730</v>
      </c>
      <c r="J7043" s="12" t="str">
        <f>HYPERLINK("https://www.boe.es/gazeta/dias/1801/05/22/pdfs/GMD-1801-41.pdf#page=8","Abrir facsímil")</f>
        <v>Abrir facsímil</v>
      </c>
      <c r="K7043" s="15" t="s">
        <v>23</v>
      </c>
    </row>
    <row r="7044" spans="1:11" ht="42" customHeight="1">
      <c r="A7044" s="4" t="s">
        <v>15731</v>
      </c>
      <c r="B7044" s="5" t="s">
        <v>15732</v>
      </c>
      <c r="C7044" s="5" t="s">
        <v>26</v>
      </c>
      <c r="D7044" s="5" t="s">
        <v>27</v>
      </c>
      <c r="E7044" s="5" t="s">
        <v>764</v>
      </c>
      <c r="F7044" s="9">
        <v>80</v>
      </c>
      <c r="G7044" s="9">
        <v>898</v>
      </c>
      <c r="H7044" s="5" t="s">
        <v>21</v>
      </c>
      <c r="I7044" s="5" t="s">
        <v>15733</v>
      </c>
      <c r="J7044" s="12" t="str">
        <f>HYPERLINK("https://www.boe.es/gazeta/dias/1801/08/21/pdfs/GMD-1801-80.pdf#page=7","Abrir facsímil")</f>
        <v>Abrir facsímil</v>
      </c>
      <c r="K7044" s="15" t="s">
        <v>23</v>
      </c>
    </row>
    <row r="7045" spans="1:11" ht="42" customHeight="1">
      <c r="A7045" s="4" t="s">
        <v>15734</v>
      </c>
      <c r="B7045" s="5" t="s">
        <v>15735</v>
      </c>
      <c r="C7045" s="5" t="s">
        <v>32</v>
      </c>
      <c r="D7045" s="5" t="s">
        <v>33</v>
      </c>
      <c r="E7045" s="5" t="s">
        <v>781</v>
      </c>
      <c r="F7045" s="9">
        <v>14</v>
      </c>
      <c r="G7045" s="9">
        <v>173</v>
      </c>
      <c r="H7045" s="5" t="s">
        <v>21</v>
      </c>
      <c r="I7045" s="5" t="s">
        <v>15736</v>
      </c>
      <c r="J7045" s="12" t="str">
        <f>HYPERLINK("https://www.boe.es/gazeta/dias/1801/02/17/pdfs/GMD-1801-14.pdf#page=8","Abrir facsímil")</f>
        <v>Abrir facsímil</v>
      </c>
      <c r="K7045" s="15" t="s">
        <v>23</v>
      </c>
    </row>
    <row r="7046" spans="1:11" ht="42" customHeight="1">
      <c r="A7046" s="4" t="s">
        <v>15737</v>
      </c>
      <c r="B7046" s="5" t="s">
        <v>15738</v>
      </c>
      <c r="C7046" s="5" t="s">
        <v>38</v>
      </c>
      <c r="D7046" s="5" t="s">
        <v>39</v>
      </c>
      <c r="E7046" s="5" t="s">
        <v>99</v>
      </c>
      <c r="F7046" s="9">
        <v>32</v>
      </c>
      <c r="G7046" s="9">
        <v>414</v>
      </c>
      <c r="H7046" s="5" t="s">
        <v>21</v>
      </c>
      <c r="I7046" s="5" t="s">
        <v>15739</v>
      </c>
      <c r="J7046" s="12" t="str">
        <f>HYPERLINK("https://www.boe.es/gazeta/dias/1801/04/21/pdfs/GMD-1801-32.pdf#page=10","Abrir facsímil")</f>
        <v>Abrir facsímil</v>
      </c>
      <c r="K7046" s="15" t="s">
        <v>23</v>
      </c>
    </row>
    <row r="7047" spans="1:11" ht="42" customHeight="1">
      <c r="A7047" s="4" t="s">
        <v>15740</v>
      </c>
      <c r="B7047" s="5" t="s">
        <v>15741</v>
      </c>
      <c r="C7047" s="5" t="s">
        <v>38</v>
      </c>
      <c r="D7047" s="5" t="s">
        <v>39</v>
      </c>
      <c r="E7047" s="5" t="s">
        <v>48</v>
      </c>
      <c r="F7047" s="9">
        <v>20</v>
      </c>
      <c r="G7047" s="9">
        <v>264</v>
      </c>
      <c r="H7047" s="5" t="s">
        <v>21</v>
      </c>
      <c r="I7047" s="5" t="s">
        <v>15742</v>
      </c>
      <c r="J7047" s="12" t="str">
        <f>HYPERLINK("https://www.boe.es/gazeta/dias/1801/03/10/pdfs/GMD-1801-20.pdf#page=9","Abrir facsímil")</f>
        <v>Abrir facsímil</v>
      </c>
      <c r="K7047" s="15" t="s">
        <v>23</v>
      </c>
    </row>
    <row r="7048" spans="1:11" ht="42" customHeight="1">
      <c r="A7048" s="4" t="s">
        <v>15743</v>
      </c>
      <c r="B7048" s="5" t="s">
        <v>15744</v>
      </c>
      <c r="C7048" s="5" t="s">
        <v>75</v>
      </c>
      <c r="D7048" s="5" t="s">
        <v>76</v>
      </c>
      <c r="E7048" s="5" t="s">
        <v>124</v>
      </c>
      <c r="F7048" s="9">
        <v>12</v>
      </c>
      <c r="G7048" s="9">
        <v>147</v>
      </c>
      <c r="H7048" s="5" t="s">
        <v>21</v>
      </c>
      <c r="I7048" s="5" t="s">
        <v>15745</v>
      </c>
      <c r="J7048" s="12" t="str">
        <f>HYPERLINK("https://www.boe.es/gazeta/dias/1801/02/10/pdfs/GMD-1801-12.pdf#page=8","Abrir facsímil")</f>
        <v>Abrir facsímil</v>
      </c>
      <c r="K7048" s="15" t="s">
        <v>23</v>
      </c>
    </row>
    <row r="7049" spans="1:11" ht="42" customHeight="1">
      <c r="A7049" s="4" t="s">
        <v>15743</v>
      </c>
      <c r="B7049" s="5" t="s">
        <v>15744</v>
      </c>
      <c r="C7049" s="5" t="s">
        <v>69</v>
      </c>
      <c r="D7049" s="5" t="s">
        <v>19</v>
      </c>
      <c r="E7049" s="5" t="s">
        <v>112</v>
      </c>
      <c r="F7049" s="9">
        <v>114</v>
      </c>
      <c r="G7049" s="9">
        <v>1248</v>
      </c>
      <c r="H7049" s="5" t="s">
        <v>21</v>
      </c>
      <c r="I7049" s="5" t="s">
        <v>15746</v>
      </c>
      <c r="J7049" s="12" t="str">
        <f>HYPERLINK("https://www.boe.es/gazeta/dias/1801/12/11/pdfs/GMD-1801-114.pdf#page=10","Abrir facsímil")</f>
        <v>Abrir facsímil</v>
      </c>
      <c r="K7049" s="15" t="s">
        <v>23</v>
      </c>
    </row>
    <row r="7050" spans="1:11" ht="42" customHeight="1">
      <c r="A7050" s="4" t="s">
        <v>15747</v>
      </c>
      <c r="B7050" s="5" t="s">
        <v>15748</v>
      </c>
      <c r="C7050" s="5" t="s">
        <v>32</v>
      </c>
      <c r="D7050" s="5" t="s">
        <v>33</v>
      </c>
      <c r="E7050" s="5" t="s">
        <v>131</v>
      </c>
      <c r="F7050" s="9">
        <v>22</v>
      </c>
      <c r="G7050" s="9">
        <v>290</v>
      </c>
      <c r="H7050" s="5" t="s">
        <v>21</v>
      </c>
      <c r="I7050" s="5" t="s">
        <v>15749</v>
      </c>
      <c r="J7050" s="12" t="str">
        <f>HYPERLINK("https://www.boe.es/gazeta/dias/1801/03/17/pdfs/GMD-1801-22.pdf#page=7","Abrir facsímil")</f>
        <v>Abrir facsímil</v>
      </c>
      <c r="K7050" s="15" t="s">
        <v>23</v>
      </c>
    </row>
    <row r="7051" spans="1:11" ht="42" customHeight="1">
      <c r="A7051" s="4" t="s">
        <v>15750</v>
      </c>
      <c r="B7051" s="5" t="s">
        <v>15751</v>
      </c>
      <c r="C7051" s="5" t="s">
        <v>32</v>
      </c>
      <c r="D7051" s="5" t="s">
        <v>33</v>
      </c>
      <c r="E7051" s="5" t="s">
        <v>155</v>
      </c>
      <c r="F7051" s="9">
        <v>50</v>
      </c>
      <c r="G7051" s="9">
        <v>597</v>
      </c>
      <c r="H7051" s="5" t="s">
        <v>21</v>
      </c>
      <c r="I7051" s="5" t="s">
        <v>15752</v>
      </c>
      <c r="J7051" s="12" t="str">
        <f>HYPERLINK("https://www.boe.es/gazeta/dias/1801/06/09/pdfs/GMD-1801-50.pdf#page=9","Abrir facsímil")</f>
        <v>Abrir facsímil</v>
      </c>
      <c r="K7051" s="15" t="s">
        <v>23</v>
      </c>
    </row>
    <row r="7052" spans="1:11" ht="42" customHeight="1">
      <c r="A7052" s="4" t="s">
        <v>15753</v>
      </c>
      <c r="B7052" s="5" t="s">
        <v>15754</v>
      </c>
      <c r="C7052" s="5" t="s">
        <v>32</v>
      </c>
      <c r="D7052" s="5" t="s">
        <v>33</v>
      </c>
      <c r="E7052" s="5" t="s">
        <v>171</v>
      </c>
      <c r="F7052" s="9">
        <v>76</v>
      </c>
      <c r="G7052" s="9">
        <v>852</v>
      </c>
      <c r="H7052" s="5" t="s">
        <v>21</v>
      </c>
      <c r="I7052" s="5" t="s">
        <v>15755</v>
      </c>
      <c r="J7052" s="12" t="str">
        <f>HYPERLINK("https://www.boe.es/gazeta/dias/1801/08/07/pdfs/GMD-1801-76.pdf#page=9","Abrir facsímil")</f>
        <v>Abrir facsímil</v>
      </c>
      <c r="K7052" s="15" t="s">
        <v>23</v>
      </c>
    </row>
    <row r="7053" spans="1:11" ht="42" customHeight="1">
      <c r="A7053" s="4" t="s">
        <v>15756</v>
      </c>
      <c r="B7053" s="5" t="s">
        <v>15757</v>
      </c>
      <c r="C7053" s="5" t="s">
        <v>32</v>
      </c>
      <c r="D7053" s="5" t="s">
        <v>33</v>
      </c>
      <c r="E7053" s="5" t="s">
        <v>888</v>
      </c>
      <c r="F7053" s="9">
        <v>103</v>
      </c>
      <c r="G7053" s="9">
        <v>1129</v>
      </c>
      <c r="H7053" s="5" t="s">
        <v>21</v>
      </c>
      <c r="I7053" s="5" t="s">
        <v>15758</v>
      </c>
      <c r="J7053" s="12" t="str">
        <f>HYPERLINK("https://www.boe.es/gazeta/dias/1801/11/03/pdfs/GMD-1801-103.pdf#page=2","Abrir facsímil")</f>
        <v>Abrir facsímil</v>
      </c>
      <c r="K7053" s="15" t="s">
        <v>23</v>
      </c>
    </row>
    <row r="7054" spans="1:11" ht="42" customHeight="1">
      <c r="A7054" s="4" t="s">
        <v>15759</v>
      </c>
      <c r="B7054" s="5" t="s">
        <v>15760</v>
      </c>
      <c r="C7054" s="5" t="s">
        <v>18</v>
      </c>
      <c r="D7054" s="5" t="s">
        <v>19</v>
      </c>
      <c r="E7054" s="5" t="s">
        <v>723</v>
      </c>
      <c r="F7054" s="9">
        <v>113</v>
      </c>
      <c r="G7054" s="9">
        <v>1230</v>
      </c>
      <c r="H7054" s="5" t="s">
        <v>21</v>
      </c>
      <c r="I7054" s="5" t="s">
        <v>15761</v>
      </c>
      <c r="J7054" s="12" t="str">
        <f>HYPERLINK("https://www.boe.es/gazeta/dias/1801/12/08/pdfs/GMD-1801-113.pdf#page=3","Abrir facsímil")</f>
        <v>Abrir facsímil</v>
      </c>
      <c r="K7054" s="15" t="s">
        <v>23</v>
      </c>
    </row>
    <row r="7055" spans="1:11" ht="42" customHeight="1">
      <c r="A7055" s="4" t="s">
        <v>15762</v>
      </c>
      <c r="B7055" s="5" t="s">
        <v>15763</v>
      </c>
      <c r="C7055" s="5" t="s">
        <v>75</v>
      </c>
      <c r="D7055" s="5" t="s">
        <v>76</v>
      </c>
      <c r="E7055" s="5" t="s">
        <v>20</v>
      </c>
      <c r="F7055" s="9">
        <v>37</v>
      </c>
      <c r="G7055" s="9">
        <v>479</v>
      </c>
      <c r="H7055" s="5" t="s">
        <v>21</v>
      </c>
      <c r="I7055" s="5" t="s">
        <v>15764</v>
      </c>
      <c r="J7055" s="12" t="str">
        <f>HYPERLINK("https://www.boe.es/gazeta/dias/1801/05/08/pdfs/GMD-1801-37.pdf#page=7","Abrir facsímil")</f>
        <v>Abrir facsímil</v>
      </c>
      <c r="K7055" s="15" t="s">
        <v>23</v>
      </c>
    </row>
    <row r="7056" spans="1:11" ht="42" customHeight="1">
      <c r="A7056" s="4" t="s">
        <v>15765</v>
      </c>
      <c r="B7056" s="5" t="s">
        <v>15765</v>
      </c>
      <c r="C7056" s="5" t="s">
        <v>80</v>
      </c>
      <c r="D7056" s="5" t="s">
        <v>81</v>
      </c>
      <c r="E7056" s="5" t="s">
        <v>289</v>
      </c>
      <c r="F7056" s="9">
        <v>40</v>
      </c>
      <c r="G7056" s="9" t="s">
        <v>517</v>
      </c>
      <c r="H7056" s="5" t="s">
        <v>21</v>
      </c>
      <c r="I7056" s="5" t="s">
        <v>15766</v>
      </c>
      <c r="J7056" s="12" t="str">
        <f>HYPERLINK("https://www.boe.es/gazeta/dias/1801/05/19/pdfs/GMD-C-1801-40.pdf#page=7","Abrir facsímil")</f>
        <v>Abrir facsímil</v>
      </c>
      <c r="K7056" s="15" t="s">
        <v>23</v>
      </c>
    </row>
    <row r="7057" spans="1:11" ht="42" customHeight="1">
      <c r="A7057" s="4" t="s">
        <v>15767</v>
      </c>
      <c r="B7057" s="5" t="s">
        <v>15767</v>
      </c>
      <c r="C7057" s="5" t="s">
        <v>26</v>
      </c>
      <c r="D7057" s="5" t="s">
        <v>27</v>
      </c>
      <c r="E7057" s="5" t="s">
        <v>141</v>
      </c>
      <c r="F7057" s="9">
        <v>33</v>
      </c>
      <c r="G7057" s="9">
        <v>427</v>
      </c>
      <c r="H7057" s="5" t="s">
        <v>21</v>
      </c>
      <c r="I7057" s="5" t="s">
        <v>15768</v>
      </c>
      <c r="J7057" s="12" t="str">
        <f>HYPERLINK("https://www.boe.es/gazeta/dias/1801/04/24/pdfs/GMD-1801-33.pdf#page=11","Abrir facsímil")</f>
        <v>Abrir facsímil</v>
      </c>
      <c r="K7057" s="15" t="s">
        <v>23</v>
      </c>
    </row>
    <row r="7058" spans="1:11" ht="42" customHeight="1">
      <c r="A7058" s="4" t="s">
        <v>15769</v>
      </c>
      <c r="B7058" s="5" t="s">
        <v>15769</v>
      </c>
      <c r="C7058" s="5" t="s">
        <v>80</v>
      </c>
      <c r="D7058" s="5" t="s">
        <v>81</v>
      </c>
      <c r="E7058" s="5" t="s">
        <v>289</v>
      </c>
      <c r="F7058" s="9">
        <v>40</v>
      </c>
      <c r="G7058" s="9" t="s">
        <v>517</v>
      </c>
      <c r="H7058" s="5" t="s">
        <v>21</v>
      </c>
      <c r="I7058" s="5" t="s">
        <v>15770</v>
      </c>
      <c r="J7058" s="12" t="str">
        <f>HYPERLINK("https://www.boe.es/gazeta/dias/1801/05/19/pdfs/GMD-C-1801-40.pdf#page=7","Abrir facsímil")</f>
        <v>Abrir facsímil</v>
      </c>
      <c r="K7058" s="15" t="s">
        <v>23</v>
      </c>
    </row>
    <row r="7059" spans="1:11" ht="42" customHeight="1">
      <c r="A7059" s="4" t="s">
        <v>15771</v>
      </c>
      <c r="B7059" s="5" t="s">
        <v>15771</v>
      </c>
      <c r="C7059" s="5" t="s">
        <v>38</v>
      </c>
      <c r="D7059" s="5" t="s">
        <v>39</v>
      </c>
      <c r="E7059" s="5" t="s">
        <v>328</v>
      </c>
      <c r="F7059" s="9">
        <v>89</v>
      </c>
      <c r="G7059" s="9">
        <v>982</v>
      </c>
      <c r="H7059" s="5" t="s">
        <v>21</v>
      </c>
      <c r="I7059" s="5" t="s">
        <v>15772</v>
      </c>
      <c r="J7059" s="12" t="str">
        <f>HYPERLINK("https://www.boe.es/gazeta/dias/1801/09/15/pdfs/GMD-1801-89.pdf#page=9","Abrir facsímil")</f>
        <v>Abrir facsímil</v>
      </c>
      <c r="K7059" s="15" t="s">
        <v>23</v>
      </c>
    </row>
    <row r="7060" spans="1:11" ht="42" customHeight="1">
      <c r="A7060" s="4" t="s">
        <v>15773</v>
      </c>
      <c r="B7060" s="5" t="s">
        <v>15774</v>
      </c>
      <c r="C7060" s="5" t="s">
        <v>80</v>
      </c>
      <c r="D7060" s="5" t="s">
        <v>81</v>
      </c>
      <c r="E7060" s="5" t="s">
        <v>82</v>
      </c>
      <c r="F7060" s="9">
        <v>75</v>
      </c>
      <c r="G7060" s="9" t="s">
        <v>996</v>
      </c>
      <c r="H7060" s="5" t="s">
        <v>21</v>
      </c>
      <c r="I7060" s="5" t="s">
        <v>15775</v>
      </c>
      <c r="J7060" s="12" t="str">
        <f>HYPERLINK("https://www.boe.es/gazeta/dias/1801/08/04/pdfs/GMD-C-1801-75.pdf#page=6","Abrir facsímil")</f>
        <v>Abrir facsímil</v>
      </c>
      <c r="K7060" s="15" t="s">
        <v>23</v>
      </c>
    </row>
    <row r="7061" spans="1:11" ht="42" customHeight="1">
      <c r="A7061" s="4" t="s">
        <v>15776</v>
      </c>
      <c r="B7061" s="5" t="s">
        <v>15777</v>
      </c>
      <c r="C7061" s="5" t="s">
        <v>26</v>
      </c>
      <c r="D7061" s="5" t="s">
        <v>27</v>
      </c>
      <c r="E7061" s="5" t="s">
        <v>919</v>
      </c>
      <c r="F7061" s="9">
        <v>91</v>
      </c>
      <c r="G7061" s="9">
        <v>1005</v>
      </c>
      <c r="H7061" s="5" t="s">
        <v>21</v>
      </c>
      <c r="I7061" s="5" t="s">
        <v>15778</v>
      </c>
      <c r="J7061" s="12" t="str">
        <f>HYPERLINK("https://www.boe.es/gazeta/dias/1801/09/22/pdfs/GMD-1801-91.pdf#page=8","Abrir facsímil")</f>
        <v>Abrir facsímil</v>
      </c>
      <c r="K7061" s="15" t="s">
        <v>23</v>
      </c>
    </row>
    <row r="7062" spans="1:11" ht="42" customHeight="1">
      <c r="A7062" s="4" t="s">
        <v>15779</v>
      </c>
      <c r="B7062" s="5" t="s">
        <v>15780</v>
      </c>
      <c r="C7062" s="5" t="s">
        <v>26</v>
      </c>
      <c r="D7062" s="5" t="s">
        <v>27</v>
      </c>
      <c r="E7062" s="5" t="s">
        <v>764</v>
      </c>
      <c r="F7062" s="9">
        <v>80</v>
      </c>
      <c r="G7062" s="9">
        <v>899</v>
      </c>
      <c r="H7062" s="5" t="s">
        <v>21</v>
      </c>
      <c r="I7062" s="5" t="s">
        <v>15781</v>
      </c>
      <c r="J7062" s="12" t="str">
        <f>HYPERLINK("https://www.boe.es/gazeta/dias/1801/08/21/pdfs/GMD-1801-80.pdf#page=8","Abrir facsímil")</f>
        <v>Abrir facsímil</v>
      </c>
      <c r="K7062" s="15" t="s">
        <v>23</v>
      </c>
    </row>
    <row r="7063" spans="1:11" ht="42" customHeight="1">
      <c r="A7063" s="4" t="s">
        <v>15782</v>
      </c>
      <c r="B7063" s="5" t="s">
        <v>15783</v>
      </c>
      <c r="C7063" s="5" t="s">
        <v>38</v>
      </c>
      <c r="D7063" s="5" t="s">
        <v>39</v>
      </c>
      <c r="E7063" s="5" t="s">
        <v>171</v>
      </c>
      <c r="F7063" s="9">
        <v>76</v>
      </c>
      <c r="G7063" s="9">
        <v>855</v>
      </c>
      <c r="H7063" s="5" t="s">
        <v>21</v>
      </c>
      <c r="I7063" s="5" t="s">
        <v>15784</v>
      </c>
      <c r="J7063" s="12" t="str">
        <f>HYPERLINK("https://www.boe.es/gazeta/dias/1801/08/07/pdfs/GMD-1801-76.pdf#page=12","Abrir facsímil")</f>
        <v>Abrir facsímil</v>
      </c>
      <c r="K7063" s="15" t="s">
        <v>23</v>
      </c>
    </row>
    <row r="7064" spans="1:11" ht="42" customHeight="1">
      <c r="A7064" s="4" t="s">
        <v>15785</v>
      </c>
      <c r="B7064" s="5" t="s">
        <v>15786</v>
      </c>
      <c r="C7064" s="5" t="s">
        <v>32</v>
      </c>
      <c r="D7064" s="5" t="s">
        <v>33</v>
      </c>
      <c r="E7064" s="5" t="s">
        <v>352</v>
      </c>
      <c r="F7064" s="9">
        <v>43</v>
      </c>
      <c r="G7064" s="9">
        <v>529</v>
      </c>
      <c r="H7064" s="5" t="s">
        <v>21</v>
      </c>
      <c r="I7064" s="5" t="s">
        <v>15787</v>
      </c>
      <c r="J7064" s="12" t="str">
        <f>HYPERLINK("https://www.boe.es/gazeta/dias/1801/05/26/pdfs/GMD-1801-43.pdf#page=1","Abrir facsímil")</f>
        <v>Abrir facsímil</v>
      </c>
      <c r="K7064" s="15" t="s">
        <v>23</v>
      </c>
    </row>
    <row r="7065" spans="1:11" ht="42" customHeight="1">
      <c r="A7065" s="4" t="s">
        <v>15788</v>
      </c>
      <c r="B7065" s="5" t="s">
        <v>15789</v>
      </c>
      <c r="C7065" s="5" t="s">
        <v>26</v>
      </c>
      <c r="D7065" s="5" t="s">
        <v>27</v>
      </c>
      <c r="E7065" s="5" t="s">
        <v>501</v>
      </c>
      <c r="F7065" s="9">
        <v>115</v>
      </c>
      <c r="G7065" s="9" t="s">
        <v>83</v>
      </c>
      <c r="H7065" s="5" t="s">
        <v>21</v>
      </c>
      <c r="I7065" s="5" t="s">
        <v>15790</v>
      </c>
      <c r="J7065" s="12" t="str">
        <f>HYPERLINK("https://www.boe.es/gazeta/dias/1801/12/15/pdfs/GMD-C-1801-115.pdf#page=2","Abrir facsímil")</f>
        <v>Abrir facsímil</v>
      </c>
      <c r="K7065" s="15" t="s">
        <v>23</v>
      </c>
    </row>
    <row r="7066" spans="1:11" ht="42" customHeight="1">
      <c r="A7066" s="4" t="s">
        <v>15791</v>
      </c>
      <c r="B7066" s="5" t="s">
        <v>15792</v>
      </c>
      <c r="C7066" s="5" t="s">
        <v>32</v>
      </c>
      <c r="D7066" s="5" t="s">
        <v>33</v>
      </c>
      <c r="E7066" s="5" t="s">
        <v>321</v>
      </c>
      <c r="F7066" s="9">
        <v>3</v>
      </c>
      <c r="G7066" s="9">
        <v>33</v>
      </c>
      <c r="H7066" s="5" t="s">
        <v>21</v>
      </c>
      <c r="I7066" s="5" t="s">
        <v>15793</v>
      </c>
      <c r="J7066" s="12" t="str">
        <f>HYPERLINK("https://www.boe.es/gazeta/dias/1801/01/09/pdfs/GMD-1801-3.pdf#page=9","Abrir facsímil")</f>
        <v>Abrir facsímil</v>
      </c>
      <c r="K7066" s="15" t="s">
        <v>23</v>
      </c>
    </row>
    <row r="7067" spans="1:11" ht="42" customHeight="1">
      <c r="A7067" s="4" t="s">
        <v>15794</v>
      </c>
      <c r="B7067" s="5" t="s">
        <v>15794</v>
      </c>
      <c r="C7067" s="5" t="s">
        <v>32</v>
      </c>
      <c r="D7067" s="5" t="s">
        <v>33</v>
      </c>
      <c r="E7067" s="5" t="s">
        <v>258</v>
      </c>
      <c r="F7067" s="9">
        <v>96</v>
      </c>
      <c r="G7067" s="9">
        <v>1045</v>
      </c>
      <c r="H7067" s="5" t="s">
        <v>21</v>
      </c>
      <c r="I7067" s="5" t="s">
        <v>15795</v>
      </c>
      <c r="J7067" s="12" t="str">
        <f>HYPERLINK("https://www.boe.es/gazeta/dias/1801/10/09/pdfs/GMD-1801-96.pdf#page=1","Abrir facsímil")</f>
        <v>Abrir facsímil</v>
      </c>
      <c r="K7067" s="15" t="s">
        <v>23</v>
      </c>
    </row>
    <row r="7068" spans="1:11" ht="42" customHeight="1">
      <c r="A7068" s="4" t="s">
        <v>15796</v>
      </c>
      <c r="B7068" s="5" t="s">
        <v>15797</v>
      </c>
      <c r="C7068" s="5" t="s">
        <v>32</v>
      </c>
      <c r="D7068" s="5" t="s">
        <v>33</v>
      </c>
      <c r="E7068" s="5" t="s">
        <v>919</v>
      </c>
      <c r="F7068" s="9">
        <v>91</v>
      </c>
      <c r="G7068" s="9">
        <v>999</v>
      </c>
      <c r="H7068" s="5" t="s">
        <v>21</v>
      </c>
      <c r="I7068" s="5" t="s">
        <v>15798</v>
      </c>
      <c r="J7068" s="12" t="str">
        <f>HYPERLINK("https://www.boe.es/gazeta/dias/1801/09/22/pdfs/GMD-1801-91.pdf#page=2","Abrir facsímil")</f>
        <v>Abrir facsímil</v>
      </c>
      <c r="K7068" s="15" t="s">
        <v>23</v>
      </c>
    </row>
    <row r="7069" spans="1:11" ht="42" customHeight="1">
      <c r="A7069" s="4" t="s">
        <v>15799</v>
      </c>
      <c r="B7069" s="5" t="s">
        <v>15800</v>
      </c>
      <c r="C7069" s="5" t="s">
        <v>75</v>
      </c>
      <c r="D7069" s="5" t="s">
        <v>76</v>
      </c>
      <c r="E7069" s="5" t="s">
        <v>50</v>
      </c>
      <c r="F7069" s="9">
        <v>29</v>
      </c>
      <c r="G7069" s="9">
        <v>374</v>
      </c>
      <c r="H7069" s="5" t="s">
        <v>21</v>
      </c>
      <c r="I7069" s="5" t="s">
        <v>15801</v>
      </c>
      <c r="J7069" s="12" t="str">
        <f>HYPERLINK("https://www.boe.es/gazeta/dias/1801/04/10/pdfs/GMD-1801-29.pdf#page=2","Abrir facsímil")</f>
        <v>Abrir facsímil</v>
      </c>
      <c r="K7069" s="15" t="s">
        <v>23</v>
      </c>
    </row>
    <row r="7070" spans="1:11" ht="42" customHeight="1">
      <c r="A7070" s="4" t="s">
        <v>15799</v>
      </c>
      <c r="B7070" s="5" t="s">
        <v>15800</v>
      </c>
      <c r="C7070" s="5" t="s">
        <v>75</v>
      </c>
      <c r="D7070" s="5" t="s">
        <v>76</v>
      </c>
      <c r="E7070" s="5" t="s">
        <v>20</v>
      </c>
      <c r="F7070" s="9">
        <v>37</v>
      </c>
      <c r="G7070" s="9">
        <v>473</v>
      </c>
      <c r="H7070" s="5" t="s">
        <v>21</v>
      </c>
      <c r="I7070" s="5" t="s">
        <v>15802</v>
      </c>
      <c r="J7070" s="12" t="str">
        <f>HYPERLINK("https://www.boe.es/gazeta/dias/1801/05/08/pdfs/GMD-1801-37.pdf#page=1","Abrir facsímil")</f>
        <v>Abrir facsímil</v>
      </c>
      <c r="K7070" s="15" t="s">
        <v>23</v>
      </c>
    </row>
    <row r="7071" spans="1:11" ht="42" customHeight="1">
      <c r="A7071" s="4" t="s">
        <v>15803</v>
      </c>
      <c r="B7071" s="5" t="s">
        <v>15804</v>
      </c>
      <c r="C7071" s="5" t="s">
        <v>75</v>
      </c>
      <c r="D7071" s="5" t="s">
        <v>76</v>
      </c>
      <c r="E7071" s="5" t="s">
        <v>151</v>
      </c>
      <c r="F7071" s="9">
        <v>45</v>
      </c>
      <c r="G7071" s="9">
        <v>554</v>
      </c>
      <c r="H7071" s="5" t="s">
        <v>21</v>
      </c>
      <c r="I7071" s="5" t="s">
        <v>15805</v>
      </c>
      <c r="J7071" s="12" t="str">
        <f>HYPERLINK("https://www.boe.es/gazeta/dias/1801/06/02/pdfs/GMD-1801-45.pdf#page=2","Abrir facsímil")</f>
        <v>Abrir facsímil</v>
      </c>
      <c r="K7071" s="15" t="s">
        <v>23</v>
      </c>
    </row>
    <row r="7072" spans="1:11" ht="42" customHeight="1">
      <c r="A7072" s="4" t="s">
        <v>15806</v>
      </c>
      <c r="B7072" s="5" t="s">
        <v>15807</v>
      </c>
      <c r="C7072" s="5" t="s">
        <v>26</v>
      </c>
      <c r="D7072" s="5" t="s">
        <v>27</v>
      </c>
      <c r="E7072" s="5" t="s">
        <v>888</v>
      </c>
      <c r="F7072" s="9">
        <v>103</v>
      </c>
      <c r="G7072" s="9">
        <v>1137</v>
      </c>
      <c r="H7072" s="5" t="s">
        <v>21</v>
      </c>
      <c r="I7072" s="5" t="s">
        <v>15808</v>
      </c>
      <c r="J7072" s="12" t="str">
        <f>HYPERLINK("https://www.boe.es/gazeta/dias/1801/11/03/pdfs/GMD-1801-103.pdf#page=10","Abrir facsímil")</f>
        <v>Abrir facsímil</v>
      </c>
      <c r="K7072" s="15" t="s">
        <v>23</v>
      </c>
    </row>
    <row r="7073" spans="1:11" ht="42" customHeight="1">
      <c r="A7073" s="4" t="s">
        <v>15809</v>
      </c>
      <c r="B7073" s="5" t="s">
        <v>15809</v>
      </c>
      <c r="C7073" s="5" t="s">
        <v>75</v>
      </c>
      <c r="D7073" s="5" t="s">
        <v>76</v>
      </c>
      <c r="E7073" s="5" t="s">
        <v>219</v>
      </c>
      <c r="F7073" s="9">
        <v>26</v>
      </c>
      <c r="G7073" s="9">
        <v>339</v>
      </c>
      <c r="H7073" s="5" t="s">
        <v>21</v>
      </c>
      <c r="I7073" s="5" t="s">
        <v>15810</v>
      </c>
      <c r="J7073" s="12" t="str">
        <f>HYPERLINK("https://www.boe.es/gazeta/dias/1801/03/31/pdfs/GMD-1801-26.pdf#page=3","Abrir facsímil")</f>
        <v>Abrir facsímil</v>
      </c>
      <c r="K7073" s="15" t="s">
        <v>23</v>
      </c>
    </row>
    <row r="7074" spans="1:11" ht="42" customHeight="1">
      <c r="A7074" s="4" t="s">
        <v>15811</v>
      </c>
      <c r="B7074" s="5" t="s">
        <v>15812</v>
      </c>
      <c r="C7074" s="5" t="s">
        <v>32</v>
      </c>
      <c r="D7074" s="5" t="s">
        <v>33</v>
      </c>
      <c r="E7074" s="5" t="s">
        <v>924</v>
      </c>
      <c r="F7074" s="9">
        <v>90</v>
      </c>
      <c r="G7074" s="9">
        <v>992</v>
      </c>
      <c r="H7074" s="5" t="s">
        <v>21</v>
      </c>
      <c r="I7074" s="5" t="s">
        <v>15813</v>
      </c>
      <c r="J7074" s="12" t="str">
        <f>HYPERLINK("https://www.boe.es/gazeta/dias/1801/09/18/pdfs/GMD-1801-90.pdf#page=7","Abrir facsímil")</f>
        <v>Abrir facsímil</v>
      </c>
      <c r="K7074" s="15" t="s">
        <v>23</v>
      </c>
    </row>
    <row r="7075" spans="1:11" ht="42" customHeight="1">
      <c r="A7075" s="4" t="s">
        <v>15814</v>
      </c>
      <c r="B7075" s="5" t="s">
        <v>15814</v>
      </c>
      <c r="C7075" s="5" t="s">
        <v>38</v>
      </c>
      <c r="D7075" s="5" t="s">
        <v>39</v>
      </c>
      <c r="E7075" s="5" t="s">
        <v>505</v>
      </c>
      <c r="F7075" s="9">
        <v>94</v>
      </c>
      <c r="G7075" s="9">
        <v>1030</v>
      </c>
      <c r="H7075" s="5" t="s">
        <v>21</v>
      </c>
      <c r="I7075" s="5" t="s">
        <v>15815</v>
      </c>
      <c r="J7075" s="12" t="str">
        <f>HYPERLINK("https://www.boe.es/gazeta/dias/1801/10/02/pdfs/GMD-1801-94.pdf#page=6","Abrir facsímil")</f>
        <v>Abrir facsímil</v>
      </c>
      <c r="K7075" s="15" t="s">
        <v>23</v>
      </c>
    </row>
    <row r="7076" spans="1:11" ht="42" customHeight="1">
      <c r="A7076" s="4" t="s">
        <v>15816</v>
      </c>
      <c r="B7076" s="5" t="s">
        <v>15817</v>
      </c>
      <c r="C7076" s="5" t="s">
        <v>75</v>
      </c>
      <c r="D7076" s="5" t="s">
        <v>76</v>
      </c>
      <c r="E7076" s="5" t="s">
        <v>190</v>
      </c>
      <c r="F7076" s="9">
        <v>16</v>
      </c>
      <c r="G7076" s="9">
        <v>198</v>
      </c>
      <c r="H7076" s="5" t="s">
        <v>21</v>
      </c>
      <c r="I7076" s="5" t="s">
        <v>15818</v>
      </c>
      <c r="J7076" s="12" t="str">
        <f>HYPERLINK("https://www.boe.es/gazeta/dias/1801/02/24/pdfs/GMD-1801-16.pdf#page=5","Abrir facsímil")</f>
        <v>Abrir facsímil</v>
      </c>
      <c r="K7076" s="15" t="s">
        <v>23</v>
      </c>
    </row>
    <row r="7077" spans="1:11" ht="42" customHeight="1">
      <c r="A7077" s="4" t="s">
        <v>15819</v>
      </c>
      <c r="B7077" s="5" t="s">
        <v>15820</v>
      </c>
      <c r="C7077" s="5" t="s">
        <v>38</v>
      </c>
      <c r="D7077" s="5" t="s">
        <v>39</v>
      </c>
      <c r="E7077" s="5" t="s">
        <v>124</v>
      </c>
      <c r="F7077" s="9">
        <v>12</v>
      </c>
      <c r="G7077" s="9">
        <v>149</v>
      </c>
      <c r="H7077" s="5" t="s">
        <v>21</v>
      </c>
      <c r="I7077" s="5" t="s">
        <v>15821</v>
      </c>
      <c r="J7077" s="12" t="str">
        <f>HYPERLINK("https://www.boe.es/gazeta/dias/1801/02/10/pdfs/GMD-1801-12.pdf#page=10","Abrir facsímil")</f>
        <v>Abrir facsímil</v>
      </c>
      <c r="K7077" s="15" t="s">
        <v>23</v>
      </c>
    </row>
    <row r="7078" spans="1:11" ht="42" customHeight="1">
      <c r="A7078" s="4" t="s">
        <v>15822</v>
      </c>
      <c r="B7078" s="5" t="s">
        <v>15823</v>
      </c>
      <c r="C7078" s="5" t="s">
        <v>32</v>
      </c>
      <c r="D7078" s="5" t="s">
        <v>33</v>
      </c>
      <c r="E7078" s="5" t="s">
        <v>1939</v>
      </c>
      <c r="F7078" s="9">
        <v>107</v>
      </c>
      <c r="G7078" s="9">
        <v>1178</v>
      </c>
      <c r="H7078" s="5" t="s">
        <v>21</v>
      </c>
      <c r="I7078" s="5" t="s">
        <v>15824</v>
      </c>
      <c r="J7078" s="12" t="str">
        <f>HYPERLINK("https://www.boe.es/gazeta/dias/1801/11/17/pdfs/GMD-1801-107.pdf#page=7","Abrir facsímil")</f>
        <v>Abrir facsímil</v>
      </c>
      <c r="K7078" s="15" t="s">
        <v>23</v>
      </c>
    </row>
    <row r="7079" spans="1:11" ht="42" customHeight="1">
      <c r="A7079" s="4" t="s">
        <v>15825</v>
      </c>
      <c r="B7079" s="5" t="s">
        <v>15826</v>
      </c>
      <c r="C7079" s="5" t="s">
        <v>75</v>
      </c>
      <c r="D7079" s="5" t="s">
        <v>76</v>
      </c>
      <c r="E7079" s="5" t="s">
        <v>124</v>
      </c>
      <c r="F7079" s="9">
        <v>12</v>
      </c>
      <c r="G7079" s="9">
        <v>147</v>
      </c>
      <c r="H7079" s="5" t="s">
        <v>21</v>
      </c>
      <c r="I7079" s="5" t="s">
        <v>15827</v>
      </c>
      <c r="J7079" s="12" t="str">
        <f>HYPERLINK("https://www.boe.es/gazeta/dias/1801/02/10/pdfs/GMD-1801-12.pdf#page=8","Abrir facsímil")</f>
        <v>Abrir facsímil</v>
      </c>
      <c r="K7079" s="15" t="s">
        <v>23</v>
      </c>
    </row>
    <row r="7080" spans="1:11" ht="42" customHeight="1">
      <c r="A7080" s="4" t="s">
        <v>15825</v>
      </c>
      <c r="B7080" s="5" t="s">
        <v>15826</v>
      </c>
      <c r="C7080" s="5" t="s">
        <v>32</v>
      </c>
      <c r="D7080" s="5" t="s">
        <v>33</v>
      </c>
      <c r="E7080" s="5" t="s">
        <v>124</v>
      </c>
      <c r="F7080" s="9">
        <v>12</v>
      </c>
      <c r="G7080" s="9">
        <v>148</v>
      </c>
      <c r="H7080" s="5" t="s">
        <v>21</v>
      </c>
      <c r="I7080" s="5" t="s">
        <v>15828</v>
      </c>
      <c r="J7080" s="12" t="str">
        <f>HYPERLINK("https://www.boe.es/gazeta/dias/1801/02/10/pdfs/GMD-1801-12.pdf#page=9","Abrir facsímil")</f>
        <v>Abrir facsímil</v>
      </c>
      <c r="K7080" s="15" t="s">
        <v>23</v>
      </c>
    </row>
    <row r="7081" spans="1:11" ht="42" customHeight="1">
      <c r="A7081" s="4" t="s">
        <v>15825</v>
      </c>
      <c r="B7081" s="5" t="s">
        <v>15826</v>
      </c>
      <c r="C7081" s="5" t="s">
        <v>38</v>
      </c>
      <c r="D7081" s="5" t="s">
        <v>39</v>
      </c>
      <c r="E7081" s="5" t="s">
        <v>615</v>
      </c>
      <c r="F7081" s="9">
        <v>72</v>
      </c>
      <c r="G7081" s="9">
        <v>803</v>
      </c>
      <c r="H7081" s="5" t="s">
        <v>21</v>
      </c>
      <c r="I7081" s="5" t="s">
        <v>15829</v>
      </c>
      <c r="J7081" s="12" t="str">
        <f>HYPERLINK("https://www.boe.es/gazeta/dias/1801/07/24/pdfs/GMD-1801-72.pdf#page=8","Abrir facsímil")</f>
        <v>Abrir facsímil</v>
      </c>
      <c r="K7081" s="15" t="s">
        <v>23</v>
      </c>
    </row>
    <row r="7082" spans="1:11" ht="42" customHeight="1">
      <c r="A7082" s="4" t="s">
        <v>15830</v>
      </c>
      <c r="B7082" s="5" t="s">
        <v>15830</v>
      </c>
      <c r="C7082" s="5" t="s">
        <v>69</v>
      </c>
      <c r="D7082" s="5" t="s">
        <v>19</v>
      </c>
      <c r="E7082" s="5" t="s">
        <v>70</v>
      </c>
      <c r="F7082" s="9">
        <v>2</v>
      </c>
      <c r="G7082" s="9">
        <v>13</v>
      </c>
      <c r="H7082" s="5" t="s">
        <v>21</v>
      </c>
      <c r="I7082" s="5" t="s">
        <v>15831</v>
      </c>
      <c r="J7082" s="12" t="str">
        <f>HYPERLINK("https://www.boe.es/gazeta/dias/1801/01/06/pdfs/GMD-1801-2.pdf#page=1","Abrir facsímil")</f>
        <v>Abrir facsímil</v>
      </c>
      <c r="K7082" s="15" t="s">
        <v>23</v>
      </c>
    </row>
    <row r="7083" spans="1:11" ht="42" customHeight="1">
      <c r="A7083" s="4" t="s">
        <v>15832</v>
      </c>
      <c r="B7083" s="5" t="s">
        <v>15833</v>
      </c>
      <c r="C7083" s="5" t="s">
        <v>18</v>
      </c>
      <c r="D7083" s="5" t="s">
        <v>19</v>
      </c>
      <c r="E7083" s="5" t="s">
        <v>211</v>
      </c>
      <c r="F7083" s="9">
        <v>87</v>
      </c>
      <c r="G7083" s="9">
        <v>968</v>
      </c>
      <c r="H7083" s="5" t="s">
        <v>21</v>
      </c>
      <c r="I7083" s="5" t="s">
        <v>15834</v>
      </c>
      <c r="J7083" s="12" t="str">
        <f>HYPERLINK("https://www.boe.es/gazeta/dias/1801/09/11/pdfs/GMD-1801-87.pdf#page=11","Abrir facsímil")</f>
        <v>Abrir facsímil</v>
      </c>
      <c r="K7083" s="15" t="s">
        <v>23</v>
      </c>
    </row>
    <row r="7084" spans="1:11" ht="42" customHeight="1">
      <c r="A7084" s="4" t="s">
        <v>15835</v>
      </c>
      <c r="B7084" s="5" t="s">
        <v>15836</v>
      </c>
      <c r="C7084" s="5" t="s">
        <v>32</v>
      </c>
      <c r="D7084" s="5" t="s">
        <v>33</v>
      </c>
      <c r="E7084" s="5" t="s">
        <v>2237</v>
      </c>
      <c r="F7084" s="9">
        <v>82</v>
      </c>
      <c r="G7084" s="9">
        <v>917</v>
      </c>
      <c r="H7084" s="5" t="s">
        <v>21</v>
      </c>
      <c r="I7084" s="5" t="s">
        <v>15837</v>
      </c>
      <c r="J7084" s="12" t="str">
        <f>HYPERLINK("https://www.boe.es/gazeta/dias/1801/08/28/pdfs/GMD-1801-82.pdf#page=6","Abrir facsímil")</f>
        <v>Abrir facsímil</v>
      </c>
      <c r="K7084" s="15" t="s">
        <v>23</v>
      </c>
    </row>
    <row r="7085" spans="1:11" ht="42" customHeight="1">
      <c r="A7085" s="4" t="s">
        <v>15838</v>
      </c>
      <c r="B7085" s="5" t="s">
        <v>15839</v>
      </c>
      <c r="C7085" s="5" t="s">
        <v>38</v>
      </c>
      <c r="D7085" s="5" t="s">
        <v>39</v>
      </c>
      <c r="E7085" s="5" t="s">
        <v>702</v>
      </c>
      <c r="F7085" s="9">
        <v>69</v>
      </c>
      <c r="G7085" s="9">
        <v>764</v>
      </c>
      <c r="H7085" s="5" t="s">
        <v>21</v>
      </c>
      <c r="I7085" s="5" t="s">
        <v>15840</v>
      </c>
      <c r="J7085" s="12" t="str">
        <f>HYPERLINK("https://www.boe.es/gazeta/dias/1801/07/14/pdfs/GMD-1801-69.pdf#page=9","Abrir facsímil")</f>
        <v>Abrir facsímil</v>
      </c>
      <c r="K7085" s="15" t="s">
        <v>23</v>
      </c>
    </row>
    <row r="7086" spans="1:11" ht="42" customHeight="1">
      <c r="A7086" s="4" t="s">
        <v>15838</v>
      </c>
      <c r="B7086" s="5" t="s">
        <v>15839</v>
      </c>
      <c r="C7086" s="5" t="s">
        <v>38</v>
      </c>
      <c r="D7086" s="5" t="s">
        <v>39</v>
      </c>
      <c r="E7086" s="5" t="s">
        <v>215</v>
      </c>
      <c r="F7086" s="9">
        <v>71</v>
      </c>
      <c r="G7086" s="9">
        <v>788</v>
      </c>
      <c r="H7086" s="5" t="s">
        <v>21</v>
      </c>
      <c r="I7086" s="5" t="s">
        <v>15841</v>
      </c>
      <c r="J7086" s="12" t="str">
        <f>HYPERLINK("https://www.boe.es/gazeta/dias/1801/07/21/pdfs/GMD-1801-71.pdf#page=9","Abrir facsímil")</f>
        <v>Abrir facsímil</v>
      </c>
      <c r="K7086" s="15" t="s">
        <v>23</v>
      </c>
    </row>
    <row r="7087" spans="1:11" ht="42" customHeight="1">
      <c r="A7087" s="4" t="s">
        <v>15838</v>
      </c>
      <c r="B7087" s="5" t="s">
        <v>15839</v>
      </c>
      <c r="C7087" s="5" t="s">
        <v>515</v>
      </c>
      <c r="D7087" s="5" t="s">
        <v>516</v>
      </c>
      <c r="E7087" s="5" t="s">
        <v>751</v>
      </c>
      <c r="F7087" s="9">
        <v>106</v>
      </c>
      <c r="G7087" s="9">
        <v>1169</v>
      </c>
      <c r="H7087" s="5" t="s">
        <v>21</v>
      </c>
      <c r="I7087" s="5" t="s">
        <v>15842</v>
      </c>
      <c r="J7087" s="12" t="str">
        <f>HYPERLINK("https://www.boe.es/gazeta/dias/1801/11/13/pdfs/GMD-C-1801-106.pdf#page=2","Abrir facsímil")</f>
        <v>Abrir facsímil</v>
      </c>
      <c r="K7087" s="15" t="s">
        <v>23</v>
      </c>
    </row>
    <row r="7088" spans="1:11" ht="42" customHeight="1">
      <c r="A7088" s="4" t="s">
        <v>15838</v>
      </c>
      <c r="B7088" s="5" t="s">
        <v>15839</v>
      </c>
      <c r="C7088" s="5" t="s">
        <v>75</v>
      </c>
      <c r="D7088" s="5" t="s">
        <v>76</v>
      </c>
      <c r="E7088" s="5" t="s">
        <v>1939</v>
      </c>
      <c r="F7088" s="9">
        <v>107</v>
      </c>
      <c r="G7088" s="9">
        <v>1180</v>
      </c>
      <c r="H7088" s="5" t="s">
        <v>21</v>
      </c>
      <c r="I7088" s="5" t="s">
        <v>15843</v>
      </c>
      <c r="J7088" s="12" t="str">
        <f>HYPERLINK("https://www.boe.es/gazeta/dias/1801/11/17/pdfs/GMD-1801-107.pdf#page=9","Abrir facsímil")</f>
        <v>Abrir facsímil</v>
      </c>
      <c r="K7088" s="15" t="s">
        <v>23</v>
      </c>
    </row>
    <row r="7089" spans="1:11" ht="42" customHeight="1">
      <c r="A7089" s="4" t="s">
        <v>15844</v>
      </c>
      <c r="B7089" s="5" t="s">
        <v>15845</v>
      </c>
      <c r="C7089" s="5" t="s">
        <v>80</v>
      </c>
      <c r="D7089" s="5" t="s">
        <v>81</v>
      </c>
      <c r="E7089" s="5" t="s">
        <v>82</v>
      </c>
      <c r="F7089" s="9">
        <v>75</v>
      </c>
      <c r="G7089" s="9" t="s">
        <v>996</v>
      </c>
      <c r="H7089" s="5" t="s">
        <v>21</v>
      </c>
      <c r="I7089" s="5" t="s">
        <v>15846</v>
      </c>
      <c r="J7089" s="12" t="str">
        <f>HYPERLINK("https://www.boe.es/gazeta/dias/1801/08/04/pdfs/GMD-C-1801-75.pdf#page=6","Abrir facsímil")</f>
        <v>Abrir facsímil</v>
      </c>
      <c r="K7089" s="15" t="s">
        <v>23</v>
      </c>
    </row>
    <row r="7090" spans="1:11" ht="42" customHeight="1">
      <c r="A7090" s="4" t="s">
        <v>15847</v>
      </c>
      <c r="B7090" s="5" t="s">
        <v>15848</v>
      </c>
      <c r="C7090" s="5" t="s">
        <v>69</v>
      </c>
      <c r="D7090" s="5" t="s">
        <v>19</v>
      </c>
      <c r="E7090" s="5" t="s">
        <v>153</v>
      </c>
      <c r="F7090" s="9">
        <v>48</v>
      </c>
      <c r="G7090" s="9">
        <v>584</v>
      </c>
      <c r="H7090" s="5" t="s">
        <v>21</v>
      </c>
      <c r="I7090" s="5" t="s">
        <v>15849</v>
      </c>
      <c r="J7090" s="12" t="str">
        <f>HYPERLINK("https://www.boe.es/gazeta/dias/1801/06/05/pdfs/GMD-1801-48.pdf#page=6","Abrir facsímil")</f>
        <v>Abrir facsímil</v>
      </c>
      <c r="K7090" s="15" t="s">
        <v>23</v>
      </c>
    </row>
    <row r="7091" spans="1:11" ht="42" customHeight="1">
      <c r="A7091" s="4" t="s">
        <v>15850</v>
      </c>
      <c r="B7091" s="5" t="s">
        <v>15851</v>
      </c>
      <c r="C7091" s="5" t="s">
        <v>38</v>
      </c>
      <c r="D7091" s="5" t="s">
        <v>39</v>
      </c>
      <c r="E7091" s="5" t="s">
        <v>112</v>
      </c>
      <c r="F7091" s="9">
        <v>114</v>
      </c>
      <c r="G7091" s="9">
        <v>1246</v>
      </c>
      <c r="H7091" s="5" t="s">
        <v>21</v>
      </c>
      <c r="I7091" s="5" t="s">
        <v>15852</v>
      </c>
      <c r="J7091" s="12" t="str">
        <f>HYPERLINK("https://www.boe.es/gazeta/dias/1801/12/11/pdfs/GMD-1801-114.pdf#page=8","Abrir facsímil")</f>
        <v>Abrir facsímil</v>
      </c>
      <c r="K7091" s="15" t="s">
        <v>23</v>
      </c>
    </row>
    <row r="7092" spans="1:11" ht="42" customHeight="1">
      <c r="A7092" s="4" t="s">
        <v>15853</v>
      </c>
      <c r="B7092" s="5" t="s">
        <v>15854</v>
      </c>
      <c r="C7092" s="5" t="s">
        <v>75</v>
      </c>
      <c r="D7092" s="5" t="s">
        <v>76</v>
      </c>
      <c r="E7092" s="5" t="s">
        <v>90</v>
      </c>
      <c r="F7092" s="9">
        <v>1</v>
      </c>
      <c r="G7092" s="9">
        <v>7</v>
      </c>
      <c r="H7092" s="5" t="s">
        <v>21</v>
      </c>
      <c r="I7092" s="5" t="s">
        <v>15855</v>
      </c>
      <c r="J7092" s="12" t="str">
        <f>HYPERLINK("https://www.boe.es/gazeta/dias/1801/01/02/pdfs/GMD-1801-1.pdf#page=7","Abrir facsímil")</f>
        <v>Abrir facsímil</v>
      </c>
      <c r="K7092" s="15" t="s">
        <v>23</v>
      </c>
    </row>
    <row r="7093" spans="1:11" ht="42" customHeight="1">
      <c r="A7093" s="4" t="s">
        <v>15856</v>
      </c>
      <c r="B7093" s="5" t="s">
        <v>15857</v>
      </c>
      <c r="C7093" s="5" t="s">
        <v>69</v>
      </c>
      <c r="D7093" s="5" t="s">
        <v>19</v>
      </c>
      <c r="E7093" s="5" t="s">
        <v>453</v>
      </c>
      <c r="F7093" s="9">
        <v>100</v>
      </c>
      <c r="G7093" s="9">
        <v>1100</v>
      </c>
      <c r="H7093" s="5" t="s">
        <v>21</v>
      </c>
      <c r="I7093" s="5" t="s">
        <v>15858</v>
      </c>
      <c r="J7093" s="12" t="str">
        <f>HYPERLINK("https://www.boe.es/gazeta/dias/1801/10/23/pdfs/GMD-1801-100.pdf#page=9","Abrir facsímil")</f>
        <v>Abrir facsímil</v>
      </c>
      <c r="K7093" s="15" t="s">
        <v>23</v>
      </c>
    </row>
    <row r="7094" spans="1:11" ht="42" customHeight="1">
      <c r="A7094" s="4" t="s">
        <v>15859</v>
      </c>
      <c r="B7094" s="5" t="s">
        <v>15860</v>
      </c>
      <c r="C7094" s="5" t="s">
        <v>80</v>
      </c>
      <c r="D7094" s="5" t="s">
        <v>81</v>
      </c>
      <c r="E7094" s="5" t="s">
        <v>289</v>
      </c>
      <c r="F7094" s="9">
        <v>40</v>
      </c>
      <c r="G7094" s="9" t="s">
        <v>83</v>
      </c>
      <c r="H7094" s="5" t="s">
        <v>21</v>
      </c>
      <c r="I7094" s="5" t="s">
        <v>15861</v>
      </c>
      <c r="J7094" s="12" t="str">
        <f>HYPERLINK("https://www.boe.es/gazeta/dias/1801/05/19/pdfs/GMD-C-1801-40.pdf#page=2","Abrir facsímil")</f>
        <v>Abrir facsímil</v>
      </c>
      <c r="K7094" s="15" t="s">
        <v>23</v>
      </c>
    </row>
    <row r="7095" spans="1:11" ht="42" customHeight="1">
      <c r="A7095" s="4" t="s">
        <v>15862</v>
      </c>
      <c r="B7095" s="5" t="s">
        <v>15862</v>
      </c>
      <c r="C7095" s="5" t="s">
        <v>38</v>
      </c>
      <c r="D7095" s="5" t="s">
        <v>39</v>
      </c>
      <c r="E7095" s="5" t="s">
        <v>155</v>
      </c>
      <c r="F7095" s="9">
        <v>50</v>
      </c>
      <c r="G7095" s="9">
        <v>594</v>
      </c>
      <c r="H7095" s="5" t="s">
        <v>21</v>
      </c>
      <c r="I7095" s="5" t="s">
        <v>15863</v>
      </c>
      <c r="J7095" s="12" t="str">
        <f>HYPERLINK("https://www.boe.es/gazeta/dias/1801/06/09/pdfs/GMD-1801-50.pdf#page=6","Abrir facsímil")</f>
        <v>Abrir facsímil</v>
      </c>
      <c r="K7095" s="15" t="s">
        <v>23</v>
      </c>
    </row>
    <row r="7096" spans="1:11" ht="42" customHeight="1">
      <c r="A7096" s="4" t="s">
        <v>15864</v>
      </c>
      <c r="B7096" s="5" t="s">
        <v>15865</v>
      </c>
      <c r="C7096" s="5" t="s">
        <v>38</v>
      </c>
      <c r="D7096" s="5" t="s">
        <v>39</v>
      </c>
      <c r="E7096" s="5" t="s">
        <v>1058</v>
      </c>
      <c r="F7096" s="9">
        <v>108</v>
      </c>
      <c r="G7096" s="9">
        <v>1187</v>
      </c>
      <c r="H7096" s="5" t="s">
        <v>21</v>
      </c>
      <c r="I7096" s="5" t="s">
        <v>15866</v>
      </c>
      <c r="J7096" s="12" t="str">
        <f>HYPERLINK("https://www.boe.es/gazeta/dias/1801/11/20/pdfs/GMD-1801-108.pdf#page=4","Abrir facsímil")</f>
        <v>Abrir facsímil</v>
      </c>
      <c r="K7096" s="15" t="s">
        <v>23</v>
      </c>
    </row>
    <row r="7097" spans="1:11" ht="42" customHeight="1">
      <c r="A7097" s="4" t="s">
        <v>15867</v>
      </c>
      <c r="B7097" s="5" t="s">
        <v>15868</v>
      </c>
      <c r="C7097" s="5" t="s">
        <v>32</v>
      </c>
      <c r="D7097" s="5" t="s">
        <v>33</v>
      </c>
      <c r="E7097" s="5" t="s">
        <v>122</v>
      </c>
      <c r="F7097" s="9">
        <v>8</v>
      </c>
      <c r="G7097" s="9">
        <v>97</v>
      </c>
      <c r="H7097" s="5" t="s">
        <v>21</v>
      </c>
      <c r="I7097" s="5" t="s">
        <v>15869</v>
      </c>
      <c r="J7097" s="12" t="str">
        <f>HYPERLINK("https://www.boe.es/gazeta/dias/1801/01/27/pdfs/GMD-1801-8.pdf#page=9","Abrir facsímil")</f>
        <v>Abrir facsímil</v>
      </c>
      <c r="K7097" s="15" t="s">
        <v>23</v>
      </c>
    </row>
    <row r="7098" spans="1:11" ht="42" customHeight="1">
      <c r="A7098" s="4" t="s">
        <v>15870</v>
      </c>
      <c r="B7098" s="5" t="s">
        <v>15871</v>
      </c>
      <c r="C7098" s="5" t="s">
        <v>32</v>
      </c>
      <c r="D7098" s="5" t="s">
        <v>33</v>
      </c>
      <c r="E7098" s="5" t="s">
        <v>145</v>
      </c>
      <c r="F7098" s="9">
        <v>36</v>
      </c>
      <c r="G7098" s="9">
        <v>468</v>
      </c>
      <c r="H7098" s="5" t="s">
        <v>21</v>
      </c>
      <c r="I7098" s="5" t="s">
        <v>15872</v>
      </c>
      <c r="J7098" s="12" t="str">
        <f>HYPERLINK("https://www.boe.es/gazeta/dias/1801/05/05/pdfs/GMD-1801-36.pdf#page=12","Abrir facsímil")</f>
        <v>Abrir facsímil</v>
      </c>
      <c r="K7098" s="15" t="s">
        <v>23</v>
      </c>
    </row>
    <row r="7099" spans="1:11" ht="42" customHeight="1">
      <c r="A7099" s="4" t="s">
        <v>15873</v>
      </c>
      <c r="B7099" s="5" t="s">
        <v>15874</v>
      </c>
      <c r="C7099" s="5" t="s">
        <v>38</v>
      </c>
      <c r="D7099" s="5" t="s">
        <v>39</v>
      </c>
      <c r="E7099" s="5" t="s">
        <v>135</v>
      </c>
      <c r="F7099" s="9">
        <v>24</v>
      </c>
      <c r="G7099" s="9">
        <v>318</v>
      </c>
      <c r="H7099" s="5" t="s">
        <v>21</v>
      </c>
      <c r="I7099" s="5" t="s">
        <v>15875</v>
      </c>
      <c r="J7099" s="12" t="str">
        <f>HYPERLINK("https://www.boe.es/gazeta/dias/1801/03/24/pdfs/GMD-1801-24.pdf#page=9","Abrir facsímil")</f>
        <v>Abrir facsímil</v>
      </c>
      <c r="K7099" s="15" t="s">
        <v>23</v>
      </c>
    </row>
    <row r="7100" spans="1:11" ht="42" customHeight="1">
      <c r="A7100" s="4" t="s">
        <v>15876</v>
      </c>
      <c r="B7100" s="5" t="s">
        <v>15877</v>
      </c>
      <c r="C7100" s="5" t="s">
        <v>32</v>
      </c>
      <c r="D7100" s="5" t="s">
        <v>33</v>
      </c>
      <c r="E7100" s="5" t="s">
        <v>712</v>
      </c>
      <c r="F7100" s="9">
        <v>105</v>
      </c>
      <c r="G7100" s="9">
        <v>1155</v>
      </c>
      <c r="H7100" s="5" t="s">
        <v>21</v>
      </c>
      <c r="I7100" s="5" t="s">
        <v>15878</v>
      </c>
      <c r="J7100" s="12" t="str">
        <f>HYPERLINK("https://www.boe.es/gazeta/dias/1801/11/10/pdfs/GMD-1801-105.pdf#page=8","Abrir facsímil")</f>
        <v>Abrir facsímil</v>
      </c>
      <c r="K7100" s="15" t="s">
        <v>23</v>
      </c>
    </row>
    <row r="7101" spans="1:11" ht="42" customHeight="1">
      <c r="A7101" s="4" t="s">
        <v>15879</v>
      </c>
      <c r="B7101" s="5" t="s">
        <v>15880</v>
      </c>
      <c r="C7101" s="5" t="s">
        <v>32</v>
      </c>
      <c r="D7101" s="5" t="s">
        <v>33</v>
      </c>
      <c r="E7101" s="5" t="s">
        <v>781</v>
      </c>
      <c r="F7101" s="9">
        <v>14</v>
      </c>
      <c r="G7101" s="9">
        <v>174</v>
      </c>
      <c r="H7101" s="5" t="s">
        <v>21</v>
      </c>
      <c r="I7101" s="5" t="s">
        <v>15881</v>
      </c>
      <c r="J7101" s="12" t="str">
        <f>HYPERLINK("https://www.boe.es/gazeta/dias/1801/02/17/pdfs/GMD-1801-14.pdf#page=9","Abrir facsímil")</f>
        <v>Abrir facsímil</v>
      </c>
      <c r="K7101" s="15" t="s">
        <v>23</v>
      </c>
    </row>
    <row r="7102" spans="1:11" ht="42" customHeight="1">
      <c r="A7102" s="4" t="s">
        <v>15882</v>
      </c>
      <c r="B7102" s="5" t="s">
        <v>15883</v>
      </c>
      <c r="C7102" s="5" t="s">
        <v>32</v>
      </c>
      <c r="D7102" s="5" t="s">
        <v>33</v>
      </c>
      <c r="E7102" s="5" t="s">
        <v>349</v>
      </c>
      <c r="F7102" s="9">
        <v>112</v>
      </c>
      <c r="G7102" s="9">
        <v>1226</v>
      </c>
      <c r="H7102" s="5" t="s">
        <v>21</v>
      </c>
      <c r="I7102" s="5" t="s">
        <v>15884</v>
      </c>
      <c r="J7102" s="12" t="str">
        <f>HYPERLINK("https://www.boe.es/gazeta/dias/1801/12/04/pdfs/GMD-1801-112.pdf#page=7","Abrir facsímil")</f>
        <v>Abrir facsímil</v>
      </c>
      <c r="K7102" s="15" t="s">
        <v>23</v>
      </c>
    </row>
    <row r="7103" spans="1:11" ht="42" customHeight="1">
      <c r="A7103" s="4" t="s">
        <v>15885</v>
      </c>
      <c r="B7103" s="5" t="s">
        <v>15886</v>
      </c>
      <c r="C7103" s="5" t="s">
        <v>38</v>
      </c>
      <c r="D7103" s="5" t="s">
        <v>39</v>
      </c>
      <c r="E7103" s="5" t="s">
        <v>292</v>
      </c>
      <c r="F7103" s="9">
        <v>25</v>
      </c>
      <c r="G7103" s="9">
        <v>332</v>
      </c>
      <c r="H7103" s="5" t="s">
        <v>21</v>
      </c>
      <c r="I7103" s="5" t="s">
        <v>15887</v>
      </c>
      <c r="J7103" s="12" t="str">
        <f>HYPERLINK("https://www.boe.es/gazeta/dias/1801/03/27/pdfs/GMD-1801-25.pdf#page=11","Abrir facsímil")</f>
        <v>Abrir facsímil</v>
      </c>
      <c r="K7103" s="15" t="s">
        <v>23</v>
      </c>
    </row>
    <row r="7104" spans="1:11" ht="42" customHeight="1">
      <c r="A7104" s="4" t="s">
        <v>15888</v>
      </c>
      <c r="B7104" s="5" t="s">
        <v>15889</v>
      </c>
      <c r="C7104" s="5" t="s">
        <v>26</v>
      </c>
      <c r="D7104" s="5" t="s">
        <v>27</v>
      </c>
      <c r="E7104" s="5" t="s">
        <v>751</v>
      </c>
      <c r="F7104" s="9">
        <v>106</v>
      </c>
      <c r="G7104" s="9">
        <v>1167</v>
      </c>
      <c r="H7104" s="5" t="s">
        <v>21</v>
      </c>
      <c r="I7104" s="5" t="s">
        <v>15890</v>
      </c>
      <c r="J7104" s="12" t="str">
        <f>HYPERLINK("https://www.boe.es/gazeta/dias/1801/11/13/pdfs/GMD-1801-106.pdf#page=8","Abrir facsímil")</f>
        <v>Abrir facsímil</v>
      </c>
      <c r="K7104" s="15" t="s">
        <v>23</v>
      </c>
    </row>
    <row r="7105" spans="1:11" ht="42" customHeight="1">
      <c r="A7105" s="4" t="s">
        <v>15891</v>
      </c>
      <c r="B7105" s="5" t="s">
        <v>15892</v>
      </c>
      <c r="C7105" s="5" t="s">
        <v>38</v>
      </c>
      <c r="D7105" s="5" t="s">
        <v>39</v>
      </c>
      <c r="E7105" s="5" t="s">
        <v>2237</v>
      </c>
      <c r="F7105" s="9">
        <v>82</v>
      </c>
      <c r="G7105" s="9">
        <v>917</v>
      </c>
      <c r="H7105" s="5" t="s">
        <v>21</v>
      </c>
      <c r="I7105" s="5" t="s">
        <v>15893</v>
      </c>
      <c r="J7105" s="12" t="str">
        <f>HYPERLINK("https://www.boe.es/gazeta/dias/1801/08/28/pdfs/GMD-1801-82.pdf#page=6","Abrir facsímil")</f>
        <v>Abrir facsímil</v>
      </c>
      <c r="K7105" s="15" t="s">
        <v>23</v>
      </c>
    </row>
    <row r="7106" spans="1:11" ht="42" customHeight="1">
      <c r="A7106" s="4" t="s">
        <v>15894</v>
      </c>
      <c r="B7106" s="5" t="s">
        <v>15895</v>
      </c>
      <c r="C7106" s="5" t="s">
        <v>18</v>
      </c>
      <c r="D7106" s="5" t="s">
        <v>19</v>
      </c>
      <c r="E7106" s="5" t="s">
        <v>254</v>
      </c>
      <c r="F7106" s="9">
        <v>73</v>
      </c>
      <c r="G7106" s="9">
        <v>814</v>
      </c>
      <c r="H7106" s="5" t="s">
        <v>21</v>
      </c>
      <c r="I7106" s="5" t="s">
        <v>15896</v>
      </c>
      <c r="J7106" s="12" t="str">
        <f>HYPERLINK("https://www.boe.es/gazeta/dias/1801/07/28/pdfs/GMD-1801-73.pdf#page=7","Abrir facsímil")</f>
        <v>Abrir facsímil</v>
      </c>
      <c r="K7106" s="15" t="s">
        <v>23</v>
      </c>
    </row>
    <row r="7107" spans="1:11" ht="42" customHeight="1">
      <c r="A7107" s="4" t="s">
        <v>15897</v>
      </c>
      <c r="B7107" s="5" t="s">
        <v>15898</v>
      </c>
      <c r="C7107" s="5" t="s">
        <v>38</v>
      </c>
      <c r="D7107" s="5" t="s">
        <v>39</v>
      </c>
      <c r="E7107" s="5" t="s">
        <v>135</v>
      </c>
      <c r="F7107" s="9">
        <v>24</v>
      </c>
      <c r="G7107" s="9">
        <v>318</v>
      </c>
      <c r="H7107" s="5" t="s">
        <v>21</v>
      </c>
      <c r="I7107" s="5" t="s">
        <v>15899</v>
      </c>
      <c r="J7107" s="12" t="str">
        <f>HYPERLINK("https://www.boe.es/gazeta/dias/1801/03/24/pdfs/GMD-1801-24.pdf#page=9","Abrir facsímil")</f>
        <v>Abrir facsímil</v>
      </c>
      <c r="K7107" s="15" t="s">
        <v>23</v>
      </c>
    </row>
    <row r="7108" spans="1:11" ht="42" customHeight="1">
      <c r="A7108" s="4" t="s">
        <v>15900</v>
      </c>
      <c r="B7108" s="5" t="s">
        <v>15901</v>
      </c>
      <c r="C7108" s="5" t="s">
        <v>80</v>
      </c>
      <c r="D7108" s="5" t="s">
        <v>81</v>
      </c>
      <c r="E7108" s="5" t="s">
        <v>289</v>
      </c>
      <c r="F7108" s="9">
        <v>40</v>
      </c>
      <c r="G7108" s="9" t="s">
        <v>86</v>
      </c>
      <c r="H7108" s="5" t="s">
        <v>21</v>
      </c>
      <c r="I7108" s="5" t="s">
        <v>15902</v>
      </c>
      <c r="J7108" s="12" t="str">
        <f>HYPERLINK("https://www.boe.es/gazeta/dias/1801/05/19/pdfs/GMD-C-1801-40.pdf#page=3","Abrir facsímil")</f>
        <v>Abrir facsímil</v>
      </c>
      <c r="K7108" s="15" t="s">
        <v>23</v>
      </c>
    </row>
    <row r="7109" spans="1:11" ht="42" customHeight="1">
      <c r="A7109" s="4" t="s">
        <v>15903</v>
      </c>
      <c r="B7109" s="5" t="s">
        <v>15904</v>
      </c>
      <c r="C7109" s="5" t="s">
        <v>32</v>
      </c>
      <c r="D7109" s="5" t="s">
        <v>33</v>
      </c>
      <c r="E7109" s="5" t="s">
        <v>145</v>
      </c>
      <c r="F7109" s="9">
        <v>36</v>
      </c>
      <c r="G7109" s="9">
        <v>468</v>
      </c>
      <c r="H7109" s="5" t="s">
        <v>21</v>
      </c>
      <c r="I7109" s="5" t="s">
        <v>15905</v>
      </c>
      <c r="J7109" s="12" t="str">
        <f>HYPERLINK("https://www.boe.es/gazeta/dias/1801/05/05/pdfs/GMD-1801-36.pdf#page=12","Abrir facsímil")</f>
        <v>Abrir facsímil</v>
      </c>
      <c r="K7109" s="15" t="s">
        <v>23</v>
      </c>
    </row>
    <row r="7110" spans="1:11" ht="42" customHeight="1">
      <c r="A7110" s="4" t="s">
        <v>15906</v>
      </c>
      <c r="B7110" s="5" t="s">
        <v>15907</v>
      </c>
      <c r="C7110" s="5" t="s">
        <v>32</v>
      </c>
      <c r="D7110" s="5" t="s">
        <v>33</v>
      </c>
      <c r="E7110" s="5" t="s">
        <v>55</v>
      </c>
      <c r="F7110" s="9">
        <v>104</v>
      </c>
      <c r="G7110" s="9">
        <v>1145</v>
      </c>
      <c r="H7110" s="5" t="s">
        <v>21</v>
      </c>
      <c r="I7110" s="5" t="s">
        <v>15908</v>
      </c>
      <c r="J7110" s="12" t="str">
        <f>HYPERLINK("https://www.boe.es/gazeta/dias/1801/11/06/pdfs/GMD-1801-104.pdf#page=6","Abrir facsímil")</f>
        <v>Abrir facsímil</v>
      </c>
      <c r="K7110" s="15" t="s">
        <v>23</v>
      </c>
    </row>
    <row r="7111" spans="1:11" ht="42" customHeight="1">
      <c r="A7111" s="4" t="s">
        <v>15909</v>
      </c>
      <c r="B7111" s="5" t="s">
        <v>15910</v>
      </c>
      <c r="C7111" s="5" t="s">
        <v>75</v>
      </c>
      <c r="D7111" s="5" t="s">
        <v>76</v>
      </c>
      <c r="E7111" s="5" t="s">
        <v>169</v>
      </c>
      <c r="F7111" s="9">
        <v>70</v>
      </c>
      <c r="G7111" s="9">
        <v>775</v>
      </c>
      <c r="H7111" s="5" t="s">
        <v>21</v>
      </c>
      <c r="I7111" s="5" t="s">
        <v>15911</v>
      </c>
      <c r="J7111" s="12" t="str">
        <f>HYPERLINK("https://www.boe.es/gazeta/dias/1801/07/17/pdfs/GMD-1801-70.pdf#page=8","Abrir facsímil")</f>
        <v>Abrir facsímil</v>
      </c>
      <c r="K7111" s="15" t="s">
        <v>23</v>
      </c>
    </row>
    <row r="7112" spans="1:11" ht="42" customHeight="1">
      <c r="A7112" s="4" t="s">
        <v>15912</v>
      </c>
      <c r="B7112" s="5" t="s">
        <v>15913</v>
      </c>
      <c r="C7112" s="5" t="s">
        <v>80</v>
      </c>
      <c r="D7112" s="5" t="s">
        <v>81</v>
      </c>
      <c r="E7112" s="5" t="s">
        <v>289</v>
      </c>
      <c r="F7112" s="9">
        <v>40</v>
      </c>
      <c r="G7112" s="9" t="s">
        <v>86</v>
      </c>
      <c r="H7112" s="5" t="s">
        <v>21</v>
      </c>
      <c r="I7112" s="5" t="s">
        <v>15914</v>
      </c>
      <c r="J7112" s="12" t="str">
        <f>HYPERLINK("https://www.boe.es/gazeta/dias/1801/05/19/pdfs/GMD-C-1801-40.pdf#page=3","Abrir facsímil")</f>
        <v>Abrir facsímil</v>
      </c>
      <c r="K7112" s="15" t="s">
        <v>23</v>
      </c>
    </row>
    <row r="7113" spans="1:11" ht="42" customHeight="1">
      <c r="A7113" s="4" t="s">
        <v>15915</v>
      </c>
      <c r="B7113" s="5" t="s">
        <v>15916</v>
      </c>
      <c r="C7113" s="5" t="s">
        <v>75</v>
      </c>
      <c r="D7113" s="5" t="s">
        <v>76</v>
      </c>
      <c r="E7113" s="5" t="s">
        <v>135</v>
      </c>
      <c r="F7113" s="9">
        <v>24</v>
      </c>
      <c r="G7113" s="9">
        <v>314</v>
      </c>
      <c r="H7113" s="5" t="s">
        <v>21</v>
      </c>
      <c r="I7113" s="5" t="s">
        <v>15917</v>
      </c>
      <c r="J7113" s="12" t="str">
        <f>HYPERLINK("https://www.boe.es/gazeta/dias/1801/03/24/pdfs/GMD-1801-24.pdf#page=5","Abrir facsímil")</f>
        <v>Abrir facsímil</v>
      </c>
      <c r="K7113" s="15" t="s">
        <v>23</v>
      </c>
    </row>
    <row r="7114" spans="1:11" ht="42" customHeight="1">
      <c r="A7114" s="4" t="s">
        <v>15918</v>
      </c>
      <c r="B7114" s="5" t="s">
        <v>15919</v>
      </c>
      <c r="C7114" s="5" t="s">
        <v>75</v>
      </c>
      <c r="D7114" s="5" t="s">
        <v>76</v>
      </c>
      <c r="E7114" s="5" t="s">
        <v>169</v>
      </c>
      <c r="F7114" s="9">
        <v>70</v>
      </c>
      <c r="G7114" s="9">
        <v>776</v>
      </c>
      <c r="H7114" s="5" t="s">
        <v>21</v>
      </c>
      <c r="I7114" s="5" t="s">
        <v>15920</v>
      </c>
      <c r="J7114" s="12" t="str">
        <f>HYPERLINK("https://www.boe.es/gazeta/dias/1801/07/17/pdfs/GMD-1801-70.pdf#page=9","Abrir facsímil")</f>
        <v>Abrir facsímil</v>
      </c>
      <c r="K7114" s="15" t="s">
        <v>23</v>
      </c>
    </row>
    <row r="7115" spans="1:11" ht="42" customHeight="1">
      <c r="A7115" s="4" t="s">
        <v>15921</v>
      </c>
      <c r="B7115" s="5" t="s">
        <v>15922</v>
      </c>
      <c r="C7115" s="5" t="s">
        <v>26</v>
      </c>
      <c r="D7115" s="5" t="s">
        <v>27</v>
      </c>
      <c r="E7115" s="5" t="s">
        <v>501</v>
      </c>
      <c r="F7115" s="9">
        <v>115</v>
      </c>
      <c r="G7115" s="9" t="s">
        <v>83</v>
      </c>
      <c r="H7115" s="5" t="s">
        <v>21</v>
      </c>
      <c r="I7115" s="5" t="s">
        <v>15923</v>
      </c>
      <c r="J7115" s="12" t="str">
        <f>HYPERLINK("https://www.boe.es/gazeta/dias/1801/12/15/pdfs/GMD-C-1801-115.pdf#page=2","Abrir facsímil")</f>
        <v>Abrir facsímil</v>
      </c>
      <c r="K7115" s="15" t="s">
        <v>23</v>
      </c>
    </row>
    <row r="7116" spans="1:11" ht="42" customHeight="1">
      <c r="A7116" s="4" t="s">
        <v>15924</v>
      </c>
      <c r="B7116" s="5" t="s">
        <v>15924</v>
      </c>
      <c r="C7116" s="5" t="s">
        <v>32</v>
      </c>
      <c r="D7116" s="5" t="s">
        <v>33</v>
      </c>
      <c r="E7116" s="5" t="s">
        <v>615</v>
      </c>
      <c r="F7116" s="9">
        <v>72</v>
      </c>
      <c r="G7116" s="9">
        <v>804</v>
      </c>
      <c r="H7116" s="5" t="s">
        <v>21</v>
      </c>
      <c r="I7116" s="5" t="s">
        <v>15925</v>
      </c>
      <c r="J7116" s="12" t="str">
        <f>HYPERLINK("https://www.boe.es/gazeta/dias/1801/07/24/pdfs/GMD-1801-72.pdf#page=9","Abrir facsímil")</f>
        <v>Abrir facsímil</v>
      </c>
      <c r="K7116" s="15" t="s">
        <v>23</v>
      </c>
    </row>
    <row r="7117" spans="1:11" ht="42" customHeight="1">
      <c r="A7117" s="4" t="s">
        <v>15926</v>
      </c>
      <c r="B7117" s="5" t="s">
        <v>15927</v>
      </c>
      <c r="C7117" s="5" t="s">
        <v>80</v>
      </c>
      <c r="D7117" s="5" t="s">
        <v>81</v>
      </c>
      <c r="E7117" s="5" t="s">
        <v>82</v>
      </c>
      <c r="F7117" s="9">
        <v>75</v>
      </c>
      <c r="G7117" s="9" t="s">
        <v>299</v>
      </c>
      <c r="H7117" s="5" t="s">
        <v>21</v>
      </c>
      <c r="I7117" s="5" t="s">
        <v>15928</v>
      </c>
      <c r="J7117" s="12" t="str">
        <f>HYPERLINK("https://www.boe.es/gazeta/dias/1801/08/04/pdfs/GMD-C-1801-75.pdf#page=5","Abrir facsímil")</f>
        <v>Abrir facsímil</v>
      </c>
      <c r="K7117" s="15" t="s">
        <v>23</v>
      </c>
    </row>
    <row r="7118" spans="1:11" ht="42" customHeight="1">
      <c r="A7118" s="4" t="s">
        <v>15929</v>
      </c>
      <c r="B7118" s="5" t="s">
        <v>15930</v>
      </c>
      <c r="C7118" s="5" t="s">
        <v>32</v>
      </c>
      <c r="D7118" s="5" t="s">
        <v>33</v>
      </c>
      <c r="E7118" s="5" t="s">
        <v>219</v>
      </c>
      <c r="F7118" s="9">
        <v>26</v>
      </c>
      <c r="G7118" s="9">
        <v>346</v>
      </c>
      <c r="H7118" s="5" t="s">
        <v>21</v>
      </c>
      <c r="I7118" s="5" t="s">
        <v>15931</v>
      </c>
      <c r="J7118" s="12" t="str">
        <f>HYPERLINK("https://www.boe.es/gazeta/dias/1801/03/31/pdfs/GMD-1801-26.pdf#page=10","Abrir facsímil")</f>
        <v>Abrir facsímil</v>
      </c>
      <c r="K7118" s="15" t="s">
        <v>23</v>
      </c>
    </row>
    <row r="7119" spans="1:11" ht="42" customHeight="1">
      <c r="A7119" s="4" t="s">
        <v>15932</v>
      </c>
      <c r="B7119" s="5" t="s">
        <v>15933</v>
      </c>
      <c r="C7119" s="5" t="s">
        <v>38</v>
      </c>
      <c r="D7119" s="5" t="s">
        <v>39</v>
      </c>
      <c r="E7119" s="5" t="s">
        <v>145</v>
      </c>
      <c r="F7119" s="9">
        <v>36</v>
      </c>
      <c r="G7119" s="9">
        <v>471</v>
      </c>
      <c r="H7119" s="5" t="s">
        <v>21</v>
      </c>
      <c r="I7119" s="5" t="s">
        <v>15934</v>
      </c>
      <c r="J7119" s="12" t="str">
        <f>HYPERLINK("https://www.boe.es/gazeta/dias/1801/05/05/pdfs/GMD-1801-36.pdf#page=15","Abrir facsímil")</f>
        <v>Abrir facsímil</v>
      </c>
      <c r="K7119" s="15" t="s">
        <v>23</v>
      </c>
    </row>
    <row r="7120" spans="1:11" ht="42" customHeight="1">
      <c r="A7120" s="4" t="s">
        <v>15935</v>
      </c>
      <c r="B7120" s="5" t="s">
        <v>15935</v>
      </c>
      <c r="C7120" s="5" t="s">
        <v>75</v>
      </c>
      <c r="D7120" s="5" t="s">
        <v>76</v>
      </c>
      <c r="E7120" s="5" t="s">
        <v>20</v>
      </c>
      <c r="F7120" s="9">
        <v>37</v>
      </c>
      <c r="G7120" s="9">
        <v>480</v>
      </c>
      <c r="H7120" s="5" t="s">
        <v>21</v>
      </c>
      <c r="I7120" s="5" t="s">
        <v>15936</v>
      </c>
      <c r="J7120" s="12" t="str">
        <f>HYPERLINK("https://www.boe.es/gazeta/dias/1801/05/08/pdfs/GMD-1801-37.pdf#page=8","Abrir facsímil")</f>
        <v>Abrir facsímil</v>
      </c>
      <c r="K7120" s="15" t="s">
        <v>23</v>
      </c>
    </row>
    <row r="7121" spans="1:11" ht="42" customHeight="1">
      <c r="A7121" s="4" t="s">
        <v>15937</v>
      </c>
      <c r="B7121" s="5" t="s">
        <v>15938</v>
      </c>
      <c r="C7121" s="5" t="s">
        <v>18</v>
      </c>
      <c r="D7121" s="5" t="s">
        <v>19</v>
      </c>
      <c r="E7121" s="5" t="s">
        <v>161</v>
      </c>
      <c r="F7121" s="9">
        <v>58</v>
      </c>
      <c r="G7121" s="9">
        <v>665</v>
      </c>
      <c r="H7121" s="5" t="s">
        <v>21</v>
      </c>
      <c r="I7121" s="5" t="s">
        <v>15939</v>
      </c>
      <c r="J7121" s="12" t="str">
        <f>HYPERLINK("https://www.boe.es/gazeta/dias/1801/06/19/pdfs/GMD-1801-58.pdf#page=10","Abrir facsímil")</f>
        <v>Abrir facsímil</v>
      </c>
      <c r="K7121" s="15" t="s">
        <v>23</v>
      </c>
    </row>
    <row r="7122" spans="1:11" ht="42" customHeight="1">
      <c r="A7122" s="4" t="s">
        <v>15940</v>
      </c>
      <c r="B7122" s="5" t="s">
        <v>15941</v>
      </c>
      <c r="C7122" s="5" t="s">
        <v>32</v>
      </c>
      <c r="D7122" s="5" t="s">
        <v>33</v>
      </c>
      <c r="E7122" s="5" t="s">
        <v>781</v>
      </c>
      <c r="F7122" s="9">
        <v>14</v>
      </c>
      <c r="G7122" s="9">
        <v>173</v>
      </c>
      <c r="H7122" s="5" t="s">
        <v>21</v>
      </c>
      <c r="I7122" s="5" t="s">
        <v>15942</v>
      </c>
      <c r="J7122" s="12" t="str">
        <f>HYPERLINK("https://www.boe.es/gazeta/dias/1801/02/17/pdfs/GMD-1801-14.pdf#page=8","Abrir facsímil")</f>
        <v>Abrir facsímil</v>
      </c>
      <c r="K7122" s="15" t="s">
        <v>23</v>
      </c>
    </row>
    <row r="7123" spans="1:11" ht="42" customHeight="1">
      <c r="A7123" s="4" t="s">
        <v>15943</v>
      </c>
      <c r="B7123" s="5" t="s">
        <v>15944</v>
      </c>
      <c r="C7123" s="5" t="s">
        <v>38</v>
      </c>
      <c r="D7123" s="5" t="s">
        <v>39</v>
      </c>
      <c r="E7123" s="5" t="s">
        <v>480</v>
      </c>
      <c r="F7123" s="9">
        <v>10</v>
      </c>
      <c r="G7123" s="9">
        <v>125</v>
      </c>
      <c r="H7123" s="5" t="s">
        <v>21</v>
      </c>
      <c r="I7123" s="5" t="s">
        <v>15945</v>
      </c>
      <c r="J7123" s="12" t="str">
        <f>HYPERLINK("https://www.boe.es/gazeta/dias/1801/02/03/pdfs/GMD-1801-10.pdf#page=10","Abrir facsímil")</f>
        <v>Abrir facsímil</v>
      </c>
      <c r="K7123" s="15" t="s">
        <v>23</v>
      </c>
    </row>
    <row r="7124" spans="1:11" ht="42" customHeight="1">
      <c r="A7124" s="4" t="s">
        <v>15946</v>
      </c>
      <c r="B7124" s="5" t="s">
        <v>15947</v>
      </c>
      <c r="C7124" s="5" t="s">
        <v>80</v>
      </c>
      <c r="D7124" s="5" t="s">
        <v>81</v>
      </c>
      <c r="E7124" s="5" t="s">
        <v>82</v>
      </c>
      <c r="F7124" s="9">
        <v>75</v>
      </c>
      <c r="G7124" s="9" t="s">
        <v>996</v>
      </c>
      <c r="H7124" s="5" t="s">
        <v>21</v>
      </c>
      <c r="I7124" s="5" t="s">
        <v>15948</v>
      </c>
      <c r="J7124" s="12" t="str">
        <f>HYPERLINK("https://www.boe.es/gazeta/dias/1801/08/04/pdfs/GMD-C-1801-75.pdf#page=6","Abrir facsímil")</f>
        <v>Abrir facsímil</v>
      </c>
      <c r="K7124" s="15" t="s">
        <v>23</v>
      </c>
    </row>
    <row r="7125" spans="1:11" ht="42" customHeight="1">
      <c r="A7125" s="4" t="s">
        <v>15949</v>
      </c>
      <c r="B7125" s="5" t="s">
        <v>15950</v>
      </c>
      <c r="C7125" s="5" t="s">
        <v>32</v>
      </c>
      <c r="D7125" s="5" t="s">
        <v>33</v>
      </c>
      <c r="E7125" s="5" t="s">
        <v>480</v>
      </c>
      <c r="F7125" s="9">
        <v>10</v>
      </c>
      <c r="G7125" s="9">
        <v>123</v>
      </c>
      <c r="H7125" s="5" t="s">
        <v>21</v>
      </c>
      <c r="I7125" s="5" t="s">
        <v>15951</v>
      </c>
      <c r="J7125" s="12" t="str">
        <f>HYPERLINK("https://www.boe.es/gazeta/dias/1801/02/03/pdfs/GMD-1801-10.pdf#page=8","Abrir facsímil")</f>
        <v>Abrir facsímil</v>
      </c>
      <c r="K7125" s="15" t="s">
        <v>23</v>
      </c>
    </row>
    <row r="7126" spans="1:11" ht="42" customHeight="1">
      <c r="A7126" s="4" t="s">
        <v>15952</v>
      </c>
      <c r="B7126" s="5" t="s">
        <v>15953</v>
      </c>
      <c r="C7126" s="5" t="s">
        <v>32</v>
      </c>
      <c r="D7126" s="5" t="s">
        <v>33</v>
      </c>
      <c r="E7126" s="5" t="s">
        <v>462</v>
      </c>
      <c r="F7126" s="9">
        <v>5</v>
      </c>
      <c r="G7126" s="9">
        <v>57</v>
      </c>
      <c r="H7126" s="5" t="s">
        <v>21</v>
      </c>
      <c r="I7126" s="5" t="s">
        <v>15954</v>
      </c>
      <c r="J7126" s="12" t="str">
        <f>HYPERLINK("https://www.boe.es/gazeta/dias/1801/01/16/pdfs/GMD-1801-5.pdf#page=9","Abrir facsímil")</f>
        <v>Abrir facsímil</v>
      </c>
      <c r="K7126" s="15" t="s">
        <v>23</v>
      </c>
    </row>
    <row r="7127" spans="1:11" ht="42" customHeight="1">
      <c r="A7127" s="4" t="s">
        <v>15955</v>
      </c>
      <c r="B7127" s="5" t="s">
        <v>15956</v>
      </c>
      <c r="C7127" s="5" t="s">
        <v>80</v>
      </c>
      <c r="D7127" s="5" t="s">
        <v>81</v>
      </c>
      <c r="E7127" s="5" t="s">
        <v>82</v>
      </c>
      <c r="F7127" s="9">
        <v>75</v>
      </c>
      <c r="G7127" s="9" t="s">
        <v>86</v>
      </c>
      <c r="H7127" s="5" t="s">
        <v>21</v>
      </c>
      <c r="I7127" s="5" t="s">
        <v>15957</v>
      </c>
      <c r="J7127" s="12" t="str">
        <f>HYPERLINK("https://www.boe.es/gazeta/dias/1801/08/04/pdfs/GMD-C-1801-75.pdf#page=3","Abrir facsímil")</f>
        <v>Abrir facsímil</v>
      </c>
      <c r="K7127" s="15" t="s">
        <v>23</v>
      </c>
    </row>
    <row r="7128" spans="1:11" ht="42" customHeight="1">
      <c r="A7128" s="4" t="s">
        <v>15958</v>
      </c>
      <c r="B7128" s="5" t="s">
        <v>15959</v>
      </c>
      <c r="C7128" s="5" t="s">
        <v>32</v>
      </c>
      <c r="D7128" s="5" t="s">
        <v>33</v>
      </c>
      <c r="E7128" s="5" t="s">
        <v>453</v>
      </c>
      <c r="F7128" s="9">
        <v>100</v>
      </c>
      <c r="G7128" s="9">
        <v>1100</v>
      </c>
      <c r="H7128" s="5" t="s">
        <v>21</v>
      </c>
      <c r="I7128" s="5" t="s">
        <v>15960</v>
      </c>
      <c r="J7128" s="12" t="str">
        <f>HYPERLINK("https://www.boe.es/gazeta/dias/1801/10/23/pdfs/GMD-1801-100.pdf#page=9","Abrir facsímil")</f>
        <v>Abrir facsímil</v>
      </c>
      <c r="K7128" s="15" t="s">
        <v>23</v>
      </c>
    </row>
    <row r="7129" spans="1:11" ht="42" customHeight="1">
      <c r="A7129" s="4" t="s">
        <v>15961</v>
      </c>
      <c r="B7129" s="5" t="s">
        <v>15962</v>
      </c>
      <c r="C7129" s="5" t="s">
        <v>32</v>
      </c>
      <c r="D7129" s="5" t="s">
        <v>33</v>
      </c>
      <c r="E7129" s="5" t="s">
        <v>128</v>
      </c>
      <c r="F7129" s="9">
        <v>17</v>
      </c>
      <c r="G7129" s="9">
        <v>213</v>
      </c>
      <c r="H7129" s="5" t="s">
        <v>21</v>
      </c>
      <c r="I7129" s="5" t="s">
        <v>15963</v>
      </c>
      <c r="J7129" s="12" t="str">
        <f>HYPERLINK("https://www.boe.es/gazeta/dias/1801/02/27/pdfs/GMD-1801-17.pdf#page=8","Abrir facsímil")</f>
        <v>Abrir facsímil</v>
      </c>
      <c r="K7129" s="15" t="s">
        <v>23</v>
      </c>
    </row>
    <row r="7130" spans="1:11" ht="42" customHeight="1">
      <c r="A7130" s="4" t="s">
        <v>15964</v>
      </c>
      <c r="B7130" s="5" t="s">
        <v>15965</v>
      </c>
      <c r="C7130" s="5" t="s">
        <v>32</v>
      </c>
      <c r="D7130" s="5" t="s">
        <v>33</v>
      </c>
      <c r="E7130" s="5" t="s">
        <v>40</v>
      </c>
      <c r="F7130" s="9">
        <v>63</v>
      </c>
      <c r="G7130" s="9">
        <v>708</v>
      </c>
      <c r="H7130" s="5" t="s">
        <v>21</v>
      </c>
      <c r="I7130" s="5" t="s">
        <v>15966</v>
      </c>
      <c r="J7130" s="12" t="str">
        <f>HYPERLINK("https://www.boe.es/gazeta/dias/1801/07/03/pdfs/GMD-1801-63.pdf#page=5","Abrir facsímil")</f>
        <v>Abrir facsímil</v>
      </c>
      <c r="K7130" s="15" t="s">
        <v>23</v>
      </c>
    </row>
    <row r="7131" spans="1:11" ht="42" customHeight="1">
      <c r="A7131" s="4" t="s">
        <v>15967</v>
      </c>
      <c r="B7131" s="5" t="s">
        <v>15968</v>
      </c>
      <c r="C7131" s="5" t="s">
        <v>32</v>
      </c>
      <c r="D7131" s="5" t="s">
        <v>33</v>
      </c>
      <c r="E7131" s="5" t="s">
        <v>251</v>
      </c>
      <c r="F7131" s="9">
        <v>66</v>
      </c>
      <c r="G7131" s="9">
        <v>741</v>
      </c>
      <c r="H7131" s="5" t="s">
        <v>21</v>
      </c>
      <c r="I7131" s="5" t="s">
        <v>15969</v>
      </c>
      <c r="J7131" s="12" t="str">
        <f>HYPERLINK("https://www.boe.es/gazeta/dias/1801/07/10/pdfs/GMD-1801-66.pdf#page=6","Abrir facsímil")</f>
        <v>Abrir facsímil</v>
      </c>
      <c r="K7131" s="15" t="s">
        <v>23</v>
      </c>
    </row>
    <row r="7132" spans="1:11" ht="42" customHeight="1">
      <c r="A7132" s="4" t="s">
        <v>15970</v>
      </c>
      <c r="B7132" s="5" t="s">
        <v>15971</v>
      </c>
      <c r="C7132" s="5" t="s">
        <v>32</v>
      </c>
      <c r="D7132" s="5" t="s">
        <v>33</v>
      </c>
      <c r="E7132" s="5" t="s">
        <v>161</v>
      </c>
      <c r="F7132" s="9">
        <v>58</v>
      </c>
      <c r="G7132" s="9">
        <v>657</v>
      </c>
      <c r="H7132" s="5" t="s">
        <v>21</v>
      </c>
      <c r="I7132" s="5" t="s">
        <v>15972</v>
      </c>
      <c r="J7132" s="12" t="str">
        <f>HYPERLINK("https://www.boe.es/gazeta/dias/1801/06/19/pdfs/GMD-1801-58.pdf#page=2","Abrir facsímil")</f>
        <v>Abrir facsímil</v>
      </c>
      <c r="K7132" s="15" t="s">
        <v>23</v>
      </c>
    </row>
    <row r="7133" spans="1:11" ht="42" customHeight="1">
      <c r="A7133" s="4" t="s">
        <v>15970</v>
      </c>
      <c r="B7133" s="5" t="s">
        <v>15971</v>
      </c>
      <c r="C7133" s="5" t="s">
        <v>32</v>
      </c>
      <c r="D7133" s="5" t="s">
        <v>33</v>
      </c>
      <c r="E7133" s="5" t="s">
        <v>72</v>
      </c>
      <c r="F7133" s="9">
        <v>60</v>
      </c>
      <c r="G7133" s="9">
        <v>681</v>
      </c>
      <c r="H7133" s="5" t="s">
        <v>21</v>
      </c>
      <c r="I7133" s="5" t="s">
        <v>15973</v>
      </c>
      <c r="J7133" s="12" t="str">
        <f>HYPERLINK("https://www.boe.es/gazeta/dias/1801/06/26/pdfs/GMD-1801-60.pdf#page=2","Abrir facsímil")</f>
        <v>Abrir facsímil</v>
      </c>
      <c r="K7133" s="15" t="s">
        <v>23</v>
      </c>
    </row>
    <row r="7134" spans="1:11" ht="42" customHeight="1">
      <c r="A7134" s="4" t="s">
        <v>15970</v>
      </c>
      <c r="B7134" s="5" t="s">
        <v>15971</v>
      </c>
      <c r="C7134" s="5" t="s">
        <v>32</v>
      </c>
      <c r="D7134" s="5" t="s">
        <v>33</v>
      </c>
      <c r="E7134" s="5" t="s">
        <v>251</v>
      </c>
      <c r="F7134" s="9">
        <v>66</v>
      </c>
      <c r="G7134" s="9">
        <v>738</v>
      </c>
      <c r="H7134" s="5" t="s">
        <v>21</v>
      </c>
      <c r="I7134" s="5" t="s">
        <v>15974</v>
      </c>
      <c r="J7134" s="12" t="str">
        <f>HYPERLINK("https://www.boe.es/gazeta/dias/1801/07/10/pdfs/GMD-1801-66.pdf#page=3","Abrir facsímil")</f>
        <v>Abrir facsímil</v>
      </c>
      <c r="K7134" s="15" t="s">
        <v>23</v>
      </c>
    </row>
    <row r="7135" spans="1:11" ht="42" customHeight="1">
      <c r="A7135" s="4" t="s">
        <v>15970</v>
      </c>
      <c r="B7135" s="5" t="s">
        <v>15971</v>
      </c>
      <c r="C7135" s="5" t="s">
        <v>38</v>
      </c>
      <c r="D7135" s="5" t="s">
        <v>39</v>
      </c>
      <c r="E7135" s="5" t="s">
        <v>171</v>
      </c>
      <c r="F7135" s="9">
        <v>76</v>
      </c>
      <c r="G7135" s="9">
        <v>845</v>
      </c>
      <c r="H7135" s="5" t="s">
        <v>21</v>
      </c>
      <c r="I7135" s="5" t="s">
        <v>15975</v>
      </c>
      <c r="J7135" s="12" t="str">
        <f>HYPERLINK("https://www.boe.es/gazeta/dias/1801/08/07/pdfs/GMD-1801-76.pdf#page=2","Abrir facsímil")</f>
        <v>Abrir facsímil</v>
      </c>
      <c r="K7135" s="15" t="s">
        <v>23</v>
      </c>
    </row>
    <row r="7136" spans="1:11" ht="42" customHeight="1">
      <c r="A7136" s="4" t="s">
        <v>15976</v>
      </c>
      <c r="B7136" s="5" t="s">
        <v>15977</v>
      </c>
      <c r="C7136" s="5" t="s">
        <v>32</v>
      </c>
      <c r="D7136" s="5" t="s">
        <v>33</v>
      </c>
      <c r="E7136" s="5" t="s">
        <v>505</v>
      </c>
      <c r="F7136" s="9">
        <v>94</v>
      </c>
      <c r="G7136" s="9">
        <v>1030</v>
      </c>
      <c r="H7136" s="5" t="s">
        <v>21</v>
      </c>
      <c r="I7136" s="5" t="s">
        <v>15978</v>
      </c>
      <c r="J7136" s="12" t="str">
        <f>HYPERLINK("https://www.boe.es/gazeta/dias/1801/10/02/pdfs/GMD-1801-94.pdf#page=6","Abrir facsímil")</f>
        <v>Abrir facsímil</v>
      </c>
      <c r="K7136" s="15" t="s">
        <v>23</v>
      </c>
    </row>
    <row r="7137" spans="1:11" ht="42" customHeight="1">
      <c r="A7137" s="4" t="s">
        <v>15970</v>
      </c>
      <c r="B7137" s="5" t="s">
        <v>15971</v>
      </c>
      <c r="C7137" s="5" t="s">
        <v>26</v>
      </c>
      <c r="D7137" s="5" t="s">
        <v>27</v>
      </c>
      <c r="E7137" s="5" t="s">
        <v>317</v>
      </c>
      <c r="F7137" s="9">
        <v>102</v>
      </c>
      <c r="G7137" s="9">
        <v>1116</v>
      </c>
      <c r="H7137" s="5" t="s">
        <v>21</v>
      </c>
      <c r="I7137" s="5" t="s">
        <v>15979</v>
      </c>
      <c r="J7137" s="12" t="str">
        <f>HYPERLINK("https://www.boe.es/gazeta/dias/1801/10/30/pdfs/GMD-1801-102.pdf#page=1","Abrir facsímil")</f>
        <v>Abrir facsímil</v>
      </c>
      <c r="K7137" s="15" t="s">
        <v>23</v>
      </c>
    </row>
    <row r="7138" spans="1:11" ht="42" customHeight="1">
      <c r="A7138" s="4" t="s">
        <v>15980</v>
      </c>
      <c r="B7138" s="5" t="s">
        <v>15980</v>
      </c>
      <c r="C7138" s="5" t="s">
        <v>32</v>
      </c>
      <c r="D7138" s="5" t="s">
        <v>33</v>
      </c>
      <c r="E7138" s="5" t="s">
        <v>72</v>
      </c>
      <c r="F7138" s="9">
        <v>60</v>
      </c>
      <c r="G7138" s="9">
        <v>681</v>
      </c>
      <c r="H7138" s="5" t="s">
        <v>21</v>
      </c>
      <c r="I7138" s="5" t="s">
        <v>15981</v>
      </c>
      <c r="J7138" s="12" t="str">
        <f>HYPERLINK("https://www.boe.es/gazeta/dias/1801/06/26/pdfs/GMD-1801-60.pdf#page=2","Abrir facsímil")</f>
        <v>Abrir facsímil</v>
      </c>
      <c r="K7138" s="15" t="s">
        <v>23</v>
      </c>
    </row>
    <row r="7139" spans="1:11" ht="42" customHeight="1">
      <c r="A7139" s="4" t="s">
        <v>15982</v>
      </c>
      <c r="B7139" s="5" t="s">
        <v>15983</v>
      </c>
      <c r="C7139" s="5" t="s">
        <v>75</v>
      </c>
      <c r="D7139" s="5" t="s">
        <v>76</v>
      </c>
      <c r="E7139" s="5" t="s">
        <v>640</v>
      </c>
      <c r="F7139" s="9">
        <v>81</v>
      </c>
      <c r="G7139" s="9">
        <v>904</v>
      </c>
      <c r="H7139" s="5" t="s">
        <v>21</v>
      </c>
      <c r="I7139" s="5" t="s">
        <v>15984</v>
      </c>
      <c r="J7139" s="12" t="str">
        <f>HYPERLINK("https://www.boe.es/gazeta/dias/1801/08/25/pdfs/GMD-1801-81.pdf#page=1","Abrir facsímil")</f>
        <v>Abrir facsímil</v>
      </c>
      <c r="K7139" s="15" t="s">
        <v>23</v>
      </c>
    </row>
    <row r="7140" spans="1:11" ht="42" customHeight="1">
      <c r="A7140" s="4" t="s">
        <v>15985</v>
      </c>
      <c r="B7140" s="5" t="s">
        <v>15986</v>
      </c>
      <c r="C7140" s="5" t="s">
        <v>32</v>
      </c>
      <c r="D7140" s="5" t="s">
        <v>33</v>
      </c>
      <c r="E7140" s="5" t="s">
        <v>462</v>
      </c>
      <c r="F7140" s="9">
        <v>5</v>
      </c>
      <c r="G7140" s="9">
        <v>50</v>
      </c>
      <c r="H7140" s="5" t="s">
        <v>21</v>
      </c>
      <c r="I7140" s="5" t="s">
        <v>15987</v>
      </c>
      <c r="J7140" s="12" t="str">
        <f>HYPERLINK("https://www.boe.es/gazeta/dias/1801/01/16/pdfs/GMD-1801-5.pdf#page=2","Abrir facsímil")</f>
        <v>Abrir facsímil</v>
      </c>
      <c r="K7140" s="15" t="s">
        <v>23</v>
      </c>
    </row>
    <row r="7141" spans="1:11" ht="42" customHeight="1">
      <c r="A7141" s="4" t="s">
        <v>15988</v>
      </c>
      <c r="B7141" s="5" t="s">
        <v>15989</v>
      </c>
      <c r="C7141" s="5" t="s">
        <v>32</v>
      </c>
      <c r="D7141" s="5" t="s">
        <v>33</v>
      </c>
      <c r="E7141" s="5" t="s">
        <v>781</v>
      </c>
      <c r="F7141" s="9">
        <v>14</v>
      </c>
      <c r="G7141" s="9">
        <v>171</v>
      </c>
      <c r="H7141" s="5" t="s">
        <v>21</v>
      </c>
      <c r="I7141" s="5" t="s">
        <v>15990</v>
      </c>
      <c r="J7141" s="12" t="str">
        <f>HYPERLINK("https://www.boe.es/gazeta/dias/1801/02/17/pdfs/GMD-1801-14.pdf#page=6","Abrir facsímil")</f>
        <v>Abrir facsímil</v>
      </c>
      <c r="K7141" s="15" t="s">
        <v>23</v>
      </c>
    </row>
    <row r="7142" spans="1:11" ht="42" customHeight="1">
      <c r="A7142" s="4" t="s">
        <v>15991</v>
      </c>
      <c r="B7142" s="5" t="s">
        <v>15992</v>
      </c>
      <c r="C7142" s="5" t="s">
        <v>75</v>
      </c>
      <c r="D7142" s="5" t="s">
        <v>76</v>
      </c>
      <c r="E7142" s="5" t="s">
        <v>90</v>
      </c>
      <c r="F7142" s="9">
        <v>1</v>
      </c>
      <c r="G7142" s="9">
        <v>5</v>
      </c>
      <c r="H7142" s="5" t="s">
        <v>21</v>
      </c>
      <c r="I7142" s="5" t="s">
        <v>15993</v>
      </c>
      <c r="J7142" s="12" t="str">
        <f>HYPERLINK("https://www.boe.es/gazeta/dias/1801/01/02/pdfs/GMD-1801-1.pdf#page=5","Abrir facsímil")</f>
        <v>Abrir facsímil</v>
      </c>
      <c r="K7142" s="15" t="s">
        <v>23</v>
      </c>
    </row>
    <row r="7143" spans="1:11" ht="42" customHeight="1">
      <c r="A7143" s="4" t="s">
        <v>15991</v>
      </c>
      <c r="B7143" s="5" t="s">
        <v>15992</v>
      </c>
      <c r="C7143" s="5" t="s">
        <v>75</v>
      </c>
      <c r="D7143" s="5" t="s">
        <v>76</v>
      </c>
      <c r="E7143" s="5" t="s">
        <v>62</v>
      </c>
      <c r="F7143" s="9">
        <v>6</v>
      </c>
      <c r="G7143" s="9">
        <v>68</v>
      </c>
      <c r="H7143" s="5" t="s">
        <v>21</v>
      </c>
      <c r="I7143" s="5" t="s">
        <v>15994</v>
      </c>
      <c r="J7143" s="12" t="str">
        <f>HYPERLINK("https://www.boe.es/gazeta/dias/1801/01/20/pdfs/GMD-1801-6.pdf#page=4","Abrir facsímil")</f>
        <v>Abrir facsímil</v>
      </c>
      <c r="K7143" s="15" t="s">
        <v>23</v>
      </c>
    </row>
    <row r="7144" spans="1:11" ht="42" customHeight="1">
      <c r="A7144" s="4" t="s">
        <v>15995</v>
      </c>
      <c r="B7144" s="5" t="s">
        <v>15996</v>
      </c>
      <c r="C7144" s="5" t="s">
        <v>75</v>
      </c>
      <c r="D7144" s="5" t="s">
        <v>76</v>
      </c>
      <c r="E7144" s="5" t="s">
        <v>615</v>
      </c>
      <c r="F7144" s="9">
        <v>72</v>
      </c>
      <c r="G7144" s="9">
        <v>797</v>
      </c>
      <c r="H7144" s="5" t="s">
        <v>21</v>
      </c>
      <c r="I7144" s="5" t="s">
        <v>15997</v>
      </c>
      <c r="J7144" s="12" t="str">
        <f>HYPERLINK("https://www.boe.es/gazeta/dias/1801/07/24/pdfs/GMD-1801-72.pdf#page=2","Abrir facsímil")</f>
        <v>Abrir facsímil</v>
      </c>
      <c r="K7144" s="15" t="s">
        <v>23</v>
      </c>
    </row>
    <row r="7145" spans="1:11" ht="42" customHeight="1">
      <c r="A7145" s="4" t="s">
        <v>15998</v>
      </c>
      <c r="B7145" s="5" t="s">
        <v>15999</v>
      </c>
      <c r="C7145" s="5" t="s">
        <v>38</v>
      </c>
      <c r="D7145" s="5" t="s">
        <v>39</v>
      </c>
      <c r="E7145" s="5" t="s">
        <v>82</v>
      </c>
      <c r="F7145" s="9">
        <v>75</v>
      </c>
      <c r="G7145" s="9">
        <v>838</v>
      </c>
      <c r="H7145" s="5" t="s">
        <v>21</v>
      </c>
      <c r="I7145" s="5" t="s">
        <v>16000</v>
      </c>
      <c r="J7145" s="12" t="str">
        <f>HYPERLINK("https://www.boe.es/gazeta/dias/1801/08/04/pdfs/GMD-1801-75.pdf#page=7","Abrir facsímil")</f>
        <v>Abrir facsímil</v>
      </c>
      <c r="K7145" s="15" t="s">
        <v>23</v>
      </c>
    </row>
    <row r="7146" spans="1:11" ht="42" customHeight="1">
      <c r="A7146" s="4" t="s">
        <v>16001</v>
      </c>
      <c r="B7146" s="5" t="s">
        <v>16002</v>
      </c>
      <c r="C7146" s="5" t="s">
        <v>75</v>
      </c>
      <c r="D7146" s="5" t="s">
        <v>76</v>
      </c>
      <c r="E7146" s="5" t="s">
        <v>215</v>
      </c>
      <c r="F7146" s="9">
        <v>71</v>
      </c>
      <c r="G7146" s="9">
        <v>780</v>
      </c>
      <c r="H7146" s="5" t="s">
        <v>21</v>
      </c>
      <c r="I7146" s="5" t="s">
        <v>16003</v>
      </c>
      <c r="J7146" s="12" t="str">
        <f>HYPERLINK("https://www.boe.es/gazeta/dias/1801/07/21/pdfs/GMD-1801-71.pdf#page=1","Abrir facsímil")</f>
        <v>Abrir facsímil</v>
      </c>
      <c r="K7146" s="15" t="s">
        <v>23</v>
      </c>
    </row>
    <row r="7147" spans="1:11" ht="42" customHeight="1">
      <c r="A7147" s="4" t="s">
        <v>16004</v>
      </c>
      <c r="B7147" s="5" t="s">
        <v>16005</v>
      </c>
      <c r="C7147" s="5" t="s">
        <v>69</v>
      </c>
      <c r="D7147" s="5" t="s">
        <v>19</v>
      </c>
      <c r="E7147" s="5" t="s">
        <v>275</v>
      </c>
      <c r="F7147" s="9">
        <v>9</v>
      </c>
      <c r="G7147" s="9">
        <v>112</v>
      </c>
      <c r="H7147" s="5" t="s">
        <v>21</v>
      </c>
      <c r="I7147" s="5" t="s">
        <v>16006</v>
      </c>
      <c r="J7147" s="12" t="str">
        <f>HYPERLINK("https://www.boe.es/gazeta/dias/1801/01/30/pdfs/GMD-1801-9.pdf#page=9","Abrir facsímil")</f>
        <v>Abrir facsímil</v>
      </c>
      <c r="K7147" s="15" t="s">
        <v>23</v>
      </c>
    </row>
    <row r="7148" spans="1:11" ht="42" customHeight="1">
      <c r="A7148" s="4" t="s">
        <v>16007</v>
      </c>
      <c r="B7148" s="5" t="s">
        <v>16008</v>
      </c>
      <c r="C7148" s="5" t="s">
        <v>32</v>
      </c>
      <c r="D7148" s="5" t="s">
        <v>33</v>
      </c>
      <c r="E7148" s="5" t="s">
        <v>378</v>
      </c>
      <c r="F7148" s="9">
        <v>23</v>
      </c>
      <c r="G7148" s="9">
        <v>306</v>
      </c>
      <c r="H7148" s="5" t="s">
        <v>21</v>
      </c>
      <c r="I7148" s="5" t="s">
        <v>16009</v>
      </c>
      <c r="J7148" s="12" t="str">
        <f>HYPERLINK("https://www.boe.es/gazeta/dias/1801/03/20/pdfs/GMD-1801-23.pdf#page=9","Abrir facsímil")</f>
        <v>Abrir facsímil</v>
      </c>
      <c r="K7148" s="15" t="s">
        <v>23</v>
      </c>
    </row>
    <row r="7149" spans="1:11" ht="42" customHeight="1">
      <c r="A7149" s="4" t="s">
        <v>16010</v>
      </c>
      <c r="B7149" s="5" t="s">
        <v>16011</v>
      </c>
      <c r="C7149" s="5" t="s">
        <v>32</v>
      </c>
      <c r="D7149" s="5" t="s">
        <v>33</v>
      </c>
      <c r="E7149" s="5" t="s">
        <v>94</v>
      </c>
      <c r="F7149" s="9">
        <v>19</v>
      </c>
      <c r="G7149" s="9">
        <v>244</v>
      </c>
      <c r="H7149" s="5" t="s">
        <v>21</v>
      </c>
      <c r="I7149" s="5" t="s">
        <v>16012</v>
      </c>
      <c r="J7149" s="12" t="str">
        <f>HYPERLINK("https://www.boe.es/gazeta/dias/1801/03/06/pdfs/GMD-1801-19.pdf#page=9","Abrir facsímil")</f>
        <v>Abrir facsímil</v>
      </c>
      <c r="K7149" s="15" t="s">
        <v>23</v>
      </c>
    </row>
    <row r="7150" spans="1:11" ht="42" customHeight="1">
      <c r="A7150" s="4" t="s">
        <v>16013</v>
      </c>
      <c r="B7150" s="5" t="s">
        <v>16014</v>
      </c>
      <c r="C7150" s="5" t="s">
        <v>32</v>
      </c>
      <c r="D7150" s="5" t="s">
        <v>33</v>
      </c>
      <c r="E7150" s="5" t="s">
        <v>99</v>
      </c>
      <c r="F7150" s="9">
        <v>32</v>
      </c>
      <c r="G7150" s="9">
        <v>414</v>
      </c>
      <c r="H7150" s="5" t="s">
        <v>21</v>
      </c>
      <c r="I7150" s="5" t="s">
        <v>16015</v>
      </c>
      <c r="J7150" s="12" t="str">
        <f>HYPERLINK("https://www.boe.es/gazeta/dias/1801/04/21/pdfs/GMD-1801-32.pdf#page=10","Abrir facsímil")</f>
        <v>Abrir facsímil</v>
      </c>
      <c r="K7150" s="15" t="s">
        <v>23</v>
      </c>
    </row>
    <row r="7151" spans="1:11" ht="42" customHeight="1">
      <c r="A7151" s="4" t="s">
        <v>16016</v>
      </c>
      <c r="B7151" s="5" t="s">
        <v>16017</v>
      </c>
      <c r="C7151" s="5" t="s">
        <v>32</v>
      </c>
      <c r="D7151" s="5" t="s">
        <v>33</v>
      </c>
      <c r="E7151" s="5" t="s">
        <v>781</v>
      </c>
      <c r="F7151" s="9">
        <v>14</v>
      </c>
      <c r="G7151" s="9">
        <v>173</v>
      </c>
      <c r="H7151" s="5" t="s">
        <v>21</v>
      </c>
      <c r="I7151" s="5" t="s">
        <v>16018</v>
      </c>
      <c r="J7151" s="12" t="str">
        <f>HYPERLINK("https://www.boe.es/gazeta/dias/1801/02/17/pdfs/GMD-1801-14.pdf#page=8","Abrir facsímil")</f>
        <v>Abrir facsímil</v>
      </c>
      <c r="K7151" s="15" t="s">
        <v>23</v>
      </c>
    </row>
    <row r="7152" spans="1:11" ht="42" customHeight="1">
      <c r="A7152" s="4" t="s">
        <v>16019</v>
      </c>
      <c r="B7152" s="5" t="s">
        <v>16020</v>
      </c>
      <c r="C7152" s="5" t="s">
        <v>32</v>
      </c>
      <c r="D7152" s="5" t="s">
        <v>33</v>
      </c>
      <c r="E7152" s="5" t="s">
        <v>171</v>
      </c>
      <c r="F7152" s="9">
        <v>76</v>
      </c>
      <c r="G7152" s="9">
        <v>853</v>
      </c>
      <c r="H7152" s="5" t="s">
        <v>21</v>
      </c>
      <c r="I7152" s="5" t="s">
        <v>16021</v>
      </c>
      <c r="J7152" s="12" t="str">
        <f>HYPERLINK("https://www.boe.es/gazeta/dias/1801/08/07/pdfs/GMD-1801-76.pdf#page=10","Abrir facsímil")</f>
        <v>Abrir facsímil</v>
      </c>
      <c r="K7152" s="15" t="s">
        <v>23</v>
      </c>
    </row>
    <row r="7153" spans="1:11" ht="42" customHeight="1">
      <c r="A7153" s="4" t="s">
        <v>16022</v>
      </c>
      <c r="B7153" s="5" t="s">
        <v>16023</v>
      </c>
      <c r="C7153" s="5" t="s">
        <v>18</v>
      </c>
      <c r="D7153" s="5" t="s">
        <v>19</v>
      </c>
      <c r="E7153" s="5" t="s">
        <v>615</v>
      </c>
      <c r="F7153" s="9">
        <v>72</v>
      </c>
      <c r="G7153" s="9">
        <v>803</v>
      </c>
      <c r="H7153" s="5" t="s">
        <v>21</v>
      </c>
      <c r="I7153" s="5" t="s">
        <v>16024</v>
      </c>
      <c r="J7153" s="12" t="str">
        <f>HYPERLINK("https://www.boe.es/gazeta/dias/1801/07/24/pdfs/GMD-1801-72.pdf#page=8","Abrir facsímil")</f>
        <v>Abrir facsímil</v>
      </c>
      <c r="K7153" s="15" t="s">
        <v>23</v>
      </c>
    </row>
    <row r="7154" spans="1:11" ht="42" customHeight="1">
      <c r="A7154" s="4" t="s">
        <v>16025</v>
      </c>
      <c r="B7154" s="5" t="s">
        <v>16026</v>
      </c>
      <c r="C7154" s="5" t="s">
        <v>32</v>
      </c>
      <c r="D7154" s="5" t="s">
        <v>33</v>
      </c>
      <c r="E7154" s="5" t="s">
        <v>256</v>
      </c>
      <c r="F7154" s="9">
        <v>78</v>
      </c>
      <c r="G7154" s="9">
        <v>881</v>
      </c>
      <c r="H7154" s="5" t="s">
        <v>21</v>
      </c>
      <c r="I7154" s="5" t="s">
        <v>16027</v>
      </c>
      <c r="J7154" s="12" t="str">
        <f>HYPERLINK("https://www.boe.es/gazeta/dias/1801/08/14/pdfs/GMD-1801-78.pdf#page=10","Abrir facsímil")</f>
        <v>Abrir facsímil</v>
      </c>
      <c r="K7154" s="15" t="s">
        <v>23</v>
      </c>
    </row>
    <row r="7155" spans="1:11" ht="42" customHeight="1">
      <c r="A7155" s="4" t="s">
        <v>16028</v>
      </c>
      <c r="B7155" s="5" t="s">
        <v>16029</v>
      </c>
      <c r="C7155" s="5" t="s">
        <v>32</v>
      </c>
      <c r="D7155" s="5" t="s">
        <v>33</v>
      </c>
      <c r="E7155" s="5" t="s">
        <v>48</v>
      </c>
      <c r="F7155" s="9">
        <v>20</v>
      </c>
      <c r="G7155" s="9">
        <v>265</v>
      </c>
      <c r="H7155" s="5" t="s">
        <v>21</v>
      </c>
      <c r="I7155" s="5" t="s">
        <v>16030</v>
      </c>
      <c r="J7155" s="12" t="str">
        <f>HYPERLINK("https://www.boe.es/gazeta/dias/1801/03/10/pdfs/GMD-1801-20.pdf#page=10","Abrir facsímil")</f>
        <v>Abrir facsímil</v>
      </c>
      <c r="K7155" s="15" t="s">
        <v>23</v>
      </c>
    </row>
    <row r="7156" spans="1:11" ht="42" customHeight="1">
      <c r="A7156" s="4" t="s">
        <v>16031</v>
      </c>
      <c r="B7156" s="5" t="s">
        <v>16032</v>
      </c>
      <c r="C7156" s="5" t="s">
        <v>32</v>
      </c>
      <c r="D7156" s="5" t="s">
        <v>33</v>
      </c>
      <c r="E7156" s="5" t="s">
        <v>378</v>
      </c>
      <c r="F7156" s="9">
        <v>23</v>
      </c>
      <c r="G7156" s="9">
        <v>298</v>
      </c>
      <c r="H7156" s="5" t="s">
        <v>21</v>
      </c>
      <c r="I7156" s="5" t="s">
        <v>16033</v>
      </c>
      <c r="J7156" s="12" t="str">
        <f>HYPERLINK("https://www.boe.es/gazeta/dias/1801/03/20/pdfs/GMD-1801-23.pdf#page=1","Abrir facsímil")</f>
        <v>Abrir facsímil</v>
      </c>
      <c r="K7156" s="15" t="s">
        <v>23</v>
      </c>
    </row>
    <row r="7157" spans="1:11" ht="42" customHeight="1">
      <c r="A7157" s="4" t="s">
        <v>16031</v>
      </c>
      <c r="B7157" s="5" t="s">
        <v>16032</v>
      </c>
      <c r="C7157" s="5" t="s">
        <v>38</v>
      </c>
      <c r="D7157" s="5" t="s">
        <v>39</v>
      </c>
      <c r="E7157" s="5" t="s">
        <v>352</v>
      </c>
      <c r="F7157" s="9">
        <v>43</v>
      </c>
      <c r="G7157" s="9">
        <v>535</v>
      </c>
      <c r="H7157" s="5" t="s">
        <v>21</v>
      </c>
      <c r="I7157" s="5" t="s">
        <v>16034</v>
      </c>
      <c r="J7157" s="12" t="str">
        <f>HYPERLINK("https://www.boe.es/gazeta/dias/1801/05/26/pdfs/GMD-1801-43.pdf#page=7","Abrir facsímil")</f>
        <v>Abrir facsímil</v>
      </c>
      <c r="K7157" s="15" t="s">
        <v>23</v>
      </c>
    </row>
    <row r="7158" spans="1:11" ht="42" customHeight="1">
      <c r="A7158" s="4" t="s">
        <v>16035</v>
      </c>
      <c r="B7158" s="5" t="s">
        <v>16036</v>
      </c>
      <c r="C7158" s="5" t="s">
        <v>80</v>
      </c>
      <c r="D7158" s="5" t="s">
        <v>81</v>
      </c>
      <c r="E7158" s="5" t="s">
        <v>82</v>
      </c>
      <c r="F7158" s="9">
        <v>75</v>
      </c>
      <c r="G7158" s="9" t="s">
        <v>83</v>
      </c>
      <c r="H7158" s="5" t="s">
        <v>21</v>
      </c>
      <c r="I7158" s="5" t="s">
        <v>16037</v>
      </c>
      <c r="J7158" s="12" t="str">
        <f>HYPERLINK("https://www.boe.es/gazeta/dias/1801/08/04/pdfs/GMD-C-1801-75.pdf#page=2","Abrir facsímil")</f>
        <v>Abrir facsímil</v>
      </c>
      <c r="K7158" s="15" t="s">
        <v>23</v>
      </c>
    </row>
    <row r="7159" spans="1:11" ht="42" customHeight="1">
      <c r="A7159" s="4" t="s">
        <v>16038</v>
      </c>
      <c r="B7159" s="5" t="s">
        <v>16039</v>
      </c>
      <c r="C7159" s="5" t="s">
        <v>32</v>
      </c>
      <c r="D7159" s="5" t="s">
        <v>33</v>
      </c>
      <c r="E7159" s="5" t="s">
        <v>186</v>
      </c>
      <c r="F7159" s="9">
        <v>21</v>
      </c>
      <c r="G7159" s="9">
        <v>280</v>
      </c>
      <c r="H7159" s="5" t="s">
        <v>21</v>
      </c>
      <c r="I7159" s="5" t="s">
        <v>16040</v>
      </c>
      <c r="J7159" s="12" t="str">
        <f>HYPERLINK("https://www.boe.es/gazeta/dias/1801/03/13/pdfs/GMD-1801-21.pdf#page=9","Abrir facsímil")</f>
        <v>Abrir facsímil</v>
      </c>
      <c r="K7159" s="15" t="s">
        <v>23</v>
      </c>
    </row>
    <row r="7160" spans="1:11" ht="42" customHeight="1">
      <c r="A7160" s="4" t="s">
        <v>16041</v>
      </c>
      <c r="B7160" s="5" t="s">
        <v>16042</v>
      </c>
      <c r="C7160" s="5" t="s">
        <v>32</v>
      </c>
      <c r="D7160" s="5" t="s">
        <v>33</v>
      </c>
      <c r="E7160" s="5" t="s">
        <v>44</v>
      </c>
      <c r="F7160" s="9">
        <v>117</v>
      </c>
      <c r="G7160" s="9">
        <v>1281</v>
      </c>
      <c r="H7160" s="5" t="s">
        <v>21</v>
      </c>
      <c r="I7160" s="5" t="s">
        <v>16043</v>
      </c>
      <c r="J7160" s="12" t="str">
        <f>HYPERLINK("https://www.boe.es/gazeta/dias/1801/12/22/pdfs/GMD-1801-117.pdf#page=8","Abrir facsímil")</f>
        <v>Abrir facsímil</v>
      </c>
      <c r="K7160" s="15" t="s">
        <v>23</v>
      </c>
    </row>
    <row r="7161" spans="1:11" ht="42" customHeight="1">
      <c r="A7161" s="4" t="s">
        <v>16044</v>
      </c>
      <c r="B7161" s="5" t="s">
        <v>16045</v>
      </c>
      <c r="C7161" s="5" t="s">
        <v>32</v>
      </c>
      <c r="D7161" s="5" t="s">
        <v>33</v>
      </c>
      <c r="E7161" s="5" t="s">
        <v>161</v>
      </c>
      <c r="F7161" s="9">
        <v>58</v>
      </c>
      <c r="G7161" s="9">
        <v>664</v>
      </c>
      <c r="H7161" s="5" t="s">
        <v>21</v>
      </c>
      <c r="I7161" s="5" t="s">
        <v>16046</v>
      </c>
      <c r="J7161" s="12" t="str">
        <f>HYPERLINK("https://www.boe.es/gazeta/dias/1801/06/19/pdfs/GMD-1801-58.pdf#page=9","Abrir facsímil")</f>
        <v>Abrir facsímil</v>
      </c>
      <c r="K7161" s="15" t="s">
        <v>23</v>
      </c>
    </row>
    <row r="7162" spans="1:11" ht="42" customHeight="1">
      <c r="A7162" s="4" t="s">
        <v>16047</v>
      </c>
      <c r="B7162" s="5" t="s">
        <v>16048</v>
      </c>
      <c r="C7162" s="5" t="s">
        <v>38</v>
      </c>
      <c r="D7162" s="5" t="s">
        <v>39</v>
      </c>
      <c r="E7162" s="5" t="s">
        <v>72</v>
      </c>
      <c r="F7162" s="9">
        <v>60</v>
      </c>
      <c r="G7162" s="9">
        <v>685</v>
      </c>
      <c r="H7162" s="5" t="s">
        <v>21</v>
      </c>
      <c r="I7162" s="5" t="s">
        <v>16049</v>
      </c>
      <c r="J7162" s="12" t="str">
        <f>HYPERLINK("https://www.boe.es/gazeta/dias/1801/06/26/pdfs/GMD-1801-60.pdf#page=6","Abrir facsímil")</f>
        <v>Abrir facsímil</v>
      </c>
      <c r="K7162" s="15" t="s">
        <v>23</v>
      </c>
    </row>
    <row r="7163" spans="1:11" ht="42" customHeight="1">
      <c r="A7163" s="4" t="s">
        <v>16050</v>
      </c>
      <c r="B7163" s="5" t="s">
        <v>16051</v>
      </c>
      <c r="C7163" s="5" t="s">
        <v>32</v>
      </c>
      <c r="D7163" s="5" t="s">
        <v>33</v>
      </c>
      <c r="E7163" s="5" t="s">
        <v>99</v>
      </c>
      <c r="F7163" s="9">
        <v>32</v>
      </c>
      <c r="G7163" s="9">
        <v>413</v>
      </c>
      <c r="H7163" s="5" t="s">
        <v>21</v>
      </c>
      <c r="I7163" s="5" t="s">
        <v>16052</v>
      </c>
      <c r="J7163" s="12" t="str">
        <f>HYPERLINK("https://www.boe.es/gazeta/dias/1801/04/21/pdfs/GMD-1801-32.pdf#page=9","Abrir facsímil")</f>
        <v>Abrir facsímil</v>
      </c>
      <c r="K7163" s="15" t="s">
        <v>23</v>
      </c>
    </row>
    <row r="7164" spans="1:11" ht="42" customHeight="1">
      <c r="A7164" s="4" t="s">
        <v>16050</v>
      </c>
      <c r="B7164" s="5" t="s">
        <v>16051</v>
      </c>
      <c r="C7164" s="5" t="s">
        <v>38</v>
      </c>
      <c r="D7164" s="5" t="s">
        <v>39</v>
      </c>
      <c r="E7164" s="5" t="s">
        <v>223</v>
      </c>
      <c r="F7164" s="9">
        <v>74</v>
      </c>
      <c r="G7164" s="9">
        <v>827</v>
      </c>
      <c r="H7164" s="5" t="s">
        <v>21</v>
      </c>
      <c r="I7164" s="5" t="s">
        <v>16053</v>
      </c>
      <c r="J7164" s="12" t="str">
        <f>HYPERLINK("https://www.boe.es/gazeta/dias/1801/07/31/pdfs/GMD-1801-74.pdf#page=8","Abrir facsímil")</f>
        <v>Abrir facsímil</v>
      </c>
      <c r="K7164" s="15" t="s">
        <v>23</v>
      </c>
    </row>
    <row r="7165" spans="1:11" ht="42" customHeight="1">
      <c r="A7165" s="4" t="s">
        <v>16054</v>
      </c>
      <c r="B7165" s="5" t="s">
        <v>16054</v>
      </c>
      <c r="C7165" s="5" t="s">
        <v>515</v>
      </c>
      <c r="D7165" s="5" t="s">
        <v>516</v>
      </c>
      <c r="E7165" s="5" t="s">
        <v>501</v>
      </c>
      <c r="F7165" s="9">
        <v>115</v>
      </c>
      <c r="G7165" s="9" t="s">
        <v>83</v>
      </c>
      <c r="H7165" s="5" t="s">
        <v>21</v>
      </c>
      <c r="I7165" s="5" t="s">
        <v>16055</v>
      </c>
      <c r="J7165" s="12" t="str">
        <f>HYPERLINK("https://www.boe.es/gazeta/dias/1801/12/15/pdfs/GMD-C-1801-115.pdf#page=2","Abrir facsímil")</f>
        <v>Abrir facsímil</v>
      </c>
      <c r="K7165" s="15" t="s">
        <v>23</v>
      </c>
    </row>
    <row r="7166" spans="1:11" ht="42" customHeight="1">
      <c r="A7166" s="4" t="s">
        <v>16056</v>
      </c>
      <c r="B7166" s="5" t="s">
        <v>16056</v>
      </c>
      <c r="C7166" s="5" t="s">
        <v>80</v>
      </c>
      <c r="D7166" s="5" t="s">
        <v>81</v>
      </c>
      <c r="E7166" s="5" t="s">
        <v>82</v>
      </c>
      <c r="F7166" s="9">
        <v>75</v>
      </c>
      <c r="G7166" s="9" t="s">
        <v>83</v>
      </c>
      <c r="H7166" s="5" t="s">
        <v>21</v>
      </c>
      <c r="I7166" s="5" t="s">
        <v>16057</v>
      </c>
      <c r="J7166" s="12" t="str">
        <f>HYPERLINK("https://www.boe.es/gazeta/dias/1801/08/04/pdfs/GMD-C-1801-75.pdf#page=2","Abrir facsímil")</f>
        <v>Abrir facsímil</v>
      </c>
      <c r="K7166" s="15" t="s">
        <v>23</v>
      </c>
    </row>
    <row r="7167" spans="1:11" ht="42" customHeight="1">
      <c r="A7167" s="4" t="s">
        <v>16058</v>
      </c>
      <c r="B7167" s="5" t="s">
        <v>16059</v>
      </c>
      <c r="C7167" s="5" t="s">
        <v>26</v>
      </c>
      <c r="D7167" s="5" t="s">
        <v>27</v>
      </c>
      <c r="E7167" s="5" t="s">
        <v>453</v>
      </c>
      <c r="F7167" s="9">
        <v>100</v>
      </c>
      <c r="G7167" s="9">
        <v>1103</v>
      </c>
      <c r="H7167" s="5" t="s">
        <v>21</v>
      </c>
      <c r="I7167" s="5" t="s">
        <v>16060</v>
      </c>
      <c r="J7167" s="12" t="str">
        <f>HYPERLINK("https://www.boe.es/gazeta/dias/1801/10/23/pdfs/GMD-1801-100.pdf#page=12","Abrir facsímil")</f>
        <v>Abrir facsímil</v>
      </c>
      <c r="K7167" s="15" t="s">
        <v>23</v>
      </c>
    </row>
    <row r="7168" spans="1:11" ht="42" customHeight="1">
      <c r="A7168" s="4" t="s">
        <v>16061</v>
      </c>
      <c r="B7168" s="5" t="s">
        <v>16062</v>
      </c>
      <c r="C7168" s="5" t="s">
        <v>32</v>
      </c>
      <c r="D7168" s="5" t="s">
        <v>33</v>
      </c>
      <c r="E7168" s="5" t="s">
        <v>105</v>
      </c>
      <c r="F7168" s="9">
        <v>44</v>
      </c>
      <c r="G7168" s="9">
        <v>549</v>
      </c>
      <c r="H7168" s="5" t="s">
        <v>21</v>
      </c>
      <c r="I7168" s="5" t="s">
        <v>16063</v>
      </c>
      <c r="J7168" s="12" t="str">
        <f>HYPERLINK("https://www.boe.es/gazeta/dias/1801/05/29/pdfs/GMD-1801-44.pdf#page=9","Abrir facsímil")</f>
        <v>Abrir facsímil</v>
      </c>
      <c r="K7168" s="15" t="s">
        <v>23</v>
      </c>
    </row>
    <row r="7169" spans="1:11" ht="42" customHeight="1">
      <c r="A7169" s="4" t="s">
        <v>16064</v>
      </c>
      <c r="B7169" s="5" t="s">
        <v>16065</v>
      </c>
      <c r="C7169" s="5" t="s">
        <v>26</v>
      </c>
      <c r="D7169" s="5" t="s">
        <v>27</v>
      </c>
      <c r="E7169" s="5" t="s">
        <v>131</v>
      </c>
      <c r="F7169" s="9">
        <v>22</v>
      </c>
      <c r="G7169" s="9">
        <v>295</v>
      </c>
      <c r="H7169" s="5" t="s">
        <v>21</v>
      </c>
      <c r="I7169" s="5" t="s">
        <v>16066</v>
      </c>
      <c r="J7169" s="12" t="str">
        <f>HYPERLINK("https://www.boe.es/gazeta/dias/1801/03/17/pdfs/GMD-1801-22.pdf#page=12","Abrir facsímil")</f>
        <v>Abrir facsímil</v>
      </c>
      <c r="K7169" s="15" t="s">
        <v>23</v>
      </c>
    </row>
    <row r="7170" spans="1:11" ht="42" customHeight="1">
      <c r="A7170" s="4" t="s">
        <v>16064</v>
      </c>
      <c r="B7170" s="5" t="s">
        <v>16065</v>
      </c>
      <c r="C7170" s="5" t="s">
        <v>26</v>
      </c>
      <c r="D7170" s="5" t="s">
        <v>27</v>
      </c>
      <c r="E7170" s="5" t="s">
        <v>317</v>
      </c>
      <c r="F7170" s="9">
        <v>102</v>
      </c>
      <c r="G7170" s="9">
        <v>1123</v>
      </c>
      <c r="H7170" s="5" t="s">
        <v>21</v>
      </c>
      <c r="I7170" s="5" t="s">
        <v>16067</v>
      </c>
      <c r="J7170" s="12" t="str">
        <f>HYPERLINK("https://www.boe.es/gazeta/dias/1801/10/30/pdfs/GMD-1801-102.pdf#page=8","Abrir facsímil")</f>
        <v>Abrir facsímil</v>
      </c>
      <c r="K7170" s="15" t="s">
        <v>23</v>
      </c>
    </row>
    <row r="7171" spans="1:11" ht="42" customHeight="1">
      <c r="A7171" s="4" t="s">
        <v>16068</v>
      </c>
      <c r="B7171" s="5" t="s">
        <v>16069</v>
      </c>
      <c r="C7171" s="5" t="s">
        <v>32</v>
      </c>
      <c r="D7171" s="5" t="s">
        <v>33</v>
      </c>
      <c r="E7171" s="5" t="s">
        <v>112</v>
      </c>
      <c r="F7171" s="9">
        <v>114</v>
      </c>
      <c r="G7171" s="9">
        <v>1248</v>
      </c>
      <c r="H7171" s="5" t="s">
        <v>21</v>
      </c>
      <c r="I7171" s="5" t="s">
        <v>16070</v>
      </c>
      <c r="J7171" s="12" t="str">
        <f>HYPERLINK("https://www.boe.es/gazeta/dias/1801/12/11/pdfs/GMD-1801-114.pdf#page=10","Abrir facsímil")</f>
        <v>Abrir facsímil</v>
      </c>
      <c r="K7171" s="15" t="s">
        <v>23</v>
      </c>
    </row>
    <row r="7172" spans="1:11" ht="42" customHeight="1">
      <c r="A7172" s="4" t="s">
        <v>16071</v>
      </c>
      <c r="B7172" s="5" t="s">
        <v>16072</v>
      </c>
      <c r="C7172" s="5" t="s">
        <v>32</v>
      </c>
      <c r="D7172" s="5" t="s">
        <v>33</v>
      </c>
      <c r="E7172" s="5" t="s">
        <v>90</v>
      </c>
      <c r="F7172" s="9">
        <v>1</v>
      </c>
      <c r="G7172" s="9">
        <v>8</v>
      </c>
      <c r="H7172" s="5" t="s">
        <v>21</v>
      </c>
      <c r="I7172" s="5" t="s">
        <v>16073</v>
      </c>
      <c r="J7172" s="12" t="str">
        <f>HYPERLINK("https://www.boe.es/gazeta/dias/1801/01/02/pdfs/GMD-1801-1.pdf#page=8","Abrir facsímil")</f>
        <v>Abrir facsímil</v>
      </c>
      <c r="K7172" s="15" t="s">
        <v>23</v>
      </c>
    </row>
    <row r="7173" spans="1:11" ht="42" customHeight="1">
      <c r="A7173" s="4" t="s">
        <v>16074</v>
      </c>
      <c r="B7173" s="5" t="s">
        <v>16075</v>
      </c>
      <c r="C7173" s="5" t="s">
        <v>75</v>
      </c>
      <c r="D7173" s="5" t="s">
        <v>76</v>
      </c>
      <c r="E7173" s="5" t="s">
        <v>28</v>
      </c>
      <c r="F7173" s="9">
        <v>77</v>
      </c>
      <c r="G7173" s="9">
        <v>860</v>
      </c>
      <c r="H7173" s="5" t="s">
        <v>21</v>
      </c>
      <c r="I7173" s="5" t="s">
        <v>16076</v>
      </c>
      <c r="J7173" s="12" t="str">
        <f>HYPERLINK("https://www.boe.es/gazeta/dias/1801/08/11/pdfs/GMD-1801-77.pdf#page=5","Abrir facsímil")</f>
        <v>Abrir facsímil</v>
      </c>
      <c r="K7173" s="15" t="s">
        <v>23</v>
      </c>
    </row>
    <row r="7174" spans="1:11" ht="42" customHeight="1">
      <c r="A7174" s="4" t="s">
        <v>16077</v>
      </c>
      <c r="B7174" s="5" t="s">
        <v>16078</v>
      </c>
      <c r="C7174" s="5" t="s">
        <v>75</v>
      </c>
      <c r="D7174" s="5" t="s">
        <v>76</v>
      </c>
      <c r="E7174" s="5" t="s">
        <v>124</v>
      </c>
      <c r="F7174" s="9">
        <v>12</v>
      </c>
      <c r="G7174" s="9">
        <v>144</v>
      </c>
      <c r="H7174" s="5" t="s">
        <v>21</v>
      </c>
      <c r="I7174" s="5" t="s">
        <v>16079</v>
      </c>
      <c r="J7174" s="12" t="str">
        <f>HYPERLINK("https://www.boe.es/gazeta/dias/1801/02/10/pdfs/GMD-1801-12.pdf#page=5","Abrir facsímil")</f>
        <v>Abrir facsímil</v>
      </c>
      <c r="K7174" s="15" t="s">
        <v>23</v>
      </c>
    </row>
    <row r="7175" spans="1:11" ht="42" customHeight="1">
      <c r="A7175" s="4" t="s">
        <v>16080</v>
      </c>
      <c r="B7175" s="5" t="s">
        <v>16081</v>
      </c>
      <c r="C7175" s="5" t="s">
        <v>32</v>
      </c>
      <c r="D7175" s="5" t="s">
        <v>33</v>
      </c>
      <c r="E7175" s="5" t="s">
        <v>465</v>
      </c>
      <c r="F7175" s="9">
        <v>4</v>
      </c>
      <c r="G7175" s="9">
        <v>46</v>
      </c>
      <c r="H7175" s="5" t="s">
        <v>21</v>
      </c>
      <c r="I7175" s="5" t="s">
        <v>16082</v>
      </c>
      <c r="J7175" s="12" t="str">
        <f>HYPERLINK("https://www.boe.es/gazeta/dias/1801/01/13/pdfs/GMD-1801-4.pdf#page=10","Abrir facsímil")</f>
        <v>Abrir facsímil</v>
      </c>
      <c r="K7175" s="15" t="s">
        <v>23</v>
      </c>
    </row>
    <row r="7176" spans="1:11" ht="42" customHeight="1">
      <c r="A7176" s="4" t="s">
        <v>16083</v>
      </c>
      <c r="B7176" s="5" t="s">
        <v>16083</v>
      </c>
      <c r="C7176" s="5" t="s">
        <v>38</v>
      </c>
      <c r="D7176" s="5" t="s">
        <v>39</v>
      </c>
      <c r="E7176" s="5" t="s">
        <v>122</v>
      </c>
      <c r="F7176" s="9">
        <v>8</v>
      </c>
      <c r="G7176" s="9">
        <v>100</v>
      </c>
      <c r="H7176" s="5" t="s">
        <v>21</v>
      </c>
      <c r="I7176" s="5" t="s">
        <v>16084</v>
      </c>
      <c r="J7176" s="12" t="str">
        <f>HYPERLINK("https://www.boe.es/gazeta/dias/1801/01/27/pdfs/GMD-1801-8.pdf#page=12","Abrir facsímil")</f>
        <v>Abrir facsímil</v>
      </c>
      <c r="K7176" s="15" t="s">
        <v>23</v>
      </c>
    </row>
    <row r="7177" spans="1:11" ht="42" customHeight="1">
      <c r="A7177" s="4" t="s">
        <v>16085</v>
      </c>
      <c r="B7177" s="5" t="s">
        <v>16086</v>
      </c>
      <c r="C7177" s="5" t="s">
        <v>32</v>
      </c>
      <c r="D7177" s="5" t="s">
        <v>33</v>
      </c>
      <c r="E7177" s="5" t="s">
        <v>171</v>
      </c>
      <c r="F7177" s="9">
        <v>76</v>
      </c>
      <c r="G7177" s="9">
        <v>852</v>
      </c>
      <c r="H7177" s="5" t="s">
        <v>21</v>
      </c>
      <c r="I7177" s="5" t="s">
        <v>16087</v>
      </c>
      <c r="J7177" s="12" t="str">
        <f>HYPERLINK("https://www.boe.es/gazeta/dias/1801/08/07/pdfs/GMD-1801-76.pdf#page=9","Abrir facsímil")</f>
        <v>Abrir facsímil</v>
      </c>
      <c r="K7177" s="15" t="s">
        <v>23</v>
      </c>
    </row>
    <row r="7178" spans="1:11" ht="42" customHeight="1">
      <c r="A7178" s="4" t="s">
        <v>16088</v>
      </c>
      <c r="B7178" s="5" t="s">
        <v>16089</v>
      </c>
      <c r="C7178" s="5" t="s">
        <v>32</v>
      </c>
      <c r="D7178" s="5" t="s">
        <v>33</v>
      </c>
      <c r="E7178" s="5" t="s">
        <v>781</v>
      </c>
      <c r="F7178" s="9">
        <v>14</v>
      </c>
      <c r="G7178" s="9">
        <v>173</v>
      </c>
      <c r="H7178" s="5" t="s">
        <v>21</v>
      </c>
      <c r="I7178" s="5" t="s">
        <v>16090</v>
      </c>
      <c r="J7178" s="12" t="str">
        <f>HYPERLINK("https://www.boe.es/gazeta/dias/1801/02/17/pdfs/GMD-1801-14.pdf#page=8","Abrir facsímil")</f>
        <v>Abrir facsímil</v>
      </c>
      <c r="K7178" s="15" t="s">
        <v>23</v>
      </c>
    </row>
    <row r="7179" spans="1:11" ht="42" customHeight="1">
      <c r="A7179" s="4" t="s">
        <v>16091</v>
      </c>
      <c r="B7179" s="5" t="s">
        <v>16092</v>
      </c>
      <c r="C7179" s="5" t="s">
        <v>80</v>
      </c>
      <c r="D7179" s="5" t="s">
        <v>81</v>
      </c>
      <c r="E7179" s="5" t="s">
        <v>289</v>
      </c>
      <c r="F7179" s="9">
        <v>40</v>
      </c>
      <c r="G7179" s="9" t="s">
        <v>299</v>
      </c>
      <c r="H7179" s="5" t="s">
        <v>21</v>
      </c>
      <c r="I7179" s="5" t="s">
        <v>16093</v>
      </c>
      <c r="J7179" s="12" t="str">
        <f>HYPERLINK("https://www.boe.es/gazeta/dias/1801/05/19/pdfs/GMD-C-1801-40.pdf#page=5","Abrir facsímil")</f>
        <v>Abrir facsímil</v>
      </c>
      <c r="K7179" s="15" t="s">
        <v>23</v>
      </c>
    </row>
    <row r="7180" spans="1:11" ht="42" customHeight="1">
      <c r="A7180" s="4" t="s">
        <v>16094</v>
      </c>
      <c r="B7180" s="5" t="s">
        <v>16095</v>
      </c>
      <c r="C7180" s="5" t="s">
        <v>32</v>
      </c>
      <c r="D7180" s="5" t="s">
        <v>33</v>
      </c>
      <c r="E7180" s="5" t="s">
        <v>505</v>
      </c>
      <c r="F7180" s="9">
        <v>94</v>
      </c>
      <c r="G7180" s="9">
        <v>1033</v>
      </c>
      <c r="H7180" s="5" t="s">
        <v>21</v>
      </c>
      <c r="I7180" s="5" t="s">
        <v>16096</v>
      </c>
      <c r="J7180" s="12" t="str">
        <f>HYPERLINK("https://www.boe.es/gazeta/dias/1801/10/02/pdfs/GMD-1801-94.pdf#page=9","Abrir facsímil")</f>
        <v>Abrir facsímil</v>
      </c>
      <c r="K7180" s="15" t="s">
        <v>23</v>
      </c>
    </row>
    <row r="7181" spans="1:11" ht="42" customHeight="1">
      <c r="A7181" s="4" t="s">
        <v>16097</v>
      </c>
      <c r="B7181" s="5" t="s">
        <v>16098</v>
      </c>
      <c r="C7181" s="5" t="s">
        <v>32</v>
      </c>
      <c r="D7181" s="5" t="s">
        <v>33</v>
      </c>
      <c r="E7181" s="5" t="s">
        <v>256</v>
      </c>
      <c r="F7181" s="9">
        <v>78</v>
      </c>
      <c r="G7181" s="9">
        <v>881</v>
      </c>
      <c r="H7181" s="5" t="s">
        <v>21</v>
      </c>
      <c r="I7181" s="5" t="s">
        <v>16099</v>
      </c>
      <c r="J7181" s="12" t="str">
        <f>HYPERLINK("https://www.boe.es/gazeta/dias/1801/08/14/pdfs/GMD-1801-78.pdf#page=10","Abrir facsímil")</f>
        <v>Abrir facsímil</v>
      </c>
      <c r="K7181" s="15" t="s">
        <v>23</v>
      </c>
    </row>
    <row r="7182" spans="1:11" ht="42" customHeight="1">
      <c r="A7182" s="4" t="s">
        <v>16100</v>
      </c>
      <c r="B7182" s="5" t="s">
        <v>16101</v>
      </c>
      <c r="C7182" s="5" t="s">
        <v>32</v>
      </c>
      <c r="D7182" s="5" t="s">
        <v>33</v>
      </c>
      <c r="E7182" s="5" t="s">
        <v>352</v>
      </c>
      <c r="F7182" s="9">
        <v>43</v>
      </c>
      <c r="G7182" s="9">
        <v>538</v>
      </c>
      <c r="H7182" s="5" t="s">
        <v>21</v>
      </c>
      <c r="I7182" s="5" t="s">
        <v>16102</v>
      </c>
      <c r="J7182" s="12" t="str">
        <f>HYPERLINK("https://www.boe.es/gazeta/dias/1801/05/26/pdfs/GMD-1801-43.pdf#page=10","Abrir facsímil")</f>
        <v>Abrir facsímil</v>
      </c>
      <c r="K7182" s="15" t="s">
        <v>23</v>
      </c>
    </row>
    <row r="7183" spans="1:11" ht="42" customHeight="1">
      <c r="A7183" s="4" t="s">
        <v>16103</v>
      </c>
      <c r="B7183" s="5" t="s">
        <v>16104</v>
      </c>
      <c r="C7183" s="5" t="s">
        <v>26</v>
      </c>
      <c r="D7183" s="5" t="s">
        <v>27</v>
      </c>
      <c r="E7183" s="5" t="s">
        <v>112</v>
      </c>
      <c r="F7183" s="9">
        <v>114</v>
      </c>
      <c r="G7183" s="9">
        <v>1249</v>
      </c>
      <c r="H7183" s="5" t="s">
        <v>21</v>
      </c>
      <c r="I7183" s="5" t="s">
        <v>16105</v>
      </c>
      <c r="J7183" s="12" t="str">
        <f>HYPERLINK("https://www.boe.es/gazeta/dias/1801/12/11/pdfs/GMD-1801-114.pdf#page=11","Abrir facsímil")</f>
        <v>Abrir facsímil</v>
      </c>
      <c r="K7183" s="15" t="s">
        <v>23</v>
      </c>
    </row>
    <row r="7184" spans="1:11" ht="42" customHeight="1">
      <c r="A7184" s="4" t="s">
        <v>16106</v>
      </c>
      <c r="B7184" s="5" t="s">
        <v>16107</v>
      </c>
      <c r="C7184" s="5" t="s">
        <v>32</v>
      </c>
      <c r="D7184" s="5" t="s">
        <v>33</v>
      </c>
      <c r="E7184" s="5" t="s">
        <v>338</v>
      </c>
      <c r="F7184" s="9">
        <v>83</v>
      </c>
      <c r="G7184" s="9">
        <v>933</v>
      </c>
      <c r="H7184" s="5" t="s">
        <v>21</v>
      </c>
      <c r="I7184" s="5" t="s">
        <v>16108</v>
      </c>
      <c r="J7184" s="12" t="str">
        <f>HYPERLINK("https://www.boe.es/gazeta/dias/1801/09/01/pdfs/GMD-1801-83.pdf#page=8","Abrir facsímil")</f>
        <v>Abrir facsímil</v>
      </c>
      <c r="K7184" s="15" t="s">
        <v>23</v>
      </c>
    </row>
    <row r="7185" spans="1:11" ht="42" customHeight="1">
      <c r="A7185" s="4" t="s">
        <v>16109</v>
      </c>
      <c r="B7185" s="5" t="s">
        <v>16110</v>
      </c>
      <c r="C7185" s="5" t="s">
        <v>69</v>
      </c>
      <c r="D7185" s="5" t="s">
        <v>19</v>
      </c>
      <c r="E7185" s="5" t="s">
        <v>453</v>
      </c>
      <c r="F7185" s="9">
        <v>100</v>
      </c>
      <c r="G7185" s="9">
        <v>1100</v>
      </c>
      <c r="H7185" s="5" t="s">
        <v>21</v>
      </c>
      <c r="I7185" s="5" t="s">
        <v>16111</v>
      </c>
      <c r="J7185" s="12" t="str">
        <f>HYPERLINK("https://www.boe.es/gazeta/dias/1801/10/23/pdfs/GMD-1801-100.pdf#page=9","Abrir facsímil")</f>
        <v>Abrir facsímil</v>
      </c>
      <c r="K7185" s="15" t="s">
        <v>23</v>
      </c>
    </row>
    <row r="7186" spans="1:11" ht="42" customHeight="1">
      <c r="A7186" s="4" t="s">
        <v>16112</v>
      </c>
      <c r="B7186" s="5" t="s">
        <v>16113</v>
      </c>
      <c r="C7186" s="5" t="s">
        <v>38</v>
      </c>
      <c r="D7186" s="5" t="s">
        <v>39</v>
      </c>
      <c r="E7186" s="5" t="s">
        <v>215</v>
      </c>
      <c r="F7186" s="9">
        <v>71</v>
      </c>
      <c r="G7186" s="9">
        <v>789</v>
      </c>
      <c r="H7186" s="5" t="s">
        <v>21</v>
      </c>
      <c r="I7186" s="5" t="s">
        <v>16114</v>
      </c>
      <c r="J7186" s="12" t="str">
        <f>HYPERLINK("https://www.boe.es/gazeta/dias/1801/07/21/pdfs/GMD-1801-71.pdf#page=10","Abrir facsímil")</f>
        <v>Abrir facsímil</v>
      </c>
      <c r="K7186" s="15" t="s">
        <v>23</v>
      </c>
    </row>
    <row r="7187" spans="1:11" ht="42" customHeight="1">
      <c r="A7187" s="4" t="s">
        <v>16115</v>
      </c>
      <c r="B7187" s="5" t="s">
        <v>16116</v>
      </c>
      <c r="C7187" s="5" t="s">
        <v>38</v>
      </c>
      <c r="D7187" s="5" t="s">
        <v>39</v>
      </c>
      <c r="E7187" s="5" t="s">
        <v>108</v>
      </c>
      <c r="F7187" s="9">
        <v>61</v>
      </c>
      <c r="G7187" s="9">
        <v>698</v>
      </c>
      <c r="H7187" s="5" t="s">
        <v>21</v>
      </c>
      <c r="I7187" s="5" t="s">
        <v>16117</v>
      </c>
      <c r="J7187" s="12" t="str">
        <f>HYPERLINK("https://www.boe.es/gazeta/dias/1801/06/30/pdfs/GMD-1801-61.pdf#page=7","Abrir facsímil")</f>
        <v>Abrir facsímil</v>
      </c>
      <c r="K7187" s="15" t="s">
        <v>23</v>
      </c>
    </row>
    <row r="7188" spans="1:11" ht="42" customHeight="1">
      <c r="A7188" s="4" t="s">
        <v>16118</v>
      </c>
      <c r="B7188" s="5" t="s">
        <v>16119</v>
      </c>
      <c r="C7188" s="5" t="s">
        <v>69</v>
      </c>
      <c r="D7188" s="5" t="s">
        <v>19</v>
      </c>
      <c r="E7188" s="5" t="s">
        <v>309</v>
      </c>
      <c r="F7188" s="9">
        <v>118</v>
      </c>
      <c r="G7188" s="9">
        <v>1292</v>
      </c>
      <c r="H7188" s="5" t="s">
        <v>21</v>
      </c>
      <c r="I7188" s="5" t="s">
        <v>16120</v>
      </c>
      <c r="J7188" s="12" t="str">
        <f>HYPERLINK("https://www.boe.es/gazeta/dias/1801/12/25/pdfs/GMD-1801-118.pdf#page=7","Abrir facsímil")</f>
        <v>Abrir facsímil</v>
      </c>
      <c r="K7188" s="15" t="s">
        <v>23</v>
      </c>
    </row>
    <row r="7189" spans="1:11" ht="42" customHeight="1">
      <c r="A7189" s="4" t="s">
        <v>16121</v>
      </c>
      <c r="B7189" s="5" t="s">
        <v>16122</v>
      </c>
      <c r="C7189" s="5" t="s">
        <v>32</v>
      </c>
      <c r="D7189" s="5" t="s">
        <v>33</v>
      </c>
      <c r="E7189" s="5" t="s">
        <v>112</v>
      </c>
      <c r="F7189" s="9">
        <v>114</v>
      </c>
      <c r="G7189" s="9">
        <v>1247</v>
      </c>
      <c r="H7189" s="5" t="s">
        <v>21</v>
      </c>
      <c r="I7189" s="5" t="s">
        <v>16123</v>
      </c>
      <c r="J7189" s="12" t="str">
        <f>HYPERLINK("https://www.boe.es/gazeta/dias/1801/12/11/pdfs/GMD-1801-114.pdf#page=9","Abrir facsímil")</f>
        <v>Abrir facsímil</v>
      </c>
      <c r="K7189" s="15" t="s">
        <v>23</v>
      </c>
    </row>
    <row r="7190" spans="1:11" ht="42" customHeight="1">
      <c r="A7190" s="4" t="s">
        <v>16124</v>
      </c>
      <c r="B7190" s="5" t="s">
        <v>16125</v>
      </c>
      <c r="C7190" s="5" t="s">
        <v>32</v>
      </c>
      <c r="D7190" s="5" t="s">
        <v>33</v>
      </c>
      <c r="E7190" s="5" t="s">
        <v>264</v>
      </c>
      <c r="F7190" s="9">
        <v>111</v>
      </c>
      <c r="G7190" s="9">
        <v>1218</v>
      </c>
      <c r="H7190" s="5" t="s">
        <v>21</v>
      </c>
      <c r="I7190" s="5" t="s">
        <v>16126</v>
      </c>
      <c r="J7190" s="12" t="str">
        <f>HYPERLINK("https://www.boe.es/gazeta/dias/1801/12/01/pdfs/GMD-1801-111.pdf#page=7","Abrir facsímil")</f>
        <v>Abrir facsímil</v>
      </c>
      <c r="K7190" s="15" t="s">
        <v>23</v>
      </c>
    </row>
    <row r="7191" spans="1:11" ht="42" customHeight="1">
      <c r="A7191" s="4" t="s">
        <v>16127</v>
      </c>
      <c r="B7191" s="5" t="s">
        <v>16128</v>
      </c>
      <c r="C7191" s="5" t="s">
        <v>38</v>
      </c>
      <c r="D7191" s="5" t="s">
        <v>39</v>
      </c>
      <c r="E7191" s="5" t="s">
        <v>124</v>
      </c>
      <c r="F7191" s="9">
        <v>12</v>
      </c>
      <c r="G7191" s="9">
        <v>148</v>
      </c>
      <c r="H7191" s="5" t="s">
        <v>21</v>
      </c>
      <c r="I7191" s="5" t="s">
        <v>16129</v>
      </c>
      <c r="J7191" s="12" t="str">
        <f>HYPERLINK("https://www.boe.es/gazeta/dias/1801/02/10/pdfs/GMD-1801-12.pdf#page=9","Abrir facsímil")</f>
        <v>Abrir facsímil</v>
      </c>
      <c r="K7191" s="15" t="s">
        <v>23</v>
      </c>
    </row>
    <row r="7192" spans="1:11" ht="42" customHeight="1">
      <c r="A7192" s="4" t="s">
        <v>16127</v>
      </c>
      <c r="B7192" s="5" t="s">
        <v>16128</v>
      </c>
      <c r="C7192" s="5" t="s">
        <v>38</v>
      </c>
      <c r="D7192" s="5" t="s">
        <v>39</v>
      </c>
      <c r="E7192" s="5" t="s">
        <v>615</v>
      </c>
      <c r="F7192" s="9">
        <v>72</v>
      </c>
      <c r="G7192" s="9">
        <v>803</v>
      </c>
      <c r="H7192" s="5" t="s">
        <v>21</v>
      </c>
      <c r="I7192" s="5" t="s">
        <v>16130</v>
      </c>
      <c r="J7192" s="12" t="str">
        <f>HYPERLINK("https://www.boe.es/gazeta/dias/1801/07/24/pdfs/GMD-1801-72.pdf#page=8","Abrir facsímil")</f>
        <v>Abrir facsímil</v>
      </c>
      <c r="K7192" s="15" t="s">
        <v>23</v>
      </c>
    </row>
    <row r="7193" spans="1:11" ht="42" customHeight="1">
      <c r="A7193" s="4" t="s">
        <v>16131</v>
      </c>
      <c r="B7193" s="5" t="s">
        <v>16132</v>
      </c>
      <c r="C7193" s="5" t="s">
        <v>69</v>
      </c>
      <c r="D7193" s="5" t="s">
        <v>19</v>
      </c>
      <c r="E7193" s="5" t="s">
        <v>359</v>
      </c>
      <c r="F7193" s="9">
        <v>101</v>
      </c>
      <c r="G7193" s="9">
        <v>1113</v>
      </c>
      <c r="H7193" s="5" t="s">
        <v>21</v>
      </c>
      <c r="I7193" s="5" t="s">
        <v>16133</v>
      </c>
      <c r="J7193" s="12" t="str">
        <f>HYPERLINK("https://www.boe.es/gazeta/dias/1801/10/27/pdfs/GMD-1801-101.pdf#page=6","Abrir facsímil")</f>
        <v>Abrir facsímil</v>
      </c>
      <c r="K7193" s="15" t="s">
        <v>23</v>
      </c>
    </row>
    <row r="7194" spans="1:11" ht="42" customHeight="1">
      <c r="A7194" s="4" t="s">
        <v>16134</v>
      </c>
      <c r="B7194" s="5" t="s">
        <v>16135</v>
      </c>
      <c r="C7194" s="5" t="s">
        <v>26</v>
      </c>
      <c r="D7194" s="5" t="s">
        <v>27</v>
      </c>
      <c r="E7194" s="5" t="s">
        <v>501</v>
      </c>
      <c r="F7194" s="9">
        <v>115</v>
      </c>
      <c r="G7194" s="9">
        <v>1258</v>
      </c>
      <c r="H7194" s="5" t="s">
        <v>21</v>
      </c>
      <c r="I7194" s="5" t="s">
        <v>16136</v>
      </c>
      <c r="J7194" s="12" t="str">
        <f>HYPERLINK("https://www.boe.es/gazeta/dias/1801/12/15/pdfs/GMD-1801-115.pdf#page=8","Abrir facsímil")</f>
        <v>Abrir facsímil</v>
      </c>
      <c r="K7194" s="15" t="s">
        <v>23</v>
      </c>
    </row>
    <row r="7195" spans="1:11" ht="42" customHeight="1">
      <c r="A7195" s="4" t="s">
        <v>16137</v>
      </c>
      <c r="B7195" s="5" t="s">
        <v>16138</v>
      </c>
      <c r="C7195" s="5" t="s">
        <v>32</v>
      </c>
      <c r="D7195" s="5" t="s">
        <v>33</v>
      </c>
      <c r="E7195" s="5" t="s">
        <v>615</v>
      </c>
      <c r="F7195" s="9">
        <v>72</v>
      </c>
      <c r="G7195" s="9">
        <v>804</v>
      </c>
      <c r="H7195" s="5" t="s">
        <v>21</v>
      </c>
      <c r="I7195" s="5" t="s">
        <v>16139</v>
      </c>
      <c r="J7195" s="12" t="str">
        <f>HYPERLINK("https://www.boe.es/gazeta/dias/1801/07/24/pdfs/GMD-1801-72.pdf#page=9","Abrir facsímil")</f>
        <v>Abrir facsímil</v>
      </c>
      <c r="K7195" s="15" t="s">
        <v>23</v>
      </c>
    </row>
    <row r="7196" spans="1:11" ht="42" customHeight="1">
      <c r="A7196" s="4" t="s">
        <v>16140</v>
      </c>
      <c r="B7196" s="5" t="s">
        <v>16141</v>
      </c>
      <c r="C7196" s="5" t="s">
        <v>38</v>
      </c>
      <c r="D7196" s="5" t="s">
        <v>39</v>
      </c>
      <c r="E7196" s="5" t="s">
        <v>165</v>
      </c>
      <c r="F7196" s="9">
        <v>59</v>
      </c>
      <c r="G7196" s="9">
        <v>678</v>
      </c>
      <c r="H7196" s="5" t="s">
        <v>21</v>
      </c>
      <c r="I7196" s="5" t="s">
        <v>16142</v>
      </c>
      <c r="J7196" s="12" t="str">
        <f>HYPERLINK("https://www.boe.es/gazeta/dias/1801/06/23/pdfs/GMD-1801-59.pdf#page=11","Abrir facsímil")</f>
        <v>Abrir facsímil</v>
      </c>
      <c r="K7196" s="15" t="s">
        <v>23</v>
      </c>
    </row>
    <row r="7197" spans="1:11" ht="42" customHeight="1">
      <c r="A7197" s="4" t="s">
        <v>16140</v>
      </c>
      <c r="B7197" s="5" t="s">
        <v>16141</v>
      </c>
      <c r="C7197" s="5" t="s">
        <v>18</v>
      </c>
      <c r="D7197" s="5" t="s">
        <v>19</v>
      </c>
      <c r="E7197" s="5" t="s">
        <v>165</v>
      </c>
      <c r="F7197" s="9">
        <v>59</v>
      </c>
      <c r="G7197" s="9">
        <v>679</v>
      </c>
      <c r="H7197" s="5" t="s">
        <v>21</v>
      </c>
      <c r="I7197" s="5" t="s">
        <v>16143</v>
      </c>
      <c r="J7197" s="12" t="str">
        <f>HYPERLINK("https://www.boe.es/gazeta/dias/1801/06/23/pdfs/GMD-1801-59.pdf#page=12","Abrir facsímil")</f>
        <v>Abrir facsímil</v>
      </c>
      <c r="K7197" s="15" t="s">
        <v>23</v>
      </c>
    </row>
    <row r="7198" spans="1:11" ht="42" customHeight="1">
      <c r="A7198" s="4" t="s">
        <v>16144</v>
      </c>
      <c r="B7198" s="5" t="s">
        <v>16145</v>
      </c>
      <c r="C7198" s="5" t="s">
        <v>32</v>
      </c>
      <c r="D7198" s="5" t="s">
        <v>33</v>
      </c>
      <c r="E7198" s="5" t="s">
        <v>256</v>
      </c>
      <c r="F7198" s="9">
        <v>78</v>
      </c>
      <c r="G7198" s="9">
        <v>881</v>
      </c>
      <c r="H7198" s="5" t="s">
        <v>21</v>
      </c>
      <c r="I7198" s="5" t="s">
        <v>16146</v>
      </c>
      <c r="J7198" s="12" t="str">
        <f>HYPERLINK("https://www.boe.es/gazeta/dias/1801/08/14/pdfs/GMD-1801-78.pdf#page=10","Abrir facsímil")</f>
        <v>Abrir facsímil</v>
      </c>
      <c r="K7198" s="15" t="s">
        <v>23</v>
      </c>
    </row>
    <row r="7199" spans="1:11" ht="42" customHeight="1">
      <c r="A7199" s="4" t="s">
        <v>16147</v>
      </c>
      <c r="B7199" s="5" t="s">
        <v>16148</v>
      </c>
      <c r="C7199" s="5" t="s">
        <v>32</v>
      </c>
      <c r="D7199" s="5" t="s">
        <v>33</v>
      </c>
      <c r="E7199" s="5" t="s">
        <v>352</v>
      </c>
      <c r="F7199" s="9">
        <v>43</v>
      </c>
      <c r="G7199" s="9">
        <v>538</v>
      </c>
      <c r="H7199" s="5" t="s">
        <v>21</v>
      </c>
      <c r="I7199" s="5" t="s">
        <v>16149</v>
      </c>
      <c r="J7199" s="12" t="str">
        <f>HYPERLINK("https://www.boe.es/gazeta/dias/1801/05/26/pdfs/GMD-1801-43.pdf#page=10","Abrir facsímil")</f>
        <v>Abrir facsímil</v>
      </c>
      <c r="K7199" s="15" t="s">
        <v>23</v>
      </c>
    </row>
    <row r="7200" spans="1:11" ht="42" customHeight="1">
      <c r="A7200" s="4" t="s">
        <v>16150</v>
      </c>
      <c r="B7200" s="5" t="s">
        <v>16151</v>
      </c>
      <c r="C7200" s="5" t="s">
        <v>38</v>
      </c>
      <c r="D7200" s="5" t="s">
        <v>39</v>
      </c>
      <c r="E7200" s="5" t="s">
        <v>48</v>
      </c>
      <c r="F7200" s="9">
        <v>20</v>
      </c>
      <c r="G7200" s="9">
        <v>264</v>
      </c>
      <c r="H7200" s="5" t="s">
        <v>21</v>
      </c>
      <c r="I7200" s="5" t="s">
        <v>16152</v>
      </c>
      <c r="J7200" s="12" t="str">
        <f>HYPERLINK("https://www.boe.es/gazeta/dias/1801/03/10/pdfs/GMD-1801-20.pdf#page=9","Abrir facsímil")</f>
        <v>Abrir facsímil</v>
      </c>
      <c r="K7200" s="15" t="s">
        <v>23</v>
      </c>
    </row>
    <row r="7201" spans="1:11" ht="42" customHeight="1">
      <c r="A7201" s="4" t="s">
        <v>16153</v>
      </c>
      <c r="B7201" s="5" t="s">
        <v>16154</v>
      </c>
      <c r="C7201" s="5" t="s">
        <v>38</v>
      </c>
      <c r="D7201" s="5" t="s">
        <v>39</v>
      </c>
      <c r="E7201" s="5" t="s">
        <v>131</v>
      </c>
      <c r="F7201" s="9">
        <v>22</v>
      </c>
      <c r="G7201" s="9">
        <v>290</v>
      </c>
      <c r="H7201" s="5" t="s">
        <v>21</v>
      </c>
      <c r="I7201" s="5" t="s">
        <v>16155</v>
      </c>
      <c r="J7201" s="12" t="str">
        <f>HYPERLINK("https://www.boe.es/gazeta/dias/1801/03/17/pdfs/GMD-1801-22.pdf#page=7","Abrir facsímil")</f>
        <v>Abrir facsímil</v>
      </c>
      <c r="K7201" s="15" t="s">
        <v>23</v>
      </c>
    </row>
    <row r="7202" spans="1:11" ht="42" customHeight="1">
      <c r="A7202" s="4" t="s">
        <v>16156</v>
      </c>
      <c r="B7202" s="5" t="s">
        <v>16156</v>
      </c>
      <c r="C7202" s="5" t="s">
        <v>26</v>
      </c>
      <c r="D7202" s="5" t="s">
        <v>27</v>
      </c>
      <c r="E7202" s="5" t="s">
        <v>501</v>
      </c>
      <c r="F7202" s="9">
        <v>115</v>
      </c>
      <c r="G7202" s="9" t="s">
        <v>502</v>
      </c>
      <c r="H7202" s="5" t="s">
        <v>21</v>
      </c>
      <c r="I7202" s="5" t="s">
        <v>16157</v>
      </c>
      <c r="J7202" s="12" t="str">
        <f>HYPERLINK("https://www.boe.es/gazeta/dias/1801/12/15/pdfs/GMD-C-1801-115.pdf#page=8","Abrir facsímil")</f>
        <v>Abrir facsímil</v>
      </c>
      <c r="K7202" s="15" t="s">
        <v>23</v>
      </c>
    </row>
    <row r="7203" spans="1:11" ht="42" customHeight="1">
      <c r="A7203" s="4" t="s">
        <v>16158</v>
      </c>
      <c r="B7203" s="5" t="s">
        <v>16159</v>
      </c>
      <c r="C7203" s="5" t="s">
        <v>26</v>
      </c>
      <c r="D7203" s="5" t="s">
        <v>27</v>
      </c>
      <c r="E7203" s="5" t="s">
        <v>501</v>
      </c>
      <c r="F7203" s="9">
        <v>115</v>
      </c>
      <c r="G7203" s="9" t="s">
        <v>996</v>
      </c>
      <c r="H7203" s="5" t="s">
        <v>21</v>
      </c>
      <c r="I7203" s="5" t="s">
        <v>16160</v>
      </c>
      <c r="J7203" s="12" t="str">
        <f>HYPERLINK("https://www.boe.es/gazeta/dias/1801/12/15/pdfs/GMD-C-1801-115.pdf#page=6","Abrir facsímil")</f>
        <v>Abrir facsímil</v>
      </c>
      <c r="K7203" s="15" t="s">
        <v>23</v>
      </c>
    </row>
    <row r="7204" spans="1:11" ht="42" customHeight="1">
      <c r="A7204" s="4" t="s">
        <v>16161</v>
      </c>
      <c r="B7204" s="5" t="s">
        <v>16162</v>
      </c>
      <c r="C7204" s="5" t="s">
        <v>26</v>
      </c>
      <c r="D7204" s="5" t="s">
        <v>27</v>
      </c>
      <c r="E7204" s="5" t="s">
        <v>262</v>
      </c>
      <c r="F7204" s="9">
        <v>109</v>
      </c>
      <c r="G7204" s="9">
        <v>1207</v>
      </c>
      <c r="H7204" s="5" t="s">
        <v>21</v>
      </c>
      <c r="I7204" s="5" t="s">
        <v>16163</v>
      </c>
      <c r="J7204" s="12" t="str">
        <f>HYPERLINK("https://www.boe.es/gazeta/dias/1801/11/24/pdfs/GMD-1801-109.pdf#page=12","Abrir facsímil")</f>
        <v>Abrir facsímil</v>
      </c>
      <c r="K7204" s="15" t="s">
        <v>23</v>
      </c>
    </row>
    <row r="7205" spans="1:11" ht="42" customHeight="1">
      <c r="A7205" s="4" t="s">
        <v>16164</v>
      </c>
      <c r="B7205" s="5" t="s">
        <v>16165</v>
      </c>
      <c r="C7205" s="5" t="s">
        <v>32</v>
      </c>
      <c r="D7205" s="5" t="s">
        <v>33</v>
      </c>
      <c r="E7205" s="5" t="s">
        <v>462</v>
      </c>
      <c r="F7205" s="9">
        <v>5</v>
      </c>
      <c r="G7205" s="9">
        <v>58</v>
      </c>
      <c r="H7205" s="5" t="s">
        <v>21</v>
      </c>
      <c r="I7205" s="5" t="s">
        <v>16166</v>
      </c>
      <c r="J7205" s="12" t="str">
        <f>HYPERLINK("https://www.boe.es/gazeta/dias/1801/01/16/pdfs/GMD-1801-5.pdf#page=10","Abrir facsímil")</f>
        <v>Abrir facsímil</v>
      </c>
      <c r="K7205" s="15" t="s">
        <v>23</v>
      </c>
    </row>
    <row r="7206" spans="1:11" ht="42" customHeight="1">
      <c r="A7206" s="4" t="s">
        <v>16167</v>
      </c>
      <c r="B7206" s="5" t="s">
        <v>16168</v>
      </c>
      <c r="C7206" s="5" t="s">
        <v>32</v>
      </c>
      <c r="D7206" s="5" t="s">
        <v>33</v>
      </c>
      <c r="E7206" s="5" t="s">
        <v>169</v>
      </c>
      <c r="F7206" s="9">
        <v>70</v>
      </c>
      <c r="G7206" s="9">
        <v>777</v>
      </c>
      <c r="H7206" s="5" t="s">
        <v>21</v>
      </c>
      <c r="I7206" s="5" t="s">
        <v>16169</v>
      </c>
      <c r="J7206" s="12" t="str">
        <f>HYPERLINK("https://www.boe.es/gazeta/dias/1801/07/17/pdfs/GMD-1801-70.pdf#page=10","Abrir facsímil")</f>
        <v>Abrir facsímil</v>
      </c>
      <c r="K7206" s="15" t="s">
        <v>23</v>
      </c>
    </row>
    <row r="7207" spans="1:11" ht="42" customHeight="1">
      <c r="A7207" s="4" t="s">
        <v>16167</v>
      </c>
      <c r="B7207" s="5" t="s">
        <v>16168</v>
      </c>
      <c r="C7207" s="5" t="s">
        <v>32</v>
      </c>
      <c r="D7207" s="5" t="s">
        <v>33</v>
      </c>
      <c r="E7207" s="5" t="s">
        <v>712</v>
      </c>
      <c r="F7207" s="9">
        <v>105</v>
      </c>
      <c r="G7207" s="9">
        <v>1156</v>
      </c>
      <c r="H7207" s="5" t="s">
        <v>21</v>
      </c>
      <c r="I7207" s="5" t="s">
        <v>16170</v>
      </c>
      <c r="J7207" s="12" t="str">
        <f>HYPERLINK("https://www.boe.es/gazeta/dias/1801/11/10/pdfs/GMD-1801-105.pdf#page=9","Abrir facsímil")</f>
        <v>Abrir facsímil</v>
      </c>
      <c r="K7207" s="15" t="s">
        <v>23</v>
      </c>
    </row>
    <row r="7208" spans="1:11" ht="42" customHeight="1">
      <c r="A7208" s="4" t="s">
        <v>16171</v>
      </c>
      <c r="B7208" s="5" t="s">
        <v>16172</v>
      </c>
      <c r="C7208" s="5" t="s">
        <v>38</v>
      </c>
      <c r="D7208" s="5" t="s">
        <v>39</v>
      </c>
      <c r="E7208" s="5" t="s">
        <v>20</v>
      </c>
      <c r="F7208" s="9">
        <v>37</v>
      </c>
      <c r="G7208" s="9">
        <v>482</v>
      </c>
      <c r="H7208" s="5" t="s">
        <v>21</v>
      </c>
      <c r="I7208" s="5" t="s">
        <v>16173</v>
      </c>
      <c r="J7208" s="12" t="str">
        <f>HYPERLINK("https://www.boe.es/gazeta/dias/1801/05/08/pdfs/GMD-1801-37.pdf#page=10","Abrir facsímil")</f>
        <v>Abrir facsímil</v>
      </c>
      <c r="K7208" s="15" t="s">
        <v>23</v>
      </c>
    </row>
    <row r="7209" spans="1:11" ht="42" customHeight="1">
      <c r="A7209" s="4" t="s">
        <v>16174</v>
      </c>
      <c r="B7209" s="5" t="s">
        <v>16175</v>
      </c>
      <c r="C7209" s="5" t="s">
        <v>26</v>
      </c>
      <c r="D7209" s="5" t="s">
        <v>27</v>
      </c>
      <c r="E7209" s="5" t="s">
        <v>640</v>
      </c>
      <c r="F7209" s="9">
        <v>81</v>
      </c>
      <c r="G7209" s="9">
        <v>910</v>
      </c>
      <c r="H7209" s="5" t="s">
        <v>21</v>
      </c>
      <c r="I7209" s="5" t="s">
        <v>16176</v>
      </c>
      <c r="J7209" s="12" t="str">
        <f>HYPERLINK("https://www.boe.es/gazeta/dias/1801/08/25/pdfs/GMD-1801-81.pdf#page=7","Abrir facsímil")</f>
        <v>Abrir facsímil</v>
      </c>
      <c r="K7209" s="15" t="s">
        <v>23</v>
      </c>
    </row>
    <row r="7210" spans="1:11" ht="42" customHeight="1">
      <c r="A7210" s="4" t="s">
        <v>16177</v>
      </c>
      <c r="B7210" s="5" t="s">
        <v>16178</v>
      </c>
      <c r="C7210" s="5" t="s">
        <v>18</v>
      </c>
      <c r="D7210" s="5" t="s">
        <v>19</v>
      </c>
      <c r="E7210" s="5" t="s">
        <v>919</v>
      </c>
      <c r="F7210" s="9">
        <v>91</v>
      </c>
      <c r="G7210" s="9">
        <v>1004</v>
      </c>
      <c r="H7210" s="5" t="s">
        <v>21</v>
      </c>
      <c r="I7210" s="5" t="s">
        <v>16179</v>
      </c>
      <c r="J7210" s="12" t="str">
        <f>HYPERLINK("https://www.boe.es/gazeta/dias/1801/09/22/pdfs/GMD-1801-91.pdf#page=7","Abrir facsímil")</f>
        <v>Abrir facsímil</v>
      </c>
      <c r="K7210" s="15" t="s">
        <v>23</v>
      </c>
    </row>
    <row r="7211" spans="1:11" ht="42" customHeight="1">
      <c r="A7211" s="4" t="s">
        <v>16180</v>
      </c>
      <c r="B7211" s="5" t="s">
        <v>16181</v>
      </c>
      <c r="C7211" s="5" t="s">
        <v>18</v>
      </c>
      <c r="D7211" s="5" t="s">
        <v>19</v>
      </c>
      <c r="E7211" s="5" t="s">
        <v>182</v>
      </c>
      <c r="F7211" s="9">
        <v>18</v>
      </c>
      <c r="G7211" s="9">
        <v>232</v>
      </c>
      <c r="H7211" s="5" t="s">
        <v>21</v>
      </c>
      <c r="I7211" s="5" t="s">
        <v>16182</v>
      </c>
      <c r="J7211" s="12" t="str">
        <f>HYPERLINK("https://www.boe.es/gazeta/dias/1801/03/03/pdfs/GMD-C-1801-18.pdf#page=1","Abrir facsímil")</f>
        <v>Abrir facsímil</v>
      </c>
      <c r="K7211" s="15" t="s">
        <v>23</v>
      </c>
    </row>
    <row r="7212" spans="1:11" ht="42" customHeight="1">
      <c r="A7212" s="4" t="s">
        <v>16180</v>
      </c>
      <c r="B7212" s="5" t="s">
        <v>16181</v>
      </c>
      <c r="C7212" s="5" t="s">
        <v>32</v>
      </c>
      <c r="D7212" s="5" t="s">
        <v>33</v>
      </c>
      <c r="E7212" s="5" t="s">
        <v>182</v>
      </c>
      <c r="F7212" s="9">
        <v>18</v>
      </c>
      <c r="G7212" s="9">
        <v>233</v>
      </c>
      <c r="H7212" s="5" t="s">
        <v>21</v>
      </c>
      <c r="I7212" s="5" t="s">
        <v>16183</v>
      </c>
      <c r="J7212" s="12" t="str">
        <f>HYPERLINK("https://www.boe.es/gazeta/dias/1801/03/03/pdfs/GMD-C-1801-18.pdf#page=2","Abrir facsímil")</f>
        <v>Abrir facsímil</v>
      </c>
      <c r="K7212" s="15" t="s">
        <v>23</v>
      </c>
    </row>
    <row r="7213" spans="1:11" ht="42" customHeight="1">
      <c r="A7213" s="4" t="s">
        <v>16180</v>
      </c>
      <c r="B7213" s="5" t="s">
        <v>16181</v>
      </c>
      <c r="C7213" s="5" t="s">
        <v>32</v>
      </c>
      <c r="D7213" s="5" t="s">
        <v>33</v>
      </c>
      <c r="E7213" s="5" t="s">
        <v>94</v>
      </c>
      <c r="F7213" s="9">
        <v>19</v>
      </c>
      <c r="G7213" s="9">
        <v>252</v>
      </c>
      <c r="H7213" s="5" t="s">
        <v>21</v>
      </c>
      <c r="I7213" s="5" t="s">
        <v>16184</v>
      </c>
      <c r="J7213" s="12" t="str">
        <f>HYPERLINK("https://www.boe.es/gazeta/dias/1801/03/06/pdfs/GMD-C-1801-19.pdf#page=5","Abrir facsímil")</f>
        <v>Abrir facsímil</v>
      </c>
      <c r="K7213" s="15" t="s">
        <v>23</v>
      </c>
    </row>
    <row r="7214" spans="1:11" ht="42" customHeight="1">
      <c r="A7214" s="4" t="s">
        <v>16180</v>
      </c>
      <c r="B7214" s="5" t="s">
        <v>16181</v>
      </c>
      <c r="C7214" s="5" t="s">
        <v>18</v>
      </c>
      <c r="D7214" s="5" t="s">
        <v>19</v>
      </c>
      <c r="E7214" s="5" t="s">
        <v>48</v>
      </c>
      <c r="F7214" s="9">
        <v>20</v>
      </c>
      <c r="G7214" s="9">
        <v>267</v>
      </c>
      <c r="H7214" s="5" t="s">
        <v>21</v>
      </c>
      <c r="I7214" s="5" t="s">
        <v>16185</v>
      </c>
      <c r="J7214" s="12" t="str">
        <f>HYPERLINK("https://www.boe.es/gazeta/dias/1801/03/10/pdfs/GMD-1801-20.pdf#page=12","Abrir facsímil")</f>
        <v>Abrir facsímil</v>
      </c>
      <c r="K7214" s="15" t="s">
        <v>23</v>
      </c>
    </row>
    <row r="7215" spans="1:11" ht="42" customHeight="1">
      <c r="A7215" s="4" t="s">
        <v>16180</v>
      </c>
      <c r="B7215" s="5" t="s">
        <v>16181</v>
      </c>
      <c r="C7215" s="5" t="s">
        <v>18</v>
      </c>
      <c r="D7215" s="5" t="s">
        <v>19</v>
      </c>
      <c r="E7215" s="5" t="s">
        <v>186</v>
      </c>
      <c r="F7215" s="9">
        <v>21</v>
      </c>
      <c r="G7215" s="9">
        <v>282</v>
      </c>
      <c r="H7215" s="5" t="s">
        <v>21</v>
      </c>
      <c r="I7215" s="5" t="s">
        <v>16186</v>
      </c>
      <c r="J7215" s="12" t="str">
        <f>HYPERLINK("https://www.boe.es/gazeta/dias/1801/03/13/pdfs/GMD-1801-21.pdf#page=11","Abrir facsímil")</f>
        <v>Abrir facsímil</v>
      </c>
      <c r="K7215" s="15" t="s">
        <v>23</v>
      </c>
    </row>
    <row r="7216" spans="1:11" ht="42" customHeight="1">
      <c r="A7216" s="4" t="s">
        <v>16180</v>
      </c>
      <c r="B7216" s="5" t="s">
        <v>16181</v>
      </c>
      <c r="C7216" s="5" t="s">
        <v>32</v>
      </c>
      <c r="D7216" s="5" t="s">
        <v>33</v>
      </c>
      <c r="E7216" s="5" t="s">
        <v>2430</v>
      </c>
      <c r="F7216" s="9">
        <v>27</v>
      </c>
      <c r="G7216" s="9">
        <v>356</v>
      </c>
      <c r="H7216" s="5" t="s">
        <v>21</v>
      </c>
      <c r="I7216" s="5" t="s">
        <v>16187</v>
      </c>
      <c r="J7216" s="12" t="str">
        <f>HYPERLINK("https://www.boe.es/gazeta/dias/1801/04/03/pdfs/GMD-1801-27.pdf#page=8","Abrir facsímil")</f>
        <v>Abrir facsímil</v>
      </c>
      <c r="K7216" s="15" t="s">
        <v>23</v>
      </c>
    </row>
    <row r="7217" spans="1:11" ht="42" customHeight="1">
      <c r="A7217" s="4" t="s">
        <v>16180</v>
      </c>
      <c r="B7217" s="5" t="s">
        <v>16181</v>
      </c>
      <c r="C7217" s="5" t="s">
        <v>18</v>
      </c>
      <c r="D7217" s="5" t="s">
        <v>19</v>
      </c>
      <c r="E7217" s="5" t="s">
        <v>97</v>
      </c>
      <c r="F7217" s="9">
        <v>31</v>
      </c>
      <c r="G7217" s="9">
        <v>404</v>
      </c>
      <c r="H7217" s="5" t="s">
        <v>21</v>
      </c>
      <c r="I7217" s="5" t="s">
        <v>16188</v>
      </c>
      <c r="J7217" s="12" t="str">
        <f>HYPERLINK("https://www.boe.es/gazeta/dias/1801/04/17/pdfs/GMD-1801-31.pdf#page=8","Abrir facsímil")</f>
        <v>Abrir facsímil</v>
      </c>
      <c r="K7217" s="15" t="s">
        <v>23</v>
      </c>
    </row>
    <row r="7218" spans="1:11" ht="42" customHeight="1">
      <c r="A7218" s="4" t="s">
        <v>16180</v>
      </c>
      <c r="B7218" s="5" t="s">
        <v>16181</v>
      </c>
      <c r="C7218" s="5" t="s">
        <v>32</v>
      </c>
      <c r="D7218" s="5" t="s">
        <v>33</v>
      </c>
      <c r="E7218" s="5" t="s">
        <v>141</v>
      </c>
      <c r="F7218" s="9">
        <v>33</v>
      </c>
      <c r="G7218" s="9">
        <v>427</v>
      </c>
      <c r="H7218" s="5" t="s">
        <v>21</v>
      </c>
      <c r="I7218" s="5" t="s">
        <v>16189</v>
      </c>
      <c r="J7218" s="12" t="str">
        <f>HYPERLINK("https://www.boe.es/gazeta/dias/1801/04/24/pdfs/GMD-1801-33.pdf#page=11","Abrir facsímil")</f>
        <v>Abrir facsímil</v>
      </c>
      <c r="K7218" s="15" t="s">
        <v>23</v>
      </c>
    </row>
    <row r="7219" spans="1:11" ht="42" customHeight="1">
      <c r="A7219" s="4" t="s">
        <v>16180</v>
      </c>
      <c r="B7219" s="5" t="s">
        <v>16181</v>
      </c>
      <c r="C7219" s="5" t="s">
        <v>32</v>
      </c>
      <c r="D7219" s="5" t="s">
        <v>33</v>
      </c>
      <c r="E7219" s="5" t="s">
        <v>145</v>
      </c>
      <c r="F7219" s="9">
        <v>36</v>
      </c>
      <c r="G7219" s="9">
        <v>470</v>
      </c>
      <c r="H7219" s="5" t="s">
        <v>21</v>
      </c>
      <c r="I7219" s="5" t="s">
        <v>16190</v>
      </c>
      <c r="J7219" s="12" t="str">
        <f>HYPERLINK("https://www.boe.es/gazeta/dias/1801/05/05/pdfs/GMD-1801-36.pdf#page=14","Abrir facsímil")</f>
        <v>Abrir facsímil</v>
      </c>
      <c r="K7219" s="15" t="s">
        <v>23</v>
      </c>
    </row>
    <row r="7220" spans="1:11" ht="42" customHeight="1">
      <c r="A7220" s="4" t="s">
        <v>16180</v>
      </c>
      <c r="B7220" s="5" t="s">
        <v>16181</v>
      </c>
      <c r="C7220" s="5" t="s">
        <v>32</v>
      </c>
      <c r="D7220" s="5" t="s">
        <v>33</v>
      </c>
      <c r="E7220" s="5" t="s">
        <v>313</v>
      </c>
      <c r="F7220" s="9">
        <v>39</v>
      </c>
      <c r="G7220" s="9">
        <v>507</v>
      </c>
      <c r="H7220" s="5" t="s">
        <v>21</v>
      </c>
      <c r="I7220" s="5" t="s">
        <v>16191</v>
      </c>
      <c r="J7220" s="12" t="str">
        <f>HYPERLINK("https://www.boe.es/gazeta/dias/1801/05/15/pdfs/GMD-1801-39.pdf#page=11","Abrir facsímil")</f>
        <v>Abrir facsímil</v>
      </c>
      <c r="K7220" s="15" t="s">
        <v>23</v>
      </c>
    </row>
    <row r="7221" spans="1:11" ht="42" customHeight="1">
      <c r="A7221" s="4" t="s">
        <v>16180</v>
      </c>
      <c r="B7221" s="5" t="s">
        <v>16181</v>
      </c>
      <c r="C7221" s="5" t="s">
        <v>32</v>
      </c>
      <c r="D7221" s="5" t="s">
        <v>33</v>
      </c>
      <c r="E7221" s="5" t="s">
        <v>352</v>
      </c>
      <c r="F7221" s="9">
        <v>43</v>
      </c>
      <c r="G7221" s="9">
        <v>539</v>
      </c>
      <c r="H7221" s="5" t="s">
        <v>21</v>
      </c>
      <c r="I7221" s="5" t="s">
        <v>16192</v>
      </c>
      <c r="J7221" s="12" t="str">
        <f>HYPERLINK("https://www.boe.es/gazeta/dias/1801/05/26/pdfs/GMD-1801-43.pdf#page=11","Abrir facsímil")</f>
        <v>Abrir facsímil</v>
      </c>
      <c r="K7221" s="15" t="s">
        <v>23</v>
      </c>
    </row>
    <row r="7222" spans="1:11" ht="42" customHeight="1">
      <c r="A7222" s="4" t="s">
        <v>16180</v>
      </c>
      <c r="B7222" s="5" t="s">
        <v>16181</v>
      </c>
      <c r="C7222" s="5" t="s">
        <v>32</v>
      </c>
      <c r="D7222" s="5" t="s">
        <v>33</v>
      </c>
      <c r="E7222" s="5" t="s">
        <v>151</v>
      </c>
      <c r="F7222" s="9">
        <v>45</v>
      </c>
      <c r="G7222" s="9">
        <v>563</v>
      </c>
      <c r="H7222" s="5" t="s">
        <v>21</v>
      </c>
      <c r="I7222" s="5" t="s">
        <v>16193</v>
      </c>
      <c r="J7222" s="12" t="str">
        <f>HYPERLINK("https://www.boe.es/gazeta/dias/1801/06/02/pdfs/GMD-1801-45.pdf#page=11","Abrir facsímil")</f>
        <v>Abrir facsímil</v>
      </c>
      <c r="K7222" s="15" t="s">
        <v>23</v>
      </c>
    </row>
    <row r="7223" spans="1:11" ht="42" customHeight="1">
      <c r="A7223" s="4" t="s">
        <v>16180</v>
      </c>
      <c r="B7223" s="5" t="s">
        <v>16181</v>
      </c>
      <c r="C7223" s="5" t="s">
        <v>32</v>
      </c>
      <c r="D7223" s="5" t="s">
        <v>33</v>
      </c>
      <c r="E7223" s="5" t="s">
        <v>153</v>
      </c>
      <c r="F7223" s="9">
        <v>48</v>
      </c>
      <c r="G7223" s="9">
        <v>585</v>
      </c>
      <c r="H7223" s="5" t="s">
        <v>21</v>
      </c>
      <c r="I7223" s="5" t="s">
        <v>16194</v>
      </c>
      <c r="J7223" s="12" t="str">
        <f>HYPERLINK("https://www.boe.es/gazeta/dias/1801/06/05/pdfs/GMD-1801-48.pdf#page=7","Abrir facsímil")</f>
        <v>Abrir facsímil</v>
      </c>
      <c r="K7223" s="15" t="s">
        <v>23</v>
      </c>
    </row>
    <row r="7224" spans="1:11" ht="42" customHeight="1">
      <c r="A7224" s="4" t="s">
        <v>16180</v>
      </c>
      <c r="B7224" s="5" t="s">
        <v>16181</v>
      </c>
      <c r="C7224" s="5" t="s">
        <v>18</v>
      </c>
      <c r="D7224" s="5" t="s">
        <v>19</v>
      </c>
      <c r="E7224" s="5" t="s">
        <v>66</v>
      </c>
      <c r="F7224" s="9">
        <v>52</v>
      </c>
      <c r="G7224" s="9">
        <v>609</v>
      </c>
      <c r="H7224" s="5" t="s">
        <v>21</v>
      </c>
      <c r="I7224" s="5" t="s">
        <v>16195</v>
      </c>
      <c r="J7224" s="12" t="str">
        <f>HYPERLINK("https://www.boe.es/gazeta/dias/1801/06/12/pdfs/GMD-1801-52.pdf#page=8","Abrir facsímil")</f>
        <v>Abrir facsímil</v>
      </c>
      <c r="K7224" s="15" t="s">
        <v>23</v>
      </c>
    </row>
    <row r="7225" spans="1:11" ht="42" customHeight="1">
      <c r="A7225" s="4" t="s">
        <v>16180</v>
      </c>
      <c r="B7225" s="5" t="s">
        <v>16181</v>
      </c>
      <c r="C7225" s="5" t="s">
        <v>32</v>
      </c>
      <c r="D7225" s="5" t="s">
        <v>33</v>
      </c>
      <c r="E7225" s="5" t="s">
        <v>161</v>
      </c>
      <c r="F7225" s="9">
        <v>58</v>
      </c>
      <c r="G7225" s="9">
        <v>665</v>
      </c>
      <c r="H7225" s="5" t="s">
        <v>21</v>
      </c>
      <c r="I7225" s="5" t="s">
        <v>16196</v>
      </c>
      <c r="J7225" s="12" t="str">
        <f>HYPERLINK("https://www.boe.es/gazeta/dias/1801/06/19/pdfs/GMD-1801-58.pdf#page=10","Abrir facsímil")</f>
        <v>Abrir facsímil</v>
      </c>
      <c r="K7225" s="15" t="s">
        <v>23</v>
      </c>
    </row>
    <row r="7226" spans="1:11" ht="42" customHeight="1">
      <c r="A7226" s="4" t="s">
        <v>16180</v>
      </c>
      <c r="B7226" s="5" t="s">
        <v>16181</v>
      </c>
      <c r="C7226" s="5" t="s">
        <v>32</v>
      </c>
      <c r="D7226" s="5" t="s">
        <v>33</v>
      </c>
      <c r="E7226" s="5" t="s">
        <v>165</v>
      </c>
      <c r="F7226" s="9">
        <v>59</v>
      </c>
      <c r="G7226" s="9">
        <v>677</v>
      </c>
      <c r="H7226" s="5" t="s">
        <v>21</v>
      </c>
      <c r="I7226" s="5" t="s">
        <v>16197</v>
      </c>
      <c r="J7226" s="12" t="str">
        <f>HYPERLINK("https://www.boe.es/gazeta/dias/1801/06/23/pdfs/GMD-1801-59.pdf#page=10","Abrir facsímil")</f>
        <v>Abrir facsímil</v>
      </c>
      <c r="K7226" s="15" t="s">
        <v>23</v>
      </c>
    </row>
    <row r="7227" spans="1:11" ht="42" customHeight="1">
      <c r="A7227" s="4" t="s">
        <v>16180</v>
      </c>
      <c r="B7227" s="5" t="s">
        <v>16181</v>
      </c>
      <c r="C7227" s="5" t="s">
        <v>69</v>
      </c>
      <c r="D7227" s="5" t="s">
        <v>19</v>
      </c>
      <c r="E7227" s="5" t="s">
        <v>165</v>
      </c>
      <c r="F7227" s="9">
        <v>59</v>
      </c>
      <c r="G7227" s="9">
        <v>678</v>
      </c>
      <c r="H7227" s="5" t="s">
        <v>21</v>
      </c>
      <c r="I7227" s="5" t="s">
        <v>16198</v>
      </c>
      <c r="J7227" s="12" t="str">
        <f>HYPERLINK("https://www.boe.es/gazeta/dias/1801/06/23/pdfs/GMD-1801-59.pdf#page=11","Abrir facsímil")</f>
        <v>Abrir facsímil</v>
      </c>
      <c r="K7227" s="15" t="s">
        <v>23</v>
      </c>
    </row>
    <row r="7228" spans="1:11" ht="42" customHeight="1">
      <c r="A7228" s="4" t="s">
        <v>16180</v>
      </c>
      <c r="B7228" s="5" t="s">
        <v>16181</v>
      </c>
      <c r="C7228" s="5" t="s">
        <v>32</v>
      </c>
      <c r="D7228" s="5" t="s">
        <v>33</v>
      </c>
      <c r="E7228" s="5" t="s">
        <v>108</v>
      </c>
      <c r="F7228" s="9">
        <v>61</v>
      </c>
      <c r="G7228" s="9">
        <v>698</v>
      </c>
      <c r="H7228" s="5" t="s">
        <v>21</v>
      </c>
      <c r="I7228" s="5" t="s">
        <v>16199</v>
      </c>
      <c r="J7228" s="12" t="str">
        <f>HYPERLINK("https://www.boe.es/gazeta/dias/1801/06/30/pdfs/GMD-1801-61.pdf#page=7","Abrir facsímil")</f>
        <v>Abrir facsímil</v>
      </c>
      <c r="K7228" s="15" t="s">
        <v>23</v>
      </c>
    </row>
    <row r="7229" spans="1:11" ht="42" customHeight="1">
      <c r="A7229" s="4" t="s">
        <v>16180</v>
      </c>
      <c r="B7229" s="5" t="s">
        <v>16181</v>
      </c>
      <c r="C7229" s="5" t="s">
        <v>32</v>
      </c>
      <c r="D7229" s="5" t="s">
        <v>33</v>
      </c>
      <c r="E7229" s="5" t="s">
        <v>40</v>
      </c>
      <c r="F7229" s="9">
        <v>63</v>
      </c>
      <c r="G7229" s="9">
        <v>713</v>
      </c>
      <c r="H7229" s="5" t="s">
        <v>21</v>
      </c>
      <c r="I7229" s="5" t="s">
        <v>16200</v>
      </c>
      <c r="J7229" s="12" t="str">
        <f>HYPERLINK("https://www.boe.es/gazeta/dias/1801/07/03/pdfs/GMD-1801-63.pdf#page=10","Abrir facsímil")</f>
        <v>Abrir facsímil</v>
      </c>
      <c r="K7229" s="15" t="s">
        <v>23</v>
      </c>
    </row>
    <row r="7230" spans="1:11" ht="42" customHeight="1">
      <c r="A7230" s="4" t="s">
        <v>16180</v>
      </c>
      <c r="B7230" s="5" t="s">
        <v>16181</v>
      </c>
      <c r="C7230" s="5" t="s">
        <v>32</v>
      </c>
      <c r="D7230" s="5" t="s">
        <v>33</v>
      </c>
      <c r="E7230" s="5" t="s">
        <v>40</v>
      </c>
      <c r="F7230" s="9">
        <v>63</v>
      </c>
      <c r="G7230" s="9">
        <v>714</v>
      </c>
      <c r="H7230" s="5" t="s">
        <v>21</v>
      </c>
      <c r="I7230" s="5" t="s">
        <v>16201</v>
      </c>
      <c r="J7230" s="12" t="str">
        <f>HYPERLINK("https://www.boe.es/gazeta/dias/1801/07/03/pdfs/GMD-1801-63.pdf#page=11","Abrir facsímil")</f>
        <v>Abrir facsímil</v>
      </c>
      <c r="K7230" s="15" t="s">
        <v>23</v>
      </c>
    </row>
    <row r="7231" spans="1:11" ht="42" customHeight="1">
      <c r="A7231" s="4" t="s">
        <v>16202</v>
      </c>
      <c r="B7231" s="5" t="s">
        <v>16203</v>
      </c>
      <c r="C7231" s="5" t="s">
        <v>32</v>
      </c>
      <c r="D7231" s="5" t="s">
        <v>33</v>
      </c>
      <c r="E7231" s="5" t="s">
        <v>251</v>
      </c>
      <c r="F7231" s="9">
        <v>66</v>
      </c>
      <c r="G7231" s="9">
        <v>743</v>
      </c>
      <c r="H7231" s="5" t="s">
        <v>21</v>
      </c>
      <c r="I7231" s="5" t="s">
        <v>16204</v>
      </c>
      <c r="J7231" s="12" t="str">
        <f>HYPERLINK("https://www.boe.es/gazeta/dias/1801/07/10/pdfs/GMD-1801-66.pdf#page=8","Abrir facsímil")</f>
        <v>Abrir facsímil</v>
      </c>
      <c r="K7231" s="15" t="s">
        <v>23</v>
      </c>
    </row>
    <row r="7232" spans="1:11" ht="42" customHeight="1">
      <c r="A7232" s="4" t="s">
        <v>16180</v>
      </c>
      <c r="B7232" s="5" t="s">
        <v>16181</v>
      </c>
      <c r="C7232" s="5" t="s">
        <v>18</v>
      </c>
      <c r="D7232" s="5" t="s">
        <v>19</v>
      </c>
      <c r="E7232" s="5" t="s">
        <v>702</v>
      </c>
      <c r="F7232" s="9">
        <v>69</v>
      </c>
      <c r="G7232" s="9">
        <v>765</v>
      </c>
      <c r="H7232" s="5" t="s">
        <v>21</v>
      </c>
      <c r="I7232" s="5" t="s">
        <v>16205</v>
      </c>
      <c r="J7232" s="12" t="str">
        <f>HYPERLINK("https://www.boe.es/gazeta/dias/1801/07/14/pdfs/GMD-1801-69.pdf#page=10","Abrir facsímil")</f>
        <v>Abrir facsímil</v>
      </c>
      <c r="K7232" s="15" t="s">
        <v>23</v>
      </c>
    </row>
    <row r="7233" spans="1:11" ht="42" customHeight="1">
      <c r="A7233" s="4" t="s">
        <v>16180</v>
      </c>
      <c r="B7233" s="5" t="s">
        <v>16181</v>
      </c>
      <c r="C7233" s="5" t="s">
        <v>18</v>
      </c>
      <c r="D7233" s="5" t="s">
        <v>19</v>
      </c>
      <c r="E7233" s="5" t="s">
        <v>215</v>
      </c>
      <c r="F7233" s="9">
        <v>71</v>
      </c>
      <c r="G7233" s="9">
        <v>789</v>
      </c>
      <c r="H7233" s="5" t="s">
        <v>21</v>
      </c>
      <c r="I7233" s="5" t="s">
        <v>16206</v>
      </c>
      <c r="J7233" s="12" t="str">
        <f>HYPERLINK("https://www.boe.es/gazeta/dias/1801/07/21/pdfs/GMD-1801-71.pdf#page=10","Abrir facsímil")</f>
        <v>Abrir facsímil</v>
      </c>
      <c r="K7233" s="15" t="s">
        <v>23</v>
      </c>
    </row>
    <row r="7234" spans="1:11" ht="42" customHeight="1">
      <c r="A7234" s="4" t="s">
        <v>16180</v>
      </c>
      <c r="B7234" s="5" t="s">
        <v>16181</v>
      </c>
      <c r="C7234" s="5" t="s">
        <v>18</v>
      </c>
      <c r="D7234" s="5" t="s">
        <v>19</v>
      </c>
      <c r="E7234" s="5" t="s">
        <v>254</v>
      </c>
      <c r="F7234" s="9">
        <v>73</v>
      </c>
      <c r="G7234" s="9">
        <v>814</v>
      </c>
      <c r="H7234" s="5" t="s">
        <v>21</v>
      </c>
      <c r="I7234" s="5" t="s">
        <v>16207</v>
      </c>
      <c r="J7234" s="12" t="str">
        <f>HYPERLINK("https://www.boe.es/gazeta/dias/1801/07/28/pdfs/GMD-1801-73.pdf#page=7","Abrir facsímil")</f>
        <v>Abrir facsímil</v>
      </c>
      <c r="K7234" s="15" t="s">
        <v>23</v>
      </c>
    </row>
    <row r="7235" spans="1:11" ht="42" customHeight="1">
      <c r="A7235" s="4" t="s">
        <v>16180</v>
      </c>
      <c r="B7235" s="5" t="s">
        <v>16181</v>
      </c>
      <c r="C7235" s="5" t="s">
        <v>32</v>
      </c>
      <c r="D7235" s="5" t="s">
        <v>33</v>
      </c>
      <c r="E7235" s="5" t="s">
        <v>223</v>
      </c>
      <c r="F7235" s="9">
        <v>74</v>
      </c>
      <c r="G7235" s="9">
        <v>829</v>
      </c>
      <c r="H7235" s="5" t="s">
        <v>21</v>
      </c>
      <c r="I7235" s="5" t="s">
        <v>16208</v>
      </c>
      <c r="J7235" s="12" t="str">
        <f>HYPERLINK("https://www.boe.es/gazeta/dias/1801/07/31/pdfs/GMD-1801-74.pdf#page=10","Abrir facsímil")</f>
        <v>Abrir facsímil</v>
      </c>
      <c r="K7235" s="15" t="s">
        <v>23</v>
      </c>
    </row>
    <row r="7236" spans="1:11" ht="42" customHeight="1">
      <c r="A7236" s="4" t="s">
        <v>16209</v>
      </c>
      <c r="B7236" s="5" t="s">
        <v>16210</v>
      </c>
      <c r="C7236" s="5" t="s">
        <v>32</v>
      </c>
      <c r="D7236" s="5" t="s">
        <v>33</v>
      </c>
      <c r="E7236" s="5" t="s">
        <v>82</v>
      </c>
      <c r="F7236" s="9">
        <v>75</v>
      </c>
      <c r="G7236" s="9">
        <v>842</v>
      </c>
      <c r="H7236" s="5" t="s">
        <v>21</v>
      </c>
      <c r="I7236" s="5" t="s">
        <v>16211</v>
      </c>
      <c r="J7236" s="12" t="str">
        <f>HYPERLINK("https://www.boe.es/gazeta/dias/1801/08/04/pdfs/GMD-1801-75.pdf#page=11","Abrir facsímil")</f>
        <v>Abrir facsímil</v>
      </c>
      <c r="K7236" s="15" t="s">
        <v>23</v>
      </c>
    </row>
    <row r="7237" spans="1:11" ht="42" customHeight="1">
      <c r="A7237" s="4" t="s">
        <v>16180</v>
      </c>
      <c r="B7237" s="5" t="s">
        <v>16181</v>
      </c>
      <c r="C7237" s="5" t="s">
        <v>32</v>
      </c>
      <c r="D7237" s="5" t="s">
        <v>33</v>
      </c>
      <c r="E7237" s="5" t="s">
        <v>28</v>
      </c>
      <c r="F7237" s="9">
        <v>77</v>
      </c>
      <c r="G7237" s="9">
        <v>866</v>
      </c>
      <c r="H7237" s="5" t="s">
        <v>21</v>
      </c>
      <c r="I7237" s="5" t="s">
        <v>16212</v>
      </c>
      <c r="J7237" s="12" t="str">
        <f>HYPERLINK("https://www.boe.es/gazeta/dias/1801/08/11/pdfs/GMD-1801-77.pdf#page=11","Abrir facsímil")</f>
        <v>Abrir facsímil</v>
      </c>
      <c r="K7237" s="15" t="s">
        <v>23</v>
      </c>
    </row>
    <row r="7238" spans="1:11" ht="42" customHeight="1">
      <c r="A7238" s="4" t="s">
        <v>16180</v>
      </c>
      <c r="B7238" s="5" t="s">
        <v>16181</v>
      </c>
      <c r="C7238" s="5" t="s">
        <v>18</v>
      </c>
      <c r="D7238" s="5" t="s">
        <v>19</v>
      </c>
      <c r="E7238" s="5" t="s">
        <v>201</v>
      </c>
      <c r="F7238" s="9">
        <v>79</v>
      </c>
      <c r="G7238" s="9">
        <v>890</v>
      </c>
      <c r="H7238" s="5" t="s">
        <v>21</v>
      </c>
      <c r="I7238" s="5" t="s">
        <v>16213</v>
      </c>
      <c r="J7238" s="12" t="str">
        <f>HYPERLINK("https://www.boe.es/gazeta/dias/1801/08/18/pdfs/GMD-1801-79.pdf#page=7","Abrir facsímil")</f>
        <v>Abrir facsímil</v>
      </c>
      <c r="K7238" s="15" t="s">
        <v>23</v>
      </c>
    </row>
    <row r="7239" spans="1:11" ht="42" customHeight="1">
      <c r="A7239" s="4" t="s">
        <v>16180</v>
      </c>
      <c r="B7239" s="5" t="s">
        <v>16181</v>
      </c>
      <c r="C7239" s="5" t="s">
        <v>18</v>
      </c>
      <c r="D7239" s="5" t="s">
        <v>19</v>
      </c>
      <c r="E7239" s="5" t="s">
        <v>640</v>
      </c>
      <c r="F7239" s="9">
        <v>81</v>
      </c>
      <c r="G7239" s="9">
        <v>911</v>
      </c>
      <c r="H7239" s="5" t="s">
        <v>21</v>
      </c>
      <c r="I7239" s="5" t="s">
        <v>16214</v>
      </c>
      <c r="J7239" s="12" t="str">
        <f>HYPERLINK("https://www.boe.es/gazeta/dias/1801/08/25/pdfs/GMD-1801-81.pdf#page=8","Abrir facsímil")</f>
        <v>Abrir facsímil</v>
      </c>
      <c r="K7239" s="15" t="s">
        <v>23</v>
      </c>
    </row>
    <row r="7240" spans="1:11" ht="42" customHeight="1">
      <c r="A7240" s="4" t="s">
        <v>16180</v>
      </c>
      <c r="B7240" s="5" t="s">
        <v>16181</v>
      </c>
      <c r="C7240" s="5" t="s">
        <v>32</v>
      </c>
      <c r="D7240" s="5" t="s">
        <v>33</v>
      </c>
      <c r="E7240" s="5" t="s">
        <v>366</v>
      </c>
      <c r="F7240" s="9">
        <v>86</v>
      </c>
      <c r="G7240" s="9">
        <v>956</v>
      </c>
      <c r="H7240" s="5" t="s">
        <v>21</v>
      </c>
      <c r="I7240" s="5" t="s">
        <v>16215</v>
      </c>
      <c r="J7240" s="12" t="str">
        <f>HYPERLINK("https://www.boe.es/gazeta/dias/1801/09/08/pdfs/GMD-1801-86.pdf#page=7","Abrir facsímil")</f>
        <v>Abrir facsímil</v>
      </c>
      <c r="K7240" s="15" t="s">
        <v>23</v>
      </c>
    </row>
    <row r="7241" spans="1:11" ht="42" customHeight="1">
      <c r="A7241" s="4" t="s">
        <v>16180</v>
      </c>
      <c r="B7241" s="5" t="s">
        <v>16181</v>
      </c>
      <c r="C7241" s="5" t="s">
        <v>18</v>
      </c>
      <c r="D7241" s="5" t="s">
        <v>19</v>
      </c>
      <c r="E7241" s="5" t="s">
        <v>328</v>
      </c>
      <c r="F7241" s="9">
        <v>89</v>
      </c>
      <c r="G7241" s="9">
        <v>983</v>
      </c>
      <c r="H7241" s="5" t="s">
        <v>21</v>
      </c>
      <c r="I7241" s="5" t="s">
        <v>16216</v>
      </c>
      <c r="J7241" s="12" t="str">
        <f>HYPERLINK("https://www.boe.es/gazeta/dias/1801/09/15/pdfs/GMD-1801-89.pdf#page=10","Abrir facsímil")</f>
        <v>Abrir facsímil</v>
      </c>
      <c r="K7241" s="15" t="s">
        <v>23</v>
      </c>
    </row>
    <row r="7242" spans="1:11" ht="42" customHeight="1">
      <c r="A7242" s="4" t="s">
        <v>16180</v>
      </c>
      <c r="B7242" s="5" t="s">
        <v>16181</v>
      </c>
      <c r="C7242" s="5" t="s">
        <v>32</v>
      </c>
      <c r="D7242" s="5" t="s">
        <v>33</v>
      </c>
      <c r="E7242" s="5" t="s">
        <v>919</v>
      </c>
      <c r="F7242" s="9">
        <v>91</v>
      </c>
      <c r="G7242" s="9">
        <v>1004</v>
      </c>
      <c r="H7242" s="5" t="s">
        <v>21</v>
      </c>
      <c r="I7242" s="5" t="s">
        <v>16217</v>
      </c>
      <c r="J7242" s="12" t="str">
        <f>HYPERLINK("https://www.boe.es/gazeta/dias/1801/09/22/pdfs/GMD-1801-91.pdf#page=7","Abrir facsímil")</f>
        <v>Abrir facsímil</v>
      </c>
      <c r="K7242" s="15" t="s">
        <v>23</v>
      </c>
    </row>
    <row r="7243" spans="1:11" ht="42" customHeight="1">
      <c r="A7243" s="4" t="s">
        <v>16180</v>
      </c>
      <c r="B7243" s="5" t="s">
        <v>16181</v>
      </c>
      <c r="C7243" s="5" t="s">
        <v>32</v>
      </c>
      <c r="D7243" s="5" t="s">
        <v>33</v>
      </c>
      <c r="E7243" s="5" t="s">
        <v>919</v>
      </c>
      <c r="F7243" s="9">
        <v>91</v>
      </c>
      <c r="G7243" s="9">
        <v>1005</v>
      </c>
      <c r="H7243" s="5" t="s">
        <v>21</v>
      </c>
      <c r="I7243" s="5" t="s">
        <v>16218</v>
      </c>
      <c r="J7243" s="12" t="str">
        <f>HYPERLINK("https://www.boe.es/gazeta/dias/1801/09/22/pdfs/GMD-1801-91.pdf#page=8","Abrir facsímil")</f>
        <v>Abrir facsímil</v>
      </c>
      <c r="K7243" s="15" t="s">
        <v>23</v>
      </c>
    </row>
    <row r="7244" spans="1:11" ht="42" customHeight="1">
      <c r="A7244" s="4" t="s">
        <v>16180</v>
      </c>
      <c r="B7244" s="5" t="s">
        <v>16181</v>
      </c>
      <c r="C7244" s="5" t="s">
        <v>18</v>
      </c>
      <c r="D7244" s="5" t="s">
        <v>19</v>
      </c>
      <c r="E7244" s="5" t="s">
        <v>505</v>
      </c>
      <c r="F7244" s="9">
        <v>94</v>
      </c>
      <c r="G7244" s="9">
        <v>1034</v>
      </c>
      <c r="H7244" s="5" t="s">
        <v>21</v>
      </c>
      <c r="I7244" s="5" t="s">
        <v>16219</v>
      </c>
      <c r="J7244" s="12" t="str">
        <f>HYPERLINK("https://www.boe.es/gazeta/dias/1801/10/02/pdfs/GMD-1801-94.pdf#page=10","Abrir facsímil")</f>
        <v>Abrir facsímil</v>
      </c>
      <c r="K7244" s="15" t="s">
        <v>23</v>
      </c>
    </row>
    <row r="7245" spans="1:11" ht="42" customHeight="1">
      <c r="A7245" s="4" t="s">
        <v>16180</v>
      </c>
      <c r="B7245" s="5" t="s">
        <v>16181</v>
      </c>
      <c r="C7245" s="5" t="s">
        <v>32</v>
      </c>
      <c r="D7245" s="5" t="s">
        <v>33</v>
      </c>
      <c r="E7245" s="5" t="s">
        <v>258</v>
      </c>
      <c r="F7245" s="9">
        <v>96</v>
      </c>
      <c r="G7245" s="9">
        <v>1055</v>
      </c>
      <c r="H7245" s="5" t="s">
        <v>21</v>
      </c>
      <c r="I7245" s="5" t="s">
        <v>16220</v>
      </c>
      <c r="J7245" s="12" t="str">
        <f>HYPERLINK("https://www.boe.es/gazeta/dias/1801/10/09/pdfs/GMD-1801-96.pdf#page=11","Abrir facsímil")</f>
        <v>Abrir facsímil</v>
      </c>
      <c r="K7245" s="15" t="s">
        <v>23</v>
      </c>
    </row>
    <row r="7246" spans="1:11" ht="42" customHeight="1">
      <c r="A7246" s="4" t="s">
        <v>16180</v>
      </c>
      <c r="B7246" s="5" t="s">
        <v>16181</v>
      </c>
      <c r="C7246" s="5" t="s">
        <v>38</v>
      </c>
      <c r="D7246" s="5" t="s">
        <v>39</v>
      </c>
      <c r="E7246" s="5" t="s">
        <v>735</v>
      </c>
      <c r="F7246" s="9">
        <v>97</v>
      </c>
      <c r="G7246" s="9">
        <v>1066</v>
      </c>
      <c r="H7246" s="5" t="s">
        <v>21</v>
      </c>
      <c r="I7246" s="5" t="s">
        <v>16221</v>
      </c>
      <c r="J7246" s="12" t="str">
        <f>HYPERLINK("https://www.boe.es/gazeta/dias/1801/10/13/pdfs/GMD-1801-97.pdf#page=10","Abrir facsímil")</f>
        <v>Abrir facsímil</v>
      </c>
      <c r="K7246" s="15" t="s">
        <v>23</v>
      </c>
    </row>
    <row r="7247" spans="1:11" ht="42" customHeight="1">
      <c r="A7247" s="4" t="s">
        <v>16180</v>
      </c>
      <c r="B7247" s="5" t="s">
        <v>16181</v>
      </c>
      <c r="C7247" s="5" t="s">
        <v>32</v>
      </c>
      <c r="D7247" s="5" t="s">
        <v>33</v>
      </c>
      <c r="E7247" s="5" t="s">
        <v>173</v>
      </c>
      <c r="F7247" s="9">
        <v>98</v>
      </c>
      <c r="G7247" s="9">
        <v>1079</v>
      </c>
      <c r="H7247" s="5" t="s">
        <v>21</v>
      </c>
      <c r="I7247" s="5" t="s">
        <v>16222</v>
      </c>
      <c r="J7247" s="12" t="str">
        <f>HYPERLINK("https://www.boe.es/gazeta/dias/1801/10/16/pdfs/GMD-1801-98.pdf#page=11","Abrir facsímil")</f>
        <v>Abrir facsímil</v>
      </c>
      <c r="K7247" s="15" t="s">
        <v>23</v>
      </c>
    </row>
    <row r="7248" spans="1:11" ht="42" customHeight="1">
      <c r="A7248" s="4" t="s">
        <v>16180</v>
      </c>
      <c r="B7248" s="5" t="s">
        <v>16181</v>
      </c>
      <c r="C7248" s="5" t="s">
        <v>32</v>
      </c>
      <c r="D7248" s="5" t="s">
        <v>33</v>
      </c>
      <c r="E7248" s="5" t="s">
        <v>453</v>
      </c>
      <c r="F7248" s="9">
        <v>100</v>
      </c>
      <c r="G7248" s="9">
        <v>1101</v>
      </c>
      <c r="H7248" s="5" t="s">
        <v>21</v>
      </c>
      <c r="I7248" s="5" t="s">
        <v>16223</v>
      </c>
      <c r="J7248" s="12" t="str">
        <f>HYPERLINK("https://www.boe.es/gazeta/dias/1801/10/23/pdfs/GMD-1801-100.pdf#page=10","Abrir facsímil")</f>
        <v>Abrir facsímil</v>
      </c>
      <c r="K7248" s="15" t="s">
        <v>23</v>
      </c>
    </row>
    <row r="7249" spans="1:11" ht="42" customHeight="1">
      <c r="A7249" s="4" t="s">
        <v>16180</v>
      </c>
      <c r="B7249" s="5" t="s">
        <v>16181</v>
      </c>
      <c r="C7249" s="5" t="s">
        <v>32</v>
      </c>
      <c r="D7249" s="5" t="s">
        <v>33</v>
      </c>
      <c r="E7249" s="5" t="s">
        <v>359</v>
      </c>
      <c r="F7249" s="9">
        <v>101</v>
      </c>
      <c r="G7249" s="9">
        <v>1114</v>
      </c>
      <c r="H7249" s="5" t="s">
        <v>21</v>
      </c>
      <c r="I7249" s="5" t="s">
        <v>16224</v>
      </c>
      <c r="J7249" s="12" t="str">
        <f>HYPERLINK("https://www.boe.es/gazeta/dias/1801/10/27/pdfs/GMD-1801-101.pdf#page=7","Abrir facsímil")</f>
        <v>Abrir facsímil</v>
      </c>
      <c r="K7249" s="15" t="s">
        <v>23</v>
      </c>
    </row>
    <row r="7250" spans="1:11" ht="42" customHeight="1">
      <c r="A7250" s="4" t="s">
        <v>16180</v>
      </c>
      <c r="B7250" s="5" t="s">
        <v>16181</v>
      </c>
      <c r="C7250" s="5" t="s">
        <v>32</v>
      </c>
      <c r="D7250" s="5" t="s">
        <v>33</v>
      </c>
      <c r="E7250" s="5" t="s">
        <v>317</v>
      </c>
      <c r="F7250" s="9">
        <v>102</v>
      </c>
      <c r="G7250" s="9">
        <v>1122</v>
      </c>
      <c r="H7250" s="5" t="s">
        <v>21</v>
      </c>
      <c r="I7250" s="5" t="s">
        <v>16225</v>
      </c>
      <c r="J7250" s="12" t="str">
        <f>HYPERLINK("https://www.boe.es/gazeta/dias/1801/10/30/pdfs/GMD-1801-102.pdf#page=7","Abrir facsímil")</f>
        <v>Abrir facsímil</v>
      </c>
      <c r="K7250" s="15" t="s">
        <v>23</v>
      </c>
    </row>
    <row r="7251" spans="1:11" ht="42" customHeight="1">
      <c r="A7251" s="4" t="s">
        <v>16180</v>
      </c>
      <c r="B7251" s="5" t="s">
        <v>16181</v>
      </c>
      <c r="C7251" s="5" t="s">
        <v>32</v>
      </c>
      <c r="D7251" s="5" t="s">
        <v>33</v>
      </c>
      <c r="E7251" s="5" t="s">
        <v>888</v>
      </c>
      <c r="F7251" s="9">
        <v>103</v>
      </c>
      <c r="G7251" s="9">
        <v>1136</v>
      </c>
      <c r="H7251" s="5" t="s">
        <v>21</v>
      </c>
      <c r="I7251" s="5" t="s">
        <v>16226</v>
      </c>
      <c r="J7251" s="12" t="str">
        <f>HYPERLINK("https://www.boe.es/gazeta/dias/1801/11/03/pdfs/GMD-1801-103.pdf#page=9","Abrir facsímil")</f>
        <v>Abrir facsímil</v>
      </c>
      <c r="K7251" s="15" t="s">
        <v>23</v>
      </c>
    </row>
    <row r="7252" spans="1:11" ht="42" customHeight="1">
      <c r="A7252" s="4" t="s">
        <v>16180</v>
      </c>
      <c r="B7252" s="5" t="s">
        <v>16181</v>
      </c>
      <c r="C7252" s="5" t="s">
        <v>69</v>
      </c>
      <c r="D7252" s="5" t="s">
        <v>19</v>
      </c>
      <c r="E7252" s="5" t="s">
        <v>888</v>
      </c>
      <c r="F7252" s="9">
        <v>103</v>
      </c>
      <c r="G7252" s="9">
        <v>1137</v>
      </c>
      <c r="H7252" s="5" t="s">
        <v>21</v>
      </c>
      <c r="I7252" s="5" t="s">
        <v>16227</v>
      </c>
      <c r="J7252" s="12" t="str">
        <f>HYPERLINK("https://www.boe.es/gazeta/dias/1801/11/03/pdfs/GMD-1801-103.pdf#page=10","Abrir facsímil")</f>
        <v>Abrir facsímil</v>
      </c>
      <c r="K7252" s="15" t="s">
        <v>23</v>
      </c>
    </row>
    <row r="7253" spans="1:11" ht="42" customHeight="1">
      <c r="A7253" s="4" t="s">
        <v>16180</v>
      </c>
      <c r="B7253" s="5" t="s">
        <v>16181</v>
      </c>
      <c r="C7253" s="5" t="s">
        <v>18</v>
      </c>
      <c r="D7253" s="5" t="s">
        <v>19</v>
      </c>
      <c r="E7253" s="5" t="s">
        <v>55</v>
      </c>
      <c r="F7253" s="9">
        <v>104</v>
      </c>
      <c r="G7253" s="9">
        <v>1145</v>
      </c>
      <c r="H7253" s="5" t="s">
        <v>21</v>
      </c>
      <c r="I7253" s="5" t="s">
        <v>16228</v>
      </c>
      <c r="J7253" s="12" t="str">
        <f>HYPERLINK("https://www.boe.es/gazeta/dias/1801/11/06/pdfs/GMD-1801-104.pdf#page=6","Abrir facsímil")</f>
        <v>Abrir facsímil</v>
      </c>
      <c r="K7253" s="15" t="s">
        <v>23</v>
      </c>
    </row>
    <row r="7254" spans="1:11" ht="42" customHeight="1">
      <c r="A7254" s="4" t="s">
        <v>16180</v>
      </c>
      <c r="B7254" s="5" t="s">
        <v>16181</v>
      </c>
      <c r="C7254" s="5" t="s">
        <v>18</v>
      </c>
      <c r="D7254" s="5" t="s">
        <v>19</v>
      </c>
      <c r="E7254" s="5" t="s">
        <v>712</v>
      </c>
      <c r="F7254" s="9">
        <v>105</v>
      </c>
      <c r="G7254" s="9">
        <v>1157</v>
      </c>
      <c r="H7254" s="5" t="s">
        <v>21</v>
      </c>
      <c r="I7254" s="5" t="s">
        <v>16229</v>
      </c>
      <c r="J7254" s="12" t="str">
        <f>HYPERLINK("https://www.boe.es/gazeta/dias/1801/11/10/pdfs/GMD-1801-105.pdf#page=10","Abrir facsímil")</f>
        <v>Abrir facsímil</v>
      </c>
      <c r="K7254" s="15" t="s">
        <v>23</v>
      </c>
    </row>
    <row r="7255" spans="1:11" ht="42" customHeight="1">
      <c r="A7255" s="4" t="s">
        <v>16180</v>
      </c>
      <c r="B7255" s="5" t="s">
        <v>16181</v>
      </c>
      <c r="C7255" s="5" t="s">
        <v>69</v>
      </c>
      <c r="D7255" s="5" t="s">
        <v>19</v>
      </c>
      <c r="E7255" s="5" t="s">
        <v>751</v>
      </c>
      <c r="F7255" s="9">
        <v>106</v>
      </c>
      <c r="G7255" s="9">
        <v>1166</v>
      </c>
      <c r="H7255" s="5" t="s">
        <v>21</v>
      </c>
      <c r="I7255" s="5" t="s">
        <v>16230</v>
      </c>
      <c r="J7255" s="12" t="str">
        <f>HYPERLINK("https://www.boe.es/gazeta/dias/1801/11/13/pdfs/GMD-1801-106.pdf#page=7","Abrir facsímil")</f>
        <v>Abrir facsímil</v>
      </c>
      <c r="K7255" s="15" t="s">
        <v>23</v>
      </c>
    </row>
    <row r="7256" spans="1:11" ht="42" customHeight="1">
      <c r="A7256" s="4" t="s">
        <v>16180</v>
      </c>
      <c r="B7256" s="5" t="s">
        <v>16181</v>
      </c>
      <c r="C7256" s="5" t="s">
        <v>32</v>
      </c>
      <c r="D7256" s="5" t="s">
        <v>33</v>
      </c>
      <c r="E7256" s="5" t="s">
        <v>1939</v>
      </c>
      <c r="F7256" s="9">
        <v>107</v>
      </c>
      <c r="G7256" s="9">
        <v>1181</v>
      </c>
      <c r="H7256" s="5" t="s">
        <v>21</v>
      </c>
      <c r="I7256" s="5" t="s">
        <v>16231</v>
      </c>
      <c r="J7256" s="12" t="str">
        <f>HYPERLINK("https://www.boe.es/gazeta/dias/1801/11/17/pdfs/GMD-1801-107.pdf#page=10","Abrir facsímil")</f>
        <v>Abrir facsímil</v>
      </c>
      <c r="K7256" s="15" t="s">
        <v>23</v>
      </c>
    </row>
    <row r="7257" spans="1:11" ht="42" customHeight="1">
      <c r="A7257" s="4" t="s">
        <v>16180</v>
      </c>
      <c r="B7257" s="5" t="s">
        <v>16181</v>
      </c>
      <c r="C7257" s="5" t="s">
        <v>32</v>
      </c>
      <c r="D7257" s="5" t="s">
        <v>33</v>
      </c>
      <c r="E7257" s="5" t="s">
        <v>723</v>
      </c>
      <c r="F7257" s="9">
        <v>113</v>
      </c>
      <c r="G7257" s="9">
        <v>1234</v>
      </c>
      <c r="H7257" s="5" t="s">
        <v>21</v>
      </c>
      <c r="I7257" s="5" t="s">
        <v>16232</v>
      </c>
      <c r="J7257" s="12" t="str">
        <f>HYPERLINK("https://www.boe.es/gazeta/dias/1801/12/08/pdfs/GMD-1801-113.pdf#page=7","Abrir facsímil")</f>
        <v>Abrir facsímil</v>
      </c>
      <c r="K7257" s="15" t="s">
        <v>23</v>
      </c>
    </row>
    <row r="7258" spans="1:11" ht="42" customHeight="1">
      <c r="A7258" s="4" t="s">
        <v>16180</v>
      </c>
      <c r="B7258" s="5" t="s">
        <v>16181</v>
      </c>
      <c r="C7258" s="5" t="s">
        <v>32</v>
      </c>
      <c r="D7258" s="5" t="s">
        <v>33</v>
      </c>
      <c r="E7258" s="5" t="s">
        <v>112</v>
      </c>
      <c r="F7258" s="9">
        <v>114</v>
      </c>
      <c r="G7258" s="9">
        <v>1249</v>
      </c>
      <c r="H7258" s="5" t="s">
        <v>21</v>
      </c>
      <c r="I7258" s="5" t="s">
        <v>16233</v>
      </c>
      <c r="J7258" s="12" t="str">
        <f>HYPERLINK("https://www.boe.es/gazeta/dias/1801/12/11/pdfs/GMD-1801-114.pdf#page=11","Abrir facsímil")</f>
        <v>Abrir facsímil</v>
      </c>
      <c r="K7258" s="15" t="s">
        <v>23</v>
      </c>
    </row>
    <row r="7259" spans="1:11" ht="42" customHeight="1">
      <c r="A7259" s="4" t="s">
        <v>16180</v>
      </c>
      <c r="B7259" s="5" t="s">
        <v>16181</v>
      </c>
      <c r="C7259" s="5" t="s">
        <v>32</v>
      </c>
      <c r="D7259" s="5" t="s">
        <v>33</v>
      </c>
      <c r="E7259" s="5" t="s">
        <v>501</v>
      </c>
      <c r="F7259" s="9">
        <v>115</v>
      </c>
      <c r="G7259" s="9">
        <v>1257</v>
      </c>
      <c r="H7259" s="5" t="s">
        <v>21</v>
      </c>
      <c r="I7259" s="5" t="s">
        <v>16234</v>
      </c>
      <c r="J7259" s="12" t="str">
        <f>HYPERLINK("https://www.boe.es/gazeta/dias/1801/12/15/pdfs/GMD-1801-115.pdf#page=7","Abrir facsímil")</f>
        <v>Abrir facsímil</v>
      </c>
      <c r="K7259" s="15" t="s">
        <v>23</v>
      </c>
    </row>
    <row r="7260" spans="1:11" ht="42" customHeight="1">
      <c r="A7260" s="4" t="s">
        <v>16180</v>
      </c>
      <c r="B7260" s="5" t="s">
        <v>16181</v>
      </c>
      <c r="C7260" s="5" t="s">
        <v>18</v>
      </c>
      <c r="D7260" s="5" t="s">
        <v>19</v>
      </c>
      <c r="E7260" s="5" t="s">
        <v>266</v>
      </c>
      <c r="F7260" s="9">
        <v>119</v>
      </c>
      <c r="G7260" s="9">
        <v>1304</v>
      </c>
      <c r="H7260" s="5" t="s">
        <v>21</v>
      </c>
      <c r="I7260" s="5" t="s">
        <v>16235</v>
      </c>
      <c r="J7260" s="12" t="str">
        <f>HYPERLINK("https://www.boe.es/gazeta/dias/1801/12/29/pdfs/GMD-1801-119.pdf#page=8","Abrir facsímil")</f>
        <v>Abrir facsímil</v>
      </c>
      <c r="K7260" s="15" t="s">
        <v>23</v>
      </c>
    </row>
    <row r="7261" spans="1:11" ht="42" customHeight="1">
      <c r="A7261" s="4" t="s">
        <v>16236</v>
      </c>
      <c r="B7261" s="5" t="s">
        <v>16237</v>
      </c>
      <c r="C7261" s="5" t="s">
        <v>32</v>
      </c>
      <c r="D7261" s="5" t="s">
        <v>33</v>
      </c>
      <c r="E7261" s="5" t="s">
        <v>155</v>
      </c>
      <c r="F7261" s="9">
        <v>50</v>
      </c>
      <c r="G7261" s="9">
        <v>597</v>
      </c>
      <c r="H7261" s="5" t="s">
        <v>21</v>
      </c>
      <c r="I7261" s="5" t="s">
        <v>16238</v>
      </c>
      <c r="J7261" s="12" t="str">
        <f>HYPERLINK("https://www.boe.es/gazeta/dias/1801/06/09/pdfs/GMD-1801-50.pdf#page=9","Abrir facsímil")</f>
        <v>Abrir facsímil</v>
      </c>
      <c r="K7261" s="15" t="s">
        <v>23</v>
      </c>
    </row>
    <row r="7262" spans="1:11" ht="42" customHeight="1">
      <c r="A7262" s="4" t="s">
        <v>16239</v>
      </c>
      <c r="B7262" s="5" t="s">
        <v>16240</v>
      </c>
      <c r="C7262" s="5" t="s">
        <v>32</v>
      </c>
      <c r="D7262" s="5" t="s">
        <v>33</v>
      </c>
      <c r="E7262" s="5" t="s">
        <v>44</v>
      </c>
      <c r="F7262" s="9">
        <v>117</v>
      </c>
      <c r="G7262" s="9">
        <v>1283</v>
      </c>
      <c r="H7262" s="5" t="s">
        <v>21</v>
      </c>
      <c r="I7262" s="5" t="s">
        <v>16241</v>
      </c>
      <c r="J7262" s="12" t="str">
        <f>HYPERLINK("https://www.boe.es/gazeta/dias/1801/12/22/pdfs/GMD-1801-117.pdf#page=10","Abrir facsímil")</f>
        <v>Abrir facsímil</v>
      </c>
      <c r="K7262" s="15" t="s">
        <v>23</v>
      </c>
    </row>
    <row r="7263" spans="1:11" ht="42" customHeight="1">
      <c r="A7263" s="4" t="s">
        <v>16242</v>
      </c>
      <c r="B7263" s="5" t="s">
        <v>16243</v>
      </c>
      <c r="C7263" s="5" t="s">
        <v>38</v>
      </c>
      <c r="D7263" s="5" t="s">
        <v>39</v>
      </c>
      <c r="E7263" s="5" t="s">
        <v>99</v>
      </c>
      <c r="F7263" s="9">
        <v>32</v>
      </c>
      <c r="G7263" s="9">
        <v>415</v>
      </c>
      <c r="H7263" s="5" t="s">
        <v>21</v>
      </c>
      <c r="I7263" s="5" t="s">
        <v>16244</v>
      </c>
      <c r="J7263" s="12" t="str">
        <f>HYPERLINK("https://www.boe.es/gazeta/dias/1801/04/21/pdfs/GMD-1801-32.pdf#page=11","Abrir facsímil")</f>
        <v>Abrir facsímil</v>
      </c>
      <c r="K7263" s="15" t="s">
        <v>23</v>
      </c>
    </row>
    <row r="7264" spans="1:11" ht="42" customHeight="1">
      <c r="A7264" s="4" t="s">
        <v>16245</v>
      </c>
      <c r="B7264" s="5" t="s">
        <v>16246</v>
      </c>
      <c r="C7264" s="5" t="s">
        <v>32</v>
      </c>
      <c r="D7264" s="5" t="s">
        <v>33</v>
      </c>
      <c r="E7264" s="5" t="s">
        <v>66</v>
      </c>
      <c r="F7264" s="9">
        <v>52</v>
      </c>
      <c r="G7264" s="9">
        <v>608</v>
      </c>
      <c r="H7264" s="5" t="s">
        <v>21</v>
      </c>
      <c r="I7264" s="5" t="s">
        <v>16247</v>
      </c>
      <c r="J7264" s="12" t="str">
        <f>HYPERLINK("https://www.boe.es/gazeta/dias/1801/06/12/pdfs/GMD-1801-52.pdf#page=7","Abrir facsímil")</f>
        <v>Abrir facsímil</v>
      </c>
      <c r="K7264" s="15" t="s">
        <v>23</v>
      </c>
    </row>
    <row r="7265" spans="1:11" ht="42" customHeight="1">
      <c r="A7265" s="4" t="s">
        <v>16248</v>
      </c>
      <c r="B7265" s="5" t="s">
        <v>16248</v>
      </c>
      <c r="C7265" s="5" t="s">
        <v>32</v>
      </c>
      <c r="D7265" s="5" t="s">
        <v>33</v>
      </c>
      <c r="E7265" s="5" t="s">
        <v>55</v>
      </c>
      <c r="F7265" s="9">
        <v>104</v>
      </c>
      <c r="G7265" s="9">
        <v>1144</v>
      </c>
      <c r="H7265" s="5" t="s">
        <v>21</v>
      </c>
      <c r="I7265" s="5" t="s">
        <v>16249</v>
      </c>
      <c r="J7265" s="12" t="str">
        <f>HYPERLINK("https://www.boe.es/gazeta/dias/1801/11/06/pdfs/GMD-1801-104.pdf#page=5","Abrir facsímil")</f>
        <v>Abrir facsímil</v>
      </c>
      <c r="K7265" s="15" t="s">
        <v>23</v>
      </c>
    </row>
    <row r="7266" spans="1:11" ht="42" customHeight="1">
      <c r="A7266" s="4" t="s">
        <v>16250</v>
      </c>
      <c r="B7266" s="5" t="s">
        <v>16250</v>
      </c>
      <c r="C7266" s="5" t="s">
        <v>32</v>
      </c>
      <c r="D7266" s="5" t="s">
        <v>33</v>
      </c>
      <c r="E7266" s="5" t="s">
        <v>169</v>
      </c>
      <c r="F7266" s="9">
        <v>70</v>
      </c>
      <c r="G7266" s="9">
        <v>777</v>
      </c>
      <c r="H7266" s="5" t="s">
        <v>21</v>
      </c>
      <c r="I7266" s="5" t="s">
        <v>16251</v>
      </c>
      <c r="J7266" s="12" t="str">
        <f>HYPERLINK("https://www.boe.es/gazeta/dias/1801/07/17/pdfs/GMD-1801-70.pdf#page=10","Abrir facsímil")</f>
        <v>Abrir facsímil</v>
      </c>
      <c r="K7266" s="15" t="s">
        <v>23</v>
      </c>
    </row>
    <row r="7267" spans="1:11" ht="42" customHeight="1">
      <c r="A7267" s="4" t="s">
        <v>16252</v>
      </c>
      <c r="B7267" s="5" t="s">
        <v>16253</v>
      </c>
      <c r="C7267" s="5" t="s">
        <v>32</v>
      </c>
      <c r="D7267" s="5" t="s">
        <v>33</v>
      </c>
      <c r="E7267" s="5" t="s">
        <v>155</v>
      </c>
      <c r="F7267" s="9">
        <v>50</v>
      </c>
      <c r="G7267" s="9">
        <v>597</v>
      </c>
      <c r="H7267" s="5" t="s">
        <v>21</v>
      </c>
      <c r="I7267" s="5" t="s">
        <v>16254</v>
      </c>
      <c r="J7267" s="12" t="str">
        <f>HYPERLINK("https://www.boe.es/gazeta/dias/1801/06/09/pdfs/GMD-1801-50.pdf#page=9","Abrir facsímil")</f>
        <v>Abrir facsímil</v>
      </c>
      <c r="K7267" s="15" t="s">
        <v>23</v>
      </c>
    </row>
    <row r="7268" spans="1:11" ht="42" customHeight="1">
      <c r="A7268" s="4" t="s">
        <v>16255</v>
      </c>
      <c r="B7268" s="5" t="s">
        <v>16256</v>
      </c>
      <c r="C7268" s="5" t="s">
        <v>32</v>
      </c>
      <c r="D7268" s="5" t="s">
        <v>33</v>
      </c>
      <c r="E7268" s="5" t="s">
        <v>328</v>
      </c>
      <c r="F7268" s="9">
        <v>89</v>
      </c>
      <c r="G7268" s="9">
        <v>983</v>
      </c>
      <c r="H7268" s="5" t="s">
        <v>21</v>
      </c>
      <c r="I7268" s="5" t="s">
        <v>16257</v>
      </c>
      <c r="J7268" s="12" t="str">
        <f>HYPERLINK("https://www.boe.es/gazeta/dias/1801/09/15/pdfs/GMD-1801-89.pdf#page=10","Abrir facsímil")</f>
        <v>Abrir facsímil</v>
      </c>
      <c r="K7268" s="15" t="s">
        <v>23</v>
      </c>
    </row>
    <row r="7269" spans="1:11" ht="42" customHeight="1">
      <c r="A7269" s="4" t="s">
        <v>16258</v>
      </c>
      <c r="B7269" s="5" t="s">
        <v>16259</v>
      </c>
      <c r="C7269" s="5" t="s">
        <v>32</v>
      </c>
      <c r="D7269" s="5" t="s">
        <v>33</v>
      </c>
      <c r="E7269" s="5" t="s">
        <v>462</v>
      </c>
      <c r="F7269" s="9">
        <v>5</v>
      </c>
      <c r="G7269" s="9">
        <v>57</v>
      </c>
      <c r="H7269" s="5" t="s">
        <v>21</v>
      </c>
      <c r="I7269" s="5" t="s">
        <v>16260</v>
      </c>
      <c r="J7269" s="12" t="str">
        <f>HYPERLINK("https://www.boe.es/gazeta/dias/1801/01/16/pdfs/GMD-1801-5.pdf#page=9","Abrir facsímil")</f>
        <v>Abrir facsímil</v>
      </c>
      <c r="K7269" s="15" t="s">
        <v>23</v>
      </c>
    </row>
    <row r="7270" spans="1:11" ht="42" customHeight="1">
      <c r="A7270" s="4" t="s">
        <v>16261</v>
      </c>
      <c r="B7270" s="5" t="s">
        <v>16261</v>
      </c>
      <c r="C7270" s="5" t="s">
        <v>18</v>
      </c>
      <c r="D7270" s="5" t="s">
        <v>19</v>
      </c>
      <c r="E7270" s="5" t="s">
        <v>120</v>
      </c>
      <c r="F7270" s="9">
        <v>7</v>
      </c>
      <c r="G7270" s="9">
        <v>88</v>
      </c>
      <c r="H7270" s="5" t="s">
        <v>21</v>
      </c>
      <c r="I7270" s="5" t="s">
        <v>16262</v>
      </c>
      <c r="J7270" s="12" t="str">
        <f>HYPERLINK("https://www.boe.es/gazeta/dias/1801/01/23/pdfs/GMD-1801-7.pdf#page=12","Abrir facsímil")</f>
        <v>Abrir facsímil</v>
      </c>
      <c r="K7270" s="15" t="s">
        <v>23</v>
      </c>
    </row>
    <row r="7271" spans="1:11" ht="42" customHeight="1">
      <c r="A7271" s="4" t="s">
        <v>16263</v>
      </c>
      <c r="B7271" s="5" t="s">
        <v>16263</v>
      </c>
      <c r="C7271" s="5" t="s">
        <v>80</v>
      </c>
      <c r="D7271" s="5" t="s">
        <v>81</v>
      </c>
      <c r="E7271" s="5" t="s">
        <v>289</v>
      </c>
      <c r="F7271" s="9">
        <v>40</v>
      </c>
      <c r="G7271" s="9" t="s">
        <v>305</v>
      </c>
      <c r="H7271" s="5" t="s">
        <v>21</v>
      </c>
      <c r="I7271" s="5" t="s">
        <v>16264</v>
      </c>
      <c r="J7271" s="12" t="str">
        <f>HYPERLINK("https://www.boe.es/gazeta/dias/1801/05/19/pdfs/GMD-C-1801-40.pdf#page=4","Abrir facsímil")</f>
        <v>Abrir facsímil</v>
      </c>
      <c r="K7271" s="15" t="s">
        <v>23</v>
      </c>
    </row>
    <row r="7272" spans="1:11" ht="42" customHeight="1">
      <c r="A7272" s="4" t="s">
        <v>16265</v>
      </c>
      <c r="B7272" s="5" t="s">
        <v>16266</v>
      </c>
      <c r="C7272" s="5" t="s">
        <v>32</v>
      </c>
      <c r="D7272" s="5" t="s">
        <v>33</v>
      </c>
      <c r="E7272" s="5" t="s">
        <v>453</v>
      </c>
      <c r="F7272" s="9">
        <v>100</v>
      </c>
      <c r="G7272" s="9">
        <v>1100</v>
      </c>
      <c r="H7272" s="5" t="s">
        <v>21</v>
      </c>
      <c r="I7272" s="5" t="s">
        <v>16267</v>
      </c>
      <c r="J7272" s="12" t="str">
        <f>HYPERLINK("https://www.boe.es/gazeta/dias/1801/10/23/pdfs/GMD-1801-100.pdf#page=9","Abrir facsímil")</f>
        <v>Abrir facsímil</v>
      </c>
      <c r="K7272" s="15" t="s">
        <v>23</v>
      </c>
    </row>
    <row r="7273" spans="1:11" ht="42" customHeight="1">
      <c r="A7273" s="4" t="s">
        <v>16268</v>
      </c>
      <c r="B7273" s="5" t="s">
        <v>16269</v>
      </c>
      <c r="C7273" s="5" t="s">
        <v>32</v>
      </c>
      <c r="D7273" s="5" t="s">
        <v>33</v>
      </c>
      <c r="E7273" s="5" t="s">
        <v>201</v>
      </c>
      <c r="F7273" s="9">
        <v>79</v>
      </c>
      <c r="G7273" s="9">
        <v>889</v>
      </c>
      <c r="H7273" s="5" t="s">
        <v>21</v>
      </c>
      <c r="I7273" s="5" t="s">
        <v>16270</v>
      </c>
      <c r="J7273" s="12" t="str">
        <f>HYPERLINK("https://www.boe.es/gazeta/dias/1801/08/18/pdfs/GMD-1801-79.pdf#page=6","Abrir facsímil")</f>
        <v>Abrir facsímil</v>
      </c>
      <c r="K7273" s="15" t="s">
        <v>23</v>
      </c>
    </row>
    <row r="7274" spans="1:11" ht="42" customHeight="1">
      <c r="A7274" s="4" t="s">
        <v>16271</v>
      </c>
      <c r="B7274" s="5" t="s">
        <v>16272</v>
      </c>
      <c r="C7274" s="5" t="s">
        <v>38</v>
      </c>
      <c r="D7274" s="5" t="s">
        <v>39</v>
      </c>
      <c r="E7274" s="5" t="s">
        <v>328</v>
      </c>
      <c r="F7274" s="9">
        <v>89</v>
      </c>
      <c r="G7274" s="9">
        <v>981</v>
      </c>
      <c r="H7274" s="5" t="s">
        <v>21</v>
      </c>
      <c r="I7274" s="5" t="s">
        <v>16273</v>
      </c>
      <c r="J7274" s="12" t="str">
        <f>HYPERLINK("https://www.boe.es/gazeta/dias/1801/09/15/pdfs/GMD-1801-89.pdf#page=8","Abrir facsímil")</f>
        <v>Abrir facsímil</v>
      </c>
      <c r="K7274" s="15" t="s">
        <v>23</v>
      </c>
    </row>
    <row r="7275" spans="1:11" ht="42" customHeight="1">
      <c r="A7275" s="4" t="s">
        <v>16274</v>
      </c>
      <c r="B7275" s="5" t="s">
        <v>16275</v>
      </c>
      <c r="C7275" s="5" t="s">
        <v>32</v>
      </c>
      <c r="D7275" s="5" t="s">
        <v>33</v>
      </c>
      <c r="E7275" s="5" t="s">
        <v>1085</v>
      </c>
      <c r="F7275" s="9">
        <v>99</v>
      </c>
      <c r="G7275" s="9">
        <v>1089</v>
      </c>
      <c r="H7275" s="5" t="s">
        <v>21</v>
      </c>
      <c r="I7275" s="5" t="s">
        <v>16276</v>
      </c>
      <c r="J7275" s="12" t="str">
        <f>HYPERLINK("https://www.boe.es/gazeta/dias/1801/10/20/pdfs/GMD-1801-99.pdf#page=6","Abrir facsímil")</f>
        <v>Abrir facsímil</v>
      </c>
      <c r="K7275" s="15" t="s">
        <v>23</v>
      </c>
    </row>
    <row r="7276" spans="1:11" ht="42" customHeight="1">
      <c r="A7276" s="4" t="s">
        <v>16277</v>
      </c>
      <c r="B7276" s="5" t="s">
        <v>16278</v>
      </c>
      <c r="C7276" s="5" t="s">
        <v>32</v>
      </c>
      <c r="D7276" s="5" t="s">
        <v>33</v>
      </c>
      <c r="E7276" s="5" t="s">
        <v>781</v>
      </c>
      <c r="F7276" s="9">
        <v>14</v>
      </c>
      <c r="G7276" s="9">
        <v>174</v>
      </c>
      <c r="H7276" s="5" t="s">
        <v>21</v>
      </c>
      <c r="I7276" s="5" t="s">
        <v>16279</v>
      </c>
      <c r="J7276" s="12" t="str">
        <f>HYPERLINK("https://www.boe.es/gazeta/dias/1801/02/17/pdfs/GMD-1801-14.pdf#page=9","Abrir facsímil")</f>
        <v>Abrir facsímil</v>
      </c>
      <c r="K7276" s="15" t="s">
        <v>23</v>
      </c>
    </row>
    <row r="7277" spans="1:11" ht="42" customHeight="1">
      <c r="A7277" s="4" t="s">
        <v>16280</v>
      </c>
      <c r="B7277" s="5" t="s">
        <v>16281</v>
      </c>
      <c r="C7277" s="5" t="s">
        <v>80</v>
      </c>
      <c r="D7277" s="5" t="s">
        <v>81</v>
      </c>
      <c r="E7277" s="5" t="s">
        <v>289</v>
      </c>
      <c r="F7277" s="9">
        <v>40</v>
      </c>
      <c r="G7277" s="9" t="s">
        <v>668</v>
      </c>
      <c r="H7277" s="5" t="s">
        <v>21</v>
      </c>
      <c r="I7277" s="5" t="s">
        <v>16282</v>
      </c>
      <c r="J7277" s="12" t="str">
        <f>HYPERLINK("https://www.boe.es/gazeta/dias/1801/05/19/pdfs/GMD-C-1801-40.pdf#page=1","Abrir facsímil")</f>
        <v>Abrir facsímil</v>
      </c>
      <c r="K7277" s="15" t="s">
        <v>23</v>
      </c>
    </row>
    <row r="7278" spans="1:11" ht="42" customHeight="1">
      <c r="A7278" s="4" t="s">
        <v>16283</v>
      </c>
      <c r="B7278" s="5" t="s">
        <v>16284</v>
      </c>
      <c r="C7278" s="5" t="s">
        <v>69</v>
      </c>
      <c r="D7278" s="5" t="s">
        <v>19</v>
      </c>
      <c r="E7278" s="5" t="s">
        <v>20</v>
      </c>
      <c r="F7278" s="9">
        <v>37</v>
      </c>
      <c r="G7278" s="9">
        <v>482</v>
      </c>
      <c r="H7278" s="5" t="s">
        <v>21</v>
      </c>
      <c r="I7278" s="5" t="s">
        <v>16285</v>
      </c>
      <c r="J7278" s="12" t="str">
        <f>HYPERLINK("https://www.boe.es/gazeta/dias/1801/05/08/pdfs/GMD-1801-37.pdf#page=10","Abrir facsímil")</f>
        <v>Abrir facsímil</v>
      </c>
      <c r="K7278" s="15" t="s">
        <v>23</v>
      </c>
    </row>
    <row r="7279" spans="1:11" ht="42" customHeight="1">
      <c r="A7279" s="4" t="s">
        <v>16286</v>
      </c>
      <c r="B7279" s="5" t="s">
        <v>16287</v>
      </c>
      <c r="C7279" s="5" t="s">
        <v>515</v>
      </c>
      <c r="D7279" s="5" t="s">
        <v>516</v>
      </c>
      <c r="E7279" s="5" t="s">
        <v>501</v>
      </c>
      <c r="F7279" s="9">
        <v>115</v>
      </c>
      <c r="G7279" s="9" t="s">
        <v>83</v>
      </c>
      <c r="H7279" s="5" t="s">
        <v>21</v>
      </c>
      <c r="I7279" s="5" t="s">
        <v>16288</v>
      </c>
      <c r="J7279" s="12" t="str">
        <f>HYPERLINK("https://www.boe.es/gazeta/dias/1801/12/15/pdfs/GMD-C-1801-115.pdf#page=2","Abrir facsímil")</f>
        <v>Abrir facsímil</v>
      </c>
      <c r="K7279" s="15" t="s">
        <v>23</v>
      </c>
    </row>
    <row r="7280" spans="1:11" ht="42" customHeight="1">
      <c r="A7280" s="4" t="s">
        <v>16289</v>
      </c>
      <c r="B7280" s="5" t="s">
        <v>16290</v>
      </c>
      <c r="C7280" s="5" t="s">
        <v>32</v>
      </c>
      <c r="D7280" s="5" t="s">
        <v>33</v>
      </c>
      <c r="E7280" s="5" t="s">
        <v>781</v>
      </c>
      <c r="F7280" s="9">
        <v>14</v>
      </c>
      <c r="G7280" s="9">
        <v>174</v>
      </c>
      <c r="H7280" s="5" t="s">
        <v>21</v>
      </c>
      <c r="I7280" s="5" t="s">
        <v>16291</v>
      </c>
      <c r="J7280" s="12" t="str">
        <f>HYPERLINK("https://www.boe.es/gazeta/dias/1801/02/17/pdfs/GMD-1801-14.pdf#page=9","Abrir facsímil")</f>
        <v>Abrir facsímil</v>
      </c>
      <c r="K7280" s="15" t="s">
        <v>23</v>
      </c>
    </row>
    <row r="7281" spans="1:11" ht="42" customHeight="1">
      <c r="A7281" s="4" t="s">
        <v>16292</v>
      </c>
      <c r="B7281" s="5" t="s">
        <v>16293</v>
      </c>
      <c r="C7281" s="5" t="s">
        <v>32</v>
      </c>
      <c r="D7281" s="5" t="s">
        <v>33</v>
      </c>
      <c r="E7281" s="5" t="s">
        <v>256</v>
      </c>
      <c r="F7281" s="9">
        <v>78</v>
      </c>
      <c r="G7281" s="9">
        <v>882</v>
      </c>
      <c r="H7281" s="5" t="s">
        <v>21</v>
      </c>
      <c r="I7281" s="5" t="s">
        <v>16294</v>
      </c>
      <c r="J7281" s="12" t="str">
        <f>HYPERLINK("https://www.boe.es/gazeta/dias/1801/08/14/pdfs/GMD-1801-78.pdf#page=11","Abrir facsímil")</f>
        <v>Abrir facsímil</v>
      </c>
      <c r="K7281" s="15" t="s">
        <v>23</v>
      </c>
    </row>
    <row r="7282" spans="1:11" ht="42" customHeight="1">
      <c r="A7282" s="4" t="s">
        <v>16295</v>
      </c>
      <c r="B7282" s="5" t="s">
        <v>16296</v>
      </c>
      <c r="C7282" s="5" t="s">
        <v>38</v>
      </c>
      <c r="D7282" s="5" t="s">
        <v>39</v>
      </c>
      <c r="E7282" s="5" t="s">
        <v>126</v>
      </c>
      <c r="F7282" s="9">
        <v>13</v>
      </c>
      <c r="G7282" s="9">
        <v>159</v>
      </c>
      <c r="H7282" s="5" t="s">
        <v>21</v>
      </c>
      <c r="I7282" s="5" t="s">
        <v>16297</v>
      </c>
      <c r="J7282" s="12" t="str">
        <f>HYPERLINK("https://www.boe.es/gazeta/dias/1801/02/13/pdfs/GMD-1801-13.pdf#page=6","Abrir facsímil")</f>
        <v>Abrir facsímil</v>
      </c>
      <c r="K7282" s="15" t="s">
        <v>23</v>
      </c>
    </row>
    <row r="7283" spans="1:11" ht="42" customHeight="1">
      <c r="A7283" s="4" t="s">
        <v>16298</v>
      </c>
      <c r="B7283" s="5" t="s">
        <v>16299</v>
      </c>
      <c r="C7283" s="5" t="s">
        <v>32</v>
      </c>
      <c r="D7283" s="5" t="s">
        <v>33</v>
      </c>
      <c r="E7283" s="5" t="s">
        <v>256</v>
      </c>
      <c r="F7283" s="9">
        <v>78</v>
      </c>
      <c r="G7283" s="9">
        <v>881</v>
      </c>
      <c r="H7283" s="5" t="s">
        <v>21</v>
      </c>
      <c r="I7283" s="5" t="s">
        <v>16300</v>
      </c>
      <c r="J7283" s="12" t="str">
        <f>HYPERLINK("https://www.boe.es/gazeta/dias/1801/08/14/pdfs/GMD-1801-78.pdf#page=10","Abrir facsímil")</f>
        <v>Abrir facsímil</v>
      </c>
      <c r="K7283" s="15" t="s">
        <v>23</v>
      </c>
    </row>
    <row r="7284" spans="1:11" ht="42" customHeight="1">
      <c r="A7284" s="4" t="s">
        <v>16301</v>
      </c>
      <c r="B7284" s="5" t="s">
        <v>16302</v>
      </c>
      <c r="C7284" s="5" t="s">
        <v>38</v>
      </c>
      <c r="D7284" s="5" t="s">
        <v>39</v>
      </c>
      <c r="E7284" s="5" t="s">
        <v>171</v>
      </c>
      <c r="F7284" s="9">
        <v>76</v>
      </c>
      <c r="G7284" s="9">
        <v>853</v>
      </c>
      <c r="H7284" s="5" t="s">
        <v>21</v>
      </c>
      <c r="I7284" s="5" t="s">
        <v>16303</v>
      </c>
      <c r="J7284" s="12" t="str">
        <f>HYPERLINK("https://www.boe.es/gazeta/dias/1801/08/07/pdfs/GMD-1801-76.pdf#page=10","Abrir facsímil")</f>
        <v>Abrir facsímil</v>
      </c>
      <c r="K7284" s="15" t="s">
        <v>23</v>
      </c>
    </row>
    <row r="7285" spans="1:11" ht="42" customHeight="1">
      <c r="A7285" s="4" t="s">
        <v>16304</v>
      </c>
      <c r="B7285" s="5" t="s">
        <v>16304</v>
      </c>
      <c r="C7285" s="5" t="s">
        <v>32</v>
      </c>
      <c r="D7285" s="5" t="s">
        <v>33</v>
      </c>
      <c r="E7285" s="5" t="s">
        <v>256</v>
      </c>
      <c r="F7285" s="9">
        <v>78</v>
      </c>
      <c r="G7285" s="9">
        <v>881</v>
      </c>
      <c r="H7285" s="5" t="s">
        <v>21</v>
      </c>
      <c r="I7285" s="5" t="s">
        <v>16305</v>
      </c>
      <c r="J7285" s="12" t="str">
        <f>HYPERLINK("https://www.boe.es/gazeta/dias/1801/08/14/pdfs/GMD-1801-78.pdf#page=10","Abrir facsímil")</f>
        <v>Abrir facsímil</v>
      </c>
      <c r="K7285" s="15" t="s">
        <v>23</v>
      </c>
    </row>
    <row r="7286" spans="1:11" ht="42" customHeight="1">
      <c r="A7286" s="4" t="s">
        <v>16306</v>
      </c>
      <c r="B7286" s="5" t="s">
        <v>16306</v>
      </c>
      <c r="C7286" s="5" t="s">
        <v>80</v>
      </c>
      <c r="D7286" s="5" t="s">
        <v>81</v>
      </c>
      <c r="E7286" s="5" t="s">
        <v>82</v>
      </c>
      <c r="F7286" s="9">
        <v>75</v>
      </c>
      <c r="G7286" s="9" t="s">
        <v>996</v>
      </c>
      <c r="H7286" s="5" t="s">
        <v>21</v>
      </c>
      <c r="I7286" s="5" t="s">
        <v>16307</v>
      </c>
      <c r="J7286" s="12" t="str">
        <f>HYPERLINK("https://www.boe.es/gazeta/dias/1801/08/04/pdfs/GMD-C-1801-75.pdf#page=6","Abrir facsímil")</f>
        <v>Abrir facsímil</v>
      </c>
      <c r="K7286" s="15" t="s">
        <v>23</v>
      </c>
    </row>
    <row r="7287" spans="1:11" ht="42" customHeight="1">
      <c r="A7287" s="4" t="s">
        <v>16308</v>
      </c>
      <c r="B7287" s="5" t="s">
        <v>16309</v>
      </c>
      <c r="C7287" s="5" t="s">
        <v>32</v>
      </c>
      <c r="D7287" s="5" t="s">
        <v>33</v>
      </c>
      <c r="E7287" s="5" t="s">
        <v>186</v>
      </c>
      <c r="F7287" s="9">
        <v>21</v>
      </c>
      <c r="G7287" s="9">
        <v>279</v>
      </c>
      <c r="H7287" s="5" t="s">
        <v>21</v>
      </c>
      <c r="I7287" s="5" t="s">
        <v>16310</v>
      </c>
      <c r="J7287" s="12" t="str">
        <f>HYPERLINK("https://www.boe.es/gazeta/dias/1801/03/13/pdfs/GMD-1801-21.pdf#page=8","Abrir facsímil")</f>
        <v>Abrir facsímil</v>
      </c>
      <c r="K7287" s="15" t="s">
        <v>23</v>
      </c>
    </row>
    <row r="7288" spans="1:11" ht="42" customHeight="1">
      <c r="A7288" s="4" t="s">
        <v>16311</v>
      </c>
      <c r="B7288" s="5" t="s">
        <v>16312</v>
      </c>
      <c r="C7288" s="5" t="s">
        <v>32</v>
      </c>
      <c r="D7288" s="5" t="s">
        <v>33</v>
      </c>
      <c r="E7288" s="5" t="s">
        <v>155</v>
      </c>
      <c r="F7288" s="9">
        <v>50</v>
      </c>
      <c r="G7288" s="9">
        <v>597</v>
      </c>
      <c r="H7288" s="5" t="s">
        <v>21</v>
      </c>
      <c r="I7288" s="5" t="s">
        <v>16313</v>
      </c>
      <c r="J7288" s="12" t="str">
        <f>HYPERLINK("https://www.boe.es/gazeta/dias/1801/06/09/pdfs/GMD-1801-50.pdf#page=9","Abrir facsímil")</f>
        <v>Abrir facsímil</v>
      </c>
      <c r="K7288" s="15" t="s">
        <v>23</v>
      </c>
    </row>
    <row r="7289" spans="1:11" ht="42" customHeight="1">
      <c r="A7289" s="4" t="s">
        <v>16314</v>
      </c>
      <c r="B7289" s="5" t="s">
        <v>16314</v>
      </c>
      <c r="C7289" s="5" t="s">
        <v>26</v>
      </c>
      <c r="D7289" s="5" t="s">
        <v>27</v>
      </c>
      <c r="E7289" s="5" t="s">
        <v>254</v>
      </c>
      <c r="F7289" s="9">
        <v>73</v>
      </c>
      <c r="G7289" s="9">
        <v>810</v>
      </c>
      <c r="H7289" s="5" t="s">
        <v>21</v>
      </c>
      <c r="I7289" s="5" t="s">
        <v>16315</v>
      </c>
      <c r="J7289" s="12" t="str">
        <f>HYPERLINK("https://www.boe.es/gazeta/dias/1801/07/28/pdfs/GMD-1801-73.pdf#page=3","Abrir facsímil")</f>
        <v>Abrir facsímil</v>
      </c>
      <c r="K7289" s="15" t="s">
        <v>23</v>
      </c>
    </row>
    <row r="7290" spans="1:11" ht="42" customHeight="1">
      <c r="A7290" s="4" t="s">
        <v>16316</v>
      </c>
      <c r="B7290" s="5" t="s">
        <v>16316</v>
      </c>
      <c r="C7290" s="5" t="s">
        <v>75</v>
      </c>
      <c r="D7290" s="5" t="s">
        <v>76</v>
      </c>
      <c r="E7290" s="5" t="s">
        <v>194</v>
      </c>
      <c r="F7290" s="9">
        <v>92</v>
      </c>
      <c r="G7290" s="9">
        <v>1009</v>
      </c>
      <c r="H7290" s="5" t="s">
        <v>21</v>
      </c>
      <c r="I7290" s="5" t="s">
        <v>16317</v>
      </c>
      <c r="J7290" s="12" t="str">
        <f>HYPERLINK("https://www.boe.es/gazeta/dias/1801/09/25/pdfs/GMD-1801-92.pdf#page=4","Abrir facsímil")</f>
        <v>Abrir facsímil</v>
      </c>
      <c r="K7290" s="15" t="s">
        <v>23</v>
      </c>
    </row>
    <row r="7291" spans="1:11" ht="42" customHeight="1">
      <c r="A7291" s="4" t="s">
        <v>16318</v>
      </c>
      <c r="B7291" s="5" t="s">
        <v>16319</v>
      </c>
      <c r="C7291" s="5" t="s">
        <v>75</v>
      </c>
      <c r="D7291" s="5" t="s">
        <v>76</v>
      </c>
      <c r="E7291" s="5" t="s">
        <v>2237</v>
      </c>
      <c r="F7291" s="9">
        <v>82</v>
      </c>
      <c r="G7291" s="9">
        <v>914</v>
      </c>
      <c r="H7291" s="5" t="s">
        <v>21</v>
      </c>
      <c r="I7291" s="5" t="s">
        <v>16320</v>
      </c>
      <c r="J7291" s="12" t="str">
        <f>HYPERLINK("https://www.boe.es/gazeta/dias/1801/08/28/pdfs/GMD-1801-82.pdf#page=3","Abrir facsímil")</f>
        <v>Abrir facsímil</v>
      </c>
      <c r="K7291" s="15" t="s">
        <v>23</v>
      </c>
    </row>
    <row r="7292" spans="1:11" ht="42" customHeight="1">
      <c r="A7292" s="4" t="s">
        <v>16321</v>
      </c>
      <c r="B7292" s="5" t="s">
        <v>16322</v>
      </c>
      <c r="C7292" s="5" t="s">
        <v>38</v>
      </c>
      <c r="D7292" s="5" t="s">
        <v>39</v>
      </c>
      <c r="E7292" s="5" t="s">
        <v>169</v>
      </c>
      <c r="F7292" s="9">
        <v>70</v>
      </c>
      <c r="G7292" s="9">
        <v>778</v>
      </c>
      <c r="H7292" s="5" t="s">
        <v>21</v>
      </c>
      <c r="I7292" s="5" t="s">
        <v>16323</v>
      </c>
      <c r="J7292" s="12" t="str">
        <f>HYPERLINK("https://www.boe.es/gazeta/dias/1801/07/17/pdfs/GMD-1801-70.pdf#page=11","Abrir facsímil")</f>
        <v>Abrir facsímil</v>
      </c>
      <c r="K7292" s="15" t="s">
        <v>23</v>
      </c>
    </row>
    <row r="7293" spans="1:11" ht="42" customHeight="1">
      <c r="A7293" s="4" t="s">
        <v>16324</v>
      </c>
      <c r="B7293" s="5" t="s">
        <v>16325</v>
      </c>
      <c r="C7293" s="5" t="s">
        <v>38</v>
      </c>
      <c r="D7293" s="5" t="s">
        <v>39</v>
      </c>
      <c r="E7293" s="5" t="s">
        <v>97</v>
      </c>
      <c r="F7293" s="9">
        <v>31</v>
      </c>
      <c r="G7293" s="9">
        <v>401</v>
      </c>
      <c r="H7293" s="5" t="s">
        <v>21</v>
      </c>
      <c r="I7293" s="5" t="s">
        <v>16326</v>
      </c>
      <c r="J7293" s="12" t="str">
        <f>HYPERLINK("https://www.boe.es/gazeta/dias/1801/04/17/pdfs/GMD-1801-31.pdf#page=5","Abrir facsímil")</f>
        <v>Abrir facsímil</v>
      </c>
      <c r="K7293" s="15" t="s">
        <v>23</v>
      </c>
    </row>
    <row r="7294" spans="1:11" ht="42" customHeight="1">
      <c r="A7294" s="4" t="s">
        <v>16324</v>
      </c>
      <c r="B7294" s="5" t="s">
        <v>16325</v>
      </c>
      <c r="C7294" s="5" t="s">
        <v>69</v>
      </c>
      <c r="D7294" s="5" t="s">
        <v>19</v>
      </c>
      <c r="E7294" s="5" t="s">
        <v>97</v>
      </c>
      <c r="F7294" s="9">
        <v>31</v>
      </c>
      <c r="G7294" s="9">
        <v>402</v>
      </c>
      <c r="H7294" s="5" t="s">
        <v>21</v>
      </c>
      <c r="I7294" s="5" t="s">
        <v>16327</v>
      </c>
      <c r="J7294" s="12" t="str">
        <f>HYPERLINK("https://www.boe.es/gazeta/dias/1801/04/17/pdfs/GMD-1801-31.pdf#page=6","Abrir facsímil")</f>
        <v>Abrir facsímil</v>
      </c>
      <c r="K7294" s="15" t="s">
        <v>23</v>
      </c>
    </row>
    <row r="7295" spans="1:11" ht="42" customHeight="1">
      <c r="A7295" s="4" t="s">
        <v>16328</v>
      </c>
      <c r="B7295" s="5" t="s">
        <v>16329</v>
      </c>
      <c r="C7295" s="5" t="s">
        <v>32</v>
      </c>
      <c r="D7295" s="5" t="s">
        <v>33</v>
      </c>
      <c r="E7295" s="5" t="s">
        <v>90</v>
      </c>
      <c r="F7295" s="9">
        <v>1</v>
      </c>
      <c r="G7295" s="9">
        <v>10</v>
      </c>
      <c r="H7295" s="5" t="s">
        <v>21</v>
      </c>
      <c r="I7295" s="5" t="s">
        <v>16330</v>
      </c>
      <c r="J7295" s="12" t="str">
        <f>HYPERLINK("https://www.boe.es/gazeta/dias/1801/01/02/pdfs/GMD-1801-1.pdf#page=10","Abrir facsímil")</f>
        <v>Abrir facsímil</v>
      </c>
      <c r="K7295" s="15" t="s">
        <v>23</v>
      </c>
    </row>
    <row r="7296" spans="1:11" ht="42" customHeight="1">
      <c r="A7296" s="4" t="s">
        <v>16331</v>
      </c>
      <c r="B7296" s="5" t="s">
        <v>16332</v>
      </c>
      <c r="C7296" s="5" t="s">
        <v>75</v>
      </c>
      <c r="D7296" s="5" t="s">
        <v>76</v>
      </c>
      <c r="E7296" s="5" t="s">
        <v>151</v>
      </c>
      <c r="F7296" s="9">
        <v>45</v>
      </c>
      <c r="G7296" s="9">
        <v>553</v>
      </c>
      <c r="H7296" s="5" t="s">
        <v>21</v>
      </c>
      <c r="I7296" s="5" t="s">
        <v>16333</v>
      </c>
      <c r="J7296" s="12" t="str">
        <f>HYPERLINK("https://www.boe.es/gazeta/dias/1801/06/02/pdfs/GMD-1801-45.pdf#page=1","Abrir facsímil")</f>
        <v>Abrir facsímil</v>
      </c>
      <c r="K7296" s="15" t="s">
        <v>23</v>
      </c>
    </row>
    <row r="7297" spans="1:11" ht="42" customHeight="1">
      <c r="A7297" s="4" t="s">
        <v>16334</v>
      </c>
      <c r="B7297" s="5" t="s">
        <v>16335</v>
      </c>
      <c r="C7297" s="5" t="s">
        <v>32</v>
      </c>
      <c r="D7297" s="5" t="s">
        <v>33</v>
      </c>
      <c r="E7297" s="5" t="s">
        <v>179</v>
      </c>
      <c r="F7297" s="9">
        <v>11</v>
      </c>
      <c r="G7297" s="9">
        <v>137</v>
      </c>
      <c r="H7297" s="5" t="s">
        <v>21</v>
      </c>
      <c r="I7297" s="5" t="s">
        <v>16336</v>
      </c>
      <c r="J7297" s="12" t="str">
        <f>HYPERLINK("https://www.boe.es/gazeta/dias/1801/02/06/pdfs/GMD-1801-11.pdf#page=10","Abrir facsímil")</f>
        <v>Abrir facsímil</v>
      </c>
      <c r="K7297" s="15" t="s">
        <v>23</v>
      </c>
    </row>
    <row r="7298" spans="1:11" ht="42" customHeight="1">
      <c r="A7298" s="4" t="s">
        <v>16334</v>
      </c>
      <c r="B7298" s="5" t="s">
        <v>16335</v>
      </c>
      <c r="C7298" s="5" t="s">
        <v>32</v>
      </c>
      <c r="D7298" s="5" t="s">
        <v>33</v>
      </c>
      <c r="E7298" s="5" t="s">
        <v>145</v>
      </c>
      <c r="F7298" s="9">
        <v>36</v>
      </c>
      <c r="G7298" s="9">
        <v>468</v>
      </c>
      <c r="H7298" s="5" t="s">
        <v>21</v>
      </c>
      <c r="I7298" s="5" t="s">
        <v>16337</v>
      </c>
      <c r="J7298" s="12" t="str">
        <f>HYPERLINK("https://www.boe.es/gazeta/dias/1801/05/05/pdfs/GMD-1801-36.pdf#page=12","Abrir facsímil")</f>
        <v>Abrir facsímil</v>
      </c>
      <c r="K7298" s="15" t="s">
        <v>23</v>
      </c>
    </row>
    <row r="7299" spans="1:11" ht="42" customHeight="1">
      <c r="A7299" s="4" t="s">
        <v>16338</v>
      </c>
      <c r="B7299" s="5" t="s">
        <v>16339</v>
      </c>
      <c r="C7299" s="5" t="s">
        <v>75</v>
      </c>
      <c r="D7299" s="5" t="s">
        <v>76</v>
      </c>
      <c r="E7299" s="5" t="s">
        <v>313</v>
      </c>
      <c r="F7299" s="9">
        <v>39</v>
      </c>
      <c r="G7299" s="9">
        <v>500</v>
      </c>
      <c r="H7299" s="5" t="s">
        <v>21</v>
      </c>
      <c r="I7299" s="5" t="s">
        <v>16340</v>
      </c>
      <c r="J7299" s="12" t="str">
        <f>HYPERLINK("https://www.boe.es/gazeta/dias/1801/05/15/pdfs/GMD-1801-39.pdf#page=4","Abrir facsímil")</f>
        <v>Abrir facsímil</v>
      </c>
      <c r="K7299" s="15" t="s">
        <v>23</v>
      </c>
    </row>
    <row r="7300" spans="1:11" ht="42" customHeight="1">
      <c r="A7300" s="4" t="s">
        <v>16341</v>
      </c>
      <c r="B7300" s="5" t="s">
        <v>16342</v>
      </c>
      <c r="C7300" s="5" t="s">
        <v>75</v>
      </c>
      <c r="D7300" s="5" t="s">
        <v>76</v>
      </c>
      <c r="E7300" s="5" t="s">
        <v>190</v>
      </c>
      <c r="F7300" s="9">
        <v>16</v>
      </c>
      <c r="G7300" s="9">
        <v>198</v>
      </c>
      <c r="H7300" s="5" t="s">
        <v>21</v>
      </c>
      <c r="I7300" s="5" t="s">
        <v>16343</v>
      </c>
      <c r="J7300" s="12" t="str">
        <f>HYPERLINK("https://www.boe.es/gazeta/dias/1801/02/24/pdfs/GMD-1801-16.pdf#page=5","Abrir facsímil")</f>
        <v>Abrir facsímil</v>
      </c>
      <c r="K7300" s="15" t="s">
        <v>23</v>
      </c>
    </row>
    <row r="7301" spans="1:11" ht="42" customHeight="1">
      <c r="A7301" s="4" t="s">
        <v>16344</v>
      </c>
      <c r="B7301" s="5" t="s">
        <v>16345</v>
      </c>
      <c r="C7301" s="5" t="s">
        <v>75</v>
      </c>
      <c r="D7301" s="5" t="s">
        <v>76</v>
      </c>
      <c r="E7301" s="5" t="s">
        <v>480</v>
      </c>
      <c r="F7301" s="9">
        <v>10</v>
      </c>
      <c r="G7301" s="9">
        <v>120</v>
      </c>
      <c r="H7301" s="5" t="s">
        <v>21</v>
      </c>
      <c r="I7301" s="5" t="s">
        <v>16346</v>
      </c>
      <c r="J7301" s="12" t="str">
        <f>HYPERLINK("https://www.boe.es/gazeta/dias/1801/02/03/pdfs/GMD-1801-10.pdf#page=5","Abrir facsímil")</f>
        <v>Abrir facsímil</v>
      </c>
      <c r="K7301" s="15" t="s">
        <v>23</v>
      </c>
    </row>
    <row r="7302" spans="1:11" ht="42" customHeight="1">
      <c r="A7302" s="4" t="s">
        <v>16347</v>
      </c>
      <c r="B7302" s="5" t="s">
        <v>16348</v>
      </c>
      <c r="C7302" s="5" t="s">
        <v>75</v>
      </c>
      <c r="D7302" s="5" t="s">
        <v>76</v>
      </c>
      <c r="E7302" s="5" t="s">
        <v>465</v>
      </c>
      <c r="F7302" s="9">
        <v>4</v>
      </c>
      <c r="G7302" s="9">
        <v>39</v>
      </c>
      <c r="H7302" s="5" t="s">
        <v>21</v>
      </c>
      <c r="I7302" s="5" t="s">
        <v>16349</v>
      </c>
      <c r="J7302" s="12" t="str">
        <f>HYPERLINK("https://www.boe.es/gazeta/dias/1801/01/13/pdfs/GMD-1801-4.pdf#page=3","Abrir facsímil")</f>
        <v>Abrir facsímil</v>
      </c>
      <c r="K7302" s="15" t="s">
        <v>23</v>
      </c>
    </row>
    <row r="7303" spans="1:11" ht="42" customHeight="1">
      <c r="A7303" s="4" t="s">
        <v>16347</v>
      </c>
      <c r="B7303" s="5" t="s">
        <v>16348</v>
      </c>
      <c r="C7303" s="5" t="s">
        <v>75</v>
      </c>
      <c r="D7303" s="5" t="s">
        <v>76</v>
      </c>
      <c r="E7303" s="5" t="s">
        <v>313</v>
      </c>
      <c r="F7303" s="9">
        <v>39</v>
      </c>
      <c r="G7303" s="9">
        <v>499</v>
      </c>
      <c r="H7303" s="5" t="s">
        <v>21</v>
      </c>
      <c r="I7303" s="5" t="s">
        <v>16350</v>
      </c>
      <c r="J7303" s="12" t="str">
        <f>HYPERLINK("https://www.boe.es/gazeta/dias/1801/05/15/pdfs/GMD-1801-39.pdf#page=3","Abrir facsímil")</f>
        <v>Abrir facsímil</v>
      </c>
      <c r="K7303" s="15" t="s">
        <v>23</v>
      </c>
    </row>
    <row r="7304" spans="1:11" ht="42" customHeight="1">
      <c r="A7304" s="4" t="s">
        <v>16351</v>
      </c>
      <c r="B7304" s="5" t="s">
        <v>16352</v>
      </c>
      <c r="C7304" s="5" t="s">
        <v>75</v>
      </c>
      <c r="D7304" s="5" t="s">
        <v>76</v>
      </c>
      <c r="E7304" s="5" t="s">
        <v>462</v>
      </c>
      <c r="F7304" s="9">
        <v>5</v>
      </c>
      <c r="G7304" s="9">
        <v>54</v>
      </c>
      <c r="H7304" s="5" t="s">
        <v>21</v>
      </c>
      <c r="I7304" s="5" t="s">
        <v>16353</v>
      </c>
      <c r="J7304" s="12" t="str">
        <f>HYPERLINK("https://www.boe.es/gazeta/dias/1801/01/16/pdfs/GMD-1801-5.pdf#page=6","Abrir facsímil")</f>
        <v>Abrir facsímil</v>
      </c>
      <c r="K7304" s="15" t="s">
        <v>23</v>
      </c>
    </row>
    <row r="7305" spans="1:11" ht="42" customHeight="1">
      <c r="A7305" s="4" t="s">
        <v>16354</v>
      </c>
      <c r="B7305" s="5" t="s">
        <v>16354</v>
      </c>
      <c r="C7305" s="5" t="s">
        <v>26</v>
      </c>
      <c r="D7305" s="5" t="s">
        <v>27</v>
      </c>
      <c r="E7305" s="5" t="s">
        <v>258</v>
      </c>
      <c r="F7305" s="9">
        <v>96</v>
      </c>
      <c r="G7305" s="9">
        <v>1048</v>
      </c>
      <c r="H7305" s="5" t="s">
        <v>21</v>
      </c>
      <c r="I7305" s="5" t="s">
        <v>16355</v>
      </c>
      <c r="J7305" s="12" t="str">
        <f>HYPERLINK("https://www.boe.es/gazeta/dias/1801/10/09/pdfs/GMD-1801-96.pdf#page=4","Abrir facsímil")</f>
        <v>Abrir facsímil</v>
      </c>
      <c r="K7305" s="15" t="s">
        <v>23</v>
      </c>
    </row>
    <row r="7306" spans="1:11" ht="42" customHeight="1">
      <c r="A7306" s="4" t="s">
        <v>16356</v>
      </c>
      <c r="B7306" s="5" t="s">
        <v>16357</v>
      </c>
      <c r="C7306" s="5" t="s">
        <v>75</v>
      </c>
      <c r="D7306" s="5" t="s">
        <v>76</v>
      </c>
      <c r="E7306" s="5" t="s">
        <v>34</v>
      </c>
      <c r="F7306" s="9">
        <v>38</v>
      </c>
      <c r="G7306" s="9">
        <v>489</v>
      </c>
      <c r="H7306" s="5" t="s">
        <v>21</v>
      </c>
      <c r="I7306" s="5" t="s">
        <v>16358</v>
      </c>
      <c r="J7306" s="12" t="str">
        <f>HYPERLINK("https://www.boe.es/gazeta/dias/1801/05/12/pdfs/GMD-1801-38.pdf#page=5","Abrir facsímil")</f>
        <v>Abrir facsímil</v>
      </c>
      <c r="K7306" s="15" t="s">
        <v>23</v>
      </c>
    </row>
    <row r="7307" spans="1:11" ht="42" customHeight="1">
      <c r="A7307" s="4" t="s">
        <v>16359</v>
      </c>
      <c r="B7307" s="5" t="s">
        <v>16360</v>
      </c>
      <c r="C7307" s="5" t="s">
        <v>32</v>
      </c>
      <c r="D7307" s="5" t="s">
        <v>33</v>
      </c>
      <c r="E7307" s="5" t="s">
        <v>135</v>
      </c>
      <c r="F7307" s="9">
        <v>24</v>
      </c>
      <c r="G7307" s="9">
        <v>318</v>
      </c>
      <c r="H7307" s="5" t="s">
        <v>21</v>
      </c>
      <c r="I7307" s="5" t="s">
        <v>16361</v>
      </c>
      <c r="J7307" s="12" t="str">
        <f>HYPERLINK("https://www.boe.es/gazeta/dias/1801/03/24/pdfs/GMD-1801-24.pdf#page=9","Abrir facsímil")</f>
        <v>Abrir facsímil</v>
      </c>
      <c r="K7307" s="15" t="s">
        <v>23</v>
      </c>
    </row>
    <row r="7308" spans="1:11" ht="42" customHeight="1">
      <c r="A7308" s="4" t="s">
        <v>16362</v>
      </c>
      <c r="B7308" s="5" t="s">
        <v>16362</v>
      </c>
      <c r="C7308" s="5" t="s">
        <v>26</v>
      </c>
      <c r="D7308" s="5" t="s">
        <v>27</v>
      </c>
      <c r="E7308" s="5" t="s">
        <v>120</v>
      </c>
      <c r="F7308" s="9">
        <v>7</v>
      </c>
      <c r="G7308" s="9">
        <v>78</v>
      </c>
      <c r="H7308" s="5" t="s">
        <v>21</v>
      </c>
      <c r="I7308" s="5" t="s">
        <v>16363</v>
      </c>
      <c r="J7308" s="12" t="str">
        <f>HYPERLINK("https://www.boe.es/gazeta/dias/1801/01/23/pdfs/GMD-1801-7.pdf#page=2","Abrir facsímil")</f>
        <v>Abrir facsímil</v>
      </c>
      <c r="K7308" s="15" t="s">
        <v>23</v>
      </c>
    </row>
    <row r="7309" spans="1:11" ht="42" customHeight="1">
      <c r="A7309" s="4" t="s">
        <v>16364</v>
      </c>
      <c r="B7309" s="5" t="s">
        <v>16365</v>
      </c>
      <c r="C7309" s="5" t="s">
        <v>80</v>
      </c>
      <c r="D7309" s="5" t="s">
        <v>81</v>
      </c>
      <c r="E7309" s="5" t="s">
        <v>289</v>
      </c>
      <c r="F7309" s="9">
        <v>40</v>
      </c>
      <c r="G7309" s="9" t="s">
        <v>668</v>
      </c>
      <c r="H7309" s="5" t="s">
        <v>21</v>
      </c>
      <c r="I7309" s="5" t="s">
        <v>16366</v>
      </c>
      <c r="J7309" s="12" t="str">
        <f>HYPERLINK("https://www.boe.es/gazeta/dias/1801/05/19/pdfs/GMD-C-1801-40.pdf#page=1","Abrir facsímil")</f>
        <v>Abrir facsímil</v>
      </c>
      <c r="K7309" s="15" t="s">
        <v>23</v>
      </c>
    </row>
    <row r="7310" spans="1:11" ht="42" customHeight="1">
      <c r="A7310" s="4" t="s">
        <v>16367</v>
      </c>
      <c r="B7310" s="5" t="s">
        <v>16367</v>
      </c>
      <c r="C7310" s="5" t="s">
        <v>75</v>
      </c>
      <c r="D7310" s="5" t="s">
        <v>76</v>
      </c>
      <c r="E7310" s="5" t="s">
        <v>275</v>
      </c>
      <c r="F7310" s="9">
        <v>9</v>
      </c>
      <c r="G7310" s="9">
        <v>112</v>
      </c>
      <c r="H7310" s="5" t="s">
        <v>21</v>
      </c>
      <c r="I7310" s="5" t="s">
        <v>16368</v>
      </c>
      <c r="J7310" s="12" t="str">
        <f>HYPERLINK("https://www.boe.es/gazeta/dias/1801/01/30/pdfs/GMD-1801-9.pdf#page=9","Abrir facsímil")</f>
        <v>Abrir facsímil</v>
      </c>
      <c r="K7310" s="15" t="s">
        <v>23</v>
      </c>
    </row>
    <row r="7311" spans="1:11" ht="42" customHeight="1">
      <c r="A7311" s="4" t="s">
        <v>16369</v>
      </c>
      <c r="B7311" s="5" t="s">
        <v>16370</v>
      </c>
      <c r="C7311" s="5" t="s">
        <v>32</v>
      </c>
      <c r="D7311" s="5" t="s">
        <v>33</v>
      </c>
      <c r="E7311" s="5" t="s">
        <v>171</v>
      </c>
      <c r="F7311" s="9">
        <v>76</v>
      </c>
      <c r="G7311" s="9">
        <v>853</v>
      </c>
      <c r="H7311" s="5" t="s">
        <v>21</v>
      </c>
      <c r="I7311" s="5" t="s">
        <v>16371</v>
      </c>
      <c r="J7311" s="12" t="str">
        <f>HYPERLINK("https://www.boe.es/gazeta/dias/1801/08/07/pdfs/GMD-1801-76.pdf#page=10","Abrir facsímil")</f>
        <v>Abrir facsímil</v>
      </c>
      <c r="K7311" s="15" t="s">
        <v>23</v>
      </c>
    </row>
    <row r="7312" spans="1:11" ht="42" customHeight="1">
      <c r="A7312" s="4" t="s">
        <v>16372</v>
      </c>
      <c r="B7312" s="5" t="s">
        <v>16373</v>
      </c>
      <c r="C7312" s="5" t="s">
        <v>80</v>
      </c>
      <c r="D7312" s="5" t="s">
        <v>81</v>
      </c>
      <c r="E7312" s="5" t="s">
        <v>289</v>
      </c>
      <c r="F7312" s="9">
        <v>40</v>
      </c>
      <c r="G7312" s="9" t="s">
        <v>299</v>
      </c>
      <c r="H7312" s="5" t="s">
        <v>21</v>
      </c>
      <c r="I7312" s="5" t="s">
        <v>16374</v>
      </c>
      <c r="J7312" s="12" t="str">
        <f>HYPERLINK("https://www.boe.es/gazeta/dias/1801/05/19/pdfs/GMD-C-1801-40.pdf#page=5","Abrir facsímil")</f>
        <v>Abrir facsímil</v>
      </c>
      <c r="K7312" s="15" t="s">
        <v>23</v>
      </c>
    </row>
    <row r="7313" spans="1:11" ht="42" customHeight="1">
      <c r="A7313" s="4" t="s">
        <v>16375</v>
      </c>
      <c r="B7313" s="5" t="s">
        <v>16376</v>
      </c>
      <c r="C7313" s="5" t="s">
        <v>75</v>
      </c>
      <c r="D7313" s="5" t="s">
        <v>76</v>
      </c>
      <c r="E7313" s="5" t="s">
        <v>124</v>
      </c>
      <c r="F7313" s="9">
        <v>12</v>
      </c>
      <c r="G7313" s="9">
        <v>144</v>
      </c>
      <c r="H7313" s="5" t="s">
        <v>21</v>
      </c>
      <c r="I7313" s="5" t="s">
        <v>16377</v>
      </c>
      <c r="J7313" s="12" t="str">
        <f>HYPERLINK("https://www.boe.es/gazeta/dias/1801/02/10/pdfs/GMD-1801-12.pdf#page=5","Abrir facsímil")</f>
        <v>Abrir facsímil</v>
      </c>
      <c r="K7313" s="15" t="s">
        <v>23</v>
      </c>
    </row>
    <row r="7314" spans="1:11" ht="42" customHeight="1">
      <c r="A7314" s="4" t="s">
        <v>16375</v>
      </c>
      <c r="B7314" s="5" t="s">
        <v>16376</v>
      </c>
      <c r="C7314" s="5" t="s">
        <v>38</v>
      </c>
      <c r="D7314" s="5" t="s">
        <v>39</v>
      </c>
      <c r="E7314" s="5" t="s">
        <v>97</v>
      </c>
      <c r="F7314" s="9">
        <v>31</v>
      </c>
      <c r="G7314" s="9">
        <v>400</v>
      </c>
      <c r="H7314" s="5" t="s">
        <v>21</v>
      </c>
      <c r="I7314" s="5" t="s">
        <v>16378</v>
      </c>
      <c r="J7314" s="12" t="str">
        <f>HYPERLINK("https://www.boe.es/gazeta/dias/1801/04/17/pdfs/GMD-1801-31.pdf#page=4","Abrir facsímil")</f>
        <v>Abrir facsímil</v>
      </c>
      <c r="K7314" s="15" t="s">
        <v>23</v>
      </c>
    </row>
    <row r="7315" spans="1:11" ht="42" customHeight="1">
      <c r="A7315" s="4" t="s">
        <v>16375</v>
      </c>
      <c r="B7315" s="5" t="s">
        <v>16376</v>
      </c>
      <c r="C7315" s="5" t="s">
        <v>38</v>
      </c>
      <c r="D7315" s="5" t="s">
        <v>39</v>
      </c>
      <c r="E7315" s="5" t="s">
        <v>417</v>
      </c>
      <c r="F7315" s="9">
        <v>64</v>
      </c>
      <c r="G7315" s="9">
        <v>725</v>
      </c>
      <c r="H7315" s="5" t="s">
        <v>21</v>
      </c>
      <c r="I7315" s="5" t="s">
        <v>16379</v>
      </c>
      <c r="J7315" s="12" t="str">
        <f>HYPERLINK("https://www.boe.es/gazeta/dias/1801/07/07/pdfs/GMD-1801-64.pdf#page=6","Abrir facsímil")</f>
        <v>Abrir facsímil</v>
      </c>
      <c r="K7315" s="15" t="s">
        <v>23</v>
      </c>
    </row>
    <row r="7316" spans="1:11" ht="42" customHeight="1">
      <c r="A7316" s="4" t="s">
        <v>16380</v>
      </c>
      <c r="B7316" s="5" t="s">
        <v>16381</v>
      </c>
      <c r="C7316" s="5" t="s">
        <v>32</v>
      </c>
      <c r="D7316" s="5" t="s">
        <v>33</v>
      </c>
      <c r="E7316" s="5" t="s">
        <v>254</v>
      </c>
      <c r="F7316" s="9">
        <v>73</v>
      </c>
      <c r="G7316" s="9">
        <v>814</v>
      </c>
      <c r="H7316" s="5" t="s">
        <v>21</v>
      </c>
      <c r="I7316" s="5" t="s">
        <v>16382</v>
      </c>
      <c r="J7316" s="12" t="str">
        <f>HYPERLINK("https://www.boe.es/gazeta/dias/1801/07/28/pdfs/GMD-1801-73.pdf#page=7","Abrir facsímil")</f>
        <v>Abrir facsímil</v>
      </c>
      <c r="K7316" s="15" t="s">
        <v>23</v>
      </c>
    </row>
    <row r="7317" spans="1:11" ht="42" customHeight="1">
      <c r="A7317" s="4" t="s">
        <v>16383</v>
      </c>
      <c r="B7317" s="5" t="s">
        <v>16384</v>
      </c>
      <c r="C7317" s="5" t="s">
        <v>80</v>
      </c>
      <c r="D7317" s="5" t="s">
        <v>81</v>
      </c>
      <c r="E7317" s="5" t="s">
        <v>289</v>
      </c>
      <c r="F7317" s="9">
        <v>40</v>
      </c>
      <c r="G7317" s="9" t="s">
        <v>86</v>
      </c>
      <c r="H7317" s="5" t="s">
        <v>21</v>
      </c>
      <c r="I7317" s="5" t="s">
        <v>16385</v>
      </c>
      <c r="J7317" s="12" t="str">
        <f>HYPERLINK("https://www.boe.es/gazeta/dias/1801/05/19/pdfs/GMD-C-1801-40.pdf#page=3","Abrir facsímil")</f>
        <v>Abrir facsímil</v>
      </c>
      <c r="K7317" s="15" t="s">
        <v>23</v>
      </c>
    </row>
    <row r="7318" spans="1:11" ht="42" customHeight="1">
      <c r="A7318" s="4" t="s">
        <v>16386</v>
      </c>
      <c r="B7318" s="5" t="s">
        <v>16387</v>
      </c>
      <c r="C7318" s="5" t="s">
        <v>26</v>
      </c>
      <c r="D7318" s="5" t="s">
        <v>27</v>
      </c>
      <c r="E7318" s="5" t="s">
        <v>501</v>
      </c>
      <c r="F7318" s="9">
        <v>115</v>
      </c>
      <c r="G7318" s="9" t="s">
        <v>502</v>
      </c>
      <c r="H7318" s="5" t="s">
        <v>21</v>
      </c>
      <c r="I7318" s="5" t="s">
        <v>16388</v>
      </c>
      <c r="J7318" s="12" t="str">
        <f>HYPERLINK("https://www.boe.es/gazeta/dias/1801/12/15/pdfs/GMD-C-1801-115.pdf#page=8","Abrir facsímil")</f>
        <v>Abrir facsímil</v>
      </c>
      <c r="K7318" s="15" t="s">
        <v>23</v>
      </c>
    </row>
    <row r="7319" spans="1:11" ht="42" customHeight="1">
      <c r="A7319" s="4" t="s">
        <v>16389</v>
      </c>
      <c r="B7319" s="5" t="s">
        <v>16389</v>
      </c>
      <c r="C7319" s="5" t="s">
        <v>26</v>
      </c>
      <c r="D7319" s="5" t="s">
        <v>27</v>
      </c>
      <c r="E7319" s="5" t="s">
        <v>223</v>
      </c>
      <c r="F7319" s="9">
        <v>74</v>
      </c>
      <c r="G7319" s="9">
        <v>830</v>
      </c>
      <c r="H7319" s="5" t="s">
        <v>21</v>
      </c>
      <c r="I7319" s="5" t="s">
        <v>16390</v>
      </c>
      <c r="J7319" s="12" t="str">
        <f>HYPERLINK("https://www.boe.es/gazeta/dias/1801/07/31/pdfs/GMD-1801-74.pdf#page=11","Abrir facsímil")</f>
        <v>Abrir facsímil</v>
      </c>
      <c r="K7319" s="15" t="s">
        <v>23</v>
      </c>
    </row>
    <row r="7320" spans="1:11" ht="42" customHeight="1">
      <c r="A7320" s="4" t="s">
        <v>16391</v>
      </c>
      <c r="B7320" s="5" t="s">
        <v>16392</v>
      </c>
      <c r="C7320" s="5" t="s">
        <v>32</v>
      </c>
      <c r="D7320" s="5" t="s">
        <v>33</v>
      </c>
      <c r="E7320" s="5" t="s">
        <v>201</v>
      </c>
      <c r="F7320" s="9">
        <v>79</v>
      </c>
      <c r="G7320" s="9">
        <v>889</v>
      </c>
      <c r="H7320" s="5" t="s">
        <v>21</v>
      </c>
      <c r="I7320" s="5" t="s">
        <v>16393</v>
      </c>
      <c r="J7320" s="12" t="str">
        <f>HYPERLINK("https://www.boe.es/gazeta/dias/1801/08/18/pdfs/GMD-1801-79.pdf#page=6","Abrir facsímil")</f>
        <v>Abrir facsímil</v>
      </c>
      <c r="K7320" s="15" t="s">
        <v>23</v>
      </c>
    </row>
    <row r="7321" spans="1:11" ht="42" customHeight="1">
      <c r="A7321" s="4" t="s">
        <v>16394</v>
      </c>
      <c r="B7321" s="5" t="s">
        <v>16395</v>
      </c>
      <c r="C7321" s="5" t="s">
        <v>26</v>
      </c>
      <c r="D7321" s="5" t="s">
        <v>27</v>
      </c>
      <c r="E7321" s="5" t="s">
        <v>1085</v>
      </c>
      <c r="F7321" s="9">
        <v>99</v>
      </c>
      <c r="G7321" s="9">
        <v>1091</v>
      </c>
      <c r="H7321" s="5" t="s">
        <v>21</v>
      </c>
      <c r="I7321" s="5" t="s">
        <v>16396</v>
      </c>
      <c r="J7321" s="12" t="str">
        <f>HYPERLINK("https://www.boe.es/gazeta/dias/1801/10/20/pdfs/GMD-1801-99.pdf#page=8","Abrir facsímil")</f>
        <v>Abrir facsímil</v>
      </c>
      <c r="K7321" s="15" t="s">
        <v>23</v>
      </c>
    </row>
    <row r="7322" spans="1:11" ht="42" customHeight="1">
      <c r="A7322" s="4" t="s">
        <v>16397</v>
      </c>
      <c r="B7322" s="5" t="s">
        <v>16398</v>
      </c>
      <c r="C7322" s="5" t="s">
        <v>32</v>
      </c>
      <c r="D7322" s="5" t="s">
        <v>33</v>
      </c>
      <c r="E7322" s="5" t="s">
        <v>112</v>
      </c>
      <c r="F7322" s="9">
        <v>114</v>
      </c>
      <c r="G7322" s="9">
        <v>1247</v>
      </c>
      <c r="H7322" s="5" t="s">
        <v>21</v>
      </c>
      <c r="I7322" s="5" t="s">
        <v>16399</v>
      </c>
      <c r="J7322" s="12" t="str">
        <f>HYPERLINK("https://www.boe.es/gazeta/dias/1801/12/11/pdfs/GMD-1801-114.pdf#page=9","Abrir facsímil")</f>
        <v>Abrir facsímil</v>
      </c>
      <c r="K7322" s="15" t="s">
        <v>23</v>
      </c>
    </row>
    <row r="7323" spans="1:11" ht="42" customHeight="1">
      <c r="A7323" s="4" t="s">
        <v>16400</v>
      </c>
      <c r="B7323" s="5" t="s">
        <v>16401</v>
      </c>
      <c r="C7323" s="5" t="s">
        <v>69</v>
      </c>
      <c r="D7323" s="5" t="s">
        <v>19</v>
      </c>
      <c r="E7323" s="5" t="s">
        <v>448</v>
      </c>
      <c r="F7323" s="9">
        <v>35</v>
      </c>
      <c r="G7323" s="9">
        <v>454</v>
      </c>
      <c r="H7323" s="5" t="s">
        <v>21</v>
      </c>
      <c r="I7323" s="5" t="s">
        <v>16402</v>
      </c>
      <c r="J7323" s="12" t="str">
        <f>HYPERLINK("https://www.boe.es/gazeta/dias/1801/05/01/pdfs/GMD-1801-35.pdf#page=10","Abrir facsímil")</f>
        <v>Abrir facsímil</v>
      </c>
      <c r="K7323" s="15" t="s">
        <v>23</v>
      </c>
    </row>
    <row r="7324" spans="1:11" ht="42" customHeight="1">
      <c r="A7324" s="4" t="s">
        <v>16403</v>
      </c>
      <c r="B7324" s="5" t="s">
        <v>16404</v>
      </c>
      <c r="C7324" s="5" t="s">
        <v>26</v>
      </c>
      <c r="D7324" s="5" t="s">
        <v>27</v>
      </c>
      <c r="E7324" s="5" t="s">
        <v>82</v>
      </c>
      <c r="F7324" s="9">
        <v>75</v>
      </c>
      <c r="G7324" s="9">
        <v>843</v>
      </c>
      <c r="H7324" s="5" t="s">
        <v>21</v>
      </c>
      <c r="I7324" s="5" t="s">
        <v>16405</v>
      </c>
      <c r="J7324" s="12" t="str">
        <f>HYPERLINK("https://www.boe.es/gazeta/dias/1801/08/04/pdfs/GMD-1801-75.pdf#page=12","Abrir facsímil")</f>
        <v>Abrir facsímil</v>
      </c>
      <c r="K7324" s="15" t="s">
        <v>23</v>
      </c>
    </row>
    <row r="7325" spans="1:11" ht="42" customHeight="1">
      <c r="A7325" s="4" t="s">
        <v>16406</v>
      </c>
      <c r="B7325" s="5" t="s">
        <v>16407</v>
      </c>
      <c r="C7325" s="5" t="s">
        <v>38</v>
      </c>
      <c r="D7325" s="5" t="s">
        <v>39</v>
      </c>
      <c r="E7325" s="5" t="s">
        <v>131</v>
      </c>
      <c r="F7325" s="9">
        <v>22</v>
      </c>
      <c r="G7325" s="9">
        <v>288</v>
      </c>
      <c r="H7325" s="5" t="s">
        <v>21</v>
      </c>
      <c r="I7325" s="5" t="s">
        <v>16408</v>
      </c>
      <c r="J7325" s="12" t="str">
        <f>HYPERLINK("https://www.boe.es/gazeta/dias/1801/03/17/pdfs/GMD-1801-22.pdf#page=5","Abrir facsímil")</f>
        <v>Abrir facsímil</v>
      </c>
      <c r="K7325" s="15" t="s">
        <v>23</v>
      </c>
    </row>
    <row r="7326" spans="1:11" ht="42" customHeight="1">
      <c r="A7326" s="4" t="s">
        <v>16409</v>
      </c>
      <c r="B7326" s="5" t="s">
        <v>16410</v>
      </c>
      <c r="C7326" s="5" t="s">
        <v>38</v>
      </c>
      <c r="D7326" s="5" t="s">
        <v>39</v>
      </c>
      <c r="E7326" s="5" t="s">
        <v>221</v>
      </c>
      <c r="F7326" s="9">
        <v>28</v>
      </c>
      <c r="G7326" s="9">
        <v>371</v>
      </c>
      <c r="H7326" s="5" t="s">
        <v>21</v>
      </c>
      <c r="I7326" s="5" t="s">
        <v>16411</v>
      </c>
      <c r="J7326" s="12" t="str">
        <f>HYPERLINK("https://www.boe.es/gazeta/dias/1801/04/07/pdfs/GMD-1801-28.pdf#page=11","Abrir facsímil")</f>
        <v>Abrir facsímil</v>
      </c>
      <c r="K7326" s="15" t="s">
        <v>23</v>
      </c>
    </row>
    <row r="7327" spans="1:11" ht="42" customHeight="1">
      <c r="A7327" s="4" t="s">
        <v>16412</v>
      </c>
      <c r="B7327" s="5" t="s">
        <v>16413</v>
      </c>
      <c r="C7327" s="5" t="s">
        <v>38</v>
      </c>
      <c r="D7327" s="5" t="s">
        <v>39</v>
      </c>
      <c r="E7327" s="5" t="s">
        <v>480</v>
      </c>
      <c r="F7327" s="9">
        <v>10</v>
      </c>
      <c r="G7327" s="9">
        <v>125</v>
      </c>
      <c r="H7327" s="5" t="s">
        <v>21</v>
      </c>
      <c r="I7327" s="5" t="s">
        <v>16414</v>
      </c>
      <c r="J7327" s="12" t="str">
        <f>HYPERLINK("https://www.boe.es/gazeta/dias/1801/02/03/pdfs/GMD-1801-10.pdf#page=10","Abrir facsímil")</f>
        <v>Abrir facsímil</v>
      </c>
      <c r="K7327" s="15" t="s">
        <v>23</v>
      </c>
    </row>
    <row r="7328" spans="1:11" ht="42" customHeight="1">
      <c r="A7328" s="4" t="s">
        <v>16415</v>
      </c>
      <c r="B7328" s="5" t="s">
        <v>16416</v>
      </c>
      <c r="C7328" s="5" t="s">
        <v>69</v>
      </c>
      <c r="D7328" s="5" t="s">
        <v>19</v>
      </c>
      <c r="E7328" s="5" t="s">
        <v>105</v>
      </c>
      <c r="F7328" s="9">
        <v>44</v>
      </c>
      <c r="G7328" s="9">
        <v>549</v>
      </c>
      <c r="H7328" s="5" t="s">
        <v>21</v>
      </c>
      <c r="I7328" s="5" t="s">
        <v>16417</v>
      </c>
      <c r="J7328" s="12" t="str">
        <f>HYPERLINK("https://www.boe.es/gazeta/dias/1801/05/29/pdfs/GMD-1801-44.pdf#page=9","Abrir facsímil")</f>
        <v>Abrir facsímil</v>
      </c>
      <c r="K7328" s="15" t="s">
        <v>23</v>
      </c>
    </row>
    <row r="7329" spans="1:11" ht="42" customHeight="1">
      <c r="A7329" s="4" t="s">
        <v>16418</v>
      </c>
      <c r="B7329" s="5" t="s">
        <v>16419</v>
      </c>
      <c r="C7329" s="5" t="s">
        <v>32</v>
      </c>
      <c r="D7329" s="5" t="s">
        <v>33</v>
      </c>
      <c r="E7329" s="5" t="s">
        <v>505</v>
      </c>
      <c r="F7329" s="9">
        <v>94</v>
      </c>
      <c r="G7329" s="9">
        <v>1033</v>
      </c>
      <c r="H7329" s="5" t="s">
        <v>21</v>
      </c>
      <c r="I7329" s="5" t="s">
        <v>16420</v>
      </c>
      <c r="J7329" s="12" t="str">
        <f>HYPERLINK("https://www.boe.es/gazeta/dias/1801/10/02/pdfs/GMD-1801-94.pdf#page=9","Abrir facsímil")</f>
        <v>Abrir facsímil</v>
      </c>
      <c r="K7329" s="15" t="s">
        <v>23</v>
      </c>
    </row>
    <row r="7330" spans="1:11" ht="42" customHeight="1">
      <c r="A7330" s="4" t="s">
        <v>16421</v>
      </c>
      <c r="B7330" s="5" t="s">
        <v>16422</v>
      </c>
      <c r="C7330" s="5" t="s">
        <v>75</v>
      </c>
      <c r="D7330" s="5" t="s">
        <v>76</v>
      </c>
      <c r="E7330" s="5" t="s">
        <v>145</v>
      </c>
      <c r="F7330" s="9">
        <v>36</v>
      </c>
      <c r="G7330" s="9">
        <v>468</v>
      </c>
      <c r="H7330" s="5" t="s">
        <v>21</v>
      </c>
      <c r="I7330" s="5" t="s">
        <v>16423</v>
      </c>
      <c r="J7330" s="12" t="str">
        <f>HYPERLINK("https://www.boe.es/gazeta/dias/1801/05/05/pdfs/GMD-1801-36.pdf#page=12","Abrir facsímil")</f>
        <v>Abrir facsímil</v>
      </c>
      <c r="K7330" s="15" t="s">
        <v>23</v>
      </c>
    </row>
    <row r="7331" spans="1:11" ht="42" customHeight="1">
      <c r="A7331" s="4" t="s">
        <v>16424</v>
      </c>
      <c r="B7331" s="5" t="s">
        <v>16424</v>
      </c>
      <c r="C7331" s="5" t="s">
        <v>38</v>
      </c>
      <c r="D7331" s="5" t="s">
        <v>39</v>
      </c>
      <c r="E7331" s="5" t="s">
        <v>349</v>
      </c>
      <c r="F7331" s="9">
        <v>112</v>
      </c>
      <c r="G7331" s="9">
        <v>1225</v>
      </c>
      <c r="H7331" s="5" t="s">
        <v>21</v>
      </c>
      <c r="I7331" s="5" t="s">
        <v>16425</v>
      </c>
      <c r="J7331" s="12" t="str">
        <f>HYPERLINK("https://www.boe.es/gazeta/dias/1801/12/04/pdfs/GMD-1801-112.pdf#page=6","Abrir facsímil")</f>
        <v>Abrir facsímil</v>
      </c>
      <c r="K7331" s="15" t="s">
        <v>23</v>
      </c>
    </row>
    <row r="7332" spans="1:11" ht="42" customHeight="1">
      <c r="A7332" s="4" t="s">
        <v>16426</v>
      </c>
      <c r="B7332" s="5" t="s">
        <v>16427</v>
      </c>
      <c r="C7332" s="5" t="s">
        <v>32</v>
      </c>
      <c r="D7332" s="5" t="s">
        <v>33</v>
      </c>
      <c r="E7332" s="5" t="s">
        <v>223</v>
      </c>
      <c r="F7332" s="9">
        <v>74</v>
      </c>
      <c r="G7332" s="9">
        <v>827</v>
      </c>
      <c r="H7332" s="5" t="s">
        <v>21</v>
      </c>
      <c r="I7332" s="5" t="s">
        <v>16428</v>
      </c>
      <c r="J7332" s="12" t="str">
        <f>HYPERLINK("https://www.boe.es/gazeta/dias/1801/07/31/pdfs/GMD-1801-74.pdf#page=8","Abrir facsímil")</f>
        <v>Abrir facsímil</v>
      </c>
      <c r="K7332" s="15" t="s">
        <v>23</v>
      </c>
    </row>
    <row r="7333" spans="1:11" ht="42" customHeight="1">
      <c r="A7333" s="4" t="s">
        <v>16429</v>
      </c>
      <c r="B7333" s="5" t="s">
        <v>16430</v>
      </c>
      <c r="C7333" s="5" t="s">
        <v>32</v>
      </c>
      <c r="D7333" s="5" t="s">
        <v>33</v>
      </c>
      <c r="E7333" s="5" t="s">
        <v>1058</v>
      </c>
      <c r="F7333" s="9">
        <v>108</v>
      </c>
      <c r="G7333" s="9">
        <v>1191</v>
      </c>
      <c r="H7333" s="5" t="s">
        <v>21</v>
      </c>
      <c r="I7333" s="5" t="s">
        <v>16431</v>
      </c>
      <c r="J7333" s="12" t="str">
        <f>HYPERLINK("https://www.boe.es/gazeta/dias/1801/11/20/pdfs/GMD-1801-108.pdf#page=8","Abrir facsímil")</f>
        <v>Abrir facsímil</v>
      </c>
      <c r="K7333" s="15" t="s">
        <v>23</v>
      </c>
    </row>
    <row r="7334" spans="1:11" ht="42" customHeight="1">
      <c r="A7334" s="4" t="s">
        <v>16432</v>
      </c>
      <c r="B7334" s="5" t="s">
        <v>16433</v>
      </c>
      <c r="C7334" s="5" t="s">
        <v>18</v>
      </c>
      <c r="D7334" s="5" t="s">
        <v>19</v>
      </c>
      <c r="E7334" s="5" t="s">
        <v>112</v>
      </c>
      <c r="F7334" s="9">
        <v>114</v>
      </c>
      <c r="G7334" s="9">
        <v>1249</v>
      </c>
      <c r="H7334" s="5" t="s">
        <v>21</v>
      </c>
      <c r="I7334" s="5" t="s">
        <v>16434</v>
      </c>
      <c r="J7334" s="12" t="str">
        <f>HYPERLINK("https://www.boe.es/gazeta/dias/1801/12/11/pdfs/GMD-1801-114.pdf#page=11","Abrir facsímil")</f>
        <v>Abrir facsímil</v>
      </c>
      <c r="K7334" s="15" t="s">
        <v>23</v>
      </c>
    </row>
    <row r="7335" spans="1:11" ht="42" customHeight="1">
      <c r="A7335" s="4" t="s">
        <v>16435</v>
      </c>
      <c r="B7335" s="5" t="s">
        <v>16436</v>
      </c>
      <c r="C7335" s="5" t="s">
        <v>32</v>
      </c>
      <c r="D7335" s="5" t="s">
        <v>33</v>
      </c>
      <c r="E7335" s="5" t="s">
        <v>48</v>
      </c>
      <c r="F7335" s="9">
        <v>20</v>
      </c>
      <c r="G7335" s="9">
        <v>266</v>
      </c>
      <c r="H7335" s="5" t="s">
        <v>21</v>
      </c>
      <c r="I7335" s="5" t="s">
        <v>16437</v>
      </c>
      <c r="J7335" s="12" t="str">
        <f>HYPERLINK("https://www.boe.es/gazeta/dias/1801/03/10/pdfs/GMD-1801-20.pdf#page=11","Abrir facsímil")</f>
        <v>Abrir facsímil</v>
      </c>
      <c r="K7335" s="15" t="s">
        <v>23</v>
      </c>
    </row>
    <row r="7336" spans="1:11" ht="42" customHeight="1">
      <c r="A7336" s="4" t="s">
        <v>16435</v>
      </c>
      <c r="B7336" s="5" t="s">
        <v>16436</v>
      </c>
      <c r="C7336" s="5" t="s">
        <v>69</v>
      </c>
      <c r="D7336" s="5" t="s">
        <v>19</v>
      </c>
      <c r="E7336" s="5" t="s">
        <v>328</v>
      </c>
      <c r="F7336" s="9">
        <v>89</v>
      </c>
      <c r="G7336" s="9">
        <v>983</v>
      </c>
      <c r="H7336" s="5" t="s">
        <v>21</v>
      </c>
      <c r="I7336" s="5" t="s">
        <v>16438</v>
      </c>
      <c r="J7336" s="12" t="str">
        <f>HYPERLINK("https://www.boe.es/gazeta/dias/1801/09/15/pdfs/GMD-1801-89.pdf#page=10","Abrir facsímil")</f>
        <v>Abrir facsímil</v>
      </c>
      <c r="K7336" s="15" t="s">
        <v>23</v>
      </c>
    </row>
    <row r="7337" spans="1:11" ht="42" customHeight="1">
      <c r="A7337" s="4" t="s">
        <v>16439</v>
      </c>
      <c r="B7337" s="5" t="s">
        <v>16440</v>
      </c>
      <c r="C7337" s="5" t="s">
        <v>32</v>
      </c>
      <c r="D7337" s="5" t="s">
        <v>33</v>
      </c>
      <c r="E7337" s="5" t="s">
        <v>256</v>
      </c>
      <c r="F7337" s="9">
        <v>78</v>
      </c>
      <c r="G7337" s="9">
        <v>881</v>
      </c>
      <c r="H7337" s="5" t="s">
        <v>21</v>
      </c>
      <c r="I7337" s="5" t="s">
        <v>16441</v>
      </c>
      <c r="J7337" s="12" t="str">
        <f>HYPERLINK("https://www.boe.es/gazeta/dias/1801/08/14/pdfs/GMD-1801-78.pdf#page=10","Abrir facsímil")</f>
        <v>Abrir facsímil</v>
      </c>
      <c r="K7337" s="15" t="s">
        <v>23</v>
      </c>
    </row>
    <row r="7338" spans="1:11" ht="42" customHeight="1">
      <c r="A7338" s="4" t="s">
        <v>16442</v>
      </c>
      <c r="B7338" s="5" t="s">
        <v>16443</v>
      </c>
      <c r="C7338" s="5" t="s">
        <v>32</v>
      </c>
      <c r="D7338" s="5" t="s">
        <v>33</v>
      </c>
      <c r="E7338" s="5" t="s">
        <v>1058</v>
      </c>
      <c r="F7338" s="9">
        <v>108</v>
      </c>
      <c r="G7338" s="9">
        <v>1191</v>
      </c>
      <c r="H7338" s="5" t="s">
        <v>21</v>
      </c>
      <c r="I7338" s="5" t="s">
        <v>16444</v>
      </c>
      <c r="J7338" s="12" t="str">
        <f>HYPERLINK("https://www.boe.es/gazeta/dias/1801/11/20/pdfs/GMD-1801-108.pdf#page=8","Abrir facsímil")</f>
        <v>Abrir facsímil</v>
      </c>
      <c r="K7338" s="15" t="s">
        <v>23</v>
      </c>
    </row>
    <row r="7339" spans="1:11" ht="42" customHeight="1">
      <c r="A7339" s="4" t="s">
        <v>16445</v>
      </c>
      <c r="B7339" s="5" t="s">
        <v>16446</v>
      </c>
      <c r="C7339" s="5" t="s">
        <v>26</v>
      </c>
      <c r="D7339" s="5" t="s">
        <v>27</v>
      </c>
      <c r="E7339" s="5" t="s">
        <v>501</v>
      </c>
      <c r="F7339" s="9">
        <v>115</v>
      </c>
      <c r="G7339" s="9" t="s">
        <v>502</v>
      </c>
      <c r="H7339" s="5" t="s">
        <v>21</v>
      </c>
      <c r="I7339" s="5" t="s">
        <v>16447</v>
      </c>
      <c r="J7339" s="12" t="str">
        <f>HYPERLINK("https://www.boe.es/gazeta/dias/1801/12/15/pdfs/GMD-C-1801-115.pdf#page=8","Abrir facsímil")</f>
        <v>Abrir facsímil</v>
      </c>
      <c r="K7339" s="15" t="s">
        <v>23</v>
      </c>
    </row>
    <row r="7340" spans="1:11" ht="42" customHeight="1">
      <c r="A7340" s="4" t="s">
        <v>16448</v>
      </c>
      <c r="B7340" s="5" t="s">
        <v>16449</v>
      </c>
      <c r="C7340" s="5" t="s">
        <v>38</v>
      </c>
      <c r="D7340" s="5" t="s">
        <v>39</v>
      </c>
      <c r="E7340" s="5" t="s">
        <v>124</v>
      </c>
      <c r="F7340" s="9">
        <v>12</v>
      </c>
      <c r="G7340" s="9">
        <v>148</v>
      </c>
      <c r="H7340" s="5" t="s">
        <v>21</v>
      </c>
      <c r="I7340" s="5" t="s">
        <v>16450</v>
      </c>
      <c r="J7340" s="12" t="str">
        <f>HYPERLINK("https://www.boe.es/gazeta/dias/1801/02/10/pdfs/GMD-1801-12.pdf#page=9","Abrir facsímil")</f>
        <v>Abrir facsímil</v>
      </c>
      <c r="K7340" s="15" t="s">
        <v>23</v>
      </c>
    </row>
    <row r="7341" spans="1:11" ht="42" customHeight="1">
      <c r="A7341" s="4" t="s">
        <v>16451</v>
      </c>
      <c r="B7341" s="5" t="s">
        <v>16451</v>
      </c>
      <c r="C7341" s="5" t="s">
        <v>38</v>
      </c>
      <c r="D7341" s="5" t="s">
        <v>39</v>
      </c>
      <c r="E7341" s="5" t="s">
        <v>615</v>
      </c>
      <c r="F7341" s="9">
        <v>72</v>
      </c>
      <c r="G7341" s="9">
        <v>803</v>
      </c>
      <c r="H7341" s="5" t="s">
        <v>21</v>
      </c>
      <c r="I7341" s="5" t="s">
        <v>16452</v>
      </c>
      <c r="J7341" s="12" t="str">
        <f>HYPERLINK("https://www.boe.es/gazeta/dias/1801/07/24/pdfs/GMD-1801-72.pdf#page=8","Abrir facsímil")</f>
        <v>Abrir facsímil</v>
      </c>
      <c r="K7341" s="15" t="s">
        <v>23</v>
      </c>
    </row>
    <row r="7342" spans="1:11" ht="42" customHeight="1">
      <c r="A7342" s="4" t="s">
        <v>16453</v>
      </c>
      <c r="B7342" s="5" t="s">
        <v>16453</v>
      </c>
      <c r="C7342" s="5" t="s">
        <v>32</v>
      </c>
      <c r="D7342" s="5" t="s">
        <v>33</v>
      </c>
      <c r="E7342" s="5" t="s">
        <v>292</v>
      </c>
      <c r="F7342" s="9">
        <v>25</v>
      </c>
      <c r="G7342" s="9">
        <v>331</v>
      </c>
      <c r="H7342" s="5" t="s">
        <v>21</v>
      </c>
      <c r="I7342" s="5" t="s">
        <v>16454</v>
      </c>
      <c r="J7342" s="12" t="str">
        <f>HYPERLINK("https://www.boe.es/gazeta/dias/1801/03/27/pdfs/GMD-1801-25.pdf#page=10","Abrir facsímil")</f>
        <v>Abrir facsímil</v>
      </c>
      <c r="K7342" s="15" t="s">
        <v>23</v>
      </c>
    </row>
    <row r="7343" spans="1:11" ht="42" customHeight="1">
      <c r="A7343" s="4" t="s">
        <v>16455</v>
      </c>
      <c r="B7343" s="5" t="s">
        <v>16455</v>
      </c>
      <c r="C7343" s="5" t="s">
        <v>32</v>
      </c>
      <c r="D7343" s="5" t="s">
        <v>33</v>
      </c>
      <c r="E7343" s="5" t="s">
        <v>153</v>
      </c>
      <c r="F7343" s="9">
        <v>48</v>
      </c>
      <c r="G7343" s="9">
        <v>583</v>
      </c>
      <c r="H7343" s="5" t="s">
        <v>21</v>
      </c>
      <c r="I7343" s="5" t="s">
        <v>16456</v>
      </c>
      <c r="J7343" s="12" t="str">
        <f>HYPERLINK("https://www.boe.es/gazeta/dias/1801/06/05/pdfs/GMD-1801-48.pdf#page=5","Abrir facsímil")</f>
        <v>Abrir facsímil</v>
      </c>
      <c r="K7343" s="15" t="s">
        <v>23</v>
      </c>
    </row>
    <row r="7344" spans="1:11" ht="42" customHeight="1">
      <c r="A7344" s="4" t="s">
        <v>16457</v>
      </c>
      <c r="B7344" s="5" t="s">
        <v>16457</v>
      </c>
      <c r="C7344" s="5" t="s">
        <v>75</v>
      </c>
      <c r="D7344" s="5" t="s">
        <v>76</v>
      </c>
      <c r="E7344" s="5" t="s">
        <v>223</v>
      </c>
      <c r="F7344" s="9">
        <v>74</v>
      </c>
      <c r="G7344" s="9">
        <v>824</v>
      </c>
      <c r="H7344" s="5" t="s">
        <v>21</v>
      </c>
      <c r="I7344" s="5" t="s">
        <v>16458</v>
      </c>
      <c r="J7344" s="12" t="str">
        <f>HYPERLINK("https://www.boe.es/gazeta/dias/1801/07/31/pdfs/GMD-1801-74.pdf#page=5","Abrir facsímil")</f>
        <v>Abrir facsímil</v>
      </c>
      <c r="K7344" s="15" t="s">
        <v>23</v>
      </c>
    </row>
    <row r="7345" spans="1:11" ht="42" customHeight="1">
      <c r="A7345" s="4" t="s">
        <v>16459</v>
      </c>
      <c r="B7345" s="5" t="s">
        <v>16459</v>
      </c>
      <c r="C7345" s="5" t="s">
        <v>75</v>
      </c>
      <c r="D7345" s="5" t="s">
        <v>76</v>
      </c>
      <c r="E7345" s="5" t="s">
        <v>2430</v>
      </c>
      <c r="F7345" s="9">
        <v>27</v>
      </c>
      <c r="G7345" s="9">
        <v>351</v>
      </c>
      <c r="H7345" s="5" t="s">
        <v>21</v>
      </c>
      <c r="I7345" s="5" t="s">
        <v>16460</v>
      </c>
      <c r="J7345" s="12" t="str">
        <f>HYPERLINK("https://www.boe.es/gazeta/dias/1801/04/03/pdfs/GMD-1801-27.pdf#page=3","Abrir facsímil")</f>
        <v>Abrir facsímil</v>
      </c>
      <c r="K7345" s="15" t="s">
        <v>23</v>
      </c>
    </row>
    <row r="7346" spans="1:11" ht="42" customHeight="1">
      <c r="A7346" s="4" t="s">
        <v>16461</v>
      </c>
      <c r="B7346" s="5" t="s">
        <v>16461</v>
      </c>
      <c r="C7346" s="5" t="s">
        <v>75</v>
      </c>
      <c r="D7346" s="5" t="s">
        <v>76</v>
      </c>
      <c r="E7346" s="5" t="s">
        <v>70</v>
      </c>
      <c r="F7346" s="9">
        <v>2</v>
      </c>
      <c r="G7346" s="9">
        <v>16</v>
      </c>
      <c r="H7346" s="5" t="s">
        <v>21</v>
      </c>
      <c r="I7346" s="5" t="s">
        <v>16462</v>
      </c>
      <c r="J7346" s="12" t="str">
        <f>HYPERLINK("https://www.boe.es/gazeta/dias/1801/01/06/pdfs/GMD-1801-2.pdf#page=4","Abrir facsímil")</f>
        <v>Abrir facsímil</v>
      </c>
      <c r="K7346" s="15" t="s">
        <v>23</v>
      </c>
    </row>
    <row r="7347" spans="1:11" ht="42" customHeight="1">
      <c r="A7347" s="4" t="s">
        <v>16461</v>
      </c>
      <c r="B7347" s="5" t="s">
        <v>16461</v>
      </c>
      <c r="C7347" s="5" t="s">
        <v>38</v>
      </c>
      <c r="D7347" s="5" t="s">
        <v>39</v>
      </c>
      <c r="E7347" s="5" t="s">
        <v>131</v>
      </c>
      <c r="F7347" s="9">
        <v>22</v>
      </c>
      <c r="G7347" s="9">
        <v>287</v>
      </c>
      <c r="H7347" s="5" t="s">
        <v>21</v>
      </c>
      <c r="I7347" s="5" t="s">
        <v>16463</v>
      </c>
      <c r="J7347" s="12" t="str">
        <f>HYPERLINK("https://www.boe.es/gazeta/dias/1801/03/17/pdfs/GMD-1801-22.pdf#page=4","Abrir facsímil")</f>
        <v>Abrir facsímil</v>
      </c>
      <c r="K7347" s="15" t="s">
        <v>23</v>
      </c>
    </row>
    <row r="7348" spans="1:11" ht="42" customHeight="1">
      <c r="A7348" s="4" t="s">
        <v>16461</v>
      </c>
      <c r="B7348" s="5" t="s">
        <v>16461</v>
      </c>
      <c r="C7348" s="5" t="s">
        <v>75</v>
      </c>
      <c r="D7348" s="5" t="s">
        <v>76</v>
      </c>
      <c r="E7348" s="5" t="s">
        <v>292</v>
      </c>
      <c r="F7348" s="9">
        <v>25</v>
      </c>
      <c r="G7348" s="9">
        <v>328</v>
      </c>
      <c r="H7348" s="5" t="s">
        <v>21</v>
      </c>
      <c r="I7348" s="5" t="s">
        <v>16464</v>
      </c>
      <c r="J7348" s="12" t="str">
        <f>HYPERLINK("https://www.boe.es/gazeta/dias/1801/03/27/pdfs/GMD-1801-25.pdf#page=7","Abrir facsímil")</f>
        <v>Abrir facsímil</v>
      </c>
      <c r="K7348" s="15" t="s">
        <v>23</v>
      </c>
    </row>
    <row r="7349" spans="1:11" ht="42" customHeight="1">
      <c r="A7349" s="4" t="s">
        <v>16461</v>
      </c>
      <c r="B7349" s="5" t="s">
        <v>16461</v>
      </c>
      <c r="C7349" s="5" t="s">
        <v>75</v>
      </c>
      <c r="D7349" s="5" t="s">
        <v>76</v>
      </c>
      <c r="E7349" s="5" t="s">
        <v>2430</v>
      </c>
      <c r="F7349" s="9">
        <v>27</v>
      </c>
      <c r="G7349" s="9">
        <v>351</v>
      </c>
      <c r="H7349" s="5" t="s">
        <v>21</v>
      </c>
      <c r="I7349" s="5" t="s">
        <v>16465</v>
      </c>
      <c r="J7349" s="12" t="str">
        <f>HYPERLINK("https://www.boe.es/gazeta/dias/1801/04/03/pdfs/GMD-1801-27.pdf#page=3","Abrir facsímil")</f>
        <v>Abrir facsímil</v>
      </c>
      <c r="K7349" s="15" t="s">
        <v>23</v>
      </c>
    </row>
    <row r="7350" spans="1:11" ht="42" customHeight="1">
      <c r="A7350" s="4" t="s">
        <v>16461</v>
      </c>
      <c r="B7350" s="5" t="s">
        <v>16461</v>
      </c>
      <c r="C7350" s="5" t="s">
        <v>32</v>
      </c>
      <c r="D7350" s="5" t="s">
        <v>33</v>
      </c>
      <c r="E7350" s="5" t="s">
        <v>2430</v>
      </c>
      <c r="F7350" s="9">
        <v>27</v>
      </c>
      <c r="G7350" s="9">
        <v>352</v>
      </c>
      <c r="H7350" s="5" t="s">
        <v>21</v>
      </c>
      <c r="I7350" s="5" t="s">
        <v>16466</v>
      </c>
      <c r="J7350" s="12" t="str">
        <f>HYPERLINK("https://www.boe.es/gazeta/dias/1801/04/03/pdfs/GMD-1801-27.pdf#page=4","Abrir facsímil")</f>
        <v>Abrir facsímil</v>
      </c>
      <c r="K7350" s="15" t="s">
        <v>23</v>
      </c>
    </row>
    <row r="7351" spans="1:11" ht="42" customHeight="1">
      <c r="A7351" s="4" t="s">
        <v>16461</v>
      </c>
      <c r="B7351" s="5" t="s">
        <v>16461</v>
      </c>
      <c r="C7351" s="5" t="s">
        <v>38</v>
      </c>
      <c r="D7351" s="5" t="s">
        <v>39</v>
      </c>
      <c r="E7351" s="5" t="s">
        <v>143</v>
      </c>
      <c r="F7351" s="9">
        <v>34</v>
      </c>
      <c r="G7351" s="9">
        <v>433</v>
      </c>
      <c r="H7351" s="5" t="s">
        <v>21</v>
      </c>
      <c r="I7351" s="5" t="s">
        <v>16467</v>
      </c>
      <c r="J7351" s="12" t="str">
        <f>HYPERLINK("https://www.boe.es/gazeta/dias/1801/04/28/pdfs/GMD-1801-34.pdf#page=5","Abrir facsímil")</f>
        <v>Abrir facsímil</v>
      </c>
      <c r="K7351" s="15" t="s">
        <v>23</v>
      </c>
    </row>
    <row r="7352" spans="1:11" ht="42" customHeight="1">
      <c r="A7352" s="4" t="s">
        <v>16461</v>
      </c>
      <c r="B7352" s="5" t="s">
        <v>16461</v>
      </c>
      <c r="C7352" s="5" t="s">
        <v>38</v>
      </c>
      <c r="D7352" s="5" t="s">
        <v>39</v>
      </c>
      <c r="E7352" s="5" t="s">
        <v>264</v>
      </c>
      <c r="F7352" s="9">
        <v>111</v>
      </c>
      <c r="G7352" s="9">
        <v>1216</v>
      </c>
      <c r="H7352" s="5" t="s">
        <v>21</v>
      </c>
      <c r="I7352" s="5" t="s">
        <v>16468</v>
      </c>
      <c r="J7352" s="12" t="str">
        <f>HYPERLINK("https://www.boe.es/gazeta/dias/1801/12/01/pdfs/GMD-1801-111.pdf#page=5","Abrir facsímil")</f>
        <v>Abrir facsímil</v>
      </c>
      <c r="K7352" s="15" t="s">
        <v>23</v>
      </c>
    </row>
    <row r="7353" spans="1:11" ht="42" customHeight="1">
      <c r="A7353" s="4" t="s">
        <v>16461</v>
      </c>
      <c r="B7353" s="5" t="s">
        <v>16461</v>
      </c>
      <c r="C7353" s="5" t="s">
        <v>38</v>
      </c>
      <c r="D7353" s="5" t="s">
        <v>39</v>
      </c>
      <c r="E7353" s="5" t="s">
        <v>266</v>
      </c>
      <c r="F7353" s="9">
        <v>119</v>
      </c>
      <c r="G7353" s="9">
        <v>1299</v>
      </c>
      <c r="H7353" s="5" t="s">
        <v>21</v>
      </c>
      <c r="I7353" s="5" t="s">
        <v>16469</v>
      </c>
      <c r="J7353" s="12" t="str">
        <f>HYPERLINK("https://www.boe.es/gazeta/dias/1801/12/29/pdfs/GMD-1801-119.pdf#page=3","Abrir facsímil")</f>
        <v>Abrir facsímil</v>
      </c>
      <c r="K7353" s="15" t="s">
        <v>23</v>
      </c>
    </row>
    <row r="7354" spans="1:11" ht="42" customHeight="1">
      <c r="A7354" s="4" t="s">
        <v>16470</v>
      </c>
      <c r="B7354" s="5" t="s">
        <v>16470</v>
      </c>
      <c r="C7354" s="5" t="s">
        <v>32</v>
      </c>
      <c r="D7354" s="5" t="s">
        <v>33</v>
      </c>
      <c r="E7354" s="5" t="s">
        <v>201</v>
      </c>
      <c r="F7354" s="9">
        <v>79</v>
      </c>
      <c r="G7354" s="9">
        <v>886</v>
      </c>
      <c r="H7354" s="5" t="s">
        <v>21</v>
      </c>
      <c r="I7354" s="5" t="s">
        <v>16471</v>
      </c>
      <c r="J7354" s="12" t="str">
        <f>HYPERLINK("https://www.boe.es/gazeta/dias/1801/08/18/pdfs/GMD-1801-79.pdf#page=3","Abrir facsímil")</f>
        <v>Abrir facsímil</v>
      </c>
      <c r="K7354" s="15" t="s">
        <v>23</v>
      </c>
    </row>
    <row r="7355" spans="1:11" ht="42" customHeight="1">
      <c r="A7355" s="4" t="s">
        <v>16472</v>
      </c>
      <c r="B7355" s="5" t="s">
        <v>16472</v>
      </c>
      <c r="C7355" s="5" t="s">
        <v>32</v>
      </c>
      <c r="D7355" s="5" t="s">
        <v>33</v>
      </c>
      <c r="E7355" s="5" t="s">
        <v>505</v>
      </c>
      <c r="F7355" s="9">
        <v>94</v>
      </c>
      <c r="G7355" s="9">
        <v>1029</v>
      </c>
      <c r="H7355" s="5" t="s">
        <v>21</v>
      </c>
      <c r="I7355" s="5" t="s">
        <v>16473</v>
      </c>
      <c r="J7355" s="12" t="str">
        <f>HYPERLINK("https://www.boe.es/gazeta/dias/1801/10/02/pdfs/GMD-1801-94.pdf#page=5","Abrir facsímil")</f>
        <v>Abrir facsímil</v>
      </c>
      <c r="K7355" s="15" t="s">
        <v>23</v>
      </c>
    </row>
    <row r="7356" spans="1:11" ht="42" customHeight="1">
      <c r="A7356" s="4" t="s">
        <v>16474</v>
      </c>
      <c r="B7356" s="5" t="s">
        <v>16474</v>
      </c>
      <c r="C7356" s="5" t="s">
        <v>32</v>
      </c>
      <c r="D7356" s="5" t="s">
        <v>33</v>
      </c>
      <c r="E7356" s="5" t="s">
        <v>186</v>
      </c>
      <c r="F7356" s="9">
        <v>21</v>
      </c>
      <c r="G7356" s="9">
        <v>273</v>
      </c>
      <c r="H7356" s="5" t="s">
        <v>21</v>
      </c>
      <c r="I7356" s="5" t="s">
        <v>16475</v>
      </c>
      <c r="J7356" s="12" t="str">
        <f>HYPERLINK("https://www.boe.es/gazeta/dias/1801/03/13/pdfs/GMD-1801-21.pdf#page=2","Abrir facsímil")</f>
        <v>Abrir facsímil</v>
      </c>
      <c r="K7356" s="15" t="s">
        <v>23</v>
      </c>
    </row>
    <row r="7357" spans="1:11" ht="42" customHeight="1">
      <c r="A7357" s="4" t="s">
        <v>16476</v>
      </c>
      <c r="B7357" s="5" t="s">
        <v>16476</v>
      </c>
      <c r="C7357" s="5" t="s">
        <v>38</v>
      </c>
      <c r="D7357" s="5" t="s">
        <v>39</v>
      </c>
      <c r="E7357" s="5" t="s">
        <v>82</v>
      </c>
      <c r="F7357" s="9">
        <v>75</v>
      </c>
      <c r="G7357" s="9">
        <v>834</v>
      </c>
      <c r="H7357" s="5" t="s">
        <v>21</v>
      </c>
      <c r="I7357" s="5" t="s">
        <v>16477</v>
      </c>
      <c r="J7357" s="12" t="str">
        <f>HYPERLINK("https://www.boe.es/gazeta/dias/1801/08/04/pdfs/GMD-1801-75.pdf#page=3","Abrir facsímil")</f>
        <v>Abrir facsímil</v>
      </c>
      <c r="K7357" s="15" t="s">
        <v>23</v>
      </c>
    </row>
    <row r="7358" spans="1:11" ht="42" customHeight="1">
      <c r="A7358" s="4" t="s">
        <v>16478</v>
      </c>
      <c r="B7358" s="5" t="s">
        <v>16478</v>
      </c>
      <c r="C7358" s="5" t="s">
        <v>75</v>
      </c>
      <c r="D7358" s="5" t="s">
        <v>76</v>
      </c>
      <c r="E7358" s="5" t="s">
        <v>99</v>
      </c>
      <c r="F7358" s="9">
        <v>32</v>
      </c>
      <c r="G7358" s="9">
        <v>405</v>
      </c>
      <c r="H7358" s="5" t="s">
        <v>21</v>
      </c>
      <c r="I7358" s="5" t="s">
        <v>16479</v>
      </c>
      <c r="J7358" s="12" t="str">
        <f>HYPERLINK("https://www.boe.es/gazeta/dias/1801/04/21/pdfs/GMD-1801-32.pdf#page=1","Abrir facsímil")</f>
        <v>Abrir facsímil</v>
      </c>
      <c r="K7358" s="15" t="s">
        <v>23</v>
      </c>
    </row>
    <row r="7359" spans="1:11" ht="42" customHeight="1">
      <c r="A7359" s="4" t="s">
        <v>16478</v>
      </c>
      <c r="B7359" s="5" t="s">
        <v>16478</v>
      </c>
      <c r="C7359" s="5" t="s">
        <v>38</v>
      </c>
      <c r="D7359" s="5" t="s">
        <v>39</v>
      </c>
      <c r="E7359" s="5" t="s">
        <v>143</v>
      </c>
      <c r="F7359" s="9">
        <v>34</v>
      </c>
      <c r="G7359" s="9">
        <v>432</v>
      </c>
      <c r="H7359" s="5" t="s">
        <v>21</v>
      </c>
      <c r="I7359" s="5" t="s">
        <v>16480</v>
      </c>
      <c r="J7359" s="12" t="str">
        <f>HYPERLINK("https://www.boe.es/gazeta/dias/1801/04/28/pdfs/GMD-1801-34.pdf#page=4","Abrir facsímil")</f>
        <v>Abrir facsímil</v>
      </c>
      <c r="K7359" s="15" t="s">
        <v>23</v>
      </c>
    </row>
    <row r="7360" spans="1:11" ht="42" customHeight="1">
      <c r="A7360" s="4" t="s">
        <v>16478</v>
      </c>
      <c r="B7360" s="5" t="s">
        <v>16478</v>
      </c>
      <c r="C7360" s="5" t="s">
        <v>38</v>
      </c>
      <c r="D7360" s="5" t="s">
        <v>39</v>
      </c>
      <c r="E7360" s="5" t="s">
        <v>143</v>
      </c>
      <c r="F7360" s="9">
        <v>34</v>
      </c>
      <c r="G7360" s="9">
        <v>433</v>
      </c>
      <c r="H7360" s="5" t="s">
        <v>21</v>
      </c>
      <c r="I7360" s="5" t="s">
        <v>16481</v>
      </c>
      <c r="J7360" s="12" t="str">
        <f>HYPERLINK("https://www.boe.es/gazeta/dias/1801/04/28/pdfs/GMD-1801-34.pdf#page=5","Abrir facsímil")</f>
        <v>Abrir facsímil</v>
      </c>
      <c r="K7360" s="15" t="s">
        <v>23</v>
      </c>
    </row>
    <row r="7361" spans="1:11" ht="42" customHeight="1">
      <c r="A7361" s="4" t="s">
        <v>16478</v>
      </c>
      <c r="B7361" s="5" t="s">
        <v>16478</v>
      </c>
      <c r="C7361" s="5" t="s">
        <v>75</v>
      </c>
      <c r="D7361" s="5" t="s">
        <v>76</v>
      </c>
      <c r="E7361" s="5" t="s">
        <v>34</v>
      </c>
      <c r="F7361" s="9">
        <v>38</v>
      </c>
      <c r="G7361" s="9">
        <v>485</v>
      </c>
      <c r="H7361" s="5" t="s">
        <v>21</v>
      </c>
      <c r="I7361" s="5" t="s">
        <v>16482</v>
      </c>
      <c r="J7361" s="12" t="str">
        <f>HYPERLINK("https://www.boe.es/gazeta/dias/1801/05/12/pdfs/GMD-1801-38.pdf#page=1","Abrir facsímil")</f>
        <v>Abrir facsímil</v>
      </c>
      <c r="K7361" s="15" t="s">
        <v>23</v>
      </c>
    </row>
    <row r="7362" spans="1:11" ht="42" customHeight="1">
      <c r="A7362" s="4" t="s">
        <v>16478</v>
      </c>
      <c r="B7362" s="5" t="s">
        <v>16478</v>
      </c>
      <c r="C7362" s="5" t="s">
        <v>75</v>
      </c>
      <c r="D7362" s="5" t="s">
        <v>76</v>
      </c>
      <c r="E7362" s="5" t="s">
        <v>101</v>
      </c>
      <c r="F7362" s="9">
        <v>41</v>
      </c>
      <c r="G7362" s="9">
        <v>519</v>
      </c>
      <c r="H7362" s="5" t="s">
        <v>21</v>
      </c>
      <c r="I7362" s="5" t="s">
        <v>16483</v>
      </c>
      <c r="J7362" s="12" t="str">
        <f>HYPERLINK("https://www.boe.es/gazeta/dias/1801/05/22/pdfs/GMD-1801-41.pdf#page=3","Abrir facsímil")</f>
        <v>Abrir facsímil</v>
      </c>
      <c r="K7362" s="15" t="s">
        <v>23</v>
      </c>
    </row>
    <row r="7363" spans="1:11" ht="42" customHeight="1">
      <c r="A7363" s="4" t="s">
        <v>16478</v>
      </c>
      <c r="B7363" s="5" t="s">
        <v>16478</v>
      </c>
      <c r="C7363" s="5" t="s">
        <v>75</v>
      </c>
      <c r="D7363" s="5" t="s">
        <v>76</v>
      </c>
      <c r="E7363" s="5" t="s">
        <v>105</v>
      </c>
      <c r="F7363" s="9">
        <v>44</v>
      </c>
      <c r="G7363" s="9">
        <v>544</v>
      </c>
      <c r="H7363" s="5" t="s">
        <v>21</v>
      </c>
      <c r="I7363" s="5" t="s">
        <v>16484</v>
      </c>
      <c r="J7363" s="12" t="str">
        <f>HYPERLINK("https://www.boe.es/gazeta/dias/1801/05/29/pdfs/GMD-1801-44.pdf#page=4","Abrir facsímil")</f>
        <v>Abrir facsímil</v>
      </c>
      <c r="K7363" s="15" t="s">
        <v>23</v>
      </c>
    </row>
    <row r="7364" spans="1:11" ht="42" customHeight="1">
      <c r="A7364" s="4" t="s">
        <v>16478</v>
      </c>
      <c r="B7364" s="5" t="s">
        <v>16478</v>
      </c>
      <c r="C7364" s="5" t="s">
        <v>75</v>
      </c>
      <c r="D7364" s="5" t="s">
        <v>76</v>
      </c>
      <c r="E7364" s="5" t="s">
        <v>349</v>
      </c>
      <c r="F7364" s="9">
        <v>112</v>
      </c>
      <c r="G7364" s="9">
        <v>1223</v>
      </c>
      <c r="H7364" s="5" t="s">
        <v>21</v>
      </c>
      <c r="I7364" s="5" t="s">
        <v>16485</v>
      </c>
      <c r="J7364" s="12" t="str">
        <f>HYPERLINK("https://www.boe.es/gazeta/dias/1801/12/04/pdfs/GMD-1801-112.pdf#page=4","Abrir facsímil")</f>
        <v>Abrir facsímil</v>
      </c>
      <c r="K7364" s="15" t="s">
        <v>23</v>
      </c>
    </row>
    <row r="7365" spans="1:11" ht="42" customHeight="1">
      <c r="A7365" s="4" t="s">
        <v>16478</v>
      </c>
      <c r="B7365" s="5" t="s">
        <v>16478</v>
      </c>
      <c r="C7365" s="5" t="s">
        <v>75</v>
      </c>
      <c r="D7365" s="5" t="s">
        <v>76</v>
      </c>
      <c r="E7365" s="5" t="s">
        <v>501</v>
      </c>
      <c r="F7365" s="9">
        <v>115</v>
      </c>
      <c r="G7365" s="9">
        <v>1254</v>
      </c>
      <c r="H7365" s="5" t="s">
        <v>21</v>
      </c>
      <c r="I7365" s="5" t="s">
        <v>16486</v>
      </c>
      <c r="J7365" s="12" t="str">
        <f>HYPERLINK("https://www.boe.es/gazeta/dias/1801/12/15/pdfs/GMD-1801-115.pdf#page=4","Abrir facsímil")</f>
        <v>Abrir facsímil</v>
      </c>
      <c r="K7365" s="15" t="s">
        <v>23</v>
      </c>
    </row>
    <row r="7366" spans="1:11" ht="42" customHeight="1">
      <c r="A7366" s="4" t="s">
        <v>16478</v>
      </c>
      <c r="B7366" s="5" t="s">
        <v>16478</v>
      </c>
      <c r="C7366" s="5" t="s">
        <v>38</v>
      </c>
      <c r="D7366" s="5" t="s">
        <v>39</v>
      </c>
      <c r="E7366" s="5" t="s">
        <v>309</v>
      </c>
      <c r="F7366" s="9">
        <v>118</v>
      </c>
      <c r="G7366" s="9">
        <v>1288</v>
      </c>
      <c r="H7366" s="5" t="s">
        <v>21</v>
      </c>
      <c r="I7366" s="5" t="s">
        <v>16487</v>
      </c>
      <c r="J7366" s="12" t="str">
        <f>HYPERLINK("https://www.boe.es/gazeta/dias/1801/12/25/pdfs/GMD-1801-118.pdf#page=3","Abrir facsímil")</f>
        <v>Abrir facsímil</v>
      </c>
      <c r="K7366" s="15" t="s">
        <v>23</v>
      </c>
    </row>
    <row r="7367" spans="1:11" ht="42" customHeight="1">
      <c r="A7367" s="4" t="s">
        <v>16488</v>
      </c>
      <c r="B7367" s="5" t="s">
        <v>16488</v>
      </c>
      <c r="C7367" s="5" t="s">
        <v>75</v>
      </c>
      <c r="D7367" s="5" t="s">
        <v>76</v>
      </c>
      <c r="E7367" s="5" t="s">
        <v>90</v>
      </c>
      <c r="F7367" s="9">
        <v>1</v>
      </c>
      <c r="G7367" s="9">
        <v>4</v>
      </c>
      <c r="H7367" s="5" t="s">
        <v>21</v>
      </c>
      <c r="I7367" s="5" t="s">
        <v>16489</v>
      </c>
      <c r="J7367" s="12" t="str">
        <f>HYPERLINK("https://www.boe.es/gazeta/dias/1801/01/02/pdfs/GMD-1801-1.pdf#page=4","Abrir facsímil")</f>
        <v>Abrir facsímil</v>
      </c>
      <c r="K7367" s="15" t="s">
        <v>23</v>
      </c>
    </row>
    <row r="7368" spans="1:11" ht="42" customHeight="1">
      <c r="A7368" s="4" t="s">
        <v>16490</v>
      </c>
      <c r="B7368" s="5" t="s">
        <v>16490</v>
      </c>
      <c r="C7368" s="5" t="s">
        <v>75</v>
      </c>
      <c r="D7368" s="5" t="s">
        <v>76</v>
      </c>
      <c r="E7368" s="5" t="s">
        <v>66</v>
      </c>
      <c r="F7368" s="9">
        <v>52</v>
      </c>
      <c r="G7368" s="9">
        <v>606</v>
      </c>
      <c r="H7368" s="5" t="s">
        <v>21</v>
      </c>
      <c r="I7368" s="5" t="s">
        <v>16491</v>
      </c>
      <c r="J7368" s="12" t="str">
        <f>HYPERLINK("https://www.boe.es/gazeta/dias/1801/06/12/pdfs/GMD-1801-52.pdf#page=5","Abrir facsímil")</f>
        <v>Abrir facsímil</v>
      </c>
      <c r="K7368" s="15" t="s">
        <v>23</v>
      </c>
    </row>
    <row r="7369" spans="1:11" ht="42" customHeight="1">
      <c r="A7369" s="4" t="s">
        <v>16492</v>
      </c>
      <c r="B7369" s="5" t="s">
        <v>16492</v>
      </c>
      <c r="C7369" s="5" t="s">
        <v>75</v>
      </c>
      <c r="D7369" s="5" t="s">
        <v>76</v>
      </c>
      <c r="E7369" s="5" t="s">
        <v>448</v>
      </c>
      <c r="F7369" s="9">
        <v>35</v>
      </c>
      <c r="G7369" s="9">
        <v>448</v>
      </c>
      <c r="H7369" s="5" t="s">
        <v>21</v>
      </c>
      <c r="I7369" s="5" t="s">
        <v>16493</v>
      </c>
      <c r="J7369" s="12" t="str">
        <f>HYPERLINK("https://www.boe.es/gazeta/dias/1801/05/01/pdfs/GMD-1801-35.pdf#page=4","Abrir facsímil")</f>
        <v>Abrir facsímil</v>
      </c>
      <c r="K7369" s="15" t="s">
        <v>23</v>
      </c>
    </row>
    <row r="7370" spans="1:11" ht="42" customHeight="1">
      <c r="A7370" s="4" t="s">
        <v>16494</v>
      </c>
      <c r="B7370" s="5" t="s">
        <v>16495</v>
      </c>
      <c r="C7370" s="5" t="s">
        <v>32</v>
      </c>
      <c r="D7370" s="5" t="s">
        <v>33</v>
      </c>
      <c r="E7370" s="5" t="s">
        <v>120</v>
      </c>
      <c r="F7370" s="9">
        <v>7</v>
      </c>
      <c r="G7370" s="9">
        <v>85</v>
      </c>
      <c r="H7370" s="5" t="s">
        <v>21</v>
      </c>
      <c r="I7370" s="5" t="s">
        <v>16496</v>
      </c>
      <c r="J7370" s="12" t="str">
        <f>HYPERLINK("https://www.boe.es/gazeta/dias/1801/01/23/pdfs/GMD-1801-7.pdf#page=9","Abrir facsímil")</f>
        <v>Abrir facsímil</v>
      </c>
      <c r="K7370" s="15" t="s">
        <v>23</v>
      </c>
    </row>
    <row r="7371" spans="1:11" ht="42" customHeight="1">
      <c r="A7371" s="4" t="s">
        <v>16497</v>
      </c>
      <c r="B7371" s="5" t="s">
        <v>16498</v>
      </c>
      <c r="C7371" s="5" t="s">
        <v>32</v>
      </c>
      <c r="D7371" s="5" t="s">
        <v>33</v>
      </c>
      <c r="E7371" s="5" t="s">
        <v>131</v>
      </c>
      <c r="F7371" s="9">
        <v>22</v>
      </c>
      <c r="G7371" s="9">
        <v>289</v>
      </c>
      <c r="H7371" s="5" t="s">
        <v>21</v>
      </c>
      <c r="I7371" s="5" t="s">
        <v>16499</v>
      </c>
      <c r="J7371" s="12" t="str">
        <f>HYPERLINK("https://www.boe.es/gazeta/dias/1801/03/17/pdfs/GMD-1801-22.pdf#page=6","Abrir facsímil")</f>
        <v>Abrir facsímil</v>
      </c>
      <c r="K7371" s="15" t="s">
        <v>23</v>
      </c>
    </row>
    <row r="7372" spans="1:11" ht="42" customHeight="1">
      <c r="A7372" s="4" t="s">
        <v>16500</v>
      </c>
      <c r="B7372" s="5" t="s">
        <v>16501</v>
      </c>
      <c r="C7372" s="5" t="s">
        <v>69</v>
      </c>
      <c r="D7372" s="5" t="s">
        <v>19</v>
      </c>
      <c r="E7372" s="5" t="s">
        <v>505</v>
      </c>
      <c r="F7372" s="9">
        <v>94</v>
      </c>
      <c r="G7372" s="9">
        <v>1033</v>
      </c>
      <c r="H7372" s="5" t="s">
        <v>21</v>
      </c>
      <c r="I7372" s="5" t="s">
        <v>16502</v>
      </c>
      <c r="J7372" s="12" t="str">
        <f>HYPERLINK("https://www.boe.es/gazeta/dias/1801/10/02/pdfs/GMD-1801-94.pdf#page=9","Abrir facsímil")</f>
        <v>Abrir facsímil</v>
      </c>
      <c r="K7372" s="15" t="s">
        <v>23</v>
      </c>
    </row>
    <row r="7373" spans="1:11" ht="42" customHeight="1">
      <c r="A7373" s="4" t="s">
        <v>16503</v>
      </c>
      <c r="B7373" s="5" t="s">
        <v>16503</v>
      </c>
      <c r="C7373" s="5" t="s">
        <v>38</v>
      </c>
      <c r="D7373" s="5" t="s">
        <v>39</v>
      </c>
      <c r="E7373" s="5" t="s">
        <v>131</v>
      </c>
      <c r="F7373" s="9">
        <v>22</v>
      </c>
      <c r="G7373" s="9">
        <v>290</v>
      </c>
      <c r="H7373" s="5" t="s">
        <v>21</v>
      </c>
      <c r="I7373" s="5" t="s">
        <v>16504</v>
      </c>
      <c r="J7373" s="12" t="str">
        <f>HYPERLINK("https://www.boe.es/gazeta/dias/1801/03/17/pdfs/GMD-1801-22.pdf#page=7","Abrir facsímil")</f>
        <v>Abrir facsímil</v>
      </c>
      <c r="K7373" s="15" t="s">
        <v>23</v>
      </c>
    </row>
    <row r="7374" spans="1:11" ht="42" customHeight="1">
      <c r="A7374" s="4" t="s">
        <v>16505</v>
      </c>
      <c r="B7374" s="5" t="s">
        <v>16505</v>
      </c>
      <c r="C7374" s="5" t="s">
        <v>32</v>
      </c>
      <c r="D7374" s="5" t="s">
        <v>33</v>
      </c>
      <c r="E7374" s="5" t="s">
        <v>153</v>
      </c>
      <c r="F7374" s="9">
        <v>48</v>
      </c>
      <c r="G7374" s="9">
        <v>585</v>
      </c>
      <c r="H7374" s="5" t="s">
        <v>21</v>
      </c>
      <c r="I7374" s="5" t="s">
        <v>16506</v>
      </c>
      <c r="J7374" s="12" t="str">
        <f>HYPERLINK("https://www.boe.es/gazeta/dias/1801/06/05/pdfs/GMD-1801-48.pdf#page=7","Abrir facsímil")</f>
        <v>Abrir facsímil</v>
      </c>
      <c r="K7374" s="15" t="s">
        <v>23</v>
      </c>
    </row>
    <row r="7375" spans="1:11" ht="42" customHeight="1">
      <c r="A7375" s="4" t="s">
        <v>16507</v>
      </c>
      <c r="B7375" s="5" t="s">
        <v>16507</v>
      </c>
      <c r="C7375" s="5" t="s">
        <v>18</v>
      </c>
      <c r="D7375" s="5" t="s">
        <v>19</v>
      </c>
      <c r="E7375" s="5" t="s">
        <v>201</v>
      </c>
      <c r="F7375" s="9">
        <v>79</v>
      </c>
      <c r="G7375" s="9">
        <v>889</v>
      </c>
      <c r="H7375" s="5" t="s">
        <v>21</v>
      </c>
      <c r="I7375" s="5" t="s">
        <v>16508</v>
      </c>
      <c r="J7375" s="12" t="str">
        <f>HYPERLINK("https://www.boe.es/gazeta/dias/1801/08/18/pdfs/GMD-1801-79.pdf#page=6","Abrir facsímil")</f>
        <v>Abrir facsímil</v>
      </c>
      <c r="K7375" s="15" t="s">
        <v>23</v>
      </c>
    </row>
    <row r="7376" spans="1:11" ht="42" customHeight="1">
      <c r="A7376" s="4" t="s">
        <v>16509</v>
      </c>
      <c r="B7376" s="5" t="s">
        <v>16509</v>
      </c>
      <c r="C7376" s="5" t="s">
        <v>80</v>
      </c>
      <c r="D7376" s="5" t="s">
        <v>81</v>
      </c>
      <c r="E7376" s="5" t="s">
        <v>289</v>
      </c>
      <c r="F7376" s="9">
        <v>40</v>
      </c>
      <c r="G7376" s="9" t="s">
        <v>83</v>
      </c>
      <c r="H7376" s="5" t="s">
        <v>21</v>
      </c>
      <c r="I7376" s="5" t="s">
        <v>16510</v>
      </c>
      <c r="J7376" s="12" t="str">
        <f>HYPERLINK("https://www.boe.es/gazeta/dias/1801/05/19/pdfs/GMD-C-1801-40.pdf#page=2","Abrir facsímil")</f>
        <v>Abrir facsímil</v>
      </c>
      <c r="K7376" s="15" t="s">
        <v>23</v>
      </c>
    </row>
    <row r="7377" spans="1:11" ht="42" customHeight="1">
      <c r="A7377" s="4" t="s">
        <v>16511</v>
      </c>
      <c r="B7377" s="5" t="s">
        <v>16511</v>
      </c>
      <c r="C7377" s="5" t="s">
        <v>18</v>
      </c>
      <c r="D7377" s="5" t="s">
        <v>19</v>
      </c>
      <c r="E7377" s="5" t="s">
        <v>221</v>
      </c>
      <c r="F7377" s="9">
        <v>28</v>
      </c>
      <c r="G7377" s="9">
        <v>372</v>
      </c>
      <c r="H7377" s="5" t="s">
        <v>21</v>
      </c>
      <c r="I7377" s="5" t="s">
        <v>16512</v>
      </c>
      <c r="J7377" s="12" t="str">
        <f>HYPERLINK("https://www.boe.es/gazeta/dias/1801/04/07/pdfs/GMD-1801-28.pdf#page=12","Abrir facsímil")</f>
        <v>Abrir facsímil</v>
      </c>
      <c r="K7377" s="15" t="s">
        <v>23</v>
      </c>
    </row>
    <row r="7378" spans="1:11" ht="42" customHeight="1">
      <c r="A7378" s="4" t="s">
        <v>16513</v>
      </c>
      <c r="B7378" s="5" t="s">
        <v>16513</v>
      </c>
      <c r="C7378" s="5" t="s">
        <v>32</v>
      </c>
      <c r="D7378" s="5" t="s">
        <v>33</v>
      </c>
      <c r="E7378" s="5" t="s">
        <v>34</v>
      </c>
      <c r="F7378" s="9">
        <v>38</v>
      </c>
      <c r="G7378" s="9">
        <v>493</v>
      </c>
      <c r="H7378" s="5" t="s">
        <v>21</v>
      </c>
      <c r="I7378" s="5" t="s">
        <v>16514</v>
      </c>
      <c r="J7378" s="12" t="str">
        <f>HYPERLINK("https://www.boe.es/gazeta/dias/1801/05/12/pdfs/GMD-1801-38.pdf#page=9","Abrir facsímil")</f>
        <v>Abrir facsímil</v>
      </c>
      <c r="K7378" s="15" t="s">
        <v>23</v>
      </c>
    </row>
    <row r="7379" spans="1:11" ht="42" customHeight="1">
      <c r="A7379" s="4" t="s">
        <v>16515</v>
      </c>
      <c r="B7379" s="5" t="s">
        <v>16516</v>
      </c>
      <c r="C7379" s="5" t="s">
        <v>32</v>
      </c>
      <c r="D7379" s="5" t="s">
        <v>33</v>
      </c>
      <c r="E7379" s="5" t="s">
        <v>751</v>
      </c>
      <c r="F7379" s="9">
        <v>106</v>
      </c>
      <c r="G7379" s="9">
        <v>1161</v>
      </c>
      <c r="H7379" s="5" t="s">
        <v>21</v>
      </c>
      <c r="I7379" s="5" t="s">
        <v>16517</v>
      </c>
      <c r="J7379" s="12" t="str">
        <f>HYPERLINK("https://www.boe.es/gazeta/dias/1801/11/13/pdfs/GMD-1801-106.pdf#page=2","Abrir facsímil")</f>
        <v>Abrir facsímil</v>
      </c>
      <c r="K7379" s="15" t="s">
        <v>23</v>
      </c>
    </row>
    <row r="7380" spans="1:11" ht="42" customHeight="1">
      <c r="A7380" s="4" t="s">
        <v>16518</v>
      </c>
      <c r="B7380" s="5" t="s">
        <v>16519</v>
      </c>
      <c r="C7380" s="5" t="s">
        <v>75</v>
      </c>
      <c r="D7380" s="5" t="s">
        <v>76</v>
      </c>
      <c r="E7380" s="5" t="s">
        <v>1058</v>
      </c>
      <c r="F7380" s="9">
        <v>108</v>
      </c>
      <c r="G7380" s="9">
        <v>1185</v>
      </c>
      <c r="H7380" s="5" t="s">
        <v>21</v>
      </c>
      <c r="I7380" s="5" t="s">
        <v>16520</v>
      </c>
      <c r="J7380" s="12" t="str">
        <f>HYPERLINK("https://www.boe.es/gazeta/dias/1801/11/20/pdfs/GMD-1801-108.pdf#page=2","Abrir facsímil")</f>
        <v>Abrir facsímil</v>
      </c>
      <c r="K7380" s="15" t="s">
        <v>23</v>
      </c>
    </row>
    <row r="7381" spans="1:11" ht="42" customHeight="1">
      <c r="A7381" s="4" t="s">
        <v>16521</v>
      </c>
      <c r="B7381" s="5" t="s">
        <v>16522</v>
      </c>
      <c r="C7381" s="5" t="s">
        <v>75</v>
      </c>
      <c r="D7381" s="5" t="s">
        <v>76</v>
      </c>
      <c r="E7381" s="5" t="s">
        <v>90</v>
      </c>
      <c r="F7381" s="9">
        <v>1</v>
      </c>
      <c r="G7381" s="9">
        <v>3</v>
      </c>
      <c r="H7381" s="5" t="s">
        <v>21</v>
      </c>
      <c r="I7381" s="5" t="s">
        <v>16523</v>
      </c>
      <c r="J7381" s="12" t="str">
        <f>HYPERLINK("https://www.boe.es/gazeta/dias/1801/01/02/pdfs/GMD-1801-1.pdf#page=3","Abrir facsímil")</f>
        <v>Abrir facsímil</v>
      </c>
      <c r="K7381" s="15" t="s">
        <v>23</v>
      </c>
    </row>
    <row r="7382" spans="1:11" ht="42" customHeight="1">
      <c r="A7382" s="4" t="s">
        <v>16521</v>
      </c>
      <c r="B7382" s="5" t="s">
        <v>16522</v>
      </c>
      <c r="C7382" s="5" t="s">
        <v>75</v>
      </c>
      <c r="D7382" s="5" t="s">
        <v>76</v>
      </c>
      <c r="E7382" s="5" t="s">
        <v>62</v>
      </c>
      <c r="F7382" s="9">
        <v>6</v>
      </c>
      <c r="G7382" s="9">
        <v>70</v>
      </c>
      <c r="H7382" s="5" t="s">
        <v>21</v>
      </c>
      <c r="I7382" s="5" t="s">
        <v>16524</v>
      </c>
      <c r="J7382" s="12" t="str">
        <f>HYPERLINK("https://www.boe.es/gazeta/dias/1801/01/20/pdfs/GMD-1801-6.pdf#page=6","Abrir facsímil")</f>
        <v>Abrir facsímil</v>
      </c>
      <c r="K7382" s="15" t="s">
        <v>23</v>
      </c>
    </row>
    <row r="7383" spans="1:11" ht="42" customHeight="1">
      <c r="A7383" s="4" t="s">
        <v>16521</v>
      </c>
      <c r="B7383" s="5" t="s">
        <v>16522</v>
      </c>
      <c r="C7383" s="5" t="s">
        <v>38</v>
      </c>
      <c r="D7383" s="5" t="s">
        <v>39</v>
      </c>
      <c r="E7383" s="5" t="s">
        <v>126</v>
      </c>
      <c r="F7383" s="9">
        <v>13</v>
      </c>
      <c r="G7383" s="9">
        <v>159</v>
      </c>
      <c r="H7383" s="5" t="s">
        <v>21</v>
      </c>
      <c r="I7383" s="5" t="s">
        <v>16525</v>
      </c>
      <c r="J7383" s="12" t="str">
        <f>HYPERLINK("https://www.boe.es/gazeta/dias/1801/02/13/pdfs/GMD-1801-13.pdf#page=6","Abrir facsímil")</f>
        <v>Abrir facsímil</v>
      </c>
      <c r="K7383" s="15" t="s">
        <v>23</v>
      </c>
    </row>
    <row r="7384" spans="1:11" ht="42" customHeight="1">
      <c r="A7384" s="4" t="s">
        <v>16526</v>
      </c>
      <c r="B7384" s="5" t="s">
        <v>16526</v>
      </c>
      <c r="C7384" s="5" t="s">
        <v>32</v>
      </c>
      <c r="D7384" s="5" t="s">
        <v>33</v>
      </c>
      <c r="E7384" s="5" t="s">
        <v>135</v>
      </c>
      <c r="F7384" s="9">
        <v>24</v>
      </c>
      <c r="G7384" s="9">
        <v>317</v>
      </c>
      <c r="H7384" s="5" t="s">
        <v>21</v>
      </c>
      <c r="I7384" s="5" t="s">
        <v>16527</v>
      </c>
      <c r="J7384" s="12" t="str">
        <f>HYPERLINK("https://www.boe.es/gazeta/dias/1801/03/24/pdfs/GMD-1801-24.pdf#page=8","Abrir facsímil")</f>
        <v>Abrir facsímil</v>
      </c>
      <c r="K7384" s="15" t="s">
        <v>23</v>
      </c>
    </row>
    <row r="7385" spans="1:11" ht="42" customHeight="1">
      <c r="A7385" s="4" t="s">
        <v>16528</v>
      </c>
      <c r="B7385" s="5" t="s">
        <v>16528</v>
      </c>
      <c r="C7385" s="5" t="s">
        <v>32</v>
      </c>
      <c r="D7385" s="5" t="s">
        <v>33</v>
      </c>
      <c r="E7385" s="5" t="s">
        <v>131</v>
      </c>
      <c r="F7385" s="9">
        <v>22</v>
      </c>
      <c r="G7385" s="9">
        <v>289</v>
      </c>
      <c r="H7385" s="5" t="s">
        <v>21</v>
      </c>
      <c r="I7385" s="5" t="s">
        <v>16529</v>
      </c>
      <c r="J7385" s="12" t="str">
        <f>HYPERLINK("https://www.boe.es/gazeta/dias/1801/03/17/pdfs/GMD-1801-22.pdf#page=6","Abrir facsímil")</f>
        <v>Abrir facsímil</v>
      </c>
      <c r="K7385" s="15" t="s">
        <v>23</v>
      </c>
    </row>
    <row r="7386" spans="1:11" ht="42" customHeight="1">
      <c r="A7386" s="4" t="s">
        <v>16530</v>
      </c>
      <c r="B7386" s="5" t="s">
        <v>16530</v>
      </c>
      <c r="C7386" s="5" t="s">
        <v>18</v>
      </c>
      <c r="D7386" s="5" t="s">
        <v>19</v>
      </c>
      <c r="E7386" s="5" t="s">
        <v>128</v>
      </c>
      <c r="F7386" s="9">
        <v>17</v>
      </c>
      <c r="G7386" s="9">
        <v>207</v>
      </c>
      <c r="H7386" s="5" t="s">
        <v>21</v>
      </c>
      <c r="I7386" s="5" t="s">
        <v>16531</v>
      </c>
      <c r="J7386" s="12" t="str">
        <f>HYPERLINK("https://www.boe.es/gazeta/dias/1801/02/27/pdfs/GMD-1801-17.pdf#page=2","Abrir facsímil")</f>
        <v>Abrir facsímil</v>
      </c>
      <c r="K7386" s="15" t="s">
        <v>23</v>
      </c>
    </row>
    <row r="7387" spans="1:11" ht="42" customHeight="1">
      <c r="A7387" s="4" t="s">
        <v>16532</v>
      </c>
      <c r="B7387" s="5" t="s">
        <v>16532</v>
      </c>
      <c r="C7387" s="5" t="s">
        <v>38</v>
      </c>
      <c r="D7387" s="5" t="s">
        <v>39</v>
      </c>
      <c r="E7387" s="5" t="s">
        <v>126</v>
      </c>
      <c r="F7387" s="9">
        <v>13</v>
      </c>
      <c r="G7387" s="9">
        <v>158</v>
      </c>
      <c r="H7387" s="5" t="s">
        <v>21</v>
      </c>
      <c r="I7387" s="5" t="s">
        <v>16533</v>
      </c>
      <c r="J7387" s="12" t="str">
        <f>HYPERLINK("https://www.boe.es/gazeta/dias/1801/02/13/pdfs/GMD-1801-13.pdf#page=5","Abrir facsímil")</f>
        <v>Abrir facsímil</v>
      </c>
      <c r="K7387" s="15" t="s">
        <v>23</v>
      </c>
    </row>
    <row r="7388" spans="1:11" ht="42" customHeight="1">
      <c r="A7388" s="4" t="s">
        <v>16532</v>
      </c>
      <c r="B7388" s="5" t="s">
        <v>16532</v>
      </c>
      <c r="C7388" s="5" t="s">
        <v>32</v>
      </c>
      <c r="D7388" s="5" t="s">
        <v>33</v>
      </c>
      <c r="E7388" s="5" t="s">
        <v>201</v>
      </c>
      <c r="F7388" s="9">
        <v>79</v>
      </c>
      <c r="G7388" s="9">
        <v>886</v>
      </c>
      <c r="H7388" s="5" t="s">
        <v>21</v>
      </c>
      <c r="I7388" s="5" t="s">
        <v>16534</v>
      </c>
      <c r="J7388" s="12" t="str">
        <f>HYPERLINK("https://www.boe.es/gazeta/dias/1801/08/18/pdfs/GMD-1801-79.pdf#page=3","Abrir facsímil")</f>
        <v>Abrir facsímil</v>
      </c>
      <c r="K7388" s="15" t="s">
        <v>23</v>
      </c>
    </row>
    <row r="7389" spans="1:11" ht="42" customHeight="1">
      <c r="A7389" s="4" t="s">
        <v>16532</v>
      </c>
      <c r="B7389" s="5" t="s">
        <v>16532</v>
      </c>
      <c r="C7389" s="5" t="s">
        <v>75</v>
      </c>
      <c r="D7389" s="5" t="s">
        <v>76</v>
      </c>
      <c r="E7389" s="5" t="s">
        <v>173</v>
      </c>
      <c r="F7389" s="9">
        <v>98</v>
      </c>
      <c r="G7389" s="9">
        <v>1071</v>
      </c>
      <c r="H7389" s="5" t="s">
        <v>21</v>
      </c>
      <c r="I7389" s="5" t="s">
        <v>16535</v>
      </c>
      <c r="J7389" s="12" t="str">
        <f>HYPERLINK("https://www.boe.es/gazeta/dias/1801/10/16/pdfs/GMD-1801-98.pdf#page=3","Abrir facsímil")</f>
        <v>Abrir facsímil</v>
      </c>
      <c r="K7389" s="15" t="s">
        <v>23</v>
      </c>
    </row>
    <row r="7390" spans="1:11" ht="42" customHeight="1">
      <c r="A7390" s="4" t="s">
        <v>16532</v>
      </c>
      <c r="B7390" s="5" t="s">
        <v>16532</v>
      </c>
      <c r="C7390" s="5" t="s">
        <v>32</v>
      </c>
      <c r="D7390" s="5" t="s">
        <v>33</v>
      </c>
      <c r="E7390" s="5" t="s">
        <v>112</v>
      </c>
      <c r="F7390" s="9">
        <v>114</v>
      </c>
      <c r="G7390" s="9">
        <v>1242</v>
      </c>
      <c r="H7390" s="5" t="s">
        <v>21</v>
      </c>
      <c r="I7390" s="5" t="s">
        <v>16536</v>
      </c>
      <c r="J7390" s="12" t="str">
        <f>HYPERLINK("https://www.boe.es/gazeta/dias/1801/12/11/pdfs/GMD-1801-114.pdf#page=4","Abrir facsímil")</f>
        <v>Abrir facsímil</v>
      </c>
      <c r="K7390" s="15" t="s">
        <v>23</v>
      </c>
    </row>
    <row r="7391" spans="1:11" ht="42" customHeight="1">
      <c r="A7391" s="4" t="s">
        <v>16537</v>
      </c>
      <c r="B7391" s="5" t="s">
        <v>16537</v>
      </c>
      <c r="C7391" s="5" t="s">
        <v>75</v>
      </c>
      <c r="D7391" s="5" t="s">
        <v>76</v>
      </c>
      <c r="E7391" s="5" t="s">
        <v>90</v>
      </c>
      <c r="F7391" s="9">
        <v>1</v>
      </c>
      <c r="G7391" s="9">
        <v>4</v>
      </c>
      <c r="H7391" s="5" t="s">
        <v>21</v>
      </c>
      <c r="I7391" s="5" t="s">
        <v>16538</v>
      </c>
      <c r="J7391" s="12" t="str">
        <f>HYPERLINK("https://www.boe.es/gazeta/dias/1801/01/02/pdfs/GMD-1801-1.pdf#page=4","Abrir facsímil")</f>
        <v>Abrir facsímil</v>
      </c>
      <c r="K7391" s="15" t="s">
        <v>23</v>
      </c>
    </row>
    <row r="7392" spans="1:11" ht="42" customHeight="1">
      <c r="A7392" s="4" t="s">
        <v>16539</v>
      </c>
      <c r="B7392" s="5" t="s">
        <v>16540</v>
      </c>
      <c r="C7392" s="5" t="s">
        <v>38</v>
      </c>
      <c r="D7392" s="5" t="s">
        <v>39</v>
      </c>
      <c r="E7392" s="5" t="s">
        <v>126</v>
      </c>
      <c r="F7392" s="9">
        <v>13</v>
      </c>
      <c r="G7392" s="9">
        <v>158</v>
      </c>
      <c r="H7392" s="5" t="s">
        <v>21</v>
      </c>
      <c r="I7392" s="5" t="s">
        <v>16541</v>
      </c>
      <c r="J7392" s="12" t="str">
        <f>HYPERLINK("https://www.boe.es/gazeta/dias/1801/02/13/pdfs/GMD-1801-13.pdf#page=5","Abrir facsímil")</f>
        <v>Abrir facsímil</v>
      </c>
      <c r="K7392" s="15" t="s">
        <v>23</v>
      </c>
    </row>
    <row r="7393" spans="1:11" ht="42" customHeight="1">
      <c r="A7393" s="4" t="s">
        <v>16542</v>
      </c>
      <c r="B7393" s="5" t="s">
        <v>16542</v>
      </c>
      <c r="C7393" s="5" t="s">
        <v>32</v>
      </c>
      <c r="D7393" s="5" t="s">
        <v>33</v>
      </c>
      <c r="E7393" s="5" t="s">
        <v>258</v>
      </c>
      <c r="F7393" s="9">
        <v>96</v>
      </c>
      <c r="G7393" s="9">
        <v>1048</v>
      </c>
      <c r="H7393" s="5" t="s">
        <v>21</v>
      </c>
      <c r="I7393" s="5" t="s">
        <v>16543</v>
      </c>
      <c r="J7393" s="12" t="str">
        <f>HYPERLINK("https://www.boe.es/gazeta/dias/1801/10/09/pdfs/GMD-1801-96.pdf#page=4","Abrir facsímil")</f>
        <v>Abrir facsímil</v>
      </c>
      <c r="K7393" s="15" t="s">
        <v>23</v>
      </c>
    </row>
    <row r="7394" spans="1:11" ht="42" customHeight="1">
      <c r="A7394" s="4" t="s">
        <v>16544</v>
      </c>
      <c r="B7394" s="5" t="s">
        <v>16545</v>
      </c>
      <c r="C7394" s="5" t="s">
        <v>75</v>
      </c>
      <c r="D7394" s="5" t="s">
        <v>76</v>
      </c>
      <c r="E7394" s="5" t="s">
        <v>465</v>
      </c>
      <c r="F7394" s="9">
        <v>4</v>
      </c>
      <c r="G7394" s="9">
        <v>37</v>
      </c>
      <c r="H7394" s="5" t="s">
        <v>21</v>
      </c>
      <c r="I7394" s="5" t="s">
        <v>16546</v>
      </c>
      <c r="J7394" s="12" t="str">
        <f>HYPERLINK("https://www.boe.es/gazeta/dias/1801/01/13/pdfs/GMD-1801-4.pdf#page=1","Abrir facsímil")</f>
        <v>Abrir facsímil</v>
      </c>
      <c r="K7394" s="15" t="s">
        <v>23</v>
      </c>
    </row>
    <row r="7395" spans="1:11" ht="42" customHeight="1">
      <c r="A7395" s="4" t="s">
        <v>16547</v>
      </c>
      <c r="B7395" s="5" t="s">
        <v>16548</v>
      </c>
      <c r="C7395" s="5" t="s">
        <v>32</v>
      </c>
      <c r="D7395" s="5" t="s">
        <v>33</v>
      </c>
      <c r="E7395" s="5" t="s">
        <v>48</v>
      </c>
      <c r="F7395" s="9">
        <v>20</v>
      </c>
      <c r="G7395" s="9">
        <v>265</v>
      </c>
      <c r="H7395" s="5" t="s">
        <v>21</v>
      </c>
      <c r="I7395" s="5" t="s">
        <v>16549</v>
      </c>
      <c r="J7395" s="12" t="str">
        <f>HYPERLINK("https://www.boe.es/gazeta/dias/1801/03/10/pdfs/GMD-1801-20.pdf#page=10","Abrir facsímil")</f>
        <v>Abrir facsímil</v>
      </c>
      <c r="K7395" s="15" t="s">
        <v>23</v>
      </c>
    </row>
    <row r="7396" spans="1:11" ht="42" customHeight="1">
      <c r="A7396" s="4" t="s">
        <v>16547</v>
      </c>
      <c r="B7396" s="5" t="s">
        <v>16548</v>
      </c>
      <c r="C7396" s="5" t="s">
        <v>32</v>
      </c>
      <c r="D7396" s="5" t="s">
        <v>33</v>
      </c>
      <c r="E7396" s="5" t="s">
        <v>55</v>
      </c>
      <c r="F7396" s="9">
        <v>104</v>
      </c>
      <c r="G7396" s="9">
        <v>1145</v>
      </c>
      <c r="H7396" s="5" t="s">
        <v>21</v>
      </c>
      <c r="I7396" s="5" t="s">
        <v>16550</v>
      </c>
      <c r="J7396" s="12" t="str">
        <f>HYPERLINK("https://www.boe.es/gazeta/dias/1801/11/06/pdfs/GMD-1801-104.pdf#page=6","Abrir facsímil")</f>
        <v>Abrir facsímil</v>
      </c>
      <c r="K7396" s="15" t="s">
        <v>23</v>
      </c>
    </row>
    <row r="7397" spans="1:11" ht="42" customHeight="1">
      <c r="A7397" s="4" t="s">
        <v>16551</v>
      </c>
      <c r="B7397" s="5" t="s">
        <v>16552</v>
      </c>
      <c r="C7397" s="5" t="s">
        <v>32</v>
      </c>
      <c r="D7397" s="5" t="s">
        <v>33</v>
      </c>
      <c r="E7397" s="5" t="s">
        <v>453</v>
      </c>
      <c r="F7397" s="9">
        <v>100</v>
      </c>
      <c r="G7397" s="9">
        <v>1100</v>
      </c>
      <c r="H7397" s="5" t="s">
        <v>21</v>
      </c>
      <c r="I7397" s="5" t="s">
        <v>16553</v>
      </c>
      <c r="J7397" s="12" t="str">
        <f>HYPERLINK("https://www.boe.es/gazeta/dias/1801/10/23/pdfs/GMD-1801-100.pdf#page=9","Abrir facsímil")</f>
        <v>Abrir facsímil</v>
      </c>
      <c r="K7397" s="15" t="s">
        <v>23</v>
      </c>
    </row>
    <row r="7398" spans="1:11" ht="42" customHeight="1">
      <c r="A7398" s="4" t="s">
        <v>16554</v>
      </c>
      <c r="B7398" s="5" t="s">
        <v>16555</v>
      </c>
      <c r="C7398" s="5" t="s">
        <v>69</v>
      </c>
      <c r="D7398" s="5" t="s">
        <v>19</v>
      </c>
      <c r="E7398" s="5" t="s">
        <v>151</v>
      </c>
      <c r="F7398" s="9">
        <v>45</v>
      </c>
      <c r="G7398" s="9">
        <v>560</v>
      </c>
      <c r="H7398" s="5" t="s">
        <v>21</v>
      </c>
      <c r="I7398" s="5" t="s">
        <v>16556</v>
      </c>
      <c r="J7398" s="12" t="str">
        <f>HYPERLINK("https://www.boe.es/gazeta/dias/1801/06/02/pdfs/GMD-1801-45.pdf#page=8","Abrir facsímil")</f>
        <v>Abrir facsímil</v>
      </c>
      <c r="K7398" s="15" t="s">
        <v>23</v>
      </c>
    </row>
    <row r="7399" spans="1:11" ht="42" customHeight="1">
      <c r="A7399" s="4" t="s">
        <v>16557</v>
      </c>
      <c r="B7399" s="5" t="s">
        <v>16558</v>
      </c>
      <c r="C7399" s="5" t="s">
        <v>18</v>
      </c>
      <c r="D7399" s="5" t="s">
        <v>19</v>
      </c>
      <c r="E7399" s="5" t="s">
        <v>313</v>
      </c>
      <c r="F7399" s="9">
        <v>39</v>
      </c>
      <c r="G7399" s="9">
        <v>498</v>
      </c>
      <c r="H7399" s="5" t="s">
        <v>21</v>
      </c>
      <c r="I7399" s="5" t="s">
        <v>16559</v>
      </c>
      <c r="J7399" s="12" t="str">
        <f>HYPERLINK("https://www.boe.es/gazeta/dias/1801/05/15/pdfs/GMD-1801-39.pdf#page=2","Abrir facsímil")</f>
        <v>Abrir facsímil</v>
      </c>
      <c r="K7399" s="15" t="s">
        <v>23</v>
      </c>
    </row>
    <row r="7400" spans="1:11" ht="42" customHeight="1">
      <c r="A7400" s="4" t="s">
        <v>16560</v>
      </c>
      <c r="B7400" s="5" t="s">
        <v>16561</v>
      </c>
      <c r="C7400" s="5" t="s">
        <v>75</v>
      </c>
      <c r="D7400" s="5" t="s">
        <v>76</v>
      </c>
      <c r="E7400" s="5" t="s">
        <v>169</v>
      </c>
      <c r="F7400" s="9">
        <v>70</v>
      </c>
      <c r="G7400" s="9">
        <v>768</v>
      </c>
      <c r="H7400" s="5" t="s">
        <v>21</v>
      </c>
      <c r="I7400" s="5" t="s">
        <v>16562</v>
      </c>
      <c r="J7400" s="12" t="str">
        <f>HYPERLINK("https://www.boe.es/gazeta/dias/1801/07/17/pdfs/GMD-1801-70.pdf#page=1","Abrir facsímil")</f>
        <v>Abrir facsímil</v>
      </c>
      <c r="K7400" s="15" t="s">
        <v>23</v>
      </c>
    </row>
    <row r="7401" spans="1:11" ht="42" customHeight="1">
      <c r="A7401" s="4" t="s">
        <v>16563</v>
      </c>
      <c r="B7401" s="5" t="s">
        <v>16564</v>
      </c>
      <c r="C7401" s="5" t="s">
        <v>26</v>
      </c>
      <c r="D7401" s="5" t="s">
        <v>27</v>
      </c>
      <c r="E7401" s="5" t="s">
        <v>328</v>
      </c>
      <c r="F7401" s="9">
        <v>89</v>
      </c>
      <c r="G7401" s="9">
        <v>984</v>
      </c>
      <c r="H7401" s="5" t="s">
        <v>21</v>
      </c>
      <c r="I7401" s="5" t="s">
        <v>16565</v>
      </c>
      <c r="J7401" s="12" t="str">
        <f>HYPERLINK("https://www.boe.es/gazeta/dias/1801/09/15/pdfs/GMD-1801-89.pdf#page=11","Abrir facsímil")</f>
        <v>Abrir facsímil</v>
      </c>
      <c r="K7401" s="15" t="s">
        <v>23</v>
      </c>
    </row>
    <row r="7402" spans="1:11" ht="42" customHeight="1">
      <c r="A7402" s="4" t="s">
        <v>16566</v>
      </c>
      <c r="B7402" s="5" t="s">
        <v>16566</v>
      </c>
      <c r="C7402" s="5" t="s">
        <v>32</v>
      </c>
      <c r="D7402" s="5" t="s">
        <v>33</v>
      </c>
      <c r="E7402" s="5" t="s">
        <v>501</v>
      </c>
      <c r="F7402" s="9">
        <v>115</v>
      </c>
      <c r="G7402" s="9">
        <v>1255</v>
      </c>
      <c r="H7402" s="5" t="s">
        <v>21</v>
      </c>
      <c r="I7402" s="5" t="s">
        <v>16567</v>
      </c>
      <c r="J7402" s="12" t="str">
        <f>HYPERLINK("https://www.boe.es/gazeta/dias/1801/12/15/pdfs/GMD-1801-115.pdf#page=5","Abrir facsímil")</f>
        <v>Abrir facsímil</v>
      </c>
      <c r="K7402" s="15" t="s">
        <v>23</v>
      </c>
    </row>
    <row r="7403" spans="1:11" ht="42" customHeight="1">
      <c r="A7403" s="4" t="s">
        <v>16568</v>
      </c>
      <c r="B7403" s="5" t="s">
        <v>16569</v>
      </c>
      <c r="C7403" s="5" t="s">
        <v>75</v>
      </c>
      <c r="D7403" s="5" t="s">
        <v>76</v>
      </c>
      <c r="E7403" s="5" t="s">
        <v>94</v>
      </c>
      <c r="F7403" s="9">
        <v>19</v>
      </c>
      <c r="G7403" s="9">
        <v>237</v>
      </c>
      <c r="H7403" s="5" t="s">
        <v>21</v>
      </c>
      <c r="I7403" s="5" t="s">
        <v>16570</v>
      </c>
      <c r="J7403" s="12" t="str">
        <f>HYPERLINK("https://www.boe.es/gazeta/dias/1801/03/06/pdfs/GMD-1801-19.pdf#page=2","Abrir facsímil")</f>
        <v>Abrir facsímil</v>
      </c>
      <c r="K7403" s="15" t="s">
        <v>23</v>
      </c>
    </row>
    <row r="7404" spans="1:11" ht="42" customHeight="1">
      <c r="A7404" s="4" t="s">
        <v>16571</v>
      </c>
      <c r="B7404" s="5" t="s">
        <v>16572</v>
      </c>
      <c r="C7404" s="5" t="s">
        <v>32</v>
      </c>
      <c r="D7404" s="5" t="s">
        <v>33</v>
      </c>
      <c r="E7404" s="5" t="s">
        <v>90</v>
      </c>
      <c r="F7404" s="9">
        <v>1</v>
      </c>
      <c r="G7404" s="9">
        <v>8</v>
      </c>
      <c r="H7404" s="5" t="s">
        <v>21</v>
      </c>
      <c r="I7404" s="5" t="s">
        <v>16573</v>
      </c>
      <c r="J7404" s="12" t="str">
        <f>HYPERLINK("https://www.boe.es/gazeta/dias/1801/01/02/pdfs/GMD-1801-1.pdf#page=8","Abrir facsímil")</f>
        <v>Abrir facsímil</v>
      </c>
      <c r="K7404" s="15" t="s">
        <v>23</v>
      </c>
    </row>
    <row r="7405" spans="1:11" ht="42" customHeight="1">
      <c r="A7405" s="4" t="s">
        <v>16574</v>
      </c>
      <c r="B7405" s="5" t="s">
        <v>16575</v>
      </c>
      <c r="C7405" s="5" t="s">
        <v>69</v>
      </c>
      <c r="D7405" s="5" t="s">
        <v>19</v>
      </c>
      <c r="E7405" s="5" t="s">
        <v>1487</v>
      </c>
      <c r="F7405" s="9" t="s">
        <v>1488</v>
      </c>
      <c r="G7405" s="9">
        <v>642</v>
      </c>
      <c r="H7405" s="5" t="s">
        <v>21</v>
      </c>
      <c r="I7405" s="5" t="s">
        <v>16576</v>
      </c>
      <c r="J7405" s="12" t="str">
        <f>HYPERLINK("https://www.boe.es/gazeta/dias/1801/06/17/pdfs/GMD-1801-56E.pdf#page=2","Abrir facsímil")</f>
        <v>Abrir facsímil</v>
      </c>
      <c r="K7405" s="15" t="s">
        <v>23</v>
      </c>
    </row>
    <row r="7406" spans="1:11" ht="42" customHeight="1">
      <c r="A7406" s="4" t="s">
        <v>16577</v>
      </c>
      <c r="B7406" s="5" t="s">
        <v>16578</v>
      </c>
      <c r="C7406" s="5" t="s">
        <v>38</v>
      </c>
      <c r="D7406" s="5" t="s">
        <v>39</v>
      </c>
      <c r="E7406" s="5" t="s">
        <v>615</v>
      </c>
      <c r="F7406" s="9">
        <v>72</v>
      </c>
      <c r="G7406" s="9">
        <v>802</v>
      </c>
      <c r="H7406" s="5" t="s">
        <v>21</v>
      </c>
      <c r="I7406" s="5" t="s">
        <v>16579</v>
      </c>
      <c r="J7406" s="12" t="str">
        <f>HYPERLINK("https://www.boe.es/gazeta/dias/1801/07/24/pdfs/GMD-1801-72.pdf#page=7","Abrir facsímil")</f>
        <v>Abrir facsímil</v>
      </c>
      <c r="K7406" s="15" t="s">
        <v>23</v>
      </c>
    </row>
    <row r="7407" spans="1:11" ht="42" customHeight="1">
      <c r="A7407" s="4" t="s">
        <v>16580</v>
      </c>
      <c r="B7407" s="5" t="s">
        <v>16581</v>
      </c>
      <c r="C7407" s="5" t="s">
        <v>18</v>
      </c>
      <c r="D7407" s="5" t="s">
        <v>19</v>
      </c>
      <c r="E7407" s="5" t="s">
        <v>751</v>
      </c>
      <c r="F7407" s="9">
        <v>106</v>
      </c>
      <c r="G7407" s="9">
        <v>1166</v>
      </c>
      <c r="H7407" s="5" t="s">
        <v>21</v>
      </c>
      <c r="I7407" s="5" t="s">
        <v>16582</v>
      </c>
      <c r="J7407" s="12" t="str">
        <f>HYPERLINK("https://www.boe.es/gazeta/dias/1801/11/13/pdfs/GMD-1801-106.pdf#page=7","Abrir facsímil")</f>
        <v>Abrir facsímil</v>
      </c>
      <c r="K7407" s="15" t="s">
        <v>23</v>
      </c>
    </row>
    <row r="7408" spans="1:11" ht="42" customHeight="1">
      <c r="A7408" s="4" t="s">
        <v>16583</v>
      </c>
      <c r="B7408" s="5" t="s">
        <v>16584</v>
      </c>
      <c r="C7408" s="5" t="s">
        <v>32</v>
      </c>
      <c r="D7408" s="5" t="s">
        <v>33</v>
      </c>
      <c r="E7408" s="5" t="s">
        <v>258</v>
      </c>
      <c r="F7408" s="9">
        <v>96</v>
      </c>
      <c r="G7408" s="9">
        <v>1053</v>
      </c>
      <c r="H7408" s="5" t="s">
        <v>21</v>
      </c>
      <c r="I7408" s="5" t="s">
        <v>16585</v>
      </c>
      <c r="J7408" s="12" t="str">
        <f>HYPERLINK("https://www.boe.es/gazeta/dias/1801/10/09/pdfs/GMD-1801-96.pdf#page=9","Abrir facsímil")</f>
        <v>Abrir facsímil</v>
      </c>
      <c r="K7408" s="15" t="s">
        <v>23</v>
      </c>
    </row>
    <row r="7409" spans="1:11" ht="42" customHeight="1">
      <c r="A7409" s="4" t="s">
        <v>16586</v>
      </c>
      <c r="B7409" s="5" t="s">
        <v>16587</v>
      </c>
      <c r="C7409" s="5" t="s">
        <v>38</v>
      </c>
      <c r="D7409" s="5" t="s">
        <v>39</v>
      </c>
      <c r="E7409" s="5" t="s">
        <v>723</v>
      </c>
      <c r="F7409" s="9">
        <v>113</v>
      </c>
      <c r="G7409" s="9">
        <v>1234</v>
      </c>
      <c r="H7409" s="5" t="s">
        <v>21</v>
      </c>
      <c r="I7409" s="5" t="s">
        <v>16588</v>
      </c>
      <c r="J7409" s="12" t="str">
        <f>HYPERLINK("https://www.boe.es/gazeta/dias/1801/12/08/pdfs/GMD-1801-113.pdf#page=7","Abrir facsímil")</f>
        <v>Abrir facsímil</v>
      </c>
      <c r="K7409" s="15" t="s">
        <v>23</v>
      </c>
    </row>
    <row r="7410" spans="1:11" ht="42" customHeight="1">
      <c r="A7410" s="4" t="s">
        <v>16589</v>
      </c>
      <c r="B7410" s="5" t="s">
        <v>16590</v>
      </c>
      <c r="C7410" s="5" t="s">
        <v>26</v>
      </c>
      <c r="D7410" s="5" t="s">
        <v>27</v>
      </c>
      <c r="E7410" s="5" t="s">
        <v>501</v>
      </c>
      <c r="F7410" s="9">
        <v>115</v>
      </c>
      <c r="G7410" s="9" t="s">
        <v>517</v>
      </c>
      <c r="H7410" s="5" t="s">
        <v>21</v>
      </c>
      <c r="I7410" s="5" t="s">
        <v>16591</v>
      </c>
      <c r="J7410" s="12" t="str">
        <f>HYPERLINK("https://www.boe.es/gazeta/dias/1801/12/15/pdfs/GMD-C-1801-115.pdf#page=7","Abrir facsímil")</f>
        <v>Abrir facsímil</v>
      </c>
      <c r="K7410" s="15" t="s">
        <v>23</v>
      </c>
    </row>
    <row r="7411" spans="1:11" ht="42" customHeight="1">
      <c r="A7411" s="4" t="s">
        <v>16592</v>
      </c>
      <c r="B7411" s="5" t="s">
        <v>16593</v>
      </c>
      <c r="C7411" s="5" t="s">
        <v>26</v>
      </c>
      <c r="D7411" s="5" t="s">
        <v>27</v>
      </c>
      <c r="E7411" s="5" t="s">
        <v>501</v>
      </c>
      <c r="F7411" s="9">
        <v>115</v>
      </c>
      <c r="G7411" s="9" t="s">
        <v>83</v>
      </c>
      <c r="H7411" s="5" t="s">
        <v>21</v>
      </c>
      <c r="I7411" s="5" t="s">
        <v>16594</v>
      </c>
      <c r="J7411" s="12" t="str">
        <f>HYPERLINK("https://www.boe.es/gazeta/dias/1801/12/15/pdfs/GMD-C-1801-115.pdf#page=2","Abrir facsímil")</f>
        <v>Abrir facsímil</v>
      </c>
      <c r="K7411" s="15" t="s">
        <v>23</v>
      </c>
    </row>
    <row r="7412" spans="1:11" ht="42" customHeight="1">
      <c r="A7412" s="4" t="s">
        <v>16595</v>
      </c>
      <c r="B7412" s="5" t="s">
        <v>16596</v>
      </c>
      <c r="C7412" s="5" t="s">
        <v>75</v>
      </c>
      <c r="D7412" s="5" t="s">
        <v>76</v>
      </c>
      <c r="E7412" s="5" t="s">
        <v>275</v>
      </c>
      <c r="F7412" s="9">
        <v>9</v>
      </c>
      <c r="G7412" s="9">
        <v>106</v>
      </c>
      <c r="H7412" s="5" t="s">
        <v>21</v>
      </c>
      <c r="I7412" s="5" t="s">
        <v>16597</v>
      </c>
      <c r="J7412" s="12" t="str">
        <f>HYPERLINK("https://www.boe.es/gazeta/dias/1801/01/30/pdfs/GMD-1801-9.pdf#page=3","Abrir facsímil")</f>
        <v>Abrir facsímil</v>
      </c>
      <c r="K7412" s="15" t="s">
        <v>23</v>
      </c>
    </row>
    <row r="7413" spans="1:11" ht="42" customHeight="1">
      <c r="A7413" s="4" t="s">
        <v>16598</v>
      </c>
      <c r="B7413" s="5" t="s">
        <v>16599</v>
      </c>
      <c r="C7413" s="5" t="s">
        <v>32</v>
      </c>
      <c r="D7413" s="5" t="s">
        <v>33</v>
      </c>
      <c r="E7413" s="5" t="s">
        <v>735</v>
      </c>
      <c r="F7413" s="9">
        <v>97</v>
      </c>
      <c r="G7413" s="9">
        <v>1061</v>
      </c>
      <c r="H7413" s="5" t="s">
        <v>21</v>
      </c>
      <c r="I7413" s="5" t="s">
        <v>16600</v>
      </c>
      <c r="J7413" s="12" t="str">
        <f>HYPERLINK("https://www.boe.es/gazeta/dias/1801/10/13/pdfs/GMD-1801-97.pdf#page=5","Abrir facsímil")</f>
        <v>Abrir facsímil</v>
      </c>
      <c r="K7413" s="15" t="s">
        <v>23</v>
      </c>
    </row>
    <row r="7414" spans="1:11" ht="42" customHeight="1">
      <c r="A7414" s="4" t="s">
        <v>16601</v>
      </c>
      <c r="B7414" s="5" t="s">
        <v>16602</v>
      </c>
      <c r="C7414" s="5" t="s">
        <v>32</v>
      </c>
      <c r="D7414" s="5" t="s">
        <v>33</v>
      </c>
      <c r="E7414" s="5" t="s">
        <v>313</v>
      </c>
      <c r="F7414" s="9">
        <v>39</v>
      </c>
      <c r="G7414" s="9">
        <v>505</v>
      </c>
      <c r="H7414" s="5" t="s">
        <v>21</v>
      </c>
      <c r="I7414" s="5" t="s">
        <v>16603</v>
      </c>
      <c r="J7414" s="12" t="str">
        <f>HYPERLINK("https://www.boe.es/gazeta/dias/1801/05/15/pdfs/GMD-1801-39.pdf#page=9","Abrir facsímil")</f>
        <v>Abrir facsímil</v>
      </c>
      <c r="K7414" s="15" t="s">
        <v>23</v>
      </c>
    </row>
    <row r="7415" spans="1:11" ht="42" customHeight="1">
      <c r="A7415" s="4" t="s">
        <v>16604</v>
      </c>
      <c r="B7415" s="5" t="s">
        <v>16605</v>
      </c>
      <c r="C7415" s="5" t="s">
        <v>32</v>
      </c>
      <c r="D7415" s="5" t="s">
        <v>33</v>
      </c>
      <c r="E7415" s="5" t="s">
        <v>155</v>
      </c>
      <c r="F7415" s="9">
        <v>50</v>
      </c>
      <c r="G7415" s="9">
        <v>597</v>
      </c>
      <c r="H7415" s="5" t="s">
        <v>21</v>
      </c>
      <c r="I7415" s="5" t="s">
        <v>16606</v>
      </c>
      <c r="J7415" s="12" t="str">
        <f>HYPERLINK("https://www.boe.es/gazeta/dias/1801/06/09/pdfs/GMD-1801-50.pdf#page=9","Abrir facsímil")</f>
        <v>Abrir facsímil</v>
      </c>
      <c r="K7415" s="15" t="s">
        <v>23</v>
      </c>
    </row>
    <row r="7416" spans="1:11" ht="42" customHeight="1">
      <c r="A7416" s="4" t="s">
        <v>16607</v>
      </c>
      <c r="B7416" s="5" t="s">
        <v>16608</v>
      </c>
      <c r="C7416" s="5" t="s">
        <v>32</v>
      </c>
      <c r="D7416" s="5" t="s">
        <v>33</v>
      </c>
      <c r="E7416" s="5" t="s">
        <v>94</v>
      </c>
      <c r="F7416" s="9">
        <v>19</v>
      </c>
      <c r="G7416" s="9">
        <v>244</v>
      </c>
      <c r="H7416" s="5" t="s">
        <v>21</v>
      </c>
      <c r="I7416" s="5" t="s">
        <v>16609</v>
      </c>
      <c r="J7416" s="12" t="str">
        <f>HYPERLINK("https://www.boe.es/gazeta/dias/1801/03/06/pdfs/GMD-1801-19.pdf#page=9","Abrir facsímil")</f>
        <v>Abrir facsímil</v>
      </c>
      <c r="K7416" s="15" t="s">
        <v>23</v>
      </c>
    </row>
    <row r="7417" spans="1:11" ht="42" customHeight="1">
      <c r="A7417" s="4" t="s">
        <v>16610</v>
      </c>
      <c r="B7417" s="5" t="s">
        <v>16611</v>
      </c>
      <c r="C7417" s="5" t="s">
        <v>38</v>
      </c>
      <c r="D7417" s="5" t="s">
        <v>39</v>
      </c>
      <c r="E7417" s="5" t="s">
        <v>135</v>
      </c>
      <c r="F7417" s="9">
        <v>24</v>
      </c>
      <c r="G7417" s="9">
        <v>319</v>
      </c>
      <c r="H7417" s="5" t="s">
        <v>21</v>
      </c>
      <c r="I7417" s="5" t="s">
        <v>16612</v>
      </c>
      <c r="J7417" s="12" t="str">
        <f>HYPERLINK("https://www.boe.es/gazeta/dias/1801/03/24/pdfs/GMD-1801-24.pdf#page=10","Abrir facsímil")</f>
        <v>Abrir facsímil</v>
      </c>
      <c r="K7417" s="15" t="s">
        <v>23</v>
      </c>
    </row>
    <row r="7418" spans="1:11" ht="42" customHeight="1">
      <c r="A7418" s="4" t="s">
        <v>16613</v>
      </c>
      <c r="B7418" s="5" t="s">
        <v>16614</v>
      </c>
      <c r="C7418" s="5" t="s">
        <v>32</v>
      </c>
      <c r="D7418" s="5" t="s">
        <v>33</v>
      </c>
      <c r="E7418" s="5" t="s">
        <v>131</v>
      </c>
      <c r="F7418" s="9">
        <v>22</v>
      </c>
      <c r="G7418" s="9">
        <v>290</v>
      </c>
      <c r="H7418" s="5" t="s">
        <v>21</v>
      </c>
      <c r="I7418" s="5" t="s">
        <v>16615</v>
      </c>
      <c r="J7418" s="12" t="str">
        <f>HYPERLINK("https://www.boe.es/gazeta/dias/1801/03/17/pdfs/GMD-1801-22.pdf#page=7","Abrir facsímil")</f>
        <v>Abrir facsímil</v>
      </c>
      <c r="K7418" s="15" t="s">
        <v>23</v>
      </c>
    </row>
    <row r="7419" spans="1:11" ht="42" customHeight="1">
      <c r="A7419" s="4" t="s">
        <v>16616</v>
      </c>
      <c r="B7419" s="5" t="s">
        <v>16617</v>
      </c>
      <c r="C7419" s="5" t="s">
        <v>32</v>
      </c>
      <c r="D7419" s="5" t="s">
        <v>33</v>
      </c>
      <c r="E7419" s="5" t="s">
        <v>131</v>
      </c>
      <c r="F7419" s="9">
        <v>22</v>
      </c>
      <c r="G7419" s="9">
        <v>289</v>
      </c>
      <c r="H7419" s="5" t="s">
        <v>21</v>
      </c>
      <c r="I7419" s="5" t="s">
        <v>16618</v>
      </c>
      <c r="J7419" s="12" t="str">
        <f>HYPERLINK("https://www.boe.es/gazeta/dias/1801/03/17/pdfs/GMD-1801-22.pdf#page=6","Abrir facsímil")</f>
        <v>Abrir facsímil</v>
      </c>
      <c r="K7419" s="15" t="s">
        <v>23</v>
      </c>
    </row>
    <row r="7420" spans="1:11" ht="42" customHeight="1">
      <c r="A7420" s="4" t="s">
        <v>16619</v>
      </c>
      <c r="B7420" s="5" t="s">
        <v>16620</v>
      </c>
      <c r="C7420" s="5" t="s">
        <v>69</v>
      </c>
      <c r="D7420" s="5" t="s">
        <v>19</v>
      </c>
      <c r="E7420" s="5" t="s">
        <v>309</v>
      </c>
      <c r="F7420" s="9">
        <v>118</v>
      </c>
      <c r="G7420" s="9">
        <v>1292</v>
      </c>
      <c r="H7420" s="5" t="s">
        <v>21</v>
      </c>
      <c r="I7420" s="5" t="s">
        <v>16621</v>
      </c>
      <c r="J7420" s="12" t="str">
        <f>HYPERLINK("https://www.boe.es/gazeta/dias/1801/12/25/pdfs/GMD-1801-118.pdf#page=7","Abrir facsímil")</f>
        <v>Abrir facsímil</v>
      </c>
      <c r="K7420" s="15" t="s">
        <v>23</v>
      </c>
    </row>
    <row r="7421" spans="1:11" ht="42" customHeight="1">
      <c r="A7421" s="4" t="s">
        <v>16622</v>
      </c>
      <c r="B7421" s="5" t="s">
        <v>16623</v>
      </c>
      <c r="C7421" s="5" t="s">
        <v>32</v>
      </c>
      <c r="D7421" s="5" t="s">
        <v>33</v>
      </c>
      <c r="E7421" s="5" t="s">
        <v>781</v>
      </c>
      <c r="F7421" s="9">
        <v>14</v>
      </c>
      <c r="G7421" s="9">
        <v>171</v>
      </c>
      <c r="H7421" s="5" t="s">
        <v>21</v>
      </c>
      <c r="I7421" s="5" t="s">
        <v>16624</v>
      </c>
      <c r="J7421" s="12" t="str">
        <f>HYPERLINK("https://www.boe.es/gazeta/dias/1801/02/17/pdfs/GMD-1801-14.pdf#page=6","Abrir facsímil")</f>
        <v>Abrir facsímil</v>
      </c>
      <c r="K7421" s="15" t="s">
        <v>23</v>
      </c>
    </row>
    <row r="7422" spans="1:11" ht="42" customHeight="1">
      <c r="A7422" s="4" t="s">
        <v>16625</v>
      </c>
      <c r="B7422" s="5" t="s">
        <v>16626</v>
      </c>
      <c r="C7422" s="5" t="s">
        <v>75</v>
      </c>
      <c r="D7422" s="5" t="s">
        <v>76</v>
      </c>
      <c r="E7422" s="5" t="s">
        <v>480</v>
      </c>
      <c r="F7422" s="9">
        <v>10</v>
      </c>
      <c r="G7422" s="9">
        <v>118</v>
      </c>
      <c r="H7422" s="5" t="s">
        <v>21</v>
      </c>
      <c r="I7422" s="5" t="s">
        <v>16627</v>
      </c>
      <c r="J7422" s="12" t="str">
        <f>HYPERLINK("https://www.boe.es/gazeta/dias/1801/02/03/pdfs/GMD-1801-10.pdf#page=3","Abrir facsímil")</f>
        <v>Abrir facsímil</v>
      </c>
      <c r="K7422" s="15" t="s">
        <v>23</v>
      </c>
    </row>
    <row r="7423" spans="1:11" ht="42" customHeight="1">
      <c r="A7423" s="4" t="s">
        <v>16628</v>
      </c>
      <c r="B7423" s="5" t="s">
        <v>16629</v>
      </c>
      <c r="C7423" s="5" t="s">
        <v>32</v>
      </c>
      <c r="D7423" s="5" t="s">
        <v>33</v>
      </c>
      <c r="E7423" s="5" t="s">
        <v>124</v>
      </c>
      <c r="F7423" s="9">
        <v>12</v>
      </c>
      <c r="G7423" s="9">
        <v>144</v>
      </c>
      <c r="H7423" s="5" t="s">
        <v>21</v>
      </c>
      <c r="I7423" s="5" t="s">
        <v>16630</v>
      </c>
      <c r="J7423" s="12" t="str">
        <f>HYPERLINK("https://www.boe.es/gazeta/dias/1801/02/10/pdfs/GMD-1801-12.pdf#page=5","Abrir facsímil")</f>
        <v>Abrir facsímil</v>
      </c>
      <c r="K7423" s="15" t="s">
        <v>23</v>
      </c>
    </row>
    <row r="7424" spans="1:11" ht="42" customHeight="1">
      <c r="A7424" s="4" t="s">
        <v>16625</v>
      </c>
      <c r="B7424" s="5" t="s">
        <v>16626</v>
      </c>
      <c r="C7424" s="5" t="s">
        <v>75</v>
      </c>
      <c r="D7424" s="5" t="s">
        <v>76</v>
      </c>
      <c r="E7424" s="5" t="s">
        <v>186</v>
      </c>
      <c r="F7424" s="9">
        <v>21</v>
      </c>
      <c r="G7424" s="9">
        <v>277</v>
      </c>
      <c r="H7424" s="5" t="s">
        <v>21</v>
      </c>
      <c r="I7424" s="5" t="s">
        <v>16631</v>
      </c>
      <c r="J7424" s="12" t="str">
        <f>HYPERLINK("https://www.boe.es/gazeta/dias/1801/03/13/pdfs/GMD-1801-21.pdf#page=6","Abrir facsímil")</f>
        <v>Abrir facsímil</v>
      </c>
      <c r="K7424" s="15" t="s">
        <v>23</v>
      </c>
    </row>
    <row r="7425" spans="1:11" ht="42" customHeight="1">
      <c r="A7425" s="4" t="s">
        <v>16632</v>
      </c>
      <c r="B7425" s="5" t="s">
        <v>16633</v>
      </c>
      <c r="C7425" s="5" t="s">
        <v>75</v>
      </c>
      <c r="D7425" s="5" t="s">
        <v>76</v>
      </c>
      <c r="E7425" s="5" t="s">
        <v>40</v>
      </c>
      <c r="F7425" s="9">
        <v>63</v>
      </c>
      <c r="G7425" s="9">
        <v>711</v>
      </c>
      <c r="H7425" s="5" t="s">
        <v>21</v>
      </c>
      <c r="I7425" s="5" t="s">
        <v>16634</v>
      </c>
      <c r="J7425" s="12" t="str">
        <f>HYPERLINK("https://www.boe.es/gazeta/dias/1801/07/03/pdfs/GMD-1801-63.pdf#page=8","Abrir facsímil")</f>
        <v>Abrir facsímil</v>
      </c>
      <c r="K7425" s="15" t="s">
        <v>23</v>
      </c>
    </row>
    <row r="7426" spans="1:11" ht="42" customHeight="1">
      <c r="A7426" s="4" t="s">
        <v>16635</v>
      </c>
      <c r="B7426" s="5" t="s">
        <v>16636</v>
      </c>
      <c r="C7426" s="5" t="s">
        <v>32</v>
      </c>
      <c r="D7426" s="5" t="s">
        <v>33</v>
      </c>
      <c r="E7426" s="5" t="s">
        <v>251</v>
      </c>
      <c r="F7426" s="9">
        <v>66</v>
      </c>
      <c r="G7426" s="9">
        <v>740</v>
      </c>
      <c r="H7426" s="5" t="s">
        <v>21</v>
      </c>
      <c r="I7426" s="5" t="s">
        <v>16637</v>
      </c>
      <c r="J7426" s="12" t="str">
        <f>HYPERLINK("https://www.boe.es/gazeta/dias/1801/07/10/pdfs/GMD-1801-66.pdf#page=5","Abrir facsímil")</f>
        <v>Abrir facsímil</v>
      </c>
      <c r="K7426" s="15" t="s">
        <v>23</v>
      </c>
    </row>
    <row r="7427" spans="1:11" ht="42" customHeight="1">
      <c r="A7427" s="4" t="s">
        <v>16638</v>
      </c>
      <c r="B7427" s="5" t="s">
        <v>16639</v>
      </c>
      <c r="C7427" s="5" t="s">
        <v>38</v>
      </c>
      <c r="D7427" s="5" t="s">
        <v>39</v>
      </c>
      <c r="E7427" s="5" t="s">
        <v>615</v>
      </c>
      <c r="F7427" s="9">
        <v>72</v>
      </c>
      <c r="G7427" s="9">
        <v>803</v>
      </c>
      <c r="H7427" s="5" t="s">
        <v>21</v>
      </c>
      <c r="I7427" s="5" t="s">
        <v>16640</v>
      </c>
      <c r="J7427" s="12" t="str">
        <f>HYPERLINK("https://www.boe.es/gazeta/dias/1801/07/24/pdfs/GMD-1801-72.pdf#page=8","Abrir facsímil")</f>
        <v>Abrir facsímil</v>
      </c>
      <c r="K7427" s="15" t="s">
        <v>23</v>
      </c>
    </row>
    <row r="7428" spans="1:11" ht="42" customHeight="1">
      <c r="A7428" s="4" t="s">
        <v>16641</v>
      </c>
      <c r="B7428" s="5" t="s">
        <v>16642</v>
      </c>
      <c r="C7428" s="5" t="s">
        <v>38</v>
      </c>
      <c r="D7428" s="5" t="s">
        <v>39</v>
      </c>
      <c r="E7428" s="5" t="s">
        <v>143</v>
      </c>
      <c r="F7428" s="9">
        <v>34</v>
      </c>
      <c r="G7428" s="9">
        <v>434</v>
      </c>
      <c r="H7428" s="5" t="s">
        <v>21</v>
      </c>
      <c r="I7428" s="5" t="s">
        <v>16643</v>
      </c>
      <c r="J7428" s="12" t="str">
        <f>HYPERLINK("https://www.boe.es/gazeta/dias/1801/04/28/pdfs/GMD-1801-34.pdf#page=6","Abrir facsímil")</f>
        <v>Abrir facsímil</v>
      </c>
      <c r="K7428" s="15" t="s">
        <v>23</v>
      </c>
    </row>
    <row r="7429" spans="1:11" ht="42" customHeight="1">
      <c r="A7429" s="4" t="s">
        <v>16641</v>
      </c>
      <c r="B7429" s="5" t="s">
        <v>16642</v>
      </c>
      <c r="C7429" s="5" t="s">
        <v>38</v>
      </c>
      <c r="D7429" s="5" t="s">
        <v>39</v>
      </c>
      <c r="E7429" s="5" t="s">
        <v>77</v>
      </c>
      <c r="F7429" s="9">
        <v>93</v>
      </c>
      <c r="G7429" s="9">
        <v>1019</v>
      </c>
      <c r="H7429" s="5" t="s">
        <v>21</v>
      </c>
      <c r="I7429" s="5" t="s">
        <v>16644</v>
      </c>
      <c r="J7429" s="12" t="str">
        <f>HYPERLINK("https://www.boe.es/gazeta/dias/1801/09/29/pdfs/GMD-1801-93.pdf#page=6","Abrir facsímil")</f>
        <v>Abrir facsímil</v>
      </c>
      <c r="K7429" s="15" t="s">
        <v>23</v>
      </c>
    </row>
    <row r="7430" spans="1:11" ht="42" customHeight="1">
      <c r="A7430" s="4" t="s">
        <v>16645</v>
      </c>
      <c r="B7430" s="5" t="s">
        <v>16646</v>
      </c>
      <c r="C7430" s="5" t="s">
        <v>32</v>
      </c>
      <c r="D7430" s="5" t="s">
        <v>33</v>
      </c>
      <c r="E7430" s="5" t="s">
        <v>275</v>
      </c>
      <c r="F7430" s="9">
        <v>9</v>
      </c>
      <c r="G7430" s="9">
        <v>106</v>
      </c>
      <c r="H7430" s="5" t="s">
        <v>21</v>
      </c>
      <c r="I7430" s="5" t="s">
        <v>16647</v>
      </c>
      <c r="J7430" s="12" t="str">
        <f>HYPERLINK("https://www.boe.es/gazeta/dias/1801/01/30/pdfs/GMD-1801-9.pdf#page=3","Abrir facsímil")</f>
        <v>Abrir facsímil</v>
      </c>
      <c r="K7430" s="15" t="s">
        <v>23</v>
      </c>
    </row>
    <row r="7431" spans="1:11" ht="42" customHeight="1">
      <c r="A7431" s="4" t="s">
        <v>16648</v>
      </c>
      <c r="B7431" s="5" t="s">
        <v>16649</v>
      </c>
      <c r="C7431" s="5" t="s">
        <v>32</v>
      </c>
      <c r="D7431" s="5" t="s">
        <v>33</v>
      </c>
      <c r="E7431" s="5" t="s">
        <v>94</v>
      </c>
      <c r="F7431" s="9">
        <v>19</v>
      </c>
      <c r="G7431" s="9">
        <v>242</v>
      </c>
      <c r="H7431" s="5" t="s">
        <v>21</v>
      </c>
      <c r="I7431" s="5" t="s">
        <v>16650</v>
      </c>
      <c r="J7431" s="12" t="str">
        <f>HYPERLINK("https://www.boe.es/gazeta/dias/1801/03/06/pdfs/GMD-1801-19.pdf#page=7","Abrir facsímil")</f>
        <v>Abrir facsímil</v>
      </c>
      <c r="K7431" s="15" t="s">
        <v>23</v>
      </c>
    </row>
    <row r="7432" spans="1:11" ht="42" customHeight="1">
      <c r="A7432" s="4" t="s">
        <v>16645</v>
      </c>
      <c r="B7432" s="5" t="s">
        <v>16646</v>
      </c>
      <c r="C7432" s="5" t="s">
        <v>32</v>
      </c>
      <c r="D7432" s="5" t="s">
        <v>33</v>
      </c>
      <c r="E7432" s="5" t="s">
        <v>143</v>
      </c>
      <c r="F7432" s="9">
        <v>34</v>
      </c>
      <c r="G7432" s="9">
        <v>436</v>
      </c>
      <c r="H7432" s="5" t="s">
        <v>21</v>
      </c>
      <c r="I7432" s="5" t="s">
        <v>16651</v>
      </c>
      <c r="J7432" s="12" t="str">
        <f>HYPERLINK("https://www.boe.es/gazeta/dias/1801/04/28/pdfs/GMD-1801-34.pdf#page=8","Abrir facsímil")</f>
        <v>Abrir facsímil</v>
      </c>
      <c r="K7432" s="15" t="s">
        <v>23</v>
      </c>
    </row>
    <row r="7433" spans="1:11" ht="42" customHeight="1">
      <c r="A7433" s="4" t="s">
        <v>16652</v>
      </c>
      <c r="B7433" s="5" t="s">
        <v>16652</v>
      </c>
      <c r="C7433" s="5" t="s">
        <v>38</v>
      </c>
      <c r="D7433" s="5" t="s">
        <v>39</v>
      </c>
      <c r="E7433" s="5" t="s">
        <v>82</v>
      </c>
      <c r="F7433" s="9">
        <v>75</v>
      </c>
      <c r="G7433" s="9">
        <v>835</v>
      </c>
      <c r="H7433" s="5" t="s">
        <v>21</v>
      </c>
      <c r="I7433" s="5" t="s">
        <v>16653</v>
      </c>
      <c r="J7433" s="12" t="str">
        <f>HYPERLINK("https://www.boe.es/gazeta/dias/1801/08/04/pdfs/GMD-1801-75.pdf#page=4","Abrir facsímil")</f>
        <v>Abrir facsímil</v>
      </c>
      <c r="K7433" s="15" t="s">
        <v>23</v>
      </c>
    </row>
    <row r="7434" spans="1:11" ht="42" customHeight="1">
      <c r="A7434" s="4" t="s">
        <v>16654</v>
      </c>
      <c r="B7434" s="5" t="s">
        <v>16655</v>
      </c>
      <c r="C7434" s="5" t="s">
        <v>75</v>
      </c>
      <c r="D7434" s="5" t="s">
        <v>76</v>
      </c>
      <c r="E7434" s="5" t="s">
        <v>1015</v>
      </c>
      <c r="F7434" s="9">
        <v>15</v>
      </c>
      <c r="G7434" s="9">
        <v>185</v>
      </c>
      <c r="H7434" s="5" t="s">
        <v>21</v>
      </c>
      <c r="I7434" s="5" t="s">
        <v>16656</v>
      </c>
      <c r="J7434" s="12" t="str">
        <f>HYPERLINK("https://www.boe.es/gazeta/dias/1801/02/20/pdfs/GMD-1801-15.pdf#page=4","Abrir facsímil")</f>
        <v>Abrir facsímil</v>
      </c>
      <c r="K7434" s="15" t="s">
        <v>23</v>
      </c>
    </row>
    <row r="7435" spans="1:11" ht="42" customHeight="1">
      <c r="A7435" s="4" t="s">
        <v>16657</v>
      </c>
      <c r="B7435" s="5" t="s">
        <v>16658</v>
      </c>
      <c r="C7435" s="5" t="s">
        <v>75</v>
      </c>
      <c r="D7435" s="5" t="s">
        <v>76</v>
      </c>
      <c r="E7435" s="5" t="s">
        <v>128</v>
      </c>
      <c r="F7435" s="9">
        <v>17</v>
      </c>
      <c r="G7435" s="9">
        <v>209</v>
      </c>
      <c r="H7435" s="5" t="s">
        <v>21</v>
      </c>
      <c r="I7435" s="5" t="s">
        <v>16659</v>
      </c>
      <c r="J7435" s="12" t="str">
        <f>HYPERLINK("https://www.boe.es/gazeta/dias/1801/02/27/pdfs/GMD-1801-17.pdf#page=4","Abrir facsímil")</f>
        <v>Abrir facsímil</v>
      </c>
      <c r="K7435" s="15" t="s">
        <v>23</v>
      </c>
    </row>
    <row r="7436" spans="1:11" ht="42" customHeight="1">
      <c r="A7436" s="4" t="s">
        <v>16660</v>
      </c>
      <c r="B7436" s="5" t="s">
        <v>16661</v>
      </c>
      <c r="C7436" s="5" t="s">
        <v>32</v>
      </c>
      <c r="D7436" s="5" t="s">
        <v>33</v>
      </c>
      <c r="E7436" s="5" t="s">
        <v>145</v>
      </c>
      <c r="F7436" s="9">
        <v>36</v>
      </c>
      <c r="G7436" s="9">
        <v>463</v>
      </c>
      <c r="H7436" s="5" t="s">
        <v>21</v>
      </c>
      <c r="I7436" s="5" t="s">
        <v>16662</v>
      </c>
      <c r="J7436" s="12" t="str">
        <f>HYPERLINK("https://www.boe.es/gazeta/dias/1801/05/05/pdfs/GMD-1801-36.pdf#page=7","Abrir facsímil")</f>
        <v>Abrir facsímil</v>
      </c>
      <c r="K7436" s="15" t="s">
        <v>23</v>
      </c>
    </row>
    <row r="7437" spans="1:11" ht="42" customHeight="1">
      <c r="A7437" s="4" t="s">
        <v>16663</v>
      </c>
      <c r="B7437" s="5" t="s">
        <v>16663</v>
      </c>
      <c r="C7437" s="5" t="s">
        <v>75</v>
      </c>
      <c r="D7437" s="5" t="s">
        <v>76</v>
      </c>
      <c r="E7437" s="5" t="s">
        <v>186</v>
      </c>
      <c r="F7437" s="9">
        <v>21</v>
      </c>
      <c r="G7437" s="9">
        <v>272</v>
      </c>
      <c r="H7437" s="5" t="s">
        <v>21</v>
      </c>
      <c r="I7437" s="5" t="s">
        <v>16664</v>
      </c>
      <c r="J7437" s="12" t="str">
        <f>HYPERLINK("https://www.boe.es/gazeta/dias/1801/03/13/pdfs/GMD-1801-21.pdf#page=1","Abrir facsímil")</f>
        <v>Abrir facsímil</v>
      </c>
      <c r="K7437" s="15" t="s">
        <v>23</v>
      </c>
    </row>
    <row r="7438" spans="1:11" ht="42" customHeight="1">
      <c r="A7438" s="4" t="s">
        <v>16665</v>
      </c>
      <c r="B7438" s="5" t="s">
        <v>16665</v>
      </c>
      <c r="C7438" s="5" t="s">
        <v>32</v>
      </c>
      <c r="D7438" s="5" t="s">
        <v>33</v>
      </c>
      <c r="E7438" s="5" t="s">
        <v>34</v>
      </c>
      <c r="F7438" s="9">
        <v>38</v>
      </c>
      <c r="G7438" s="9">
        <v>485</v>
      </c>
      <c r="H7438" s="5" t="s">
        <v>21</v>
      </c>
      <c r="I7438" s="5" t="s">
        <v>16666</v>
      </c>
      <c r="J7438" s="12" t="str">
        <f>HYPERLINK("https://www.boe.es/gazeta/dias/1801/05/12/pdfs/GMD-1801-38.pdf#page=1","Abrir facsímil")</f>
        <v>Abrir facsímil</v>
      </c>
      <c r="K7438" s="15" t="s">
        <v>23</v>
      </c>
    </row>
    <row r="7439" spans="1:11" ht="42" customHeight="1">
      <c r="A7439" s="4" t="s">
        <v>16667</v>
      </c>
      <c r="B7439" s="5" t="s">
        <v>16668</v>
      </c>
      <c r="C7439" s="5" t="s">
        <v>38</v>
      </c>
      <c r="D7439" s="5" t="s">
        <v>39</v>
      </c>
      <c r="E7439" s="5" t="s">
        <v>131</v>
      </c>
      <c r="F7439" s="9">
        <v>22</v>
      </c>
      <c r="G7439" s="9">
        <v>286</v>
      </c>
      <c r="H7439" s="5" t="s">
        <v>21</v>
      </c>
      <c r="I7439" s="5" t="s">
        <v>16669</v>
      </c>
      <c r="J7439" s="12" t="str">
        <f>HYPERLINK("https://www.boe.es/gazeta/dias/1801/03/17/pdfs/GMD-1801-22.pdf#page=3","Abrir facsímil")</f>
        <v>Abrir facsímil</v>
      </c>
      <c r="K7439" s="15" t="s">
        <v>23</v>
      </c>
    </row>
    <row r="7440" spans="1:11" ht="42" customHeight="1">
      <c r="A7440" s="4" t="s">
        <v>16667</v>
      </c>
      <c r="B7440" s="5" t="s">
        <v>16668</v>
      </c>
      <c r="C7440" s="5" t="s">
        <v>38</v>
      </c>
      <c r="D7440" s="5" t="s">
        <v>39</v>
      </c>
      <c r="E7440" s="5" t="s">
        <v>723</v>
      </c>
      <c r="F7440" s="9">
        <v>113</v>
      </c>
      <c r="G7440" s="9">
        <v>1230</v>
      </c>
      <c r="H7440" s="5" t="s">
        <v>21</v>
      </c>
      <c r="I7440" s="5" t="s">
        <v>16670</v>
      </c>
      <c r="J7440" s="12" t="str">
        <f>HYPERLINK("https://www.boe.es/gazeta/dias/1801/12/08/pdfs/GMD-1801-113.pdf#page=3","Abrir facsímil")</f>
        <v>Abrir facsímil</v>
      </c>
      <c r="K7440" s="15" t="s">
        <v>23</v>
      </c>
    </row>
    <row r="7441" spans="1:11" ht="42" customHeight="1">
      <c r="A7441" s="4" t="s">
        <v>16671</v>
      </c>
      <c r="B7441" s="5" t="s">
        <v>16672</v>
      </c>
      <c r="C7441" s="5" t="s">
        <v>18</v>
      </c>
      <c r="D7441" s="5" t="s">
        <v>19</v>
      </c>
      <c r="E7441" s="5" t="s">
        <v>108</v>
      </c>
      <c r="F7441" s="9">
        <v>61</v>
      </c>
      <c r="G7441" s="9">
        <v>694</v>
      </c>
      <c r="H7441" s="5" t="s">
        <v>21</v>
      </c>
      <c r="I7441" s="5" t="s">
        <v>16673</v>
      </c>
      <c r="J7441" s="12" t="str">
        <f>HYPERLINK("https://www.boe.es/gazeta/dias/1801/06/30/pdfs/GMD-1801-61.pdf#page=3","Abrir facsímil")</f>
        <v>Abrir facsímil</v>
      </c>
      <c r="K7441" s="15" t="s">
        <v>23</v>
      </c>
    </row>
    <row r="7442" spans="1:11" ht="42" customHeight="1">
      <c r="A7442" s="4" t="s">
        <v>16671</v>
      </c>
      <c r="B7442" s="5" t="s">
        <v>16672</v>
      </c>
      <c r="C7442" s="5" t="s">
        <v>75</v>
      </c>
      <c r="D7442" s="5" t="s">
        <v>76</v>
      </c>
      <c r="E7442" s="5" t="s">
        <v>108</v>
      </c>
      <c r="F7442" s="9">
        <v>61</v>
      </c>
      <c r="G7442" s="9">
        <v>695</v>
      </c>
      <c r="H7442" s="5" t="s">
        <v>21</v>
      </c>
      <c r="I7442" s="5" t="s">
        <v>16674</v>
      </c>
      <c r="J7442" s="12" t="str">
        <f>HYPERLINK("https://www.boe.es/gazeta/dias/1801/06/30/pdfs/GMD-1801-61.pdf#page=4","Abrir facsímil")</f>
        <v>Abrir facsímil</v>
      </c>
      <c r="K7442" s="15" t="s">
        <v>23</v>
      </c>
    </row>
    <row r="7443" spans="1:11" ht="42" customHeight="1">
      <c r="A7443" s="4" t="s">
        <v>16675</v>
      </c>
      <c r="B7443" s="5" t="s">
        <v>16675</v>
      </c>
      <c r="C7443" s="5" t="s">
        <v>75</v>
      </c>
      <c r="D7443" s="5" t="s">
        <v>76</v>
      </c>
      <c r="E7443" s="5" t="s">
        <v>888</v>
      </c>
      <c r="F7443" s="9">
        <v>103</v>
      </c>
      <c r="G7443" s="9">
        <v>1130</v>
      </c>
      <c r="H7443" s="5" t="s">
        <v>21</v>
      </c>
      <c r="I7443" s="5" t="s">
        <v>16676</v>
      </c>
      <c r="J7443" s="12" t="str">
        <f>HYPERLINK("https://www.boe.es/gazeta/dias/1801/11/03/pdfs/GMD-1801-103.pdf#page=3","Abrir facsímil")</f>
        <v>Abrir facsímil</v>
      </c>
      <c r="K7443" s="15" t="s">
        <v>23</v>
      </c>
    </row>
    <row r="7444" spans="1:11" ht="42" customHeight="1">
      <c r="A7444" s="4" t="s">
        <v>16677</v>
      </c>
      <c r="B7444" s="5" t="s">
        <v>16678</v>
      </c>
      <c r="C7444" s="5" t="s">
        <v>32</v>
      </c>
      <c r="D7444" s="5" t="s">
        <v>33</v>
      </c>
      <c r="E7444" s="5" t="s">
        <v>2237</v>
      </c>
      <c r="F7444" s="9">
        <v>82</v>
      </c>
      <c r="G7444" s="9">
        <v>912</v>
      </c>
      <c r="H7444" s="5" t="s">
        <v>21</v>
      </c>
      <c r="I7444" s="5" t="s">
        <v>16679</v>
      </c>
      <c r="J7444" s="12" t="str">
        <f>HYPERLINK("https://www.boe.es/gazeta/dias/1801/08/28/pdfs/GMD-1801-82.pdf#page=1","Abrir facsímil")</f>
        <v>Abrir facsímil</v>
      </c>
      <c r="K7444" s="15" t="s">
        <v>23</v>
      </c>
    </row>
    <row r="7445" spans="1:11" ht="42" customHeight="1">
      <c r="A7445" s="4" t="s">
        <v>16680</v>
      </c>
      <c r="B7445" s="5" t="s">
        <v>16681</v>
      </c>
      <c r="C7445" s="5" t="s">
        <v>32</v>
      </c>
      <c r="D7445" s="5" t="s">
        <v>33</v>
      </c>
      <c r="E7445" s="5" t="s">
        <v>924</v>
      </c>
      <c r="F7445" s="9">
        <v>90</v>
      </c>
      <c r="G7445" s="9">
        <v>991</v>
      </c>
      <c r="H7445" s="5" t="s">
        <v>21</v>
      </c>
      <c r="I7445" s="5" t="s">
        <v>16682</v>
      </c>
      <c r="J7445" s="12" t="str">
        <f>HYPERLINK("https://www.boe.es/gazeta/dias/1801/09/18/pdfs/GMD-1801-90.pdf#page=6","Abrir facsímil")</f>
        <v>Abrir facsímil</v>
      </c>
      <c r="K7445" s="15" t="s">
        <v>23</v>
      </c>
    </row>
    <row r="7446" spans="1:11" ht="42" customHeight="1">
      <c r="A7446" s="4" t="s">
        <v>16683</v>
      </c>
      <c r="B7446" s="5" t="s">
        <v>16683</v>
      </c>
      <c r="C7446" s="5" t="s">
        <v>32</v>
      </c>
      <c r="D7446" s="5" t="s">
        <v>33</v>
      </c>
      <c r="E7446" s="5" t="s">
        <v>137</v>
      </c>
      <c r="F7446" s="9">
        <v>30</v>
      </c>
      <c r="G7446" s="9">
        <v>391</v>
      </c>
      <c r="H7446" s="5" t="s">
        <v>21</v>
      </c>
      <c r="I7446" s="5" t="s">
        <v>16684</v>
      </c>
      <c r="J7446" s="12" t="str">
        <f>HYPERLINK("https://www.boe.es/gazeta/dias/1801/04/14/pdfs/GMD-1801-30.pdf#page=7","Abrir facsímil")</f>
        <v>Abrir facsímil</v>
      </c>
      <c r="K7446" s="15" t="s">
        <v>23</v>
      </c>
    </row>
    <row r="7447" spans="1:11" ht="42" customHeight="1">
      <c r="A7447" s="4" t="s">
        <v>16685</v>
      </c>
      <c r="B7447" s="5" t="s">
        <v>16685</v>
      </c>
      <c r="C7447" s="5" t="s">
        <v>75</v>
      </c>
      <c r="D7447" s="5" t="s">
        <v>76</v>
      </c>
      <c r="E7447" s="5" t="s">
        <v>137</v>
      </c>
      <c r="F7447" s="9">
        <v>30</v>
      </c>
      <c r="G7447" s="9">
        <v>391</v>
      </c>
      <c r="H7447" s="5" t="s">
        <v>21</v>
      </c>
      <c r="I7447" s="5" t="s">
        <v>16686</v>
      </c>
      <c r="J7447" s="12" t="str">
        <f>HYPERLINK("https://www.boe.es/gazeta/dias/1801/04/14/pdfs/GMD-1801-30.pdf#page=7","Abrir facsímil")</f>
        <v>Abrir facsímil</v>
      </c>
      <c r="K7447" s="15" t="s">
        <v>23</v>
      </c>
    </row>
    <row r="7448" spans="1:11" ht="42" customHeight="1">
      <c r="A7448" s="4" t="s">
        <v>16687</v>
      </c>
      <c r="B7448" s="5" t="s">
        <v>16688</v>
      </c>
      <c r="C7448" s="5" t="s">
        <v>38</v>
      </c>
      <c r="D7448" s="5" t="s">
        <v>39</v>
      </c>
      <c r="E7448" s="5" t="s">
        <v>135</v>
      </c>
      <c r="F7448" s="9">
        <v>24</v>
      </c>
      <c r="G7448" s="9">
        <v>317</v>
      </c>
      <c r="H7448" s="5" t="s">
        <v>21</v>
      </c>
      <c r="I7448" s="5" t="s">
        <v>16689</v>
      </c>
      <c r="J7448" s="12" t="str">
        <f>HYPERLINK("https://www.boe.es/gazeta/dias/1801/03/24/pdfs/GMD-1801-24.pdf#page=8","Abrir facsímil")</f>
        <v>Abrir facsímil</v>
      </c>
      <c r="K7448" s="15" t="s">
        <v>23</v>
      </c>
    </row>
    <row r="7449" spans="1:11" ht="42" customHeight="1">
      <c r="A7449" s="4" t="s">
        <v>16687</v>
      </c>
      <c r="B7449" s="5" t="s">
        <v>16688</v>
      </c>
      <c r="C7449" s="5" t="s">
        <v>75</v>
      </c>
      <c r="D7449" s="5" t="s">
        <v>76</v>
      </c>
      <c r="E7449" s="5" t="s">
        <v>201</v>
      </c>
      <c r="F7449" s="9">
        <v>79</v>
      </c>
      <c r="G7449" s="9">
        <v>885</v>
      </c>
      <c r="H7449" s="5" t="s">
        <v>21</v>
      </c>
      <c r="I7449" s="5" t="s">
        <v>16690</v>
      </c>
      <c r="J7449" s="12" t="str">
        <f>HYPERLINK("https://www.boe.es/gazeta/dias/1801/08/18/pdfs/GMD-1801-79.pdf#page=2","Abrir facsímil")</f>
        <v>Abrir facsímil</v>
      </c>
      <c r="K7449" s="15" t="s">
        <v>23</v>
      </c>
    </row>
    <row r="7450" spans="1:11" ht="42" customHeight="1">
      <c r="A7450" s="4" t="s">
        <v>16691</v>
      </c>
      <c r="B7450" s="5" t="s">
        <v>16691</v>
      </c>
      <c r="C7450" s="5" t="s">
        <v>75</v>
      </c>
      <c r="D7450" s="5" t="s">
        <v>76</v>
      </c>
      <c r="E7450" s="5" t="s">
        <v>735</v>
      </c>
      <c r="F7450" s="9">
        <v>97</v>
      </c>
      <c r="G7450" s="9">
        <v>1059</v>
      </c>
      <c r="H7450" s="5" t="s">
        <v>21</v>
      </c>
      <c r="I7450" s="5" t="s">
        <v>16692</v>
      </c>
      <c r="J7450" s="12" t="str">
        <f>HYPERLINK("https://www.boe.es/gazeta/dias/1801/10/13/pdfs/GMD-1801-97.pdf#page=3","Abrir facsímil")</f>
        <v>Abrir facsímil</v>
      </c>
      <c r="K7450" s="15" t="s">
        <v>23</v>
      </c>
    </row>
    <row r="7451" spans="1:11" ht="42" customHeight="1">
      <c r="A7451" s="4" t="s">
        <v>16693</v>
      </c>
      <c r="B7451" s="5" t="s">
        <v>16693</v>
      </c>
      <c r="C7451" s="5" t="s">
        <v>75</v>
      </c>
      <c r="D7451" s="5" t="s">
        <v>76</v>
      </c>
      <c r="E7451" s="5" t="s">
        <v>501</v>
      </c>
      <c r="F7451" s="9">
        <v>115</v>
      </c>
      <c r="G7451" s="9">
        <v>1252</v>
      </c>
      <c r="H7451" s="5" t="s">
        <v>21</v>
      </c>
      <c r="I7451" s="5" t="s">
        <v>16694</v>
      </c>
      <c r="J7451" s="12" t="str">
        <f>HYPERLINK("https://www.boe.es/gazeta/dias/1801/12/15/pdfs/GMD-1801-115.pdf#page=2","Abrir facsímil")</f>
        <v>Abrir facsímil</v>
      </c>
      <c r="K7451" s="15" t="s">
        <v>23</v>
      </c>
    </row>
    <row r="7452" spans="1:11" ht="42" customHeight="1">
      <c r="A7452" s="4" t="s">
        <v>16695</v>
      </c>
      <c r="B7452" s="5" t="s">
        <v>16696</v>
      </c>
      <c r="C7452" s="5" t="s">
        <v>75</v>
      </c>
      <c r="D7452" s="5" t="s">
        <v>76</v>
      </c>
      <c r="E7452" s="5" t="s">
        <v>62</v>
      </c>
      <c r="F7452" s="9">
        <v>6</v>
      </c>
      <c r="G7452" s="9">
        <v>66</v>
      </c>
      <c r="H7452" s="5" t="s">
        <v>21</v>
      </c>
      <c r="I7452" s="5" t="s">
        <v>16697</v>
      </c>
      <c r="J7452" s="12" t="str">
        <f>HYPERLINK("https://www.boe.es/gazeta/dias/1801/01/20/pdfs/GMD-1801-6.pdf#page=2","Abrir facsímil")</f>
        <v>Abrir facsímil</v>
      </c>
      <c r="K7452" s="15" t="s">
        <v>23</v>
      </c>
    </row>
    <row r="7453" spans="1:11" ht="42" customHeight="1">
      <c r="A7453" s="4" t="s">
        <v>16698</v>
      </c>
      <c r="B7453" s="5" t="s">
        <v>16699</v>
      </c>
      <c r="C7453" s="5" t="s">
        <v>32</v>
      </c>
      <c r="D7453" s="5" t="s">
        <v>33</v>
      </c>
      <c r="E7453" s="5" t="s">
        <v>352</v>
      </c>
      <c r="F7453" s="9">
        <v>43</v>
      </c>
      <c r="G7453" s="9">
        <v>531</v>
      </c>
      <c r="H7453" s="5" t="s">
        <v>21</v>
      </c>
      <c r="I7453" s="5" t="s">
        <v>16700</v>
      </c>
      <c r="J7453" s="12" t="str">
        <f>HYPERLINK("https://www.boe.es/gazeta/dias/1801/05/26/pdfs/GMD-1801-43.pdf#page=3","Abrir facsímil")</f>
        <v>Abrir facsímil</v>
      </c>
      <c r="K7453" s="15" t="s">
        <v>23</v>
      </c>
    </row>
    <row r="7454" spans="1:11" ht="42" customHeight="1">
      <c r="A7454" s="4" t="s">
        <v>16701</v>
      </c>
      <c r="B7454" s="5" t="s">
        <v>16701</v>
      </c>
      <c r="C7454" s="5" t="s">
        <v>32</v>
      </c>
      <c r="D7454" s="5" t="s">
        <v>33</v>
      </c>
      <c r="E7454" s="5" t="s">
        <v>781</v>
      </c>
      <c r="F7454" s="9">
        <v>14</v>
      </c>
      <c r="G7454" s="9">
        <v>167</v>
      </c>
      <c r="H7454" s="5" t="s">
        <v>21</v>
      </c>
      <c r="I7454" s="5" t="s">
        <v>16702</v>
      </c>
      <c r="J7454" s="12" t="str">
        <f>HYPERLINK("https://www.boe.es/gazeta/dias/1801/02/17/pdfs/GMD-1801-14.pdf#page=2","Abrir facsímil")</f>
        <v>Abrir facsímil</v>
      </c>
      <c r="K7454" s="15" t="s">
        <v>23</v>
      </c>
    </row>
    <row r="7455" spans="1:11" ht="42" customHeight="1">
      <c r="A7455" s="4" t="s">
        <v>16703</v>
      </c>
      <c r="B7455" s="5" t="s">
        <v>16704</v>
      </c>
      <c r="C7455" s="5" t="s">
        <v>32</v>
      </c>
      <c r="D7455" s="5" t="s">
        <v>33</v>
      </c>
      <c r="E7455" s="5" t="s">
        <v>194</v>
      </c>
      <c r="F7455" s="9">
        <v>92</v>
      </c>
      <c r="G7455" s="9">
        <v>1011</v>
      </c>
      <c r="H7455" s="5" t="s">
        <v>21</v>
      </c>
      <c r="I7455" s="5" t="s">
        <v>16705</v>
      </c>
      <c r="J7455" s="12" t="str">
        <f>HYPERLINK("https://www.boe.es/gazeta/dias/1801/09/25/pdfs/GMD-1801-92.pdf#page=6","Abrir facsímil")</f>
        <v>Abrir facsímil</v>
      </c>
      <c r="K7455" s="15" t="s">
        <v>23</v>
      </c>
    </row>
    <row r="7456" spans="1:11" ht="42" customHeight="1">
      <c r="A7456" s="4" t="s">
        <v>16706</v>
      </c>
      <c r="B7456" s="5" t="s">
        <v>16706</v>
      </c>
      <c r="C7456" s="5" t="s">
        <v>38</v>
      </c>
      <c r="D7456" s="5" t="s">
        <v>39</v>
      </c>
      <c r="E7456" s="5" t="s">
        <v>453</v>
      </c>
      <c r="F7456" s="9">
        <v>100</v>
      </c>
      <c r="G7456" s="9">
        <v>1097</v>
      </c>
      <c r="H7456" s="5" t="s">
        <v>21</v>
      </c>
      <c r="I7456" s="5" t="s">
        <v>16707</v>
      </c>
      <c r="J7456" s="12" t="str">
        <f>HYPERLINK("https://www.boe.es/gazeta/dias/1801/10/23/pdfs/GMD-1801-100.pdf#page=6","Abrir facsímil")</f>
        <v>Abrir facsímil</v>
      </c>
      <c r="K7456" s="15" t="s">
        <v>23</v>
      </c>
    </row>
    <row r="7457" spans="1:11" ht="42" customHeight="1">
      <c r="A7457" s="4" t="s">
        <v>16708</v>
      </c>
      <c r="B7457" s="5" t="s">
        <v>16708</v>
      </c>
      <c r="C7457" s="5" t="s">
        <v>75</v>
      </c>
      <c r="D7457" s="5" t="s">
        <v>76</v>
      </c>
      <c r="E7457" s="5" t="s">
        <v>448</v>
      </c>
      <c r="F7457" s="9">
        <v>35</v>
      </c>
      <c r="G7457" s="9">
        <v>445</v>
      </c>
      <c r="H7457" s="5" t="s">
        <v>21</v>
      </c>
      <c r="I7457" s="5" t="s">
        <v>16709</v>
      </c>
      <c r="J7457" s="12" t="str">
        <f>HYPERLINK("https://www.boe.es/gazeta/dias/1801/05/01/pdfs/GMD-1801-35.pdf#page=1","Abrir facsímil")</f>
        <v>Abrir facsímil</v>
      </c>
      <c r="K7457" s="15" t="s">
        <v>23</v>
      </c>
    </row>
    <row r="7458" spans="1:11" ht="42" customHeight="1">
      <c r="A7458" s="4" t="s">
        <v>16710</v>
      </c>
      <c r="B7458" s="5" t="s">
        <v>16711</v>
      </c>
      <c r="C7458" s="5" t="s">
        <v>18</v>
      </c>
      <c r="D7458" s="5" t="s">
        <v>19</v>
      </c>
      <c r="E7458" s="5" t="s">
        <v>453</v>
      </c>
      <c r="F7458" s="9">
        <v>100</v>
      </c>
      <c r="G7458" s="9">
        <v>1093</v>
      </c>
      <c r="H7458" s="5" t="s">
        <v>21</v>
      </c>
      <c r="I7458" s="5" t="s">
        <v>16712</v>
      </c>
      <c r="J7458" s="12" t="str">
        <f>HYPERLINK("https://www.boe.es/gazeta/dias/1801/10/23/pdfs/GMD-1801-100.pdf#page=2","Abrir facsímil")</f>
        <v>Abrir facsímil</v>
      </c>
      <c r="K7458" s="15" t="s">
        <v>23</v>
      </c>
    </row>
    <row r="7459" spans="1:11" ht="42" customHeight="1">
      <c r="A7459" s="4" t="s">
        <v>16713</v>
      </c>
      <c r="B7459" s="5" t="s">
        <v>16714</v>
      </c>
      <c r="C7459" s="5" t="s">
        <v>38</v>
      </c>
      <c r="D7459" s="5" t="s">
        <v>39</v>
      </c>
      <c r="E7459" s="5" t="s">
        <v>171</v>
      </c>
      <c r="F7459" s="9">
        <v>76</v>
      </c>
      <c r="G7459" s="9">
        <v>851</v>
      </c>
      <c r="H7459" s="5" t="s">
        <v>21</v>
      </c>
      <c r="I7459" s="5" t="s">
        <v>16715</v>
      </c>
      <c r="J7459" s="12" t="str">
        <f>HYPERLINK("https://www.boe.es/gazeta/dias/1801/08/07/pdfs/GMD-1801-76.pdf#page=8","Abrir facsímil")</f>
        <v>Abrir facsímil</v>
      </c>
      <c r="K7459" s="15" t="s">
        <v>23</v>
      </c>
    </row>
    <row r="7460" spans="1:11" ht="42" customHeight="1">
      <c r="A7460" s="4" t="s">
        <v>16716</v>
      </c>
      <c r="B7460" s="5" t="s">
        <v>16717</v>
      </c>
      <c r="C7460" s="5" t="s">
        <v>32</v>
      </c>
      <c r="D7460" s="5" t="s">
        <v>33</v>
      </c>
      <c r="E7460" s="5" t="s">
        <v>321</v>
      </c>
      <c r="F7460" s="9">
        <v>3</v>
      </c>
      <c r="G7460" s="9">
        <v>33</v>
      </c>
      <c r="H7460" s="5" t="s">
        <v>21</v>
      </c>
      <c r="I7460" s="5" t="s">
        <v>16718</v>
      </c>
      <c r="J7460" s="12" t="str">
        <f>HYPERLINK("https://www.boe.es/gazeta/dias/1801/01/09/pdfs/GMD-1801-3.pdf#page=9","Abrir facsímil")</f>
        <v>Abrir facsímil</v>
      </c>
      <c r="K7460" s="15" t="s">
        <v>23</v>
      </c>
    </row>
    <row r="7461" spans="1:11" ht="42" customHeight="1">
      <c r="A7461" s="4" t="s">
        <v>16719</v>
      </c>
      <c r="B7461" s="5" t="s">
        <v>16719</v>
      </c>
      <c r="C7461" s="5" t="s">
        <v>75</v>
      </c>
      <c r="D7461" s="5" t="s">
        <v>76</v>
      </c>
      <c r="E7461" s="5" t="s">
        <v>2237</v>
      </c>
      <c r="F7461" s="9">
        <v>82</v>
      </c>
      <c r="G7461" s="9">
        <v>916</v>
      </c>
      <c r="H7461" s="5" t="s">
        <v>21</v>
      </c>
      <c r="I7461" s="5" t="s">
        <v>16720</v>
      </c>
      <c r="J7461" s="12" t="str">
        <f>HYPERLINK("https://www.boe.es/gazeta/dias/1801/08/28/pdfs/GMD-1801-82.pdf#page=5","Abrir facsímil")</f>
        <v>Abrir facsímil</v>
      </c>
      <c r="K7461" s="15" t="s">
        <v>23</v>
      </c>
    </row>
    <row r="7462" spans="1:11" ht="42" customHeight="1">
      <c r="A7462" s="4" t="s">
        <v>16721</v>
      </c>
      <c r="B7462" s="5" t="s">
        <v>16722</v>
      </c>
      <c r="C7462" s="5" t="s">
        <v>75</v>
      </c>
      <c r="D7462" s="5" t="s">
        <v>76</v>
      </c>
      <c r="E7462" s="5" t="s">
        <v>223</v>
      </c>
      <c r="F7462" s="9">
        <v>74</v>
      </c>
      <c r="G7462" s="9">
        <v>824</v>
      </c>
      <c r="H7462" s="5" t="s">
        <v>21</v>
      </c>
      <c r="I7462" s="5" t="s">
        <v>16723</v>
      </c>
      <c r="J7462" s="12" t="str">
        <f>HYPERLINK("https://www.boe.es/gazeta/dias/1801/07/31/pdfs/GMD-1801-74.pdf#page=5","Abrir facsímil")</f>
        <v>Abrir facsímil</v>
      </c>
      <c r="K7462" s="15" t="s">
        <v>23</v>
      </c>
    </row>
    <row r="7463" spans="1:11" ht="42" customHeight="1">
      <c r="A7463" s="4" t="s">
        <v>16724</v>
      </c>
      <c r="B7463" s="5" t="s">
        <v>16725</v>
      </c>
      <c r="C7463" s="5" t="s">
        <v>32</v>
      </c>
      <c r="D7463" s="5" t="s">
        <v>33</v>
      </c>
      <c r="E7463" s="5" t="s">
        <v>94</v>
      </c>
      <c r="F7463" s="9">
        <v>19</v>
      </c>
      <c r="G7463" s="9">
        <v>241</v>
      </c>
      <c r="H7463" s="5" t="s">
        <v>21</v>
      </c>
      <c r="I7463" s="5" t="s">
        <v>16726</v>
      </c>
      <c r="J7463" s="12" t="str">
        <f>HYPERLINK("https://www.boe.es/gazeta/dias/1801/03/06/pdfs/GMD-1801-19.pdf#page=6","Abrir facsímil")</f>
        <v>Abrir facsímil</v>
      </c>
      <c r="K7463" s="15" t="s">
        <v>23</v>
      </c>
    </row>
    <row r="7464" spans="1:11" ht="42" customHeight="1">
      <c r="A7464" s="4" t="s">
        <v>16727</v>
      </c>
      <c r="B7464" s="5" t="s">
        <v>16727</v>
      </c>
      <c r="C7464" s="5" t="s">
        <v>75</v>
      </c>
      <c r="D7464" s="5" t="s">
        <v>76</v>
      </c>
      <c r="E7464" s="5" t="s">
        <v>313</v>
      </c>
      <c r="F7464" s="9">
        <v>39</v>
      </c>
      <c r="G7464" s="9">
        <v>499</v>
      </c>
      <c r="H7464" s="5" t="s">
        <v>21</v>
      </c>
      <c r="I7464" s="5" t="s">
        <v>16728</v>
      </c>
      <c r="J7464" s="12" t="str">
        <f>HYPERLINK("https://www.boe.es/gazeta/dias/1801/05/15/pdfs/GMD-1801-39.pdf#page=3","Abrir facsímil")</f>
        <v>Abrir facsímil</v>
      </c>
      <c r="K7464" s="15" t="s">
        <v>23</v>
      </c>
    </row>
    <row r="7465" spans="1:11" ht="42" customHeight="1">
      <c r="A7465" s="4" t="s">
        <v>16727</v>
      </c>
      <c r="B7465" s="5" t="s">
        <v>16727</v>
      </c>
      <c r="C7465" s="5" t="s">
        <v>75</v>
      </c>
      <c r="D7465" s="5" t="s">
        <v>76</v>
      </c>
      <c r="E7465" s="5" t="s">
        <v>1085</v>
      </c>
      <c r="F7465" s="9">
        <v>99</v>
      </c>
      <c r="G7465" s="9">
        <v>1085</v>
      </c>
      <c r="H7465" s="5" t="s">
        <v>21</v>
      </c>
      <c r="I7465" s="5" t="s">
        <v>16729</v>
      </c>
      <c r="J7465" s="12" t="str">
        <f>HYPERLINK("https://www.boe.es/gazeta/dias/1801/10/20/pdfs/GMD-1801-99.pdf#page=2","Abrir facsímil")</f>
        <v>Abrir facsímil</v>
      </c>
      <c r="K7465" s="15" t="s">
        <v>23</v>
      </c>
    </row>
    <row r="7466" spans="1:11" ht="42" customHeight="1">
      <c r="A7466" s="4" t="s">
        <v>16727</v>
      </c>
      <c r="B7466" s="5" t="s">
        <v>16727</v>
      </c>
      <c r="C7466" s="5" t="s">
        <v>75</v>
      </c>
      <c r="D7466" s="5" t="s">
        <v>76</v>
      </c>
      <c r="E7466" s="5" t="s">
        <v>266</v>
      </c>
      <c r="F7466" s="9">
        <v>119</v>
      </c>
      <c r="G7466" s="9">
        <v>1297</v>
      </c>
      <c r="H7466" s="5" t="s">
        <v>21</v>
      </c>
      <c r="I7466" s="5" t="s">
        <v>16730</v>
      </c>
      <c r="J7466" s="12" t="str">
        <f>HYPERLINK("https://www.boe.es/gazeta/dias/1801/12/29/pdfs/GMD-1801-119.pdf#page=1","Abrir facsímil")</f>
        <v>Abrir facsímil</v>
      </c>
      <c r="K7466" s="15" t="s">
        <v>23</v>
      </c>
    </row>
    <row r="7467" spans="1:11" ht="42" customHeight="1">
      <c r="A7467" s="4" t="s">
        <v>16731</v>
      </c>
      <c r="B7467" s="5" t="s">
        <v>16731</v>
      </c>
      <c r="C7467" s="5" t="s">
        <v>38</v>
      </c>
      <c r="D7467" s="5" t="s">
        <v>39</v>
      </c>
      <c r="E7467" s="5" t="s">
        <v>317</v>
      </c>
      <c r="F7467" s="9">
        <v>102</v>
      </c>
      <c r="G7467" s="9">
        <v>1120</v>
      </c>
      <c r="H7467" s="5" t="s">
        <v>21</v>
      </c>
      <c r="I7467" s="5" t="s">
        <v>16732</v>
      </c>
      <c r="J7467" s="12" t="str">
        <f>HYPERLINK("https://www.boe.es/gazeta/dias/1801/10/30/pdfs/GMD-1801-102.pdf#page=5","Abrir facsímil")</f>
        <v>Abrir facsímil</v>
      </c>
      <c r="K7467" s="15" t="s">
        <v>23</v>
      </c>
    </row>
    <row r="7468" spans="1:11" ht="42" customHeight="1">
      <c r="A7468" s="4" t="s">
        <v>16733</v>
      </c>
      <c r="B7468" s="5" t="s">
        <v>16734</v>
      </c>
      <c r="C7468" s="5" t="s">
        <v>69</v>
      </c>
      <c r="D7468" s="5" t="s">
        <v>19</v>
      </c>
      <c r="E7468" s="5" t="s">
        <v>266</v>
      </c>
      <c r="F7468" s="9">
        <v>119</v>
      </c>
      <c r="G7468" s="9">
        <v>1300</v>
      </c>
      <c r="H7468" s="5" t="s">
        <v>21</v>
      </c>
      <c r="I7468" s="5" t="s">
        <v>16735</v>
      </c>
      <c r="J7468" s="12" t="str">
        <f>HYPERLINK("https://www.boe.es/gazeta/dias/1801/12/29/pdfs/GMD-1801-119.pdf#page=4","Abrir facsímil")</f>
        <v>Abrir facsímil</v>
      </c>
      <c r="K7468" s="15" t="s">
        <v>23</v>
      </c>
    </row>
    <row r="7469" spans="1:11" ht="42" customHeight="1">
      <c r="A7469" s="4" t="s">
        <v>16736</v>
      </c>
      <c r="B7469" s="5" t="s">
        <v>16736</v>
      </c>
      <c r="C7469" s="5" t="s">
        <v>75</v>
      </c>
      <c r="D7469" s="5" t="s">
        <v>76</v>
      </c>
      <c r="E7469" s="5" t="s">
        <v>158</v>
      </c>
      <c r="F7469" s="9">
        <v>55</v>
      </c>
      <c r="G7469" s="9">
        <v>626</v>
      </c>
      <c r="H7469" s="5" t="s">
        <v>21</v>
      </c>
      <c r="I7469" s="5" t="s">
        <v>16737</v>
      </c>
      <c r="J7469" s="12" t="str">
        <f>HYPERLINK("https://www.boe.es/gazeta/dias/1801/06/16/pdfs/GMD-1801-55.pdf#page=2","Abrir facsímil")</f>
        <v>Abrir facsímil</v>
      </c>
      <c r="K7469" s="15" t="s">
        <v>23</v>
      </c>
    </row>
    <row r="7470" spans="1:11" ht="42" customHeight="1">
      <c r="A7470" s="4" t="s">
        <v>16738</v>
      </c>
      <c r="B7470" s="5" t="s">
        <v>16739</v>
      </c>
      <c r="C7470" s="5" t="s">
        <v>75</v>
      </c>
      <c r="D7470" s="5" t="s">
        <v>76</v>
      </c>
      <c r="E7470" s="5" t="s">
        <v>158</v>
      </c>
      <c r="F7470" s="9">
        <v>55</v>
      </c>
      <c r="G7470" s="9">
        <v>625</v>
      </c>
      <c r="H7470" s="5" t="s">
        <v>21</v>
      </c>
      <c r="I7470" s="5" t="s">
        <v>16740</v>
      </c>
      <c r="J7470" s="12" t="str">
        <f>HYPERLINK("https://www.boe.es/gazeta/dias/1801/06/16/pdfs/GMD-1801-55.pdf#page=1","Abrir facsímil")</f>
        <v>Abrir facsímil</v>
      </c>
      <c r="K7470" s="15" t="s">
        <v>23</v>
      </c>
    </row>
    <row r="7471" spans="1:11" ht="42" customHeight="1">
      <c r="A7471" s="4" t="s">
        <v>16741</v>
      </c>
      <c r="B7471" s="5" t="s">
        <v>16742</v>
      </c>
      <c r="C7471" s="5" t="s">
        <v>32</v>
      </c>
      <c r="D7471" s="5" t="s">
        <v>33</v>
      </c>
      <c r="E7471" s="5" t="s">
        <v>99</v>
      </c>
      <c r="F7471" s="9">
        <v>32</v>
      </c>
      <c r="G7471" s="9">
        <v>415</v>
      </c>
      <c r="H7471" s="5" t="s">
        <v>21</v>
      </c>
      <c r="I7471" s="5" t="s">
        <v>16743</v>
      </c>
      <c r="J7471" s="12" t="str">
        <f>HYPERLINK("https://www.boe.es/gazeta/dias/1801/04/21/pdfs/GMD-1801-32.pdf#page=11","Abrir facsímil")</f>
        <v>Abrir facsímil</v>
      </c>
      <c r="K7471" s="15" t="s">
        <v>23</v>
      </c>
    </row>
    <row r="7472" spans="1:11" ht="42" customHeight="1">
      <c r="A7472" s="4" t="s">
        <v>16744</v>
      </c>
      <c r="B7472" s="5" t="s">
        <v>16745</v>
      </c>
      <c r="C7472" s="5" t="s">
        <v>69</v>
      </c>
      <c r="D7472" s="5" t="s">
        <v>19</v>
      </c>
      <c r="E7472" s="5" t="s">
        <v>309</v>
      </c>
      <c r="F7472" s="9">
        <v>118</v>
      </c>
      <c r="G7472" s="9">
        <v>1292</v>
      </c>
      <c r="H7472" s="5" t="s">
        <v>21</v>
      </c>
      <c r="I7472" s="5" t="s">
        <v>16746</v>
      </c>
      <c r="J7472" s="12" t="str">
        <f>HYPERLINK("https://www.boe.es/gazeta/dias/1801/12/25/pdfs/GMD-1801-118.pdf#page=7","Abrir facsímil")</f>
        <v>Abrir facsímil</v>
      </c>
      <c r="K7472" s="15" t="s">
        <v>23</v>
      </c>
    </row>
    <row r="7473" spans="1:11" ht="42" customHeight="1">
      <c r="A7473" s="4" t="s">
        <v>16747</v>
      </c>
      <c r="B7473" s="5" t="s">
        <v>16748</v>
      </c>
      <c r="C7473" s="5" t="s">
        <v>69</v>
      </c>
      <c r="D7473" s="5" t="s">
        <v>19</v>
      </c>
      <c r="E7473" s="5" t="s">
        <v>781</v>
      </c>
      <c r="F7473" s="9">
        <v>14</v>
      </c>
      <c r="G7473" s="9">
        <v>173</v>
      </c>
      <c r="H7473" s="5" t="s">
        <v>21</v>
      </c>
      <c r="I7473" s="5" t="s">
        <v>16749</v>
      </c>
      <c r="J7473" s="12" t="str">
        <f>HYPERLINK("https://www.boe.es/gazeta/dias/1801/02/17/pdfs/GMD-1801-14.pdf#page=8","Abrir facsímil")</f>
        <v>Abrir facsímil</v>
      </c>
      <c r="K7473" s="15" t="s">
        <v>23</v>
      </c>
    </row>
    <row r="7474" spans="1:11" ht="42" customHeight="1">
      <c r="A7474" s="4" t="s">
        <v>16750</v>
      </c>
      <c r="B7474" s="5" t="s">
        <v>16751</v>
      </c>
      <c r="C7474" s="5" t="s">
        <v>32</v>
      </c>
      <c r="D7474" s="5" t="s">
        <v>33</v>
      </c>
      <c r="E7474" s="5" t="s">
        <v>137</v>
      </c>
      <c r="F7474" s="9">
        <v>30</v>
      </c>
      <c r="G7474" s="9">
        <v>394</v>
      </c>
      <c r="H7474" s="5" t="s">
        <v>21</v>
      </c>
      <c r="I7474" s="5" t="s">
        <v>16752</v>
      </c>
      <c r="J7474" s="12" t="str">
        <f>HYPERLINK("https://www.boe.es/gazeta/dias/1801/04/14/pdfs/GMD-1801-30.pdf#page=10","Abrir facsímil")</f>
        <v>Abrir facsímil</v>
      </c>
      <c r="K7474" s="15" t="s">
        <v>23</v>
      </c>
    </row>
    <row r="7475" spans="1:11" ht="42" customHeight="1">
      <c r="A7475" s="4" t="s">
        <v>16753</v>
      </c>
      <c r="B7475" s="5" t="s">
        <v>16754</v>
      </c>
      <c r="C7475" s="5" t="s">
        <v>32</v>
      </c>
      <c r="D7475" s="5" t="s">
        <v>33</v>
      </c>
      <c r="E7475" s="5" t="s">
        <v>480</v>
      </c>
      <c r="F7475" s="9">
        <v>10</v>
      </c>
      <c r="G7475" s="9">
        <v>123</v>
      </c>
      <c r="H7475" s="5" t="s">
        <v>21</v>
      </c>
      <c r="I7475" s="5" t="s">
        <v>16755</v>
      </c>
      <c r="J7475" s="12" t="str">
        <f>HYPERLINK("https://www.boe.es/gazeta/dias/1801/02/03/pdfs/GMD-1801-10.pdf#page=8","Abrir facsímil")</f>
        <v>Abrir facsímil</v>
      </c>
      <c r="K7475" s="15" t="s">
        <v>23</v>
      </c>
    </row>
    <row r="7476" spans="1:11" ht="42" customHeight="1">
      <c r="A7476" s="4" t="s">
        <v>16756</v>
      </c>
      <c r="B7476" s="5" t="s">
        <v>16757</v>
      </c>
      <c r="C7476" s="5" t="s">
        <v>69</v>
      </c>
      <c r="D7476" s="5" t="s">
        <v>19</v>
      </c>
      <c r="E7476" s="5" t="s">
        <v>153</v>
      </c>
      <c r="F7476" s="9">
        <v>48</v>
      </c>
      <c r="G7476" s="9">
        <v>586</v>
      </c>
      <c r="H7476" s="5" t="s">
        <v>21</v>
      </c>
      <c r="I7476" s="5" t="s">
        <v>16758</v>
      </c>
      <c r="J7476" s="12" t="str">
        <f>HYPERLINK("https://www.boe.es/gazeta/dias/1801/06/05/pdfs/GMD-1801-48.pdf#page=8","Abrir facsímil")</f>
        <v>Abrir facsímil</v>
      </c>
      <c r="K7476" s="15" t="s">
        <v>23</v>
      </c>
    </row>
    <row r="7477" spans="1:11" ht="42" customHeight="1">
      <c r="A7477" s="4" t="s">
        <v>16756</v>
      </c>
      <c r="B7477" s="5" t="s">
        <v>16757</v>
      </c>
      <c r="C7477" s="5" t="s">
        <v>18</v>
      </c>
      <c r="D7477" s="5" t="s">
        <v>19</v>
      </c>
      <c r="E7477" s="5" t="s">
        <v>108</v>
      </c>
      <c r="F7477" s="9">
        <v>61</v>
      </c>
      <c r="G7477" s="9">
        <v>698</v>
      </c>
      <c r="H7477" s="5" t="s">
        <v>21</v>
      </c>
      <c r="I7477" s="5" t="s">
        <v>16759</v>
      </c>
      <c r="J7477" s="12" t="str">
        <f>HYPERLINK("https://www.boe.es/gazeta/dias/1801/06/30/pdfs/GMD-1801-61.pdf#page=7","Abrir facsímil")</f>
        <v>Abrir facsímil</v>
      </c>
      <c r="K7477" s="15" t="s">
        <v>23</v>
      </c>
    </row>
    <row r="7478" spans="1:11" ht="42" customHeight="1">
      <c r="A7478" s="4" t="s">
        <v>16760</v>
      </c>
      <c r="B7478" s="5" t="s">
        <v>16761</v>
      </c>
      <c r="C7478" s="5" t="s">
        <v>32</v>
      </c>
      <c r="D7478" s="5" t="s">
        <v>33</v>
      </c>
      <c r="E7478" s="5" t="s">
        <v>165</v>
      </c>
      <c r="F7478" s="9">
        <v>59</v>
      </c>
      <c r="G7478" s="9">
        <v>676</v>
      </c>
      <c r="H7478" s="5" t="s">
        <v>21</v>
      </c>
      <c r="I7478" s="5" t="s">
        <v>16762</v>
      </c>
      <c r="J7478" s="12" t="str">
        <f>HYPERLINK("https://www.boe.es/gazeta/dias/1801/06/23/pdfs/GMD-1801-59.pdf#page=9","Abrir facsímil")</f>
        <v>Abrir facsímil</v>
      </c>
      <c r="K7478" s="15" t="s">
        <v>23</v>
      </c>
    </row>
    <row r="7479" spans="1:11" ht="42" customHeight="1">
      <c r="A7479" s="4" t="s">
        <v>16763</v>
      </c>
      <c r="B7479" s="5" t="s">
        <v>16764</v>
      </c>
      <c r="C7479" s="5" t="s">
        <v>80</v>
      </c>
      <c r="D7479" s="5" t="s">
        <v>81</v>
      </c>
      <c r="E7479" s="5" t="s">
        <v>289</v>
      </c>
      <c r="F7479" s="9">
        <v>40</v>
      </c>
      <c r="G7479" s="9" t="s">
        <v>517</v>
      </c>
      <c r="H7479" s="5" t="s">
        <v>21</v>
      </c>
      <c r="I7479" s="5" t="s">
        <v>16765</v>
      </c>
      <c r="J7479" s="12" t="str">
        <f>HYPERLINK("https://www.boe.es/gazeta/dias/1801/05/19/pdfs/GMD-C-1801-40.pdf#page=7","Abrir facsímil")</f>
        <v>Abrir facsímil</v>
      </c>
      <c r="K7479" s="15" t="s">
        <v>23</v>
      </c>
    </row>
    <row r="7480" spans="1:11" ht="42" customHeight="1">
      <c r="A7480" s="4" t="s">
        <v>16766</v>
      </c>
      <c r="B7480" s="5" t="s">
        <v>16767</v>
      </c>
      <c r="C7480" s="5" t="s">
        <v>32</v>
      </c>
      <c r="D7480" s="5" t="s">
        <v>33</v>
      </c>
      <c r="E7480" s="5" t="s">
        <v>124</v>
      </c>
      <c r="F7480" s="9">
        <v>12</v>
      </c>
      <c r="G7480" s="9">
        <v>140</v>
      </c>
      <c r="H7480" s="5" t="s">
        <v>21</v>
      </c>
      <c r="I7480" s="5" t="s">
        <v>16768</v>
      </c>
      <c r="J7480" s="12" t="str">
        <f>HYPERLINK("https://www.boe.es/gazeta/dias/1801/02/10/pdfs/GMD-1801-12.pdf#page=1","Abrir facsímil")</f>
        <v>Abrir facsímil</v>
      </c>
      <c r="K7480" s="15" t="s">
        <v>23</v>
      </c>
    </row>
    <row r="7481" spans="1:11" ht="42" customHeight="1">
      <c r="A7481" s="4" t="s">
        <v>16769</v>
      </c>
      <c r="B7481" s="5" t="s">
        <v>16770</v>
      </c>
      <c r="C7481" s="5" t="s">
        <v>32</v>
      </c>
      <c r="D7481" s="5" t="s">
        <v>33</v>
      </c>
      <c r="E7481" s="5" t="s">
        <v>165</v>
      </c>
      <c r="F7481" s="9">
        <v>59</v>
      </c>
      <c r="G7481" s="9">
        <v>668</v>
      </c>
      <c r="H7481" s="5" t="s">
        <v>21</v>
      </c>
      <c r="I7481" s="5" t="s">
        <v>16771</v>
      </c>
      <c r="J7481" s="12" t="str">
        <f>HYPERLINK("https://www.boe.es/gazeta/dias/1801/06/23/pdfs/GMD-1801-59.pdf#page=1","Abrir facsímil")</f>
        <v>Abrir facsímil</v>
      </c>
      <c r="K7481" s="15" t="s">
        <v>23</v>
      </c>
    </row>
    <row r="7482" spans="1:11" ht="42" customHeight="1">
      <c r="A7482" s="4" t="s">
        <v>16772</v>
      </c>
      <c r="B7482" s="5" t="s">
        <v>16773</v>
      </c>
      <c r="C7482" s="5" t="s">
        <v>75</v>
      </c>
      <c r="D7482" s="5" t="s">
        <v>76</v>
      </c>
      <c r="E7482" s="5" t="s">
        <v>190</v>
      </c>
      <c r="F7482" s="9">
        <v>16</v>
      </c>
      <c r="G7482" s="9">
        <v>198</v>
      </c>
      <c r="H7482" s="5" t="s">
        <v>21</v>
      </c>
      <c r="I7482" s="5" t="s">
        <v>16774</v>
      </c>
      <c r="J7482" s="12" t="str">
        <f>HYPERLINK("https://www.boe.es/gazeta/dias/1801/02/24/pdfs/GMD-1801-16.pdf#page=5","Abrir facsímil")</f>
        <v>Abrir facsímil</v>
      </c>
      <c r="K7482" s="15" t="s">
        <v>23</v>
      </c>
    </row>
    <row r="7483" spans="1:11" ht="42" customHeight="1">
      <c r="A7483" s="4" t="s">
        <v>16775</v>
      </c>
      <c r="B7483" s="5" t="s">
        <v>16776</v>
      </c>
      <c r="C7483" s="5" t="s">
        <v>75</v>
      </c>
      <c r="D7483" s="5" t="s">
        <v>76</v>
      </c>
      <c r="E7483" s="5" t="s">
        <v>145</v>
      </c>
      <c r="F7483" s="9">
        <v>36</v>
      </c>
      <c r="G7483" s="9">
        <v>460</v>
      </c>
      <c r="H7483" s="5" t="s">
        <v>21</v>
      </c>
      <c r="I7483" s="5" t="s">
        <v>16777</v>
      </c>
      <c r="J7483" s="12" t="str">
        <f>HYPERLINK("https://www.boe.es/gazeta/dias/1801/05/05/pdfs/GMD-1801-36.pdf#page=4","Abrir facsímil")</f>
        <v>Abrir facsímil</v>
      </c>
      <c r="K7483" s="15" t="s">
        <v>23</v>
      </c>
    </row>
    <row r="7484" spans="1:11" ht="42" customHeight="1">
      <c r="A7484" s="4" t="s">
        <v>16778</v>
      </c>
      <c r="B7484" s="5" t="s">
        <v>16779</v>
      </c>
      <c r="C7484" s="5" t="s">
        <v>75</v>
      </c>
      <c r="D7484" s="5" t="s">
        <v>76</v>
      </c>
      <c r="E7484" s="5" t="s">
        <v>101</v>
      </c>
      <c r="F7484" s="9">
        <v>41</v>
      </c>
      <c r="G7484" s="9">
        <v>521</v>
      </c>
      <c r="H7484" s="5" t="s">
        <v>21</v>
      </c>
      <c r="I7484" s="5" t="s">
        <v>16780</v>
      </c>
      <c r="J7484" s="12" t="str">
        <f>HYPERLINK("https://www.boe.es/gazeta/dias/1801/05/22/pdfs/GMD-1801-41.pdf#page=5","Abrir facsímil")</f>
        <v>Abrir facsímil</v>
      </c>
      <c r="K7484" s="15" t="s">
        <v>23</v>
      </c>
    </row>
    <row r="7485" spans="1:11" ht="42" customHeight="1">
      <c r="A7485" s="4" t="s">
        <v>16781</v>
      </c>
      <c r="B7485" s="5" t="s">
        <v>16782</v>
      </c>
      <c r="C7485" s="5" t="s">
        <v>32</v>
      </c>
      <c r="D7485" s="5" t="s">
        <v>33</v>
      </c>
      <c r="E7485" s="5" t="s">
        <v>264</v>
      </c>
      <c r="F7485" s="9">
        <v>111</v>
      </c>
      <c r="G7485" s="9">
        <v>1218</v>
      </c>
      <c r="H7485" s="5" t="s">
        <v>21</v>
      </c>
      <c r="I7485" s="5" t="s">
        <v>16783</v>
      </c>
      <c r="J7485" s="12" t="str">
        <f>HYPERLINK("https://www.boe.es/gazeta/dias/1801/12/01/pdfs/GMD-1801-111.pdf#page=7","Abrir facsímil")</f>
        <v>Abrir facsímil</v>
      </c>
      <c r="K7485" s="15" t="s">
        <v>23</v>
      </c>
    </row>
    <row r="7486" spans="1:11" ht="42" customHeight="1">
      <c r="A7486" s="4" t="s">
        <v>16784</v>
      </c>
      <c r="B7486" s="5" t="s">
        <v>16785</v>
      </c>
      <c r="C7486" s="5" t="s">
        <v>75</v>
      </c>
      <c r="D7486" s="5" t="s">
        <v>76</v>
      </c>
      <c r="E7486" s="5" t="s">
        <v>888</v>
      </c>
      <c r="F7486" s="9">
        <v>103</v>
      </c>
      <c r="G7486" s="9">
        <v>1130</v>
      </c>
      <c r="H7486" s="5" t="s">
        <v>21</v>
      </c>
      <c r="I7486" s="5" t="s">
        <v>16786</v>
      </c>
      <c r="J7486" s="12" t="str">
        <f>HYPERLINK("https://www.boe.es/gazeta/dias/1801/11/03/pdfs/GMD-1801-103.pdf#page=3","Abrir facsímil")</f>
        <v>Abrir facsímil</v>
      </c>
      <c r="K7486" s="15" t="s">
        <v>23</v>
      </c>
    </row>
    <row r="7487" spans="1:11" ht="42" customHeight="1">
      <c r="A7487" s="4" t="s">
        <v>16787</v>
      </c>
      <c r="B7487" s="5" t="s">
        <v>16788</v>
      </c>
      <c r="C7487" s="5" t="s">
        <v>75</v>
      </c>
      <c r="D7487" s="5" t="s">
        <v>76</v>
      </c>
      <c r="E7487" s="5" t="s">
        <v>888</v>
      </c>
      <c r="F7487" s="9">
        <v>103</v>
      </c>
      <c r="G7487" s="9">
        <v>1128</v>
      </c>
      <c r="H7487" s="5" t="s">
        <v>21</v>
      </c>
      <c r="I7487" s="5" t="s">
        <v>16789</v>
      </c>
      <c r="J7487" s="12" t="str">
        <f>HYPERLINK("https://www.boe.es/gazeta/dias/1801/11/03/pdfs/GMD-1801-103.pdf#page=1","Abrir facsímil")</f>
        <v>Abrir facsímil</v>
      </c>
      <c r="K7487" s="15" t="s">
        <v>23</v>
      </c>
    </row>
    <row r="7488" spans="1:11" ht="42" customHeight="1">
      <c r="A7488" s="4" t="s">
        <v>16787</v>
      </c>
      <c r="B7488" s="5" t="s">
        <v>16788</v>
      </c>
      <c r="C7488" s="5" t="s">
        <v>38</v>
      </c>
      <c r="D7488" s="5" t="s">
        <v>39</v>
      </c>
      <c r="E7488" s="5" t="s">
        <v>751</v>
      </c>
      <c r="F7488" s="9">
        <v>106</v>
      </c>
      <c r="G7488" s="9">
        <v>1160</v>
      </c>
      <c r="H7488" s="5" t="s">
        <v>21</v>
      </c>
      <c r="I7488" s="5" t="s">
        <v>16790</v>
      </c>
      <c r="J7488" s="12" t="str">
        <f>HYPERLINK("https://www.boe.es/gazeta/dias/1801/11/13/pdfs/GMD-1801-106.pdf#page=1","Abrir facsímil")</f>
        <v>Abrir facsímil</v>
      </c>
      <c r="K7488" s="15" t="s">
        <v>23</v>
      </c>
    </row>
    <row r="7489" spans="1:11" ht="42" customHeight="1">
      <c r="A7489" s="4" t="s">
        <v>16791</v>
      </c>
      <c r="B7489" s="5" t="s">
        <v>16792</v>
      </c>
      <c r="C7489" s="5" t="s">
        <v>75</v>
      </c>
      <c r="D7489" s="5" t="s">
        <v>76</v>
      </c>
      <c r="E7489" s="5" t="s">
        <v>1085</v>
      </c>
      <c r="F7489" s="9">
        <v>99</v>
      </c>
      <c r="G7489" s="9">
        <v>1084</v>
      </c>
      <c r="H7489" s="5" t="s">
        <v>21</v>
      </c>
      <c r="I7489" s="5" t="s">
        <v>16793</v>
      </c>
      <c r="J7489" s="12" t="str">
        <f>HYPERLINK("https://www.boe.es/gazeta/dias/1801/10/20/pdfs/GMD-1801-99.pdf#page=1","Abrir facsímil")</f>
        <v>Abrir facsímil</v>
      </c>
      <c r="K7489" s="15" t="s">
        <v>23</v>
      </c>
    </row>
    <row r="7490" spans="1:11" ht="42" customHeight="1">
      <c r="A7490" s="4" t="s">
        <v>16794</v>
      </c>
      <c r="B7490" s="5" t="s">
        <v>16795</v>
      </c>
      <c r="C7490" s="5" t="s">
        <v>38</v>
      </c>
      <c r="D7490" s="5" t="s">
        <v>39</v>
      </c>
      <c r="E7490" s="5" t="s">
        <v>97</v>
      </c>
      <c r="F7490" s="9">
        <v>31</v>
      </c>
      <c r="G7490" s="9">
        <v>400</v>
      </c>
      <c r="H7490" s="5" t="s">
        <v>21</v>
      </c>
      <c r="I7490" s="5" t="s">
        <v>16796</v>
      </c>
      <c r="J7490" s="12" t="str">
        <f>HYPERLINK("https://www.boe.es/gazeta/dias/1801/04/17/pdfs/GMD-1801-31.pdf#page=4","Abrir facsímil")</f>
        <v>Abrir facsímil</v>
      </c>
      <c r="K7490" s="15" t="s">
        <v>23</v>
      </c>
    </row>
    <row r="7491" spans="1:11" ht="42" customHeight="1">
      <c r="A7491" s="4" t="s">
        <v>16797</v>
      </c>
      <c r="B7491" s="5" t="s">
        <v>16798</v>
      </c>
      <c r="C7491" s="5" t="s">
        <v>32</v>
      </c>
      <c r="D7491" s="5" t="s">
        <v>33</v>
      </c>
      <c r="E7491" s="5" t="s">
        <v>615</v>
      </c>
      <c r="F7491" s="9">
        <v>72</v>
      </c>
      <c r="G7491" s="9">
        <v>804</v>
      </c>
      <c r="H7491" s="5" t="s">
        <v>21</v>
      </c>
      <c r="I7491" s="5" t="s">
        <v>16799</v>
      </c>
      <c r="J7491" s="12" t="str">
        <f>HYPERLINK("https://www.boe.es/gazeta/dias/1801/07/24/pdfs/GMD-1801-72.pdf#page=9","Abrir facsímil")</f>
        <v>Abrir facsímil</v>
      </c>
      <c r="K7491" s="15" t="s">
        <v>23</v>
      </c>
    </row>
    <row r="7492" spans="1:11" ht="42" customHeight="1">
      <c r="A7492" s="4" t="s">
        <v>16800</v>
      </c>
      <c r="B7492" s="5" t="s">
        <v>16801</v>
      </c>
      <c r="C7492" s="5" t="s">
        <v>38</v>
      </c>
      <c r="D7492" s="5" t="s">
        <v>39</v>
      </c>
      <c r="E7492" s="5" t="s">
        <v>194</v>
      </c>
      <c r="F7492" s="9">
        <v>92</v>
      </c>
      <c r="G7492" s="9">
        <v>1012</v>
      </c>
      <c r="H7492" s="5" t="s">
        <v>21</v>
      </c>
      <c r="I7492" s="5" t="s">
        <v>16802</v>
      </c>
      <c r="J7492" s="12" t="str">
        <f>HYPERLINK("https://www.boe.es/gazeta/dias/1801/09/25/pdfs/GMD-1801-92.pdf#page=7","Abrir facsímil")</f>
        <v>Abrir facsímil</v>
      </c>
      <c r="K7492" s="15" t="s">
        <v>23</v>
      </c>
    </row>
    <row r="7493" spans="1:11" ht="42" customHeight="1">
      <c r="A7493" s="4" t="s">
        <v>16803</v>
      </c>
      <c r="B7493" s="5" t="s">
        <v>16803</v>
      </c>
      <c r="C7493" s="5" t="s">
        <v>32</v>
      </c>
      <c r="D7493" s="5" t="s">
        <v>33</v>
      </c>
      <c r="E7493" s="5" t="s">
        <v>615</v>
      </c>
      <c r="F7493" s="9">
        <v>72</v>
      </c>
      <c r="G7493" s="9">
        <v>804</v>
      </c>
      <c r="H7493" s="5" t="s">
        <v>21</v>
      </c>
      <c r="I7493" s="5" t="s">
        <v>16804</v>
      </c>
      <c r="J7493" s="12" t="str">
        <f>HYPERLINK("https://www.boe.es/gazeta/dias/1801/07/24/pdfs/GMD-1801-72.pdf#page=9","Abrir facsímil")</f>
        <v>Abrir facsímil</v>
      </c>
      <c r="K7493" s="15" t="s">
        <v>23</v>
      </c>
    </row>
    <row r="7494" spans="1:11" ht="42" customHeight="1">
      <c r="A7494" s="4" t="s">
        <v>16805</v>
      </c>
      <c r="B7494" s="5" t="s">
        <v>16806</v>
      </c>
      <c r="C7494" s="5" t="s">
        <v>26</v>
      </c>
      <c r="D7494" s="5" t="s">
        <v>27</v>
      </c>
      <c r="E7494" s="5" t="s">
        <v>48</v>
      </c>
      <c r="F7494" s="9">
        <v>20</v>
      </c>
      <c r="G7494" s="9">
        <v>270</v>
      </c>
      <c r="H7494" s="5" t="s">
        <v>21</v>
      </c>
      <c r="I7494" s="5" t="s">
        <v>16807</v>
      </c>
      <c r="J7494" s="12" t="str">
        <f>HYPERLINK("https://www.boe.es/gazeta/dias/1801/03/10/pdfs/GMD-1801-20.pdf#page=15","Abrir facsímil")</f>
        <v>Abrir facsímil</v>
      </c>
      <c r="K7494" s="15" t="s">
        <v>23</v>
      </c>
    </row>
    <row r="7495" spans="1:11" ht="42" customHeight="1">
      <c r="A7495" s="4" t="s">
        <v>16808</v>
      </c>
      <c r="B7495" s="5" t="s">
        <v>16809</v>
      </c>
      <c r="C7495" s="5" t="s">
        <v>32</v>
      </c>
      <c r="D7495" s="5" t="s">
        <v>33</v>
      </c>
      <c r="E7495" s="5" t="s">
        <v>131</v>
      </c>
      <c r="F7495" s="9">
        <v>22</v>
      </c>
      <c r="G7495" s="9">
        <v>290</v>
      </c>
      <c r="H7495" s="5" t="s">
        <v>21</v>
      </c>
      <c r="I7495" s="5" t="s">
        <v>16810</v>
      </c>
      <c r="J7495" s="12" t="str">
        <f>HYPERLINK("https://www.boe.es/gazeta/dias/1801/03/17/pdfs/GMD-1801-22.pdf#page=7","Abrir facsímil")</f>
        <v>Abrir facsímil</v>
      </c>
      <c r="K7495" s="15" t="s">
        <v>23</v>
      </c>
    </row>
    <row r="7496" spans="1:11" ht="42" customHeight="1">
      <c r="A7496" s="4" t="s">
        <v>16811</v>
      </c>
      <c r="B7496" s="5" t="s">
        <v>16812</v>
      </c>
      <c r="C7496" s="5" t="s">
        <v>38</v>
      </c>
      <c r="D7496" s="5" t="s">
        <v>39</v>
      </c>
      <c r="E7496" s="5" t="s">
        <v>480</v>
      </c>
      <c r="F7496" s="9">
        <v>10</v>
      </c>
      <c r="G7496" s="9">
        <v>124</v>
      </c>
      <c r="H7496" s="5" t="s">
        <v>21</v>
      </c>
      <c r="I7496" s="5" t="s">
        <v>16813</v>
      </c>
      <c r="J7496" s="12" t="str">
        <f>HYPERLINK("https://www.boe.es/gazeta/dias/1801/02/03/pdfs/GMD-1801-10.pdf#page=9","Abrir facsímil")</f>
        <v>Abrir facsímil</v>
      </c>
      <c r="K7496" s="15" t="s">
        <v>23</v>
      </c>
    </row>
    <row r="7497" spans="1:11" ht="42" customHeight="1">
      <c r="A7497" s="4" t="s">
        <v>16814</v>
      </c>
      <c r="B7497" s="5" t="s">
        <v>16814</v>
      </c>
      <c r="C7497" s="5" t="s">
        <v>75</v>
      </c>
      <c r="D7497" s="5" t="s">
        <v>76</v>
      </c>
      <c r="E7497" s="5" t="s">
        <v>97</v>
      </c>
      <c r="F7497" s="9">
        <v>31</v>
      </c>
      <c r="G7497" s="9">
        <v>397</v>
      </c>
      <c r="H7497" s="5" t="s">
        <v>21</v>
      </c>
      <c r="I7497" s="5" t="s">
        <v>16815</v>
      </c>
      <c r="J7497" s="12" t="str">
        <f>HYPERLINK("https://www.boe.es/gazeta/dias/1801/04/17/pdfs/GMD-1801-31.pdf#page=1","Abrir facsímil")</f>
        <v>Abrir facsímil</v>
      </c>
      <c r="K7497" s="15" t="s">
        <v>23</v>
      </c>
    </row>
    <row r="7498" spans="1:11" ht="42" customHeight="1">
      <c r="A7498" s="4" t="s">
        <v>16814</v>
      </c>
      <c r="B7498" s="5" t="s">
        <v>16814</v>
      </c>
      <c r="C7498" s="5" t="s">
        <v>75</v>
      </c>
      <c r="D7498" s="5" t="s">
        <v>76</v>
      </c>
      <c r="E7498" s="5" t="s">
        <v>99</v>
      </c>
      <c r="F7498" s="9">
        <v>32</v>
      </c>
      <c r="G7498" s="9">
        <v>406</v>
      </c>
      <c r="H7498" s="5" t="s">
        <v>21</v>
      </c>
      <c r="I7498" s="5" t="s">
        <v>16816</v>
      </c>
      <c r="J7498" s="12" t="str">
        <f>HYPERLINK("https://www.boe.es/gazeta/dias/1801/04/21/pdfs/GMD-1801-32.pdf#page=2","Abrir facsímil")</f>
        <v>Abrir facsímil</v>
      </c>
      <c r="K7498" s="15" t="s">
        <v>23</v>
      </c>
    </row>
    <row r="7499" spans="1:11" ht="42" customHeight="1">
      <c r="A7499" s="4" t="s">
        <v>16817</v>
      </c>
      <c r="B7499" s="5" t="s">
        <v>16817</v>
      </c>
      <c r="C7499" s="5" t="s">
        <v>38</v>
      </c>
      <c r="D7499" s="5" t="s">
        <v>39</v>
      </c>
      <c r="E7499" s="5" t="s">
        <v>143</v>
      </c>
      <c r="F7499" s="9">
        <v>34</v>
      </c>
      <c r="G7499" s="9">
        <v>433</v>
      </c>
      <c r="H7499" s="5" t="s">
        <v>21</v>
      </c>
      <c r="I7499" s="5" t="s">
        <v>16818</v>
      </c>
      <c r="J7499" s="12" t="str">
        <f>HYPERLINK("https://www.boe.es/gazeta/dias/1801/04/28/pdfs/GMD-1801-34.pdf#page=5","Abrir facsímil")</f>
        <v>Abrir facsímil</v>
      </c>
      <c r="K7499" s="15" t="s">
        <v>23</v>
      </c>
    </row>
    <row r="7500" spans="1:11" ht="42" customHeight="1">
      <c r="A7500" s="4" t="s">
        <v>16819</v>
      </c>
      <c r="B7500" s="5" t="s">
        <v>16820</v>
      </c>
      <c r="C7500" s="5" t="s">
        <v>38</v>
      </c>
      <c r="D7500" s="5" t="s">
        <v>39</v>
      </c>
      <c r="E7500" s="5" t="s">
        <v>126</v>
      </c>
      <c r="F7500" s="9">
        <v>13</v>
      </c>
      <c r="G7500" s="9">
        <v>163</v>
      </c>
      <c r="H7500" s="5" t="s">
        <v>21</v>
      </c>
      <c r="I7500" s="5" t="s">
        <v>16821</v>
      </c>
      <c r="J7500" s="12" t="str">
        <f>HYPERLINK("https://www.boe.es/gazeta/dias/1801/02/13/pdfs/GMD-1801-13.pdf#page=10","Abrir facsímil")</f>
        <v>Abrir facsímil</v>
      </c>
      <c r="K7500" s="15" t="s">
        <v>23</v>
      </c>
    </row>
    <row r="7501" spans="1:11" ht="42" customHeight="1">
      <c r="A7501" s="4" t="s">
        <v>16822</v>
      </c>
      <c r="B7501" s="5" t="s">
        <v>16822</v>
      </c>
      <c r="C7501" s="5" t="s">
        <v>75</v>
      </c>
      <c r="D7501" s="5" t="s">
        <v>76</v>
      </c>
      <c r="E7501" s="5" t="s">
        <v>702</v>
      </c>
      <c r="F7501" s="9">
        <v>69</v>
      </c>
      <c r="G7501" s="9">
        <v>756</v>
      </c>
      <c r="H7501" s="5" t="s">
        <v>21</v>
      </c>
      <c r="I7501" s="5" t="s">
        <v>16823</v>
      </c>
      <c r="J7501" s="12" t="str">
        <f>HYPERLINK("https://www.boe.es/gazeta/dias/1801/07/14/pdfs/GMD-1801-69.pdf#page=1","Abrir facsímil")</f>
        <v>Abrir facsímil</v>
      </c>
      <c r="K7501" s="15" t="s">
        <v>23</v>
      </c>
    </row>
    <row r="7502" spans="1:11" ht="42" customHeight="1">
      <c r="A7502" s="4" t="s">
        <v>16824</v>
      </c>
      <c r="B7502" s="5" t="s">
        <v>16825</v>
      </c>
      <c r="C7502" s="5" t="s">
        <v>75</v>
      </c>
      <c r="D7502" s="5" t="s">
        <v>76</v>
      </c>
      <c r="E7502" s="5" t="s">
        <v>48</v>
      </c>
      <c r="F7502" s="9">
        <v>20</v>
      </c>
      <c r="G7502" s="9">
        <v>256</v>
      </c>
      <c r="H7502" s="5" t="s">
        <v>21</v>
      </c>
      <c r="I7502" s="5" t="s">
        <v>16826</v>
      </c>
      <c r="J7502" s="12" t="str">
        <f>HYPERLINK("https://www.boe.es/gazeta/dias/1801/03/10/pdfs/GMD-1801-20.pdf#page=1","Abrir facsímil")</f>
        <v>Abrir facsímil</v>
      </c>
      <c r="K7502" s="15" t="s">
        <v>23</v>
      </c>
    </row>
    <row r="7503" spans="1:11" ht="42" customHeight="1">
      <c r="A7503" s="4" t="s">
        <v>16824</v>
      </c>
      <c r="B7503" s="5" t="s">
        <v>16825</v>
      </c>
      <c r="C7503" s="5" t="s">
        <v>75</v>
      </c>
      <c r="D7503" s="5" t="s">
        <v>76</v>
      </c>
      <c r="E7503" s="5" t="s">
        <v>702</v>
      </c>
      <c r="F7503" s="9">
        <v>69</v>
      </c>
      <c r="G7503" s="9">
        <v>756</v>
      </c>
      <c r="H7503" s="5" t="s">
        <v>21</v>
      </c>
      <c r="I7503" s="5" t="s">
        <v>16827</v>
      </c>
      <c r="J7503" s="12" t="str">
        <f>HYPERLINK("https://www.boe.es/gazeta/dias/1801/07/14/pdfs/GMD-1801-69.pdf#page=1","Abrir facsímil")</f>
        <v>Abrir facsímil</v>
      </c>
      <c r="K7503" s="15" t="s">
        <v>23</v>
      </c>
    </row>
    <row r="7504" spans="1:11" ht="42" customHeight="1">
      <c r="A7504" s="4" t="s">
        <v>16828</v>
      </c>
      <c r="B7504" s="5" t="s">
        <v>16829</v>
      </c>
      <c r="C7504" s="5" t="s">
        <v>32</v>
      </c>
      <c r="D7504" s="5" t="s">
        <v>33</v>
      </c>
      <c r="E7504" s="5" t="s">
        <v>453</v>
      </c>
      <c r="F7504" s="9">
        <v>100</v>
      </c>
      <c r="G7504" s="9">
        <v>1101</v>
      </c>
      <c r="H7504" s="5" t="s">
        <v>21</v>
      </c>
      <c r="I7504" s="5" t="s">
        <v>16830</v>
      </c>
      <c r="J7504" s="12" t="str">
        <f>HYPERLINK("https://www.boe.es/gazeta/dias/1801/10/23/pdfs/GMD-1801-100.pdf#page=10","Abrir facsímil")</f>
        <v>Abrir facsímil</v>
      </c>
      <c r="K7504" s="15" t="s">
        <v>23</v>
      </c>
    </row>
    <row r="7505" spans="1:11" ht="42" customHeight="1">
      <c r="A7505" s="4" t="s">
        <v>16831</v>
      </c>
      <c r="B7505" s="5" t="s">
        <v>16831</v>
      </c>
      <c r="C7505" s="5" t="s">
        <v>38</v>
      </c>
      <c r="D7505" s="5" t="s">
        <v>39</v>
      </c>
      <c r="E7505" s="5" t="s">
        <v>141</v>
      </c>
      <c r="F7505" s="9">
        <v>33</v>
      </c>
      <c r="G7505" s="9">
        <v>427</v>
      </c>
      <c r="H7505" s="5" t="s">
        <v>21</v>
      </c>
      <c r="I7505" s="5" t="s">
        <v>16832</v>
      </c>
      <c r="J7505" s="12" t="str">
        <f>HYPERLINK("https://www.boe.es/gazeta/dias/1801/04/24/pdfs/GMD-1801-33.pdf#page=11","Abrir facsímil")</f>
        <v>Abrir facsímil</v>
      </c>
      <c r="K7505" s="15" t="s">
        <v>23</v>
      </c>
    </row>
    <row r="7506" spans="1:11" ht="42" customHeight="1">
      <c r="A7506" s="4" t="s">
        <v>16833</v>
      </c>
      <c r="B7506" s="5" t="s">
        <v>16834</v>
      </c>
      <c r="C7506" s="5" t="s">
        <v>80</v>
      </c>
      <c r="D7506" s="5" t="s">
        <v>81</v>
      </c>
      <c r="E7506" s="5" t="s">
        <v>289</v>
      </c>
      <c r="F7506" s="9">
        <v>40</v>
      </c>
      <c r="G7506" s="9" t="s">
        <v>305</v>
      </c>
      <c r="H7506" s="5" t="s">
        <v>21</v>
      </c>
      <c r="I7506" s="5" t="s">
        <v>16835</v>
      </c>
      <c r="J7506" s="12" t="str">
        <f>HYPERLINK("https://www.boe.es/gazeta/dias/1801/05/19/pdfs/GMD-C-1801-40.pdf#page=4","Abrir facsímil")</f>
        <v>Abrir facsímil</v>
      </c>
      <c r="K7506" s="15" t="s">
        <v>23</v>
      </c>
    </row>
    <row r="7507" spans="1:11" ht="42" customHeight="1">
      <c r="A7507" s="4" t="s">
        <v>16836</v>
      </c>
      <c r="B7507" s="5" t="s">
        <v>16837</v>
      </c>
      <c r="C7507" s="5" t="s">
        <v>38</v>
      </c>
      <c r="D7507" s="5" t="s">
        <v>39</v>
      </c>
      <c r="E7507" s="5" t="s">
        <v>143</v>
      </c>
      <c r="F7507" s="9">
        <v>34</v>
      </c>
      <c r="G7507" s="9">
        <v>433</v>
      </c>
      <c r="H7507" s="5" t="s">
        <v>21</v>
      </c>
      <c r="I7507" s="5" t="s">
        <v>16838</v>
      </c>
      <c r="J7507" s="12" t="str">
        <f>HYPERLINK("https://www.boe.es/gazeta/dias/1801/04/28/pdfs/GMD-1801-34.pdf#page=5","Abrir facsímil")</f>
        <v>Abrir facsímil</v>
      </c>
      <c r="K7507" s="15" t="s">
        <v>23</v>
      </c>
    </row>
    <row r="7508" spans="1:11" ht="42" customHeight="1">
      <c r="A7508" s="4" t="s">
        <v>16839</v>
      </c>
      <c r="B7508" s="5" t="s">
        <v>16840</v>
      </c>
      <c r="C7508" s="5" t="s">
        <v>80</v>
      </c>
      <c r="D7508" s="5" t="s">
        <v>81</v>
      </c>
      <c r="E7508" s="5" t="s">
        <v>289</v>
      </c>
      <c r="F7508" s="9">
        <v>40</v>
      </c>
      <c r="G7508" s="9" t="s">
        <v>668</v>
      </c>
      <c r="H7508" s="5" t="s">
        <v>21</v>
      </c>
      <c r="I7508" s="5" t="s">
        <v>16841</v>
      </c>
      <c r="J7508" s="12" t="str">
        <f>HYPERLINK("https://www.boe.es/gazeta/dias/1801/05/19/pdfs/GMD-C-1801-40.pdf#page=1","Abrir facsímil")</f>
        <v>Abrir facsímil</v>
      </c>
      <c r="K7508" s="15" t="s">
        <v>23</v>
      </c>
    </row>
    <row r="7509" spans="1:11" ht="42" customHeight="1">
      <c r="A7509" s="4" t="s">
        <v>16842</v>
      </c>
      <c r="B7509" s="5" t="s">
        <v>16842</v>
      </c>
      <c r="C7509" s="5" t="s">
        <v>32</v>
      </c>
      <c r="D7509" s="5" t="s">
        <v>33</v>
      </c>
      <c r="E7509" s="5" t="s">
        <v>145</v>
      </c>
      <c r="F7509" s="9">
        <v>36</v>
      </c>
      <c r="G7509" s="9">
        <v>472</v>
      </c>
      <c r="H7509" s="5" t="s">
        <v>21</v>
      </c>
      <c r="I7509" s="5" t="s">
        <v>16843</v>
      </c>
      <c r="J7509" s="12" t="str">
        <f>HYPERLINK("https://www.boe.es/gazeta/dias/1801/05/05/pdfs/GMD-1801-36.pdf#page=16","Abrir facsímil")</f>
        <v>Abrir facsímil</v>
      </c>
      <c r="K7509" s="15" t="s">
        <v>23</v>
      </c>
    </row>
    <row r="7510" spans="1:11" ht="42" customHeight="1">
      <c r="A7510" s="4" t="s">
        <v>16844</v>
      </c>
      <c r="B7510" s="5" t="s">
        <v>16845</v>
      </c>
      <c r="C7510" s="5" t="s">
        <v>69</v>
      </c>
      <c r="D7510" s="5" t="s">
        <v>19</v>
      </c>
      <c r="E7510" s="5" t="s">
        <v>275</v>
      </c>
      <c r="F7510" s="9">
        <v>9</v>
      </c>
      <c r="G7510" s="9">
        <v>112</v>
      </c>
      <c r="H7510" s="5" t="s">
        <v>21</v>
      </c>
      <c r="I7510" s="5" t="s">
        <v>16846</v>
      </c>
      <c r="J7510" s="12" t="str">
        <f>HYPERLINK("https://www.boe.es/gazeta/dias/1801/01/30/pdfs/GMD-1801-9.pdf#page=9","Abrir facsímil")</f>
        <v>Abrir facsímil</v>
      </c>
      <c r="K7510" s="15" t="s">
        <v>23</v>
      </c>
    </row>
    <row r="7511" spans="1:11" ht="42" customHeight="1">
      <c r="A7511" s="4" t="s">
        <v>16847</v>
      </c>
      <c r="B7511" s="5" t="s">
        <v>16847</v>
      </c>
      <c r="C7511" s="5" t="s">
        <v>32</v>
      </c>
      <c r="D7511" s="5" t="s">
        <v>33</v>
      </c>
      <c r="E7511" s="5" t="s">
        <v>1939</v>
      </c>
      <c r="F7511" s="9">
        <v>107</v>
      </c>
      <c r="G7511" s="9">
        <v>1174</v>
      </c>
      <c r="H7511" s="5" t="s">
        <v>21</v>
      </c>
      <c r="I7511" s="5" t="s">
        <v>16848</v>
      </c>
      <c r="J7511" s="12" t="str">
        <f>HYPERLINK("https://www.boe.es/gazeta/dias/1801/11/17/pdfs/GMD-1801-107.pdf#page=3","Abrir facsímil")</f>
        <v>Abrir facsímil</v>
      </c>
      <c r="K7511" s="15" t="s">
        <v>23</v>
      </c>
    </row>
    <row r="7512" spans="1:11" ht="42" customHeight="1">
      <c r="A7512" s="4" t="s">
        <v>16849</v>
      </c>
      <c r="B7512" s="5" t="s">
        <v>16850</v>
      </c>
      <c r="C7512" s="5" t="s">
        <v>75</v>
      </c>
      <c r="D7512" s="5" t="s">
        <v>76</v>
      </c>
      <c r="E7512" s="5" t="s">
        <v>145</v>
      </c>
      <c r="F7512" s="9">
        <v>36</v>
      </c>
      <c r="G7512" s="9">
        <v>466</v>
      </c>
      <c r="H7512" s="5" t="s">
        <v>21</v>
      </c>
      <c r="I7512" s="5" t="s">
        <v>16851</v>
      </c>
      <c r="J7512" s="12" t="str">
        <f>HYPERLINK("https://www.boe.es/gazeta/dias/1801/05/05/pdfs/GMD-1801-36.pdf#page=10","Abrir facsímil")</f>
        <v>Abrir facsímil</v>
      </c>
      <c r="K7512" s="15" t="s">
        <v>23</v>
      </c>
    </row>
    <row r="7513" spans="1:11" ht="42" customHeight="1">
      <c r="A7513" s="4" t="s">
        <v>16852</v>
      </c>
      <c r="B7513" s="5" t="s">
        <v>16853</v>
      </c>
      <c r="C7513" s="5" t="s">
        <v>32</v>
      </c>
      <c r="D7513" s="5" t="s">
        <v>33</v>
      </c>
      <c r="E7513" s="5" t="s">
        <v>145</v>
      </c>
      <c r="F7513" s="9">
        <v>36</v>
      </c>
      <c r="G7513" s="9">
        <v>468</v>
      </c>
      <c r="H7513" s="5" t="s">
        <v>21</v>
      </c>
      <c r="I7513" s="5" t="s">
        <v>16854</v>
      </c>
      <c r="J7513" s="12" t="str">
        <f>HYPERLINK("https://www.boe.es/gazeta/dias/1801/05/05/pdfs/GMD-1801-36.pdf#page=12","Abrir facsímil")</f>
        <v>Abrir facsímil</v>
      </c>
      <c r="K7513" s="15" t="s">
        <v>23</v>
      </c>
    </row>
    <row r="7514" spans="1:11" ht="42" customHeight="1">
      <c r="A7514" s="4" t="s">
        <v>16855</v>
      </c>
      <c r="B7514" s="5" t="s">
        <v>16855</v>
      </c>
      <c r="C7514" s="5" t="s">
        <v>32</v>
      </c>
      <c r="D7514" s="5" t="s">
        <v>33</v>
      </c>
      <c r="E7514" s="5" t="s">
        <v>165</v>
      </c>
      <c r="F7514" s="9">
        <v>59</v>
      </c>
      <c r="G7514" s="9">
        <v>672</v>
      </c>
      <c r="H7514" s="5" t="s">
        <v>21</v>
      </c>
      <c r="I7514" s="5" t="s">
        <v>16856</v>
      </c>
      <c r="J7514" s="12" t="str">
        <f>HYPERLINK("https://www.boe.es/gazeta/dias/1801/06/23/pdfs/GMD-1801-59.pdf#page=5","Abrir facsímil")</f>
        <v>Abrir facsímil</v>
      </c>
      <c r="K7514" s="15" t="s">
        <v>23</v>
      </c>
    </row>
    <row r="7515" spans="1:11" ht="42" customHeight="1">
      <c r="A7515" s="4" t="s">
        <v>16857</v>
      </c>
      <c r="B7515" s="5" t="s">
        <v>16858</v>
      </c>
      <c r="C7515" s="5" t="s">
        <v>32</v>
      </c>
      <c r="D7515" s="5" t="s">
        <v>33</v>
      </c>
      <c r="E7515" s="5" t="s">
        <v>453</v>
      </c>
      <c r="F7515" s="9">
        <v>100</v>
      </c>
      <c r="G7515" s="9">
        <v>1100</v>
      </c>
      <c r="H7515" s="5" t="s">
        <v>21</v>
      </c>
      <c r="I7515" s="5" t="s">
        <v>16859</v>
      </c>
      <c r="J7515" s="12" t="str">
        <f>HYPERLINK("https://www.boe.es/gazeta/dias/1801/10/23/pdfs/GMD-1801-100.pdf#page=9","Abrir facsímil")</f>
        <v>Abrir facsímil</v>
      </c>
      <c r="K7515" s="15" t="s">
        <v>23</v>
      </c>
    </row>
    <row r="7516" spans="1:11" ht="42" customHeight="1">
      <c r="A7516" s="4" t="s">
        <v>16860</v>
      </c>
      <c r="B7516" s="5" t="s">
        <v>16861</v>
      </c>
      <c r="C7516" s="5" t="s">
        <v>38</v>
      </c>
      <c r="D7516" s="5" t="s">
        <v>39</v>
      </c>
      <c r="E7516" s="5" t="s">
        <v>215</v>
      </c>
      <c r="F7516" s="9">
        <v>71</v>
      </c>
      <c r="G7516" s="9">
        <v>789</v>
      </c>
      <c r="H7516" s="5" t="s">
        <v>21</v>
      </c>
      <c r="I7516" s="5" t="s">
        <v>16862</v>
      </c>
      <c r="J7516" s="12" t="str">
        <f>HYPERLINK("https://www.boe.es/gazeta/dias/1801/07/21/pdfs/GMD-1801-71.pdf#page=10","Abrir facsímil")</f>
        <v>Abrir facsímil</v>
      </c>
      <c r="K7516" s="15" t="s">
        <v>23</v>
      </c>
    </row>
    <row r="7517" spans="1:11" ht="42" customHeight="1">
      <c r="A7517" s="4" t="s">
        <v>16863</v>
      </c>
      <c r="B7517" s="5" t="s">
        <v>16864</v>
      </c>
      <c r="C7517" s="5" t="s">
        <v>80</v>
      </c>
      <c r="D7517" s="5" t="s">
        <v>81</v>
      </c>
      <c r="E7517" s="5" t="s">
        <v>289</v>
      </c>
      <c r="F7517" s="9">
        <v>40</v>
      </c>
      <c r="G7517" s="9" t="s">
        <v>86</v>
      </c>
      <c r="H7517" s="5" t="s">
        <v>21</v>
      </c>
      <c r="I7517" s="5" t="s">
        <v>16865</v>
      </c>
      <c r="J7517" s="12" t="str">
        <f>HYPERLINK("https://www.boe.es/gazeta/dias/1801/05/19/pdfs/GMD-C-1801-40.pdf#page=3","Abrir facsímil")</f>
        <v>Abrir facsímil</v>
      </c>
      <c r="K7517" s="15" t="s">
        <v>23</v>
      </c>
    </row>
    <row r="7518" spans="1:11" ht="42" customHeight="1">
      <c r="A7518" s="4" t="s">
        <v>16866</v>
      </c>
      <c r="B7518" s="5" t="s">
        <v>16867</v>
      </c>
      <c r="C7518" s="5" t="s">
        <v>18</v>
      </c>
      <c r="D7518" s="5" t="s">
        <v>19</v>
      </c>
      <c r="E7518" s="5" t="s">
        <v>264</v>
      </c>
      <c r="F7518" s="9">
        <v>111</v>
      </c>
      <c r="G7518" s="9">
        <v>1216</v>
      </c>
      <c r="H7518" s="5" t="s">
        <v>21</v>
      </c>
      <c r="I7518" s="5" t="s">
        <v>16868</v>
      </c>
      <c r="J7518" s="12" t="str">
        <f>HYPERLINK("https://www.boe.es/gazeta/dias/1801/12/01/pdfs/GMD-1801-111.pdf#page=5","Abrir facsímil")</f>
        <v>Abrir facsímil</v>
      </c>
      <c r="K7518" s="15" t="s">
        <v>23</v>
      </c>
    </row>
    <row r="7519" spans="1:11" ht="42" customHeight="1">
      <c r="A7519" s="4" t="s">
        <v>16869</v>
      </c>
      <c r="B7519" s="5" t="s">
        <v>16869</v>
      </c>
      <c r="C7519" s="5" t="s">
        <v>32</v>
      </c>
      <c r="D7519" s="5" t="s">
        <v>33</v>
      </c>
      <c r="E7519" s="5" t="s">
        <v>151</v>
      </c>
      <c r="F7519" s="9">
        <v>45</v>
      </c>
      <c r="G7519" s="9">
        <v>557</v>
      </c>
      <c r="H7519" s="5" t="s">
        <v>21</v>
      </c>
      <c r="I7519" s="5" t="s">
        <v>16870</v>
      </c>
      <c r="J7519" s="12" t="str">
        <f>HYPERLINK("https://www.boe.es/gazeta/dias/1801/06/02/pdfs/GMD-1801-45.pdf#page=5","Abrir facsímil")</f>
        <v>Abrir facsímil</v>
      </c>
      <c r="K7519" s="15" t="s">
        <v>23</v>
      </c>
    </row>
    <row r="7520" spans="1:11" ht="42" customHeight="1">
      <c r="A7520" s="4" t="s">
        <v>16871</v>
      </c>
      <c r="B7520" s="5" t="s">
        <v>16872</v>
      </c>
      <c r="C7520" s="5" t="s">
        <v>26</v>
      </c>
      <c r="D7520" s="5" t="s">
        <v>27</v>
      </c>
      <c r="E7520" s="5" t="s">
        <v>90</v>
      </c>
      <c r="F7520" s="9">
        <v>1</v>
      </c>
      <c r="G7520" s="9">
        <v>10</v>
      </c>
      <c r="H7520" s="5" t="s">
        <v>21</v>
      </c>
      <c r="I7520" s="5" t="s">
        <v>16873</v>
      </c>
      <c r="J7520" s="12" t="str">
        <f>HYPERLINK("https://www.boe.es/gazeta/dias/1801/01/02/pdfs/GMD-1801-1.pdf#page=10","Abrir facsímil")</f>
        <v>Abrir facsímil</v>
      </c>
      <c r="K7520" s="15" t="s">
        <v>23</v>
      </c>
    </row>
    <row r="7521" spans="1:11" ht="42" customHeight="1">
      <c r="A7521" s="4" t="s">
        <v>16874</v>
      </c>
      <c r="B7521" s="5" t="s">
        <v>16875</v>
      </c>
      <c r="C7521" s="5" t="s">
        <v>32</v>
      </c>
      <c r="D7521" s="5" t="s">
        <v>33</v>
      </c>
      <c r="E7521" s="5" t="s">
        <v>275</v>
      </c>
      <c r="F7521" s="9">
        <v>9</v>
      </c>
      <c r="G7521" s="9">
        <v>112</v>
      </c>
      <c r="H7521" s="5" t="s">
        <v>21</v>
      </c>
      <c r="I7521" s="5" t="s">
        <v>16876</v>
      </c>
      <c r="J7521" s="12" t="str">
        <f>HYPERLINK("https://www.boe.es/gazeta/dias/1801/01/30/pdfs/GMD-1801-9.pdf#page=9","Abrir facsímil")</f>
        <v>Abrir facsímil</v>
      </c>
      <c r="K7521" s="15" t="s">
        <v>23</v>
      </c>
    </row>
    <row r="7522" spans="1:11" ht="42" customHeight="1">
      <c r="A7522" s="4" t="s">
        <v>16877</v>
      </c>
      <c r="B7522" s="5" t="s">
        <v>16878</v>
      </c>
      <c r="C7522" s="5" t="s">
        <v>32</v>
      </c>
      <c r="D7522" s="5" t="s">
        <v>33</v>
      </c>
      <c r="E7522" s="5" t="s">
        <v>328</v>
      </c>
      <c r="F7522" s="9">
        <v>89</v>
      </c>
      <c r="G7522" s="9">
        <v>983</v>
      </c>
      <c r="H7522" s="5" t="s">
        <v>21</v>
      </c>
      <c r="I7522" s="5" t="s">
        <v>16879</v>
      </c>
      <c r="J7522" s="12" t="str">
        <f>HYPERLINK("https://www.boe.es/gazeta/dias/1801/09/15/pdfs/GMD-1801-89.pdf#page=10","Abrir facsímil")</f>
        <v>Abrir facsímil</v>
      </c>
      <c r="K7522" s="15" t="s">
        <v>23</v>
      </c>
    </row>
    <row r="7523" spans="1:11" ht="42" customHeight="1">
      <c r="A7523" s="4" t="s">
        <v>16880</v>
      </c>
      <c r="B7523" s="5" t="s">
        <v>16881</v>
      </c>
      <c r="C7523" s="5" t="s">
        <v>32</v>
      </c>
      <c r="D7523" s="5" t="s">
        <v>33</v>
      </c>
      <c r="E7523" s="5" t="s">
        <v>256</v>
      </c>
      <c r="F7523" s="9">
        <v>78</v>
      </c>
      <c r="G7523" s="9">
        <v>882</v>
      </c>
      <c r="H7523" s="5" t="s">
        <v>21</v>
      </c>
      <c r="I7523" s="5" t="s">
        <v>16882</v>
      </c>
      <c r="J7523" s="12" t="str">
        <f>HYPERLINK("https://www.boe.es/gazeta/dias/1801/08/14/pdfs/GMD-1801-78.pdf#page=11","Abrir facsímil")</f>
        <v>Abrir facsímil</v>
      </c>
      <c r="K7523" s="15" t="s">
        <v>23</v>
      </c>
    </row>
    <row r="7524" spans="1:11" ht="42" customHeight="1">
      <c r="A7524" s="4" t="s">
        <v>16883</v>
      </c>
      <c r="B7524" s="5" t="s">
        <v>16883</v>
      </c>
      <c r="C7524" s="5" t="s">
        <v>26</v>
      </c>
      <c r="D7524" s="5" t="s">
        <v>27</v>
      </c>
      <c r="E7524" s="5" t="s">
        <v>366</v>
      </c>
      <c r="F7524" s="9">
        <v>86</v>
      </c>
      <c r="G7524" s="9">
        <v>957</v>
      </c>
      <c r="H7524" s="5" t="s">
        <v>21</v>
      </c>
      <c r="I7524" s="5" t="s">
        <v>16884</v>
      </c>
      <c r="J7524" s="12" t="str">
        <f>HYPERLINK("https://www.boe.es/gazeta/dias/1801/09/08/pdfs/GMD-1801-86.pdf#page=8","Abrir facsímil")</f>
        <v>Abrir facsímil</v>
      </c>
      <c r="K7524" s="15" t="s">
        <v>23</v>
      </c>
    </row>
    <row r="7525" spans="1:11" ht="42" customHeight="1">
      <c r="A7525" s="4" t="s">
        <v>16885</v>
      </c>
      <c r="B7525" s="5" t="s">
        <v>16885</v>
      </c>
      <c r="C7525" s="5" t="s">
        <v>26</v>
      </c>
      <c r="D7525" s="5" t="s">
        <v>27</v>
      </c>
      <c r="E7525" s="5" t="s">
        <v>712</v>
      </c>
      <c r="F7525" s="9">
        <v>105</v>
      </c>
      <c r="G7525" s="9">
        <v>1157</v>
      </c>
      <c r="H7525" s="5" t="s">
        <v>21</v>
      </c>
      <c r="I7525" s="5" t="s">
        <v>16886</v>
      </c>
      <c r="J7525" s="12" t="str">
        <f>HYPERLINK("https://www.boe.es/gazeta/dias/1801/11/10/pdfs/GMD-1801-105.pdf#page=10","Abrir facsímil")</f>
        <v>Abrir facsímil</v>
      </c>
      <c r="K7525" s="15" t="s">
        <v>23</v>
      </c>
    </row>
    <row r="7526" spans="1:11" ht="42" customHeight="1">
      <c r="A7526" s="4" t="s">
        <v>16883</v>
      </c>
      <c r="B7526" s="5" t="s">
        <v>16883</v>
      </c>
      <c r="C7526" s="5" t="s">
        <v>515</v>
      </c>
      <c r="D7526" s="5" t="s">
        <v>516</v>
      </c>
      <c r="E7526" s="5" t="s">
        <v>501</v>
      </c>
      <c r="F7526" s="9">
        <v>115</v>
      </c>
      <c r="G7526" s="9" t="s">
        <v>517</v>
      </c>
      <c r="H7526" s="5" t="s">
        <v>21</v>
      </c>
      <c r="I7526" s="5" t="s">
        <v>16887</v>
      </c>
      <c r="J7526" s="12" t="str">
        <f>HYPERLINK("https://www.boe.es/gazeta/dias/1801/12/15/pdfs/GMD-C-1801-115.pdf#page=7","Abrir facsímil")</f>
        <v>Abrir facsímil</v>
      </c>
      <c r="K7526" s="15" t="s">
        <v>23</v>
      </c>
    </row>
    <row r="7527" spans="1:11" ht="42" customHeight="1">
      <c r="A7527" s="4" t="s">
        <v>16888</v>
      </c>
      <c r="B7527" s="5" t="s">
        <v>16889</v>
      </c>
      <c r="C7527" s="5" t="s">
        <v>26</v>
      </c>
      <c r="D7527" s="5" t="s">
        <v>27</v>
      </c>
      <c r="E7527" s="5" t="s">
        <v>90</v>
      </c>
      <c r="F7527" s="9">
        <v>1</v>
      </c>
      <c r="G7527" s="9">
        <v>10</v>
      </c>
      <c r="H7527" s="5" t="s">
        <v>21</v>
      </c>
      <c r="I7527" s="5" t="s">
        <v>16890</v>
      </c>
      <c r="J7527" s="12" t="str">
        <f>HYPERLINK("https://www.boe.es/gazeta/dias/1801/01/02/pdfs/GMD-1801-1.pdf#page=10","Abrir facsímil")</f>
        <v>Abrir facsímil</v>
      </c>
      <c r="K7527" s="15" t="s">
        <v>23</v>
      </c>
    </row>
    <row r="7528" spans="1:11" ht="42" customHeight="1">
      <c r="A7528" s="4" t="s">
        <v>16891</v>
      </c>
      <c r="B7528" s="5" t="s">
        <v>16891</v>
      </c>
      <c r="C7528" s="5" t="s">
        <v>32</v>
      </c>
      <c r="D7528" s="5" t="s">
        <v>33</v>
      </c>
      <c r="E7528" s="5" t="s">
        <v>55</v>
      </c>
      <c r="F7528" s="9">
        <v>104</v>
      </c>
      <c r="G7528" s="9">
        <v>1146</v>
      </c>
      <c r="H7528" s="5" t="s">
        <v>21</v>
      </c>
      <c r="I7528" s="5" t="s">
        <v>16892</v>
      </c>
      <c r="J7528" s="12" t="str">
        <f>HYPERLINK("https://www.boe.es/gazeta/dias/1801/11/06/pdfs/GMD-1801-104.pdf#page=7","Abrir facsímil")</f>
        <v>Abrir facsímil</v>
      </c>
      <c r="K7528" s="15" t="s">
        <v>23</v>
      </c>
    </row>
    <row r="7529" spans="1:11" ht="42" customHeight="1">
      <c r="A7529" s="4" t="s">
        <v>16891</v>
      </c>
      <c r="B7529" s="5" t="s">
        <v>16891</v>
      </c>
      <c r="C7529" s="5" t="s">
        <v>69</v>
      </c>
      <c r="D7529" s="5" t="s">
        <v>19</v>
      </c>
      <c r="E7529" s="5" t="s">
        <v>935</v>
      </c>
      <c r="F7529" s="9">
        <v>116</v>
      </c>
      <c r="G7529" s="9">
        <v>1269</v>
      </c>
      <c r="H7529" s="5" t="s">
        <v>21</v>
      </c>
      <c r="I7529" s="5" t="s">
        <v>16893</v>
      </c>
      <c r="J7529" s="12" t="str">
        <f>HYPERLINK("https://www.boe.es/gazeta/dias/1801/12/18/pdfs/GMD-1801-116.pdf#page=11","Abrir facsímil")</f>
        <v>Abrir facsímil</v>
      </c>
      <c r="K7529" s="15" t="s">
        <v>23</v>
      </c>
    </row>
    <row r="7530" spans="1:11" ht="42" customHeight="1">
      <c r="A7530" s="4" t="s">
        <v>16894</v>
      </c>
      <c r="B7530" s="5" t="s">
        <v>16894</v>
      </c>
      <c r="C7530" s="5" t="s">
        <v>69</v>
      </c>
      <c r="D7530" s="5" t="s">
        <v>19</v>
      </c>
      <c r="E7530" s="5" t="s">
        <v>935</v>
      </c>
      <c r="F7530" s="9">
        <v>116</v>
      </c>
      <c r="G7530" s="9">
        <v>1269</v>
      </c>
      <c r="H7530" s="5" t="s">
        <v>21</v>
      </c>
      <c r="I7530" s="5" t="s">
        <v>16895</v>
      </c>
      <c r="J7530" s="12" t="str">
        <f>HYPERLINK("https://www.boe.es/gazeta/dias/1801/12/18/pdfs/GMD-1801-116.pdf#page=11","Abrir facsímil")</f>
        <v>Abrir facsímil</v>
      </c>
      <c r="K7530" s="15" t="s">
        <v>23</v>
      </c>
    </row>
    <row r="7531" spans="1:11" ht="42" customHeight="1">
      <c r="A7531" s="4" t="s">
        <v>16896</v>
      </c>
      <c r="B7531" s="5" t="s">
        <v>16897</v>
      </c>
      <c r="C7531" s="5" t="s">
        <v>69</v>
      </c>
      <c r="D7531" s="5" t="s">
        <v>19</v>
      </c>
      <c r="E7531" s="5" t="s">
        <v>62</v>
      </c>
      <c r="F7531" s="9">
        <v>6</v>
      </c>
      <c r="G7531" s="9">
        <v>72</v>
      </c>
      <c r="H7531" s="5" t="s">
        <v>21</v>
      </c>
      <c r="I7531" s="5" t="s">
        <v>16898</v>
      </c>
      <c r="J7531" s="12" t="str">
        <f>HYPERLINK("https://www.boe.es/gazeta/dias/1801/01/20/pdfs/GMD-1801-6.pdf#page=8","Abrir facsímil")</f>
        <v>Abrir facsímil</v>
      </c>
      <c r="K7531" s="15" t="s">
        <v>23</v>
      </c>
    </row>
    <row r="7532" spans="1:11" ht="42" customHeight="1">
      <c r="A7532" s="4" t="s">
        <v>16899</v>
      </c>
      <c r="B7532" s="5" t="s">
        <v>16900</v>
      </c>
      <c r="C7532" s="5" t="s">
        <v>32</v>
      </c>
      <c r="D7532" s="5" t="s">
        <v>33</v>
      </c>
      <c r="E7532" s="5" t="s">
        <v>44</v>
      </c>
      <c r="F7532" s="9">
        <v>117</v>
      </c>
      <c r="G7532" s="9">
        <v>1281</v>
      </c>
      <c r="H7532" s="5" t="s">
        <v>21</v>
      </c>
      <c r="I7532" s="5" t="s">
        <v>16901</v>
      </c>
      <c r="J7532" s="12" t="str">
        <f>HYPERLINK("https://www.boe.es/gazeta/dias/1801/12/22/pdfs/GMD-1801-117.pdf#page=8","Abrir facsímil")</f>
        <v>Abrir facsímil</v>
      </c>
      <c r="K7532" s="15" t="s">
        <v>23</v>
      </c>
    </row>
    <row r="7533" spans="1:11" ht="42" customHeight="1">
      <c r="A7533" s="4" t="s">
        <v>16902</v>
      </c>
      <c r="B7533" s="5" t="s">
        <v>16903</v>
      </c>
      <c r="C7533" s="5" t="s">
        <v>26</v>
      </c>
      <c r="D7533" s="5" t="s">
        <v>27</v>
      </c>
      <c r="E7533" s="5" t="s">
        <v>145</v>
      </c>
      <c r="F7533" s="9">
        <v>36</v>
      </c>
      <c r="G7533" s="9">
        <v>471</v>
      </c>
      <c r="H7533" s="5" t="s">
        <v>21</v>
      </c>
      <c r="I7533" s="5" t="s">
        <v>16904</v>
      </c>
      <c r="J7533" s="12" t="str">
        <f>HYPERLINK("https://www.boe.es/gazeta/dias/1801/05/05/pdfs/GMD-1801-36.pdf#page=15","Abrir facsímil")</f>
        <v>Abrir facsímil</v>
      </c>
      <c r="K7533" s="15" t="s">
        <v>23</v>
      </c>
    </row>
    <row r="7534" spans="1:11" ht="42" customHeight="1">
      <c r="A7534" s="4" t="s">
        <v>16905</v>
      </c>
      <c r="B7534" s="5" t="s">
        <v>16906</v>
      </c>
      <c r="C7534" s="5" t="s">
        <v>26</v>
      </c>
      <c r="D7534" s="5" t="s">
        <v>27</v>
      </c>
      <c r="E7534" s="5" t="s">
        <v>120</v>
      </c>
      <c r="F7534" s="9">
        <v>7</v>
      </c>
      <c r="G7534" s="9">
        <v>88</v>
      </c>
      <c r="H7534" s="5" t="s">
        <v>21</v>
      </c>
      <c r="I7534" s="5" t="s">
        <v>16907</v>
      </c>
      <c r="J7534" s="12" t="str">
        <f>HYPERLINK("https://www.boe.es/gazeta/dias/1801/01/23/pdfs/GMD-1801-7.pdf#page=12","Abrir facsímil")</f>
        <v>Abrir facsímil</v>
      </c>
      <c r="K7534" s="15" t="s">
        <v>23</v>
      </c>
    </row>
    <row r="7535" spans="1:11" ht="42" customHeight="1">
      <c r="A7535" s="4" t="s">
        <v>16908</v>
      </c>
      <c r="B7535" s="5" t="s">
        <v>16909</v>
      </c>
      <c r="C7535" s="5" t="s">
        <v>38</v>
      </c>
      <c r="D7535" s="5" t="s">
        <v>39</v>
      </c>
      <c r="E7535" s="5" t="s">
        <v>155</v>
      </c>
      <c r="F7535" s="9">
        <v>50</v>
      </c>
      <c r="G7535" s="9">
        <v>596</v>
      </c>
      <c r="H7535" s="5" t="s">
        <v>21</v>
      </c>
      <c r="I7535" s="5" t="s">
        <v>16910</v>
      </c>
      <c r="J7535" s="12" t="str">
        <f>HYPERLINK("https://www.boe.es/gazeta/dias/1801/06/09/pdfs/GMD-1801-50.pdf#page=8","Abrir facsímil")</f>
        <v>Abrir facsímil</v>
      </c>
      <c r="K7535" s="15" t="s">
        <v>23</v>
      </c>
    </row>
    <row r="7536" spans="1:11" ht="42" customHeight="1">
      <c r="A7536" s="4" t="s">
        <v>16911</v>
      </c>
      <c r="B7536" s="5" t="s">
        <v>16912</v>
      </c>
      <c r="C7536" s="5" t="s">
        <v>75</v>
      </c>
      <c r="D7536" s="5" t="s">
        <v>76</v>
      </c>
      <c r="E7536" s="5" t="s">
        <v>20</v>
      </c>
      <c r="F7536" s="9">
        <v>37</v>
      </c>
      <c r="G7536" s="9">
        <v>479</v>
      </c>
      <c r="H7536" s="5" t="s">
        <v>21</v>
      </c>
      <c r="I7536" s="5" t="s">
        <v>16913</v>
      </c>
      <c r="J7536" s="12" t="str">
        <f>HYPERLINK("https://www.boe.es/gazeta/dias/1801/05/08/pdfs/GMD-1801-37.pdf#page=7","Abrir facsímil")</f>
        <v>Abrir facsímil</v>
      </c>
      <c r="K7536" s="15" t="s">
        <v>23</v>
      </c>
    </row>
    <row r="7537" spans="1:11" ht="42" customHeight="1">
      <c r="A7537" s="4" t="s">
        <v>16914</v>
      </c>
      <c r="B7537" s="5" t="s">
        <v>16915</v>
      </c>
      <c r="C7537" s="5" t="s">
        <v>38</v>
      </c>
      <c r="D7537" s="5" t="s">
        <v>39</v>
      </c>
      <c r="E7537" s="5" t="s">
        <v>112</v>
      </c>
      <c r="F7537" s="9">
        <v>114</v>
      </c>
      <c r="G7537" s="9">
        <v>1244</v>
      </c>
      <c r="H7537" s="5" t="s">
        <v>21</v>
      </c>
      <c r="I7537" s="5" t="s">
        <v>16916</v>
      </c>
      <c r="J7537" s="12" t="str">
        <f>HYPERLINK("https://www.boe.es/gazeta/dias/1801/12/11/pdfs/GMD-1801-114.pdf#page=6","Abrir facsímil")</f>
        <v>Abrir facsímil</v>
      </c>
      <c r="K7537" s="15" t="s">
        <v>23</v>
      </c>
    </row>
    <row r="7538" spans="1:11" ht="42" customHeight="1">
      <c r="A7538" s="4" t="s">
        <v>16917</v>
      </c>
      <c r="B7538" s="5" t="s">
        <v>16918</v>
      </c>
      <c r="C7538" s="5" t="s">
        <v>38</v>
      </c>
      <c r="D7538" s="5" t="s">
        <v>39</v>
      </c>
      <c r="E7538" s="5" t="s">
        <v>266</v>
      </c>
      <c r="F7538" s="9">
        <v>119</v>
      </c>
      <c r="G7538" s="9">
        <v>1301</v>
      </c>
      <c r="H7538" s="5" t="s">
        <v>21</v>
      </c>
      <c r="I7538" s="5" t="s">
        <v>16919</v>
      </c>
      <c r="J7538" s="12" t="str">
        <f>HYPERLINK("https://www.boe.es/gazeta/dias/1801/12/29/pdfs/GMD-1801-119.pdf#page=5","Abrir facsímil")</f>
        <v>Abrir facsímil</v>
      </c>
      <c r="K7538" s="15" t="s">
        <v>23</v>
      </c>
    </row>
    <row r="7539" spans="1:11" ht="42" customHeight="1">
      <c r="A7539" s="4" t="s">
        <v>16920</v>
      </c>
      <c r="B7539" s="5" t="s">
        <v>16920</v>
      </c>
      <c r="C7539" s="5" t="s">
        <v>75</v>
      </c>
      <c r="D7539" s="5" t="s">
        <v>76</v>
      </c>
      <c r="E7539" s="5" t="s">
        <v>90</v>
      </c>
      <c r="F7539" s="9">
        <v>1</v>
      </c>
      <c r="G7539" s="9">
        <v>4</v>
      </c>
      <c r="H7539" s="5" t="s">
        <v>21</v>
      </c>
      <c r="I7539" s="5" t="s">
        <v>16921</v>
      </c>
      <c r="J7539" s="12" t="str">
        <f>HYPERLINK("https://www.boe.es/gazeta/dias/1801/01/02/pdfs/GMD-1801-1.pdf#page=4","Abrir facsímil")</f>
        <v>Abrir facsímil</v>
      </c>
      <c r="K7539" s="15" t="s">
        <v>23</v>
      </c>
    </row>
    <row r="7540" spans="1:11" ht="42" customHeight="1">
      <c r="A7540" s="4" t="s">
        <v>16920</v>
      </c>
      <c r="B7540" s="5" t="s">
        <v>16920</v>
      </c>
      <c r="C7540" s="5" t="s">
        <v>75</v>
      </c>
      <c r="D7540" s="5" t="s">
        <v>76</v>
      </c>
      <c r="E7540" s="5" t="s">
        <v>70</v>
      </c>
      <c r="F7540" s="9">
        <v>2</v>
      </c>
      <c r="G7540" s="9">
        <v>15</v>
      </c>
      <c r="H7540" s="5" t="s">
        <v>21</v>
      </c>
      <c r="I7540" s="5" t="s">
        <v>16922</v>
      </c>
      <c r="J7540" s="12" t="str">
        <f>HYPERLINK("https://www.boe.es/gazeta/dias/1801/01/06/pdfs/GMD-1801-2.pdf#page=3","Abrir facsímil")</f>
        <v>Abrir facsímil</v>
      </c>
      <c r="K7540" s="15" t="s">
        <v>23</v>
      </c>
    </row>
    <row r="7541" spans="1:11" ht="42" customHeight="1">
      <c r="A7541" s="4" t="s">
        <v>16920</v>
      </c>
      <c r="B7541" s="5" t="s">
        <v>16920</v>
      </c>
      <c r="C7541" s="5" t="s">
        <v>75</v>
      </c>
      <c r="D7541" s="5" t="s">
        <v>76</v>
      </c>
      <c r="E7541" s="5" t="s">
        <v>186</v>
      </c>
      <c r="F7541" s="9">
        <v>21</v>
      </c>
      <c r="G7541" s="9">
        <v>276</v>
      </c>
      <c r="H7541" s="5" t="s">
        <v>21</v>
      </c>
      <c r="I7541" s="5" t="s">
        <v>16923</v>
      </c>
      <c r="J7541" s="12" t="str">
        <f>HYPERLINK("https://www.boe.es/gazeta/dias/1801/03/13/pdfs/GMD-1801-21.pdf#page=5","Abrir facsímil")</f>
        <v>Abrir facsímil</v>
      </c>
      <c r="K7541" s="15" t="s">
        <v>23</v>
      </c>
    </row>
    <row r="7542" spans="1:11" ht="42" customHeight="1">
      <c r="A7542" s="4" t="s">
        <v>16920</v>
      </c>
      <c r="B7542" s="5" t="s">
        <v>16920</v>
      </c>
      <c r="C7542" s="5" t="s">
        <v>32</v>
      </c>
      <c r="D7542" s="5" t="s">
        <v>33</v>
      </c>
      <c r="E7542" s="5" t="s">
        <v>135</v>
      </c>
      <c r="F7542" s="9">
        <v>24</v>
      </c>
      <c r="G7542" s="9">
        <v>313</v>
      </c>
      <c r="H7542" s="5" t="s">
        <v>21</v>
      </c>
      <c r="I7542" s="5" t="s">
        <v>16924</v>
      </c>
      <c r="J7542" s="12" t="str">
        <f>HYPERLINK("https://www.boe.es/gazeta/dias/1801/03/24/pdfs/GMD-1801-24.pdf#page=4","Abrir facsímil")</f>
        <v>Abrir facsímil</v>
      </c>
      <c r="K7542" s="15" t="s">
        <v>23</v>
      </c>
    </row>
    <row r="7543" spans="1:11" ht="42" customHeight="1">
      <c r="A7543" s="4" t="s">
        <v>16920</v>
      </c>
      <c r="B7543" s="5" t="s">
        <v>16920</v>
      </c>
      <c r="C7543" s="5" t="s">
        <v>75</v>
      </c>
      <c r="D7543" s="5" t="s">
        <v>76</v>
      </c>
      <c r="E7543" s="5" t="s">
        <v>77</v>
      </c>
      <c r="F7543" s="9">
        <v>93</v>
      </c>
      <c r="G7543" s="9">
        <v>1017</v>
      </c>
      <c r="H7543" s="5" t="s">
        <v>21</v>
      </c>
      <c r="I7543" s="5" t="s">
        <v>16925</v>
      </c>
      <c r="J7543" s="12" t="str">
        <f>HYPERLINK("https://www.boe.es/gazeta/dias/1801/09/29/pdfs/GMD-1801-93.pdf#page=4","Abrir facsímil")</f>
        <v>Abrir facsímil</v>
      </c>
      <c r="K7543" s="15" t="s">
        <v>23</v>
      </c>
    </row>
    <row r="7544" spans="1:11" ht="42" customHeight="1">
      <c r="A7544" s="4" t="s">
        <v>16920</v>
      </c>
      <c r="B7544" s="5" t="s">
        <v>16920</v>
      </c>
      <c r="C7544" s="5" t="s">
        <v>18</v>
      </c>
      <c r="D7544" s="5" t="s">
        <v>19</v>
      </c>
      <c r="E7544" s="5" t="s">
        <v>935</v>
      </c>
      <c r="F7544" s="9">
        <v>116</v>
      </c>
      <c r="G7544" s="9">
        <v>1263</v>
      </c>
      <c r="H7544" s="5" t="s">
        <v>21</v>
      </c>
      <c r="I7544" s="5" t="s">
        <v>16926</v>
      </c>
      <c r="J7544" s="12" t="str">
        <f>HYPERLINK("https://www.boe.es/gazeta/dias/1801/12/18/pdfs/GMD-1801-116.pdf#page=5","Abrir facsímil")</f>
        <v>Abrir facsímil</v>
      </c>
      <c r="K7544" s="15" t="s">
        <v>23</v>
      </c>
    </row>
    <row r="7545" spans="1:11" ht="42" customHeight="1">
      <c r="A7545" s="4" t="s">
        <v>16920</v>
      </c>
      <c r="B7545" s="5" t="s">
        <v>16920</v>
      </c>
      <c r="C7545" s="5" t="s">
        <v>32</v>
      </c>
      <c r="D7545" s="5" t="s">
        <v>33</v>
      </c>
      <c r="E7545" s="5" t="s">
        <v>266</v>
      </c>
      <c r="F7545" s="9">
        <v>119</v>
      </c>
      <c r="G7545" s="9">
        <v>1299</v>
      </c>
      <c r="H7545" s="5" t="s">
        <v>21</v>
      </c>
      <c r="I7545" s="5" t="s">
        <v>16927</v>
      </c>
      <c r="J7545" s="12" t="str">
        <f>HYPERLINK("https://www.boe.es/gazeta/dias/1801/12/29/pdfs/GMD-1801-119.pdf#page=3","Abrir facsímil")</f>
        <v>Abrir facsímil</v>
      </c>
      <c r="K7545" s="15" t="s">
        <v>23</v>
      </c>
    </row>
    <row r="7546" spans="1:11" ht="42" customHeight="1">
      <c r="A7546" s="4" t="s">
        <v>16928</v>
      </c>
      <c r="B7546" s="5" t="s">
        <v>16929</v>
      </c>
      <c r="C7546" s="5" t="s">
        <v>32</v>
      </c>
      <c r="D7546" s="5" t="s">
        <v>33</v>
      </c>
      <c r="E7546" s="5" t="s">
        <v>151</v>
      </c>
      <c r="F7546" s="9">
        <v>45</v>
      </c>
      <c r="G7546" s="9">
        <v>561</v>
      </c>
      <c r="H7546" s="5" t="s">
        <v>21</v>
      </c>
      <c r="I7546" s="5" t="s">
        <v>16930</v>
      </c>
      <c r="J7546" s="12" t="str">
        <f>HYPERLINK("https://www.boe.es/gazeta/dias/1801/06/02/pdfs/GMD-1801-45.pdf#page=9","Abrir facsímil")</f>
        <v>Abrir facsímil</v>
      </c>
      <c r="K7546" s="15" t="s">
        <v>23</v>
      </c>
    </row>
    <row r="7547" spans="1:11" ht="42" customHeight="1">
      <c r="A7547" s="4" t="s">
        <v>16931</v>
      </c>
      <c r="B7547" s="5" t="s">
        <v>16932</v>
      </c>
      <c r="C7547" s="5" t="s">
        <v>38</v>
      </c>
      <c r="D7547" s="5" t="s">
        <v>39</v>
      </c>
      <c r="E7547" s="5" t="s">
        <v>292</v>
      </c>
      <c r="F7547" s="9">
        <v>25</v>
      </c>
      <c r="G7547" s="9">
        <v>330</v>
      </c>
      <c r="H7547" s="5" t="s">
        <v>21</v>
      </c>
      <c r="I7547" s="5" t="s">
        <v>16933</v>
      </c>
      <c r="J7547" s="12" t="str">
        <f>HYPERLINK("https://www.boe.es/gazeta/dias/1801/03/27/pdfs/GMD-1801-25.pdf#page=9","Abrir facsímil")</f>
        <v>Abrir facsímil</v>
      </c>
      <c r="K7547" s="15" t="s">
        <v>23</v>
      </c>
    </row>
    <row r="7548" spans="1:11" ht="42" customHeight="1">
      <c r="A7548" s="4" t="s">
        <v>16934</v>
      </c>
      <c r="B7548" s="5" t="s">
        <v>16935</v>
      </c>
      <c r="C7548" s="5" t="s">
        <v>38</v>
      </c>
      <c r="D7548" s="5" t="s">
        <v>39</v>
      </c>
      <c r="E7548" s="5" t="s">
        <v>165</v>
      </c>
      <c r="F7548" s="9">
        <v>59</v>
      </c>
      <c r="G7548" s="9">
        <v>676</v>
      </c>
      <c r="H7548" s="5" t="s">
        <v>21</v>
      </c>
      <c r="I7548" s="5" t="s">
        <v>16936</v>
      </c>
      <c r="J7548" s="12" t="str">
        <f>HYPERLINK("https://www.boe.es/gazeta/dias/1801/06/23/pdfs/GMD-1801-59.pdf#page=9","Abrir facsímil")</f>
        <v>Abrir facsímil</v>
      </c>
      <c r="K7548" s="15" t="s">
        <v>23</v>
      </c>
    </row>
    <row r="7549" spans="1:11" ht="42" customHeight="1">
      <c r="A7549" s="4" t="s">
        <v>16937</v>
      </c>
      <c r="B7549" s="5" t="s">
        <v>16938</v>
      </c>
      <c r="C7549" s="5" t="s">
        <v>32</v>
      </c>
      <c r="D7549" s="5" t="s">
        <v>33</v>
      </c>
      <c r="E7549" s="5" t="s">
        <v>90</v>
      </c>
      <c r="F7549" s="9">
        <v>1</v>
      </c>
      <c r="G7549" s="9">
        <v>9</v>
      </c>
      <c r="H7549" s="5" t="s">
        <v>21</v>
      </c>
      <c r="I7549" s="5" t="s">
        <v>16939</v>
      </c>
      <c r="J7549" s="12" t="str">
        <f>HYPERLINK("https://www.boe.es/gazeta/dias/1801/01/02/pdfs/GMD-1801-1.pdf#page=9","Abrir facsímil")</f>
        <v>Abrir facsímil</v>
      </c>
      <c r="K7549" s="15" t="s">
        <v>23</v>
      </c>
    </row>
    <row r="7550" spans="1:11" ht="42" customHeight="1">
      <c r="A7550" s="4" t="s">
        <v>16940</v>
      </c>
      <c r="B7550" s="5" t="s">
        <v>16940</v>
      </c>
      <c r="C7550" s="5" t="s">
        <v>32</v>
      </c>
      <c r="D7550" s="5" t="s">
        <v>33</v>
      </c>
      <c r="E7550" s="5" t="s">
        <v>919</v>
      </c>
      <c r="F7550" s="9">
        <v>91</v>
      </c>
      <c r="G7550" s="9">
        <v>1005</v>
      </c>
      <c r="H7550" s="5" t="s">
        <v>21</v>
      </c>
      <c r="I7550" s="5" t="s">
        <v>16941</v>
      </c>
      <c r="J7550" s="12" t="str">
        <f>HYPERLINK("https://www.boe.es/gazeta/dias/1801/09/22/pdfs/GMD-1801-91.pdf#page=8","Abrir facsímil")</f>
        <v>Abrir facsímil</v>
      </c>
      <c r="K7550" s="15" t="s">
        <v>23</v>
      </c>
    </row>
    <row r="7551" spans="1:11" ht="42" customHeight="1">
      <c r="A7551" s="4" t="s">
        <v>16942</v>
      </c>
      <c r="B7551" s="5" t="s">
        <v>16943</v>
      </c>
      <c r="C7551" s="5" t="s">
        <v>18</v>
      </c>
      <c r="D7551" s="5" t="s">
        <v>19</v>
      </c>
      <c r="E7551" s="5" t="s">
        <v>378</v>
      </c>
      <c r="F7551" s="9">
        <v>23</v>
      </c>
      <c r="G7551" s="9">
        <v>306</v>
      </c>
      <c r="H7551" s="5" t="s">
        <v>21</v>
      </c>
      <c r="I7551" s="5" t="s">
        <v>16944</v>
      </c>
      <c r="J7551" s="12" t="str">
        <f>HYPERLINK("https://www.boe.es/gazeta/dias/1801/03/20/pdfs/GMD-1801-23.pdf#page=9","Abrir facsímil")</f>
        <v>Abrir facsímil</v>
      </c>
      <c r="K7551" s="15" t="s">
        <v>23</v>
      </c>
    </row>
    <row r="7552" spans="1:11" ht="42" customHeight="1">
      <c r="A7552" s="4" t="s">
        <v>16945</v>
      </c>
      <c r="B7552" s="5" t="s">
        <v>16946</v>
      </c>
      <c r="C7552" s="5" t="s">
        <v>69</v>
      </c>
      <c r="D7552" s="5" t="s">
        <v>19</v>
      </c>
      <c r="E7552" s="5" t="s">
        <v>275</v>
      </c>
      <c r="F7552" s="9">
        <v>9</v>
      </c>
      <c r="G7552" s="9">
        <v>111</v>
      </c>
      <c r="H7552" s="5" t="s">
        <v>21</v>
      </c>
      <c r="I7552" s="5" t="s">
        <v>16947</v>
      </c>
      <c r="J7552" s="12" t="str">
        <f>HYPERLINK("https://www.boe.es/gazeta/dias/1801/01/30/pdfs/GMD-1801-9.pdf#page=8","Abrir facsímil")</f>
        <v>Abrir facsímil</v>
      </c>
      <c r="K7552" s="15" t="s">
        <v>23</v>
      </c>
    </row>
    <row r="7553" spans="1:11" ht="42" customHeight="1">
      <c r="A7553" s="4" t="s">
        <v>16948</v>
      </c>
      <c r="B7553" s="5" t="s">
        <v>16949</v>
      </c>
      <c r="C7553" s="5" t="s">
        <v>80</v>
      </c>
      <c r="D7553" s="5" t="s">
        <v>81</v>
      </c>
      <c r="E7553" s="5" t="s">
        <v>82</v>
      </c>
      <c r="F7553" s="9">
        <v>75</v>
      </c>
      <c r="G7553" s="9" t="s">
        <v>83</v>
      </c>
      <c r="H7553" s="5" t="s">
        <v>21</v>
      </c>
      <c r="I7553" s="5" t="s">
        <v>16950</v>
      </c>
      <c r="J7553" s="12" t="str">
        <f>HYPERLINK("https://www.boe.es/gazeta/dias/1801/08/04/pdfs/GMD-C-1801-75.pdf#page=2","Abrir facsímil")</f>
        <v>Abrir facsímil</v>
      </c>
      <c r="K7553" s="15" t="s">
        <v>23</v>
      </c>
    </row>
    <row r="7554" spans="1:11" ht="42" customHeight="1">
      <c r="A7554" s="4" t="s">
        <v>16951</v>
      </c>
      <c r="B7554" s="5" t="s">
        <v>16951</v>
      </c>
      <c r="C7554" s="5" t="s">
        <v>38</v>
      </c>
      <c r="D7554" s="5" t="s">
        <v>39</v>
      </c>
      <c r="E7554" s="5" t="s">
        <v>640</v>
      </c>
      <c r="F7554" s="9">
        <v>81</v>
      </c>
      <c r="G7554" s="9">
        <v>910</v>
      </c>
      <c r="H7554" s="5" t="s">
        <v>21</v>
      </c>
      <c r="I7554" s="5" t="s">
        <v>16952</v>
      </c>
      <c r="J7554" s="12" t="str">
        <f>HYPERLINK("https://www.boe.es/gazeta/dias/1801/08/25/pdfs/GMD-1801-81.pdf#page=7","Abrir facsímil")</f>
        <v>Abrir facsímil</v>
      </c>
      <c r="K7554" s="15" t="s">
        <v>23</v>
      </c>
    </row>
    <row r="7555" spans="1:11" ht="42" customHeight="1">
      <c r="A7555" s="4" t="s">
        <v>16953</v>
      </c>
      <c r="B7555" s="5" t="s">
        <v>16954</v>
      </c>
      <c r="C7555" s="5" t="s">
        <v>32</v>
      </c>
      <c r="D7555" s="5" t="s">
        <v>33</v>
      </c>
      <c r="E7555" s="5" t="s">
        <v>417</v>
      </c>
      <c r="F7555" s="9">
        <v>64</v>
      </c>
      <c r="G7555" s="9">
        <v>729</v>
      </c>
      <c r="H7555" s="5" t="s">
        <v>21</v>
      </c>
      <c r="I7555" s="5" t="s">
        <v>16955</v>
      </c>
      <c r="J7555" s="12" t="str">
        <f>HYPERLINK("https://www.boe.es/gazeta/dias/1801/07/07/pdfs/GMD-1801-64.pdf#page=10","Abrir facsímil")</f>
        <v>Abrir facsímil</v>
      </c>
      <c r="K7555" s="15" t="s">
        <v>23</v>
      </c>
    </row>
    <row r="7556" spans="1:11" ht="42" customHeight="1">
      <c r="A7556" s="4" t="s">
        <v>16956</v>
      </c>
      <c r="B7556" s="5" t="s">
        <v>16957</v>
      </c>
      <c r="C7556" s="5" t="s">
        <v>32</v>
      </c>
      <c r="D7556" s="5" t="s">
        <v>33</v>
      </c>
      <c r="E7556" s="5" t="s">
        <v>317</v>
      </c>
      <c r="F7556" s="9">
        <v>102</v>
      </c>
      <c r="G7556" s="9">
        <v>1121</v>
      </c>
      <c r="H7556" s="5" t="s">
        <v>21</v>
      </c>
      <c r="I7556" s="5" t="s">
        <v>16958</v>
      </c>
      <c r="J7556" s="12" t="str">
        <f>HYPERLINK("https://www.boe.es/gazeta/dias/1801/10/30/pdfs/GMD-1801-102.pdf#page=6","Abrir facsímil")</f>
        <v>Abrir facsímil</v>
      </c>
      <c r="K7556" s="15" t="s">
        <v>23</v>
      </c>
    </row>
    <row r="7557" spans="1:11" ht="42" customHeight="1">
      <c r="A7557" s="4" t="s">
        <v>16959</v>
      </c>
      <c r="B7557" s="5" t="s">
        <v>16960</v>
      </c>
      <c r="C7557" s="5" t="s">
        <v>75</v>
      </c>
      <c r="D7557" s="5" t="s">
        <v>76</v>
      </c>
      <c r="E7557" s="5" t="s">
        <v>465</v>
      </c>
      <c r="F7557" s="9">
        <v>4</v>
      </c>
      <c r="G7557" s="9">
        <v>38</v>
      </c>
      <c r="H7557" s="5" t="s">
        <v>21</v>
      </c>
      <c r="I7557" s="5" t="s">
        <v>16961</v>
      </c>
      <c r="J7557" s="12" t="str">
        <f>HYPERLINK("https://www.boe.es/gazeta/dias/1801/01/13/pdfs/GMD-1801-4.pdf#page=2","Abrir facsímil")</f>
        <v>Abrir facsímil</v>
      </c>
      <c r="K7557" s="15" t="s">
        <v>23</v>
      </c>
    </row>
    <row r="7558" spans="1:11" ht="42" customHeight="1">
      <c r="A7558" s="4" t="s">
        <v>16959</v>
      </c>
      <c r="B7558" s="5" t="s">
        <v>16960</v>
      </c>
      <c r="C7558" s="5" t="s">
        <v>32</v>
      </c>
      <c r="D7558" s="5" t="s">
        <v>33</v>
      </c>
      <c r="E7558" s="5" t="s">
        <v>781</v>
      </c>
      <c r="F7558" s="9">
        <v>14</v>
      </c>
      <c r="G7558" s="9">
        <v>167</v>
      </c>
      <c r="H7558" s="5" t="s">
        <v>21</v>
      </c>
      <c r="I7558" s="5" t="s">
        <v>16962</v>
      </c>
      <c r="J7558" s="12" t="str">
        <f>HYPERLINK("https://www.boe.es/gazeta/dias/1801/02/17/pdfs/GMD-1801-14.pdf#page=2","Abrir facsímil")</f>
        <v>Abrir facsímil</v>
      </c>
      <c r="K7558" s="15" t="s">
        <v>23</v>
      </c>
    </row>
    <row r="7559" spans="1:11" ht="42" customHeight="1">
      <c r="A7559" s="4" t="s">
        <v>16959</v>
      </c>
      <c r="B7559" s="5" t="s">
        <v>16960</v>
      </c>
      <c r="C7559" s="5" t="s">
        <v>32</v>
      </c>
      <c r="D7559" s="5" t="s">
        <v>33</v>
      </c>
      <c r="E7559" s="5" t="s">
        <v>97</v>
      </c>
      <c r="F7559" s="9">
        <v>31</v>
      </c>
      <c r="G7559" s="9">
        <v>397</v>
      </c>
      <c r="H7559" s="5" t="s">
        <v>21</v>
      </c>
      <c r="I7559" s="5" t="s">
        <v>16963</v>
      </c>
      <c r="J7559" s="12" t="str">
        <f>HYPERLINK("https://www.boe.es/gazeta/dias/1801/04/17/pdfs/GMD-1801-31.pdf#page=1","Abrir facsímil")</f>
        <v>Abrir facsímil</v>
      </c>
      <c r="K7559" s="15" t="s">
        <v>23</v>
      </c>
    </row>
    <row r="7560" spans="1:11" ht="42" customHeight="1">
      <c r="A7560" s="4" t="s">
        <v>16964</v>
      </c>
      <c r="B7560" s="5" t="s">
        <v>16964</v>
      </c>
      <c r="C7560" s="5" t="s">
        <v>32</v>
      </c>
      <c r="D7560" s="5" t="s">
        <v>33</v>
      </c>
      <c r="E7560" s="5" t="s">
        <v>194</v>
      </c>
      <c r="F7560" s="9">
        <v>92</v>
      </c>
      <c r="G7560" s="9">
        <v>1011</v>
      </c>
      <c r="H7560" s="5" t="s">
        <v>21</v>
      </c>
      <c r="I7560" s="5" t="s">
        <v>16965</v>
      </c>
      <c r="J7560" s="12" t="str">
        <f>HYPERLINK("https://www.boe.es/gazeta/dias/1801/09/25/pdfs/GMD-1801-92.pdf#page=6","Abrir facsímil")</f>
        <v>Abrir facsímil</v>
      </c>
      <c r="K7560" s="15" t="s">
        <v>23</v>
      </c>
    </row>
    <row r="7561" spans="1:11" ht="42" customHeight="1">
      <c r="A7561" s="4" t="s">
        <v>16966</v>
      </c>
      <c r="B7561" s="5" t="s">
        <v>16966</v>
      </c>
      <c r="C7561" s="5" t="s">
        <v>32</v>
      </c>
      <c r="D7561" s="5" t="s">
        <v>33</v>
      </c>
      <c r="E7561" s="5" t="s">
        <v>366</v>
      </c>
      <c r="F7561" s="9">
        <v>86</v>
      </c>
      <c r="G7561" s="9">
        <v>955</v>
      </c>
      <c r="H7561" s="5" t="s">
        <v>21</v>
      </c>
      <c r="I7561" s="5" t="s">
        <v>16967</v>
      </c>
      <c r="J7561" s="12" t="str">
        <f>HYPERLINK("https://www.boe.es/gazeta/dias/1801/09/08/pdfs/GMD-1801-86.pdf#page=6","Abrir facsímil")</f>
        <v>Abrir facsímil</v>
      </c>
      <c r="K7561" s="15" t="s">
        <v>23</v>
      </c>
    </row>
    <row r="7562" spans="1:11" ht="42" customHeight="1">
      <c r="A7562" s="4" t="s">
        <v>16968</v>
      </c>
      <c r="B7562" s="5" t="s">
        <v>16968</v>
      </c>
      <c r="C7562" s="5" t="s">
        <v>26</v>
      </c>
      <c r="D7562" s="5" t="s">
        <v>27</v>
      </c>
      <c r="E7562" s="5" t="s">
        <v>501</v>
      </c>
      <c r="F7562" s="9">
        <v>115</v>
      </c>
      <c r="G7562" s="9" t="s">
        <v>502</v>
      </c>
      <c r="H7562" s="5" t="s">
        <v>21</v>
      </c>
      <c r="I7562" s="5" t="s">
        <v>16969</v>
      </c>
      <c r="J7562" s="12" t="str">
        <f>HYPERLINK("https://www.boe.es/gazeta/dias/1801/12/15/pdfs/GMD-C-1801-115.pdf#page=8","Abrir facsímil")</f>
        <v>Abrir facsímil</v>
      </c>
      <c r="K7562" s="15" t="s">
        <v>23</v>
      </c>
    </row>
    <row r="7563" spans="1:11" ht="42" customHeight="1">
      <c r="A7563" s="4" t="s">
        <v>16970</v>
      </c>
      <c r="B7563" s="5" t="s">
        <v>16971</v>
      </c>
      <c r="C7563" s="5" t="s">
        <v>32</v>
      </c>
      <c r="D7563" s="5" t="s">
        <v>33</v>
      </c>
      <c r="E7563" s="5" t="s">
        <v>34</v>
      </c>
      <c r="F7563" s="9">
        <v>38</v>
      </c>
      <c r="G7563" s="9">
        <v>494</v>
      </c>
      <c r="H7563" s="5" t="s">
        <v>21</v>
      </c>
      <c r="I7563" s="5" t="s">
        <v>16972</v>
      </c>
      <c r="J7563" s="12" t="str">
        <f>HYPERLINK("https://www.boe.es/gazeta/dias/1801/05/12/pdfs/GMD-1801-38.pdf#page=10","Abrir facsímil")</f>
        <v>Abrir facsímil</v>
      </c>
      <c r="K7563" s="15" t="s">
        <v>23</v>
      </c>
    </row>
    <row r="7564" spans="1:11" ht="42" customHeight="1">
      <c r="A7564" s="4" t="s">
        <v>16973</v>
      </c>
      <c r="B7564" s="5" t="s">
        <v>16974</v>
      </c>
      <c r="C7564" s="5" t="s">
        <v>26</v>
      </c>
      <c r="D7564" s="5" t="s">
        <v>27</v>
      </c>
      <c r="E7564" s="5" t="s">
        <v>501</v>
      </c>
      <c r="F7564" s="9">
        <v>115</v>
      </c>
      <c r="G7564" s="9" t="s">
        <v>83</v>
      </c>
      <c r="H7564" s="5" t="s">
        <v>21</v>
      </c>
      <c r="I7564" s="5" t="s">
        <v>16975</v>
      </c>
      <c r="J7564" s="12" t="str">
        <f>HYPERLINK("https://www.boe.es/gazeta/dias/1801/12/15/pdfs/GMD-C-1801-115.pdf#page=2","Abrir facsímil")</f>
        <v>Abrir facsímil</v>
      </c>
      <c r="K7564" s="15" t="s">
        <v>23</v>
      </c>
    </row>
    <row r="7565" spans="1:11" ht="42" customHeight="1">
      <c r="A7565" s="4" t="s">
        <v>16976</v>
      </c>
      <c r="B7565" s="5" t="s">
        <v>16977</v>
      </c>
      <c r="C7565" s="5" t="s">
        <v>18</v>
      </c>
      <c r="D7565" s="5" t="s">
        <v>19</v>
      </c>
      <c r="E7565" s="5" t="s">
        <v>254</v>
      </c>
      <c r="F7565" s="9">
        <v>73</v>
      </c>
      <c r="G7565" s="9">
        <v>814</v>
      </c>
      <c r="H7565" s="5" t="s">
        <v>21</v>
      </c>
      <c r="I7565" s="5" t="s">
        <v>16978</v>
      </c>
      <c r="J7565" s="12" t="str">
        <f>HYPERLINK("https://www.boe.es/gazeta/dias/1801/07/28/pdfs/GMD-1801-73.pdf#page=7","Abrir facsímil")</f>
        <v>Abrir facsímil</v>
      </c>
      <c r="K7565" s="15" t="s">
        <v>23</v>
      </c>
    </row>
    <row r="7566" spans="1:11" ht="42" customHeight="1">
      <c r="A7566" s="4" t="s">
        <v>16979</v>
      </c>
      <c r="B7566" s="5" t="s">
        <v>16980</v>
      </c>
      <c r="C7566" s="5" t="s">
        <v>38</v>
      </c>
      <c r="D7566" s="5" t="s">
        <v>39</v>
      </c>
      <c r="E7566" s="5" t="s">
        <v>82</v>
      </c>
      <c r="F7566" s="9">
        <v>75</v>
      </c>
      <c r="G7566" s="9">
        <v>841</v>
      </c>
      <c r="H7566" s="5" t="s">
        <v>21</v>
      </c>
      <c r="I7566" s="5" t="s">
        <v>16981</v>
      </c>
      <c r="J7566" s="12" t="str">
        <f>HYPERLINK("https://www.boe.es/gazeta/dias/1801/08/04/pdfs/GMD-1801-75.pdf#page=10","Abrir facsímil")</f>
        <v>Abrir facsímil</v>
      </c>
      <c r="K7566" s="15" t="s">
        <v>23</v>
      </c>
    </row>
    <row r="7567" spans="1:11" ht="42" customHeight="1">
      <c r="A7567" s="4" t="s">
        <v>16982</v>
      </c>
      <c r="B7567" s="5" t="s">
        <v>16982</v>
      </c>
      <c r="C7567" s="5" t="s">
        <v>32</v>
      </c>
      <c r="D7567" s="5" t="s">
        <v>33</v>
      </c>
      <c r="E7567" s="5" t="s">
        <v>615</v>
      </c>
      <c r="F7567" s="9">
        <v>72</v>
      </c>
      <c r="G7567" s="9">
        <v>805</v>
      </c>
      <c r="H7567" s="5" t="s">
        <v>21</v>
      </c>
      <c r="I7567" s="5" t="s">
        <v>16983</v>
      </c>
      <c r="J7567" s="12" t="str">
        <f>HYPERLINK("https://www.boe.es/gazeta/dias/1801/07/24/pdfs/GMD-1801-72.pdf#page=10","Abrir facsímil")</f>
        <v>Abrir facsímil</v>
      </c>
      <c r="K7567" s="15" t="s">
        <v>23</v>
      </c>
    </row>
    <row r="7568" spans="1:11" ht="42" customHeight="1">
      <c r="A7568" s="4" t="s">
        <v>16984</v>
      </c>
      <c r="B7568" s="5" t="s">
        <v>16984</v>
      </c>
      <c r="C7568" s="5" t="s">
        <v>75</v>
      </c>
      <c r="D7568" s="5" t="s">
        <v>76</v>
      </c>
      <c r="E7568" s="5" t="s">
        <v>2185</v>
      </c>
      <c r="F7568" s="9">
        <v>84</v>
      </c>
      <c r="G7568" s="9">
        <v>939</v>
      </c>
      <c r="H7568" s="5" t="s">
        <v>21</v>
      </c>
      <c r="I7568" s="5" t="s">
        <v>16985</v>
      </c>
      <c r="J7568" s="12" t="str">
        <f>HYPERLINK("https://www.boe.es/gazeta/dias/1801/09/04/pdfs/GMD-1801-84.pdf#page=2","Abrir facsímil")</f>
        <v>Abrir facsímil</v>
      </c>
      <c r="K7568" s="15" t="s">
        <v>23</v>
      </c>
    </row>
    <row r="7569" spans="1:11" ht="42" customHeight="1">
      <c r="A7569" s="4" t="s">
        <v>16986</v>
      </c>
      <c r="B7569" s="5" t="s">
        <v>16987</v>
      </c>
      <c r="C7569" s="5" t="s">
        <v>26</v>
      </c>
      <c r="D7569" s="5" t="s">
        <v>27</v>
      </c>
      <c r="E7569" s="5" t="s">
        <v>366</v>
      </c>
      <c r="F7569" s="9">
        <v>86</v>
      </c>
      <c r="G7569" s="9">
        <v>956</v>
      </c>
      <c r="H7569" s="5" t="s">
        <v>21</v>
      </c>
      <c r="I7569" s="5" t="s">
        <v>16988</v>
      </c>
      <c r="J7569" s="12" t="str">
        <f>HYPERLINK("https://www.boe.es/gazeta/dias/1801/09/08/pdfs/GMD-1801-86.pdf#page=7","Abrir facsímil")</f>
        <v>Abrir facsímil</v>
      </c>
      <c r="K7569" s="15" t="s">
        <v>23</v>
      </c>
    </row>
    <row r="7570" spans="1:11" ht="42" customHeight="1">
      <c r="A7570" s="4" t="s">
        <v>16989</v>
      </c>
      <c r="B7570" s="5" t="s">
        <v>16989</v>
      </c>
      <c r="C7570" s="5" t="s">
        <v>38</v>
      </c>
      <c r="D7570" s="5" t="s">
        <v>39</v>
      </c>
      <c r="E7570" s="5" t="s">
        <v>145</v>
      </c>
      <c r="F7570" s="9">
        <v>36</v>
      </c>
      <c r="G7570" s="9">
        <v>471</v>
      </c>
      <c r="H7570" s="5" t="s">
        <v>21</v>
      </c>
      <c r="I7570" s="5" t="s">
        <v>16990</v>
      </c>
      <c r="J7570" s="12" t="str">
        <f>HYPERLINK("https://www.boe.es/gazeta/dias/1801/05/05/pdfs/GMD-1801-36.pdf#page=15","Abrir facsímil")</f>
        <v>Abrir facsímil</v>
      </c>
      <c r="K7570" s="15" t="s">
        <v>23</v>
      </c>
    </row>
    <row r="7571" spans="1:11" ht="42" customHeight="1">
      <c r="A7571" s="4" t="s">
        <v>16991</v>
      </c>
      <c r="B7571" s="5" t="s">
        <v>16991</v>
      </c>
      <c r="C7571" s="5" t="s">
        <v>32</v>
      </c>
      <c r="D7571" s="5" t="s">
        <v>33</v>
      </c>
      <c r="E7571" s="5" t="s">
        <v>131</v>
      </c>
      <c r="F7571" s="9">
        <v>22</v>
      </c>
      <c r="G7571" s="9">
        <v>290</v>
      </c>
      <c r="H7571" s="5" t="s">
        <v>21</v>
      </c>
      <c r="I7571" s="5" t="s">
        <v>16992</v>
      </c>
      <c r="J7571" s="12" t="str">
        <f>HYPERLINK("https://www.boe.es/gazeta/dias/1801/03/17/pdfs/GMD-1801-22.pdf#page=7","Abrir facsímil")</f>
        <v>Abrir facsímil</v>
      </c>
      <c r="K7571" s="15" t="s">
        <v>23</v>
      </c>
    </row>
    <row r="7572" spans="1:11" ht="42" customHeight="1">
      <c r="A7572" s="4" t="s">
        <v>16993</v>
      </c>
      <c r="B7572" s="5" t="s">
        <v>16993</v>
      </c>
      <c r="C7572" s="5" t="s">
        <v>32</v>
      </c>
      <c r="D7572" s="5" t="s">
        <v>33</v>
      </c>
      <c r="E7572" s="5" t="s">
        <v>62</v>
      </c>
      <c r="F7572" s="9">
        <v>6</v>
      </c>
      <c r="G7572" s="9">
        <v>74</v>
      </c>
      <c r="H7572" s="5" t="s">
        <v>21</v>
      </c>
      <c r="I7572" s="5" t="s">
        <v>16994</v>
      </c>
      <c r="J7572" s="12" t="str">
        <f>HYPERLINK("https://www.boe.es/gazeta/dias/1801/01/20/pdfs/GMD-1801-6.pdf#page=10","Abrir facsímil")</f>
        <v>Abrir facsímil</v>
      </c>
      <c r="K7572" s="15" t="s">
        <v>23</v>
      </c>
    </row>
    <row r="7573" spans="1:11" ht="42" customHeight="1">
      <c r="A7573" s="4" t="s">
        <v>16995</v>
      </c>
      <c r="B7573" s="5" t="s">
        <v>16995</v>
      </c>
      <c r="C7573" s="5" t="s">
        <v>69</v>
      </c>
      <c r="D7573" s="5" t="s">
        <v>19</v>
      </c>
      <c r="E7573" s="5" t="s">
        <v>126</v>
      </c>
      <c r="F7573" s="9">
        <v>13</v>
      </c>
      <c r="G7573" s="9">
        <v>162</v>
      </c>
      <c r="H7573" s="5" t="s">
        <v>21</v>
      </c>
      <c r="I7573" s="5" t="s">
        <v>16996</v>
      </c>
      <c r="J7573" s="12" t="str">
        <f>HYPERLINK("https://www.boe.es/gazeta/dias/1801/02/13/pdfs/GMD-1801-13.pdf#page=9","Abrir facsímil")</f>
        <v>Abrir facsímil</v>
      </c>
      <c r="K7573" s="15" t="s">
        <v>23</v>
      </c>
    </row>
    <row r="7574" spans="1:11" ht="42" customHeight="1">
      <c r="A7574" s="4" t="s">
        <v>16997</v>
      </c>
      <c r="B7574" s="5" t="s">
        <v>16998</v>
      </c>
      <c r="C7574" s="5" t="s">
        <v>32</v>
      </c>
      <c r="D7574" s="5" t="s">
        <v>33</v>
      </c>
      <c r="E7574" s="5" t="s">
        <v>1939</v>
      </c>
      <c r="F7574" s="9">
        <v>107</v>
      </c>
      <c r="G7574" s="9">
        <v>1178</v>
      </c>
      <c r="H7574" s="5" t="s">
        <v>21</v>
      </c>
      <c r="I7574" s="5" t="s">
        <v>16999</v>
      </c>
      <c r="J7574" s="12" t="str">
        <f>HYPERLINK("https://www.boe.es/gazeta/dias/1801/11/17/pdfs/GMD-1801-107.pdf#page=7","Abrir facsímil")</f>
        <v>Abrir facsímil</v>
      </c>
      <c r="K7574" s="15" t="s">
        <v>23</v>
      </c>
    </row>
    <row r="7575" spans="1:11" ht="42" customHeight="1">
      <c r="A7575" s="4" t="s">
        <v>17000</v>
      </c>
      <c r="B7575" s="5" t="s">
        <v>17001</v>
      </c>
      <c r="C7575" s="5" t="s">
        <v>69</v>
      </c>
      <c r="D7575" s="5" t="s">
        <v>19</v>
      </c>
      <c r="E7575" s="5" t="s">
        <v>112</v>
      </c>
      <c r="F7575" s="9">
        <v>114</v>
      </c>
      <c r="G7575" s="9">
        <v>1247</v>
      </c>
      <c r="H7575" s="5" t="s">
        <v>21</v>
      </c>
      <c r="I7575" s="5" t="s">
        <v>17002</v>
      </c>
      <c r="J7575" s="12" t="str">
        <f>HYPERLINK("https://www.boe.es/gazeta/dias/1801/12/11/pdfs/GMD-1801-114.pdf#page=9","Abrir facsímil")</f>
        <v>Abrir facsímil</v>
      </c>
      <c r="K7575" s="15" t="s">
        <v>23</v>
      </c>
    </row>
    <row r="7576" spans="1:11" ht="42" customHeight="1">
      <c r="A7576" s="4" t="s">
        <v>17003</v>
      </c>
      <c r="B7576" s="5" t="s">
        <v>17004</v>
      </c>
      <c r="C7576" s="5" t="s">
        <v>69</v>
      </c>
      <c r="D7576" s="5" t="s">
        <v>19</v>
      </c>
      <c r="E7576" s="5" t="s">
        <v>275</v>
      </c>
      <c r="F7576" s="9">
        <v>9</v>
      </c>
      <c r="G7576" s="9">
        <v>112</v>
      </c>
      <c r="H7576" s="5" t="s">
        <v>21</v>
      </c>
      <c r="I7576" s="5" t="s">
        <v>17005</v>
      </c>
      <c r="J7576" s="12" t="str">
        <f>HYPERLINK("https://www.boe.es/gazeta/dias/1801/01/30/pdfs/GMD-1801-9.pdf#page=9","Abrir facsímil")</f>
        <v>Abrir facsímil</v>
      </c>
      <c r="K7576" s="15" t="s">
        <v>23</v>
      </c>
    </row>
    <row r="7577" spans="1:11" ht="42" customHeight="1">
      <c r="A7577" s="4" t="s">
        <v>17006</v>
      </c>
      <c r="B7577" s="5" t="s">
        <v>17006</v>
      </c>
      <c r="C7577" s="5" t="s">
        <v>69</v>
      </c>
      <c r="D7577" s="5" t="s">
        <v>19</v>
      </c>
      <c r="E7577" s="5" t="s">
        <v>712</v>
      </c>
      <c r="F7577" s="9">
        <v>105</v>
      </c>
      <c r="G7577" s="9">
        <v>1157</v>
      </c>
      <c r="H7577" s="5" t="s">
        <v>21</v>
      </c>
      <c r="I7577" s="5" t="s">
        <v>17007</v>
      </c>
      <c r="J7577" s="12" t="str">
        <f>HYPERLINK("https://www.boe.es/gazeta/dias/1801/11/10/pdfs/GMD-1801-105.pdf#page=10","Abrir facsímil")</f>
        <v>Abrir facsímil</v>
      </c>
      <c r="K7577" s="15" t="s">
        <v>23</v>
      </c>
    </row>
    <row r="7578" spans="1:11" ht="42" customHeight="1">
      <c r="A7578" s="4" t="s">
        <v>17008</v>
      </c>
      <c r="B7578" s="5" t="s">
        <v>17009</v>
      </c>
      <c r="C7578" s="5" t="s">
        <v>75</v>
      </c>
      <c r="D7578" s="5" t="s">
        <v>76</v>
      </c>
      <c r="E7578" s="5" t="s">
        <v>201</v>
      </c>
      <c r="F7578" s="9">
        <v>79</v>
      </c>
      <c r="G7578" s="9">
        <v>884</v>
      </c>
      <c r="H7578" s="5" t="s">
        <v>21</v>
      </c>
      <c r="I7578" s="5" t="s">
        <v>17010</v>
      </c>
      <c r="J7578" s="12" t="str">
        <f>HYPERLINK("https://www.boe.es/gazeta/dias/1801/08/18/pdfs/GMD-1801-79.pdf#page=1","Abrir facsímil")</f>
        <v>Abrir facsímil</v>
      </c>
      <c r="K7578" s="15" t="s">
        <v>23</v>
      </c>
    </row>
    <row r="7579" spans="1:11" ht="42" customHeight="1">
      <c r="A7579" s="4" t="s">
        <v>17011</v>
      </c>
      <c r="B7579" s="5" t="s">
        <v>17011</v>
      </c>
      <c r="C7579" s="5" t="s">
        <v>38</v>
      </c>
      <c r="D7579" s="5" t="s">
        <v>39</v>
      </c>
      <c r="E7579" s="5" t="s">
        <v>105</v>
      </c>
      <c r="F7579" s="9">
        <v>44</v>
      </c>
      <c r="G7579" s="9">
        <v>550</v>
      </c>
      <c r="H7579" s="5" t="s">
        <v>21</v>
      </c>
      <c r="I7579" s="5" t="s">
        <v>17012</v>
      </c>
      <c r="J7579" s="12" t="str">
        <f>HYPERLINK("https://www.boe.es/gazeta/dias/1801/05/29/pdfs/GMD-1801-44.pdf#page=10","Abrir facsímil")</f>
        <v>Abrir facsímil</v>
      </c>
      <c r="K7579" s="15" t="s">
        <v>23</v>
      </c>
    </row>
    <row r="7580" spans="1:11" ht="42" customHeight="1">
      <c r="A7580" s="4" t="s">
        <v>17013</v>
      </c>
      <c r="B7580" s="5" t="s">
        <v>17013</v>
      </c>
      <c r="C7580" s="5" t="s">
        <v>69</v>
      </c>
      <c r="D7580" s="5" t="s">
        <v>19</v>
      </c>
      <c r="E7580" s="5" t="s">
        <v>105</v>
      </c>
      <c r="F7580" s="9">
        <v>44</v>
      </c>
      <c r="G7580" s="9">
        <v>550</v>
      </c>
      <c r="H7580" s="5" t="s">
        <v>21</v>
      </c>
      <c r="I7580" s="5" t="s">
        <v>17014</v>
      </c>
      <c r="J7580" s="12" t="str">
        <f>HYPERLINK("https://www.boe.es/gazeta/dias/1801/05/29/pdfs/GMD-1801-44.pdf#page=10","Abrir facsímil")</f>
        <v>Abrir facsímil</v>
      </c>
      <c r="K7580" s="15" t="s">
        <v>23</v>
      </c>
    </row>
    <row r="7581" spans="1:11" ht="42" customHeight="1">
      <c r="A7581" s="4" t="s">
        <v>17015</v>
      </c>
      <c r="B7581" s="5" t="s">
        <v>17015</v>
      </c>
      <c r="C7581" s="5" t="s">
        <v>38</v>
      </c>
      <c r="D7581" s="5" t="s">
        <v>39</v>
      </c>
      <c r="E7581" s="5" t="s">
        <v>338</v>
      </c>
      <c r="F7581" s="9">
        <v>83</v>
      </c>
      <c r="G7581" s="9">
        <v>937</v>
      </c>
      <c r="H7581" s="5" t="s">
        <v>21</v>
      </c>
      <c r="I7581" s="5" t="s">
        <v>17016</v>
      </c>
      <c r="J7581" s="12" t="str">
        <f>HYPERLINK("https://www.boe.es/gazeta/dias/1801/09/01/pdfs/GMD-1801-83.pdf#page=12","Abrir facsímil")</f>
        <v>Abrir facsímil</v>
      </c>
      <c r="K7581" s="15" t="s">
        <v>23</v>
      </c>
    </row>
    <row r="7582" spans="1:11" ht="42" customHeight="1">
      <c r="A7582" s="4" t="s">
        <v>17017</v>
      </c>
      <c r="B7582" s="5" t="s">
        <v>17017</v>
      </c>
      <c r="C7582" s="5" t="s">
        <v>26</v>
      </c>
      <c r="D7582" s="5" t="s">
        <v>27</v>
      </c>
      <c r="E7582" s="5" t="s">
        <v>143</v>
      </c>
      <c r="F7582" s="9">
        <v>34</v>
      </c>
      <c r="G7582" s="9">
        <v>437</v>
      </c>
      <c r="H7582" s="5" t="s">
        <v>21</v>
      </c>
      <c r="I7582" s="5" t="s">
        <v>17018</v>
      </c>
      <c r="J7582" s="12" t="str">
        <f>HYPERLINK("https://www.boe.es/gazeta/dias/1801/04/28/pdfs/GMD-1801-34.pdf#page=9","Abrir facsímil")</f>
        <v>Abrir facsímil</v>
      </c>
      <c r="K7582" s="15" t="s">
        <v>23</v>
      </c>
    </row>
    <row r="7583" spans="1:11" ht="42" customHeight="1">
      <c r="A7583" s="4" t="s">
        <v>17017</v>
      </c>
      <c r="B7583" s="5" t="s">
        <v>17017</v>
      </c>
      <c r="C7583" s="5" t="s">
        <v>38</v>
      </c>
      <c r="D7583" s="5" t="s">
        <v>39</v>
      </c>
      <c r="E7583" s="5" t="s">
        <v>20</v>
      </c>
      <c r="F7583" s="9">
        <v>37</v>
      </c>
      <c r="G7583" s="9">
        <v>484</v>
      </c>
      <c r="H7583" s="5" t="s">
        <v>21</v>
      </c>
      <c r="I7583" s="5" t="s">
        <v>17019</v>
      </c>
      <c r="J7583" s="12" t="str">
        <f>HYPERLINK("https://www.boe.es/gazeta/dias/1801/05/08/pdfs/GMD-1801-37.pdf#page=12","Abrir facsímil")</f>
        <v>Abrir facsímil</v>
      </c>
      <c r="K7583" s="15" t="s">
        <v>23</v>
      </c>
    </row>
    <row r="7584" spans="1:11" ht="42" customHeight="1">
      <c r="A7584" s="4" t="s">
        <v>17020</v>
      </c>
      <c r="B7584" s="5" t="s">
        <v>17021</v>
      </c>
      <c r="C7584" s="5" t="s">
        <v>32</v>
      </c>
      <c r="D7584" s="5" t="s">
        <v>33</v>
      </c>
      <c r="E7584" s="5" t="s">
        <v>48</v>
      </c>
      <c r="F7584" s="9">
        <v>20</v>
      </c>
      <c r="G7584" s="9">
        <v>265</v>
      </c>
      <c r="H7584" s="5" t="s">
        <v>21</v>
      </c>
      <c r="I7584" s="5" t="s">
        <v>17022</v>
      </c>
      <c r="J7584" s="12" t="str">
        <f>HYPERLINK("https://www.boe.es/gazeta/dias/1801/03/10/pdfs/GMD-1801-20.pdf#page=10","Abrir facsímil")</f>
        <v>Abrir facsímil</v>
      </c>
      <c r="K7584" s="15" t="s">
        <v>23</v>
      </c>
    </row>
    <row r="7585" spans="1:11" ht="42" customHeight="1">
      <c r="A7585" s="4" t="s">
        <v>17023</v>
      </c>
      <c r="B7585" s="5" t="s">
        <v>17024</v>
      </c>
      <c r="C7585" s="5" t="s">
        <v>32</v>
      </c>
      <c r="D7585" s="5" t="s">
        <v>33</v>
      </c>
      <c r="E7585" s="5" t="s">
        <v>90</v>
      </c>
      <c r="F7585" s="9">
        <v>1</v>
      </c>
      <c r="G7585" s="9">
        <v>9</v>
      </c>
      <c r="H7585" s="5" t="s">
        <v>21</v>
      </c>
      <c r="I7585" s="5" t="s">
        <v>17025</v>
      </c>
      <c r="J7585" s="12" t="str">
        <f>HYPERLINK("https://www.boe.es/gazeta/dias/1801/01/02/pdfs/GMD-1801-1.pdf#page=9","Abrir facsímil")</f>
        <v>Abrir facsímil</v>
      </c>
      <c r="K7585" s="15" t="s">
        <v>23</v>
      </c>
    </row>
    <row r="7586" spans="1:11" ht="42" customHeight="1">
      <c r="A7586" s="4" t="s">
        <v>17026</v>
      </c>
      <c r="B7586" s="5" t="s">
        <v>17027</v>
      </c>
      <c r="C7586" s="5" t="s">
        <v>32</v>
      </c>
      <c r="D7586" s="5" t="s">
        <v>33</v>
      </c>
      <c r="E7586" s="5" t="s">
        <v>48</v>
      </c>
      <c r="F7586" s="9">
        <v>20</v>
      </c>
      <c r="G7586" s="9">
        <v>265</v>
      </c>
      <c r="H7586" s="5" t="s">
        <v>21</v>
      </c>
      <c r="I7586" s="5" t="s">
        <v>17028</v>
      </c>
      <c r="J7586" s="12" t="str">
        <f>HYPERLINK("https://www.boe.es/gazeta/dias/1801/03/10/pdfs/GMD-1801-20.pdf#page=10","Abrir facsímil")</f>
        <v>Abrir facsímil</v>
      </c>
      <c r="K7586" s="15" t="s">
        <v>23</v>
      </c>
    </row>
    <row r="7587" spans="1:11" ht="42" customHeight="1">
      <c r="A7587" s="4" t="s">
        <v>17029</v>
      </c>
      <c r="B7587" s="5" t="s">
        <v>17030</v>
      </c>
      <c r="C7587" s="5" t="s">
        <v>69</v>
      </c>
      <c r="D7587" s="5" t="s">
        <v>19</v>
      </c>
      <c r="E7587" s="5" t="s">
        <v>275</v>
      </c>
      <c r="F7587" s="9">
        <v>9</v>
      </c>
      <c r="G7587" s="9">
        <v>111</v>
      </c>
      <c r="H7587" s="5" t="s">
        <v>21</v>
      </c>
      <c r="I7587" s="5" t="s">
        <v>17031</v>
      </c>
      <c r="J7587" s="12" t="str">
        <f>HYPERLINK("https://www.boe.es/gazeta/dias/1801/01/30/pdfs/GMD-1801-9.pdf#page=8","Abrir facsímil")</f>
        <v>Abrir facsímil</v>
      </c>
      <c r="K7587" s="15" t="s">
        <v>23</v>
      </c>
    </row>
    <row r="7588" spans="1:11" ht="42" customHeight="1">
      <c r="A7588" s="4" t="s">
        <v>17032</v>
      </c>
      <c r="B7588" s="5" t="s">
        <v>17033</v>
      </c>
      <c r="C7588" s="5" t="s">
        <v>32</v>
      </c>
      <c r="D7588" s="5" t="s">
        <v>33</v>
      </c>
      <c r="E7588" s="5" t="s">
        <v>640</v>
      </c>
      <c r="F7588" s="9">
        <v>81</v>
      </c>
      <c r="G7588" s="9">
        <v>909</v>
      </c>
      <c r="H7588" s="5" t="s">
        <v>21</v>
      </c>
      <c r="I7588" s="5" t="s">
        <v>17034</v>
      </c>
      <c r="J7588" s="12" t="str">
        <f>HYPERLINK("https://www.boe.es/gazeta/dias/1801/08/25/pdfs/GMD-1801-81.pdf#page=6","Abrir facsímil")</f>
        <v>Abrir facsímil</v>
      </c>
      <c r="K7588" s="15" t="s">
        <v>23</v>
      </c>
    </row>
    <row r="7589" spans="1:11" ht="42" customHeight="1">
      <c r="A7589" s="4" t="s">
        <v>17035</v>
      </c>
      <c r="B7589" s="5" t="s">
        <v>17036</v>
      </c>
      <c r="C7589" s="5" t="s">
        <v>32</v>
      </c>
      <c r="D7589" s="5" t="s">
        <v>33</v>
      </c>
      <c r="E7589" s="5" t="s">
        <v>145</v>
      </c>
      <c r="F7589" s="9">
        <v>36</v>
      </c>
      <c r="G7589" s="9">
        <v>468</v>
      </c>
      <c r="H7589" s="5" t="s">
        <v>21</v>
      </c>
      <c r="I7589" s="5" t="s">
        <v>17037</v>
      </c>
      <c r="J7589" s="12" t="str">
        <f>HYPERLINK("https://www.boe.es/gazeta/dias/1801/05/05/pdfs/GMD-1801-36.pdf#page=12","Abrir facsímil")</f>
        <v>Abrir facsímil</v>
      </c>
      <c r="K7589" s="15" t="s">
        <v>23</v>
      </c>
    </row>
    <row r="7590" spans="1:11" ht="42" customHeight="1">
      <c r="A7590" s="4" t="s">
        <v>17035</v>
      </c>
      <c r="B7590" s="5" t="s">
        <v>17036</v>
      </c>
      <c r="C7590" s="5" t="s">
        <v>80</v>
      </c>
      <c r="D7590" s="5" t="s">
        <v>81</v>
      </c>
      <c r="E7590" s="5" t="s">
        <v>289</v>
      </c>
      <c r="F7590" s="9">
        <v>40</v>
      </c>
      <c r="G7590" s="9" t="s">
        <v>83</v>
      </c>
      <c r="H7590" s="5" t="s">
        <v>21</v>
      </c>
      <c r="I7590" s="5" t="s">
        <v>17038</v>
      </c>
      <c r="J7590" s="12" t="str">
        <f>HYPERLINK("https://www.boe.es/gazeta/dias/1801/05/19/pdfs/GMD-C-1801-40.pdf#page=2","Abrir facsímil")</f>
        <v>Abrir facsímil</v>
      </c>
      <c r="K7590" s="15" t="s">
        <v>23</v>
      </c>
    </row>
    <row r="7591" spans="1:11" ht="42" customHeight="1">
      <c r="A7591" s="4" t="s">
        <v>17039</v>
      </c>
      <c r="B7591" s="5" t="s">
        <v>17040</v>
      </c>
      <c r="C7591" s="5" t="s">
        <v>75</v>
      </c>
      <c r="D7591" s="5" t="s">
        <v>76</v>
      </c>
      <c r="E7591" s="5" t="s">
        <v>640</v>
      </c>
      <c r="F7591" s="9">
        <v>81</v>
      </c>
      <c r="G7591" s="9">
        <v>909</v>
      </c>
      <c r="H7591" s="5" t="s">
        <v>21</v>
      </c>
      <c r="I7591" s="5" t="s">
        <v>17041</v>
      </c>
      <c r="J7591" s="12" t="str">
        <f>HYPERLINK("https://www.boe.es/gazeta/dias/1801/08/25/pdfs/GMD-1801-81.pdf#page=6","Abrir facsímil")</f>
        <v>Abrir facsímil</v>
      </c>
      <c r="K7591" s="15" t="s">
        <v>23</v>
      </c>
    </row>
    <row r="7592" spans="1:11" ht="42" customHeight="1">
      <c r="A7592" s="4" t="s">
        <v>17042</v>
      </c>
      <c r="B7592" s="5" t="s">
        <v>17043</v>
      </c>
      <c r="C7592" s="5" t="s">
        <v>26</v>
      </c>
      <c r="D7592" s="5" t="s">
        <v>27</v>
      </c>
      <c r="E7592" s="5" t="s">
        <v>501</v>
      </c>
      <c r="F7592" s="9">
        <v>115</v>
      </c>
      <c r="G7592" s="9" t="s">
        <v>502</v>
      </c>
      <c r="H7592" s="5" t="s">
        <v>21</v>
      </c>
      <c r="I7592" s="5" t="s">
        <v>17044</v>
      </c>
      <c r="J7592" s="12" t="str">
        <f>HYPERLINK("https://www.boe.es/gazeta/dias/1801/12/15/pdfs/GMD-C-1801-115.pdf#page=8","Abrir facsímil")</f>
        <v>Abrir facsímil</v>
      </c>
      <c r="K7592" s="15" t="s">
        <v>23</v>
      </c>
    </row>
    <row r="7593" spans="1:11" ht="42" customHeight="1">
      <c r="A7593" s="4" t="s">
        <v>17045</v>
      </c>
      <c r="B7593" s="5" t="s">
        <v>17046</v>
      </c>
      <c r="C7593" s="5" t="s">
        <v>75</v>
      </c>
      <c r="D7593" s="5" t="s">
        <v>76</v>
      </c>
      <c r="E7593" s="5" t="s">
        <v>161</v>
      </c>
      <c r="F7593" s="9">
        <v>58</v>
      </c>
      <c r="G7593" s="9">
        <v>657</v>
      </c>
      <c r="H7593" s="5" t="s">
        <v>21</v>
      </c>
      <c r="I7593" s="5" t="s">
        <v>17047</v>
      </c>
      <c r="J7593" s="12" t="str">
        <f>HYPERLINK("https://www.boe.es/gazeta/dias/1801/06/19/pdfs/GMD-1801-58.pdf#page=2","Abrir facsímil")</f>
        <v>Abrir facsímil</v>
      </c>
      <c r="K7593" s="15" t="s">
        <v>23</v>
      </c>
    </row>
    <row r="7594" spans="1:11" ht="42" customHeight="1">
      <c r="A7594" s="4" t="s">
        <v>17045</v>
      </c>
      <c r="B7594" s="5" t="s">
        <v>17046</v>
      </c>
      <c r="C7594" s="5" t="s">
        <v>18</v>
      </c>
      <c r="D7594" s="5" t="s">
        <v>19</v>
      </c>
      <c r="E7594" s="5" t="s">
        <v>215</v>
      </c>
      <c r="F7594" s="9">
        <v>71</v>
      </c>
      <c r="G7594" s="9">
        <v>783</v>
      </c>
      <c r="H7594" s="5" t="s">
        <v>21</v>
      </c>
      <c r="I7594" s="5" t="s">
        <v>17048</v>
      </c>
      <c r="J7594" s="12" t="str">
        <f>HYPERLINK("https://www.boe.es/gazeta/dias/1801/07/21/pdfs/GMD-1801-71.pdf#page=4","Abrir facsímil")</f>
        <v>Abrir facsímil</v>
      </c>
      <c r="K7594" s="15" t="s">
        <v>23</v>
      </c>
    </row>
    <row r="7595" spans="1:11" ht="42" customHeight="1">
      <c r="A7595" s="4" t="s">
        <v>17045</v>
      </c>
      <c r="B7595" s="5" t="s">
        <v>17046</v>
      </c>
      <c r="C7595" s="5" t="s">
        <v>38</v>
      </c>
      <c r="D7595" s="5" t="s">
        <v>39</v>
      </c>
      <c r="E7595" s="5" t="s">
        <v>266</v>
      </c>
      <c r="F7595" s="9">
        <v>119</v>
      </c>
      <c r="G7595" s="9">
        <v>1299</v>
      </c>
      <c r="H7595" s="5" t="s">
        <v>21</v>
      </c>
      <c r="I7595" s="5" t="s">
        <v>17049</v>
      </c>
      <c r="J7595" s="12" t="str">
        <f>HYPERLINK("https://www.boe.es/gazeta/dias/1801/12/29/pdfs/GMD-1801-119.pdf#page=3","Abrir facsímil")</f>
        <v>Abrir facsímil</v>
      </c>
      <c r="K7595" s="15" t="s">
        <v>23</v>
      </c>
    </row>
    <row r="7596" spans="1:11" ht="42" customHeight="1">
      <c r="A7596" s="4" t="s">
        <v>17050</v>
      </c>
      <c r="B7596" s="5" t="s">
        <v>17050</v>
      </c>
      <c r="C7596" s="5" t="s">
        <v>69</v>
      </c>
      <c r="D7596" s="5" t="s">
        <v>19</v>
      </c>
      <c r="E7596" s="5" t="s">
        <v>359</v>
      </c>
      <c r="F7596" s="9">
        <v>101</v>
      </c>
      <c r="G7596" s="9">
        <v>1113</v>
      </c>
      <c r="H7596" s="5" t="s">
        <v>21</v>
      </c>
      <c r="I7596" s="5" t="s">
        <v>17051</v>
      </c>
      <c r="J7596" s="12" t="str">
        <f>HYPERLINK("https://www.boe.es/gazeta/dias/1801/10/27/pdfs/GMD-1801-101.pdf#page=6","Abrir facsímil")</f>
        <v>Abrir facsímil</v>
      </c>
      <c r="K7596" s="15" t="s">
        <v>23</v>
      </c>
    </row>
    <row r="7597" spans="1:11" ht="42" customHeight="1">
      <c r="A7597" s="4" t="s">
        <v>17052</v>
      </c>
      <c r="B7597" s="5" t="s">
        <v>17053</v>
      </c>
      <c r="C7597" s="5" t="s">
        <v>32</v>
      </c>
      <c r="D7597" s="5" t="s">
        <v>33</v>
      </c>
      <c r="E7597" s="5" t="s">
        <v>28</v>
      </c>
      <c r="F7597" s="9">
        <v>77</v>
      </c>
      <c r="G7597" s="9">
        <v>866</v>
      </c>
      <c r="H7597" s="5" t="s">
        <v>21</v>
      </c>
      <c r="I7597" s="5" t="s">
        <v>17054</v>
      </c>
      <c r="J7597" s="12" t="str">
        <f>HYPERLINK("https://www.boe.es/gazeta/dias/1801/08/11/pdfs/GMD-1801-77.pdf#page=11","Abrir facsímil")</f>
        <v>Abrir facsímil</v>
      </c>
      <c r="K7597" s="15" t="s">
        <v>23</v>
      </c>
    </row>
    <row r="7598" spans="1:11" ht="42" customHeight="1">
      <c r="A7598" s="4" t="s">
        <v>17055</v>
      </c>
      <c r="B7598" s="5" t="s">
        <v>17056</v>
      </c>
      <c r="C7598" s="5" t="s">
        <v>18</v>
      </c>
      <c r="D7598" s="5" t="s">
        <v>19</v>
      </c>
      <c r="E7598" s="5" t="s">
        <v>292</v>
      </c>
      <c r="F7598" s="9">
        <v>25</v>
      </c>
      <c r="G7598" s="9">
        <v>332</v>
      </c>
      <c r="H7598" s="5" t="s">
        <v>21</v>
      </c>
      <c r="I7598" s="5" t="s">
        <v>17057</v>
      </c>
      <c r="J7598" s="12" t="str">
        <f>HYPERLINK("https://www.boe.es/gazeta/dias/1801/03/27/pdfs/GMD-1801-25.pdf#page=11","Abrir facsímil")</f>
        <v>Abrir facsímil</v>
      </c>
      <c r="K7598" s="15" t="s">
        <v>23</v>
      </c>
    </row>
    <row r="7599" spans="1:11" ht="42" customHeight="1">
      <c r="A7599" s="4" t="s">
        <v>17058</v>
      </c>
      <c r="B7599" s="5" t="s">
        <v>17058</v>
      </c>
      <c r="C7599" s="5" t="s">
        <v>38</v>
      </c>
      <c r="D7599" s="5" t="s">
        <v>39</v>
      </c>
      <c r="E7599" s="5" t="s">
        <v>453</v>
      </c>
      <c r="F7599" s="9">
        <v>100</v>
      </c>
      <c r="G7599" s="9">
        <v>1095</v>
      </c>
      <c r="H7599" s="5" t="s">
        <v>21</v>
      </c>
      <c r="I7599" s="5" t="s">
        <v>17059</v>
      </c>
      <c r="J7599" s="12" t="str">
        <f>HYPERLINK("https://www.boe.es/gazeta/dias/1801/10/23/pdfs/GMD-1801-100.pdf#page=4","Abrir facsímil")</f>
        <v>Abrir facsímil</v>
      </c>
      <c r="K7599" s="15" t="s">
        <v>23</v>
      </c>
    </row>
    <row r="7600" spans="1:11" ht="42" customHeight="1">
      <c r="A7600" s="4" t="s">
        <v>17060</v>
      </c>
      <c r="B7600" s="5" t="s">
        <v>17061</v>
      </c>
      <c r="C7600" s="5" t="s">
        <v>26</v>
      </c>
      <c r="D7600" s="5" t="s">
        <v>27</v>
      </c>
      <c r="E7600" s="5" t="s">
        <v>82</v>
      </c>
      <c r="F7600" s="9">
        <v>75</v>
      </c>
      <c r="G7600" s="9">
        <v>842</v>
      </c>
      <c r="H7600" s="5" t="s">
        <v>21</v>
      </c>
      <c r="I7600" s="5" t="s">
        <v>17062</v>
      </c>
      <c r="J7600" s="12" t="str">
        <f>HYPERLINK("https://www.boe.es/gazeta/dias/1801/08/04/pdfs/GMD-1801-75.pdf#page=11","Abrir facsímil")</f>
        <v>Abrir facsímil</v>
      </c>
      <c r="K7600" s="15" t="s">
        <v>23</v>
      </c>
    </row>
    <row r="7601" spans="1:11" ht="42" customHeight="1">
      <c r="A7601" s="4" t="s">
        <v>17063</v>
      </c>
      <c r="B7601" s="5" t="s">
        <v>17064</v>
      </c>
      <c r="C7601" s="5" t="s">
        <v>32</v>
      </c>
      <c r="D7601" s="5" t="s">
        <v>33</v>
      </c>
      <c r="E7601" s="5" t="s">
        <v>221</v>
      </c>
      <c r="F7601" s="9">
        <v>28</v>
      </c>
      <c r="G7601" s="9">
        <v>370</v>
      </c>
      <c r="H7601" s="5" t="s">
        <v>21</v>
      </c>
      <c r="I7601" s="5" t="s">
        <v>17065</v>
      </c>
      <c r="J7601" s="12" t="str">
        <f>HYPERLINK("https://www.boe.es/gazeta/dias/1801/04/07/pdfs/GMD-1801-28.pdf#page=10","Abrir facsímil")</f>
        <v>Abrir facsímil</v>
      </c>
      <c r="K7601" s="15" t="s">
        <v>23</v>
      </c>
    </row>
    <row r="7602" spans="1:11" ht="42" customHeight="1">
      <c r="A7602" s="4" t="s">
        <v>17066</v>
      </c>
      <c r="B7602" s="5" t="s">
        <v>17067</v>
      </c>
      <c r="C7602" s="5" t="s">
        <v>32</v>
      </c>
      <c r="D7602" s="5" t="s">
        <v>33</v>
      </c>
      <c r="E7602" s="5" t="s">
        <v>145</v>
      </c>
      <c r="F7602" s="9">
        <v>36</v>
      </c>
      <c r="G7602" s="9">
        <v>468</v>
      </c>
      <c r="H7602" s="5" t="s">
        <v>21</v>
      </c>
      <c r="I7602" s="5" t="s">
        <v>17068</v>
      </c>
      <c r="J7602" s="12" t="str">
        <f>HYPERLINK("https://www.boe.es/gazeta/dias/1801/05/05/pdfs/GMD-1801-36.pdf#page=12","Abrir facsímil")</f>
        <v>Abrir facsímil</v>
      </c>
      <c r="K7602" s="15" t="s">
        <v>23</v>
      </c>
    </row>
    <row r="7603" spans="1:11" ht="42" customHeight="1">
      <c r="A7603" s="4" t="s">
        <v>17069</v>
      </c>
      <c r="B7603" s="5" t="s">
        <v>17069</v>
      </c>
      <c r="C7603" s="5" t="s">
        <v>26</v>
      </c>
      <c r="D7603" s="5" t="s">
        <v>27</v>
      </c>
      <c r="E7603" s="5" t="s">
        <v>501</v>
      </c>
      <c r="F7603" s="9">
        <v>115</v>
      </c>
      <c r="G7603" s="9" t="s">
        <v>502</v>
      </c>
      <c r="H7603" s="5" t="s">
        <v>21</v>
      </c>
      <c r="I7603" s="5" t="s">
        <v>17070</v>
      </c>
      <c r="J7603" s="12" t="str">
        <f>HYPERLINK("https://www.boe.es/gazeta/dias/1801/12/15/pdfs/GMD-C-1801-115.pdf#page=8","Abrir facsímil")</f>
        <v>Abrir facsímil</v>
      </c>
      <c r="K7603" s="15" t="s">
        <v>23</v>
      </c>
    </row>
    <row r="7604" spans="1:11" ht="42" customHeight="1">
      <c r="A7604" s="4" t="s">
        <v>17071</v>
      </c>
      <c r="B7604" s="5" t="s">
        <v>17072</v>
      </c>
      <c r="C7604" s="5" t="s">
        <v>75</v>
      </c>
      <c r="D7604" s="5" t="s">
        <v>76</v>
      </c>
      <c r="E7604" s="5" t="s">
        <v>70</v>
      </c>
      <c r="F7604" s="9">
        <v>2</v>
      </c>
      <c r="G7604" s="9">
        <v>19</v>
      </c>
      <c r="H7604" s="5" t="s">
        <v>21</v>
      </c>
      <c r="I7604" s="5" t="s">
        <v>17073</v>
      </c>
      <c r="J7604" s="12" t="str">
        <f>HYPERLINK("https://www.boe.es/gazeta/dias/1801/01/06/pdfs/GMD-1801-2.pdf#page=7","Abrir facsímil")</f>
        <v>Abrir facsímil</v>
      </c>
      <c r="K7604" s="15" t="s">
        <v>23</v>
      </c>
    </row>
    <row r="7605" spans="1:11" ht="42" customHeight="1">
      <c r="A7605" s="4" t="s">
        <v>17074</v>
      </c>
      <c r="B7605" s="5" t="s">
        <v>17075</v>
      </c>
      <c r="C7605" s="5" t="s">
        <v>32</v>
      </c>
      <c r="D7605" s="5" t="s">
        <v>33</v>
      </c>
      <c r="E7605" s="5" t="s">
        <v>158</v>
      </c>
      <c r="F7605" s="9">
        <v>55</v>
      </c>
      <c r="G7605" s="9">
        <v>626</v>
      </c>
      <c r="H7605" s="5" t="s">
        <v>21</v>
      </c>
      <c r="I7605" s="5" t="s">
        <v>17076</v>
      </c>
      <c r="J7605" s="12" t="str">
        <f>HYPERLINK("https://www.boe.es/gazeta/dias/1801/06/16/pdfs/GMD-1801-55.pdf#page=2","Abrir facsímil")</f>
        <v>Abrir facsímil</v>
      </c>
      <c r="K7605" s="15" t="s">
        <v>23</v>
      </c>
    </row>
    <row r="7606" spans="1:11" ht="42" customHeight="1">
      <c r="A7606" s="4" t="s">
        <v>17077</v>
      </c>
      <c r="B7606" s="5" t="s">
        <v>17078</v>
      </c>
      <c r="C7606" s="5" t="s">
        <v>32</v>
      </c>
      <c r="D7606" s="5" t="s">
        <v>33</v>
      </c>
      <c r="E7606" s="5" t="s">
        <v>158</v>
      </c>
      <c r="F7606" s="9">
        <v>55</v>
      </c>
      <c r="G7606" s="9">
        <v>626</v>
      </c>
      <c r="H7606" s="5" t="s">
        <v>21</v>
      </c>
      <c r="I7606" s="5" t="s">
        <v>17079</v>
      </c>
      <c r="J7606" s="12" t="str">
        <f>HYPERLINK("https://www.boe.es/gazeta/dias/1801/06/16/pdfs/GMD-1801-55.pdf#page=2","Abrir facsímil")</f>
        <v>Abrir facsímil</v>
      </c>
      <c r="K7606" s="15" t="s">
        <v>23</v>
      </c>
    </row>
    <row r="7607" spans="1:11" ht="42" customHeight="1">
      <c r="A7607" s="4" t="s">
        <v>17080</v>
      </c>
      <c r="B7607" s="5" t="s">
        <v>17081</v>
      </c>
      <c r="C7607" s="5" t="s">
        <v>38</v>
      </c>
      <c r="D7607" s="5" t="s">
        <v>39</v>
      </c>
      <c r="E7607" s="5" t="s">
        <v>99</v>
      </c>
      <c r="F7607" s="9">
        <v>32</v>
      </c>
      <c r="G7607" s="9">
        <v>416</v>
      </c>
      <c r="H7607" s="5" t="s">
        <v>21</v>
      </c>
      <c r="I7607" s="5" t="s">
        <v>17082</v>
      </c>
      <c r="J7607" s="12" t="str">
        <f>HYPERLINK("https://www.boe.es/gazeta/dias/1801/04/21/pdfs/GMD-1801-32.pdf#page=12","Abrir facsímil")</f>
        <v>Abrir facsímil</v>
      </c>
      <c r="K7607" s="15" t="s">
        <v>23</v>
      </c>
    </row>
    <row r="7608" spans="1:11" ht="42" customHeight="1">
      <c r="A7608" s="4" t="s">
        <v>17083</v>
      </c>
      <c r="B7608" s="5" t="s">
        <v>17084</v>
      </c>
      <c r="C7608" s="5" t="s">
        <v>32</v>
      </c>
      <c r="D7608" s="5" t="s">
        <v>33</v>
      </c>
      <c r="E7608" s="5" t="s">
        <v>112</v>
      </c>
      <c r="F7608" s="9">
        <v>114</v>
      </c>
      <c r="G7608" s="9">
        <v>1247</v>
      </c>
      <c r="H7608" s="5" t="s">
        <v>21</v>
      </c>
      <c r="I7608" s="5" t="s">
        <v>17085</v>
      </c>
      <c r="J7608" s="12" t="str">
        <f>HYPERLINK("https://www.boe.es/gazeta/dias/1801/12/11/pdfs/GMD-1801-114.pdf#page=9","Abrir facsímil")</f>
        <v>Abrir facsímil</v>
      </c>
      <c r="K7608" s="15" t="s">
        <v>23</v>
      </c>
    </row>
    <row r="7609" spans="1:11" ht="42" customHeight="1">
      <c r="A7609" s="4" t="s">
        <v>17086</v>
      </c>
      <c r="B7609" s="5" t="s">
        <v>17087</v>
      </c>
      <c r="C7609" s="5" t="s">
        <v>32</v>
      </c>
      <c r="D7609" s="5" t="s">
        <v>33</v>
      </c>
      <c r="E7609" s="5" t="s">
        <v>702</v>
      </c>
      <c r="F7609" s="9">
        <v>69</v>
      </c>
      <c r="G7609" s="9">
        <v>763</v>
      </c>
      <c r="H7609" s="5" t="s">
        <v>21</v>
      </c>
      <c r="I7609" s="5" t="s">
        <v>17088</v>
      </c>
      <c r="J7609" s="12" t="str">
        <f>HYPERLINK("https://www.boe.es/gazeta/dias/1801/07/14/pdfs/GMD-1801-69.pdf#page=8","Abrir facsímil")</f>
        <v>Abrir facsímil</v>
      </c>
      <c r="K7609" s="15" t="s">
        <v>23</v>
      </c>
    </row>
    <row r="7610" spans="1:11" ht="42" customHeight="1">
      <c r="A7610" s="4" t="s">
        <v>17089</v>
      </c>
      <c r="B7610" s="5" t="s">
        <v>17089</v>
      </c>
      <c r="C7610" s="5" t="s">
        <v>38</v>
      </c>
      <c r="D7610" s="5" t="s">
        <v>39</v>
      </c>
      <c r="E7610" s="5" t="s">
        <v>171</v>
      </c>
      <c r="F7610" s="9">
        <v>76</v>
      </c>
      <c r="G7610" s="9">
        <v>854</v>
      </c>
      <c r="H7610" s="5" t="s">
        <v>21</v>
      </c>
      <c r="I7610" s="5" t="s">
        <v>17090</v>
      </c>
      <c r="J7610" s="12" t="str">
        <f>HYPERLINK("https://www.boe.es/gazeta/dias/1801/08/07/pdfs/GMD-1801-76.pdf#page=11","Abrir facsímil")</f>
        <v>Abrir facsímil</v>
      </c>
      <c r="K7610" s="15" t="s">
        <v>23</v>
      </c>
    </row>
    <row r="7611" spans="1:11" ht="42" customHeight="1">
      <c r="A7611" s="4" t="s">
        <v>17091</v>
      </c>
      <c r="B7611" s="5" t="s">
        <v>17092</v>
      </c>
      <c r="C7611" s="5" t="s">
        <v>32</v>
      </c>
      <c r="D7611" s="5" t="s">
        <v>33</v>
      </c>
      <c r="E7611" s="5" t="s">
        <v>417</v>
      </c>
      <c r="F7611" s="9">
        <v>64</v>
      </c>
      <c r="G7611" s="9">
        <v>729</v>
      </c>
      <c r="H7611" s="5" t="s">
        <v>21</v>
      </c>
      <c r="I7611" s="5" t="s">
        <v>17093</v>
      </c>
      <c r="J7611" s="12" t="str">
        <f>HYPERLINK("https://www.boe.es/gazeta/dias/1801/07/07/pdfs/GMD-1801-64.pdf#page=10","Abrir facsímil")</f>
        <v>Abrir facsímil</v>
      </c>
      <c r="K7611" s="15" t="s">
        <v>23</v>
      </c>
    </row>
    <row r="7612" spans="1:11" ht="42" customHeight="1">
      <c r="A7612" s="4" t="s">
        <v>17091</v>
      </c>
      <c r="B7612" s="5" t="s">
        <v>17092</v>
      </c>
      <c r="C7612" s="5" t="s">
        <v>32</v>
      </c>
      <c r="D7612" s="5" t="s">
        <v>33</v>
      </c>
      <c r="E7612" s="5" t="s">
        <v>338</v>
      </c>
      <c r="F7612" s="9">
        <v>83</v>
      </c>
      <c r="G7612" s="9">
        <v>934</v>
      </c>
      <c r="H7612" s="5" t="s">
        <v>21</v>
      </c>
      <c r="I7612" s="5" t="s">
        <v>17094</v>
      </c>
      <c r="J7612" s="12" t="str">
        <f>HYPERLINK("https://www.boe.es/gazeta/dias/1801/09/01/pdfs/GMD-1801-83.pdf#page=9","Abrir facsímil")</f>
        <v>Abrir facsímil</v>
      </c>
      <c r="K7612" s="15" t="s">
        <v>23</v>
      </c>
    </row>
    <row r="7613" spans="1:11" ht="42" customHeight="1">
      <c r="A7613" s="4" t="s">
        <v>17095</v>
      </c>
      <c r="B7613" s="5" t="s">
        <v>17096</v>
      </c>
      <c r="C7613" s="5" t="s">
        <v>80</v>
      </c>
      <c r="D7613" s="5" t="s">
        <v>81</v>
      </c>
      <c r="E7613" s="5" t="s">
        <v>82</v>
      </c>
      <c r="F7613" s="9">
        <v>75</v>
      </c>
      <c r="G7613" s="9" t="s">
        <v>299</v>
      </c>
      <c r="H7613" s="5" t="s">
        <v>21</v>
      </c>
      <c r="I7613" s="5" t="s">
        <v>17097</v>
      </c>
      <c r="J7613" s="12" t="str">
        <f>HYPERLINK("https://www.boe.es/gazeta/dias/1801/08/04/pdfs/GMD-C-1801-75.pdf#page=5","Abrir facsímil")</f>
        <v>Abrir facsímil</v>
      </c>
      <c r="K7613" s="15" t="s">
        <v>23</v>
      </c>
    </row>
    <row r="7614" spans="1:11" ht="42" customHeight="1">
      <c r="A7614" s="4" t="s">
        <v>17098</v>
      </c>
      <c r="B7614" s="5" t="s">
        <v>17099</v>
      </c>
      <c r="C7614" s="5" t="s">
        <v>80</v>
      </c>
      <c r="D7614" s="5" t="s">
        <v>81</v>
      </c>
      <c r="E7614" s="5" t="s">
        <v>82</v>
      </c>
      <c r="F7614" s="9">
        <v>75</v>
      </c>
      <c r="G7614" s="9" t="s">
        <v>83</v>
      </c>
      <c r="H7614" s="5" t="s">
        <v>21</v>
      </c>
      <c r="I7614" s="5" t="s">
        <v>17100</v>
      </c>
      <c r="J7614" s="12" t="str">
        <f>HYPERLINK("https://www.boe.es/gazeta/dias/1801/08/04/pdfs/GMD-C-1801-75.pdf#page=2","Abrir facsímil")</f>
        <v>Abrir facsímil</v>
      </c>
      <c r="K7614" s="15" t="s">
        <v>23</v>
      </c>
    </row>
    <row r="7615" spans="1:11" ht="42" customHeight="1">
      <c r="A7615" s="4" t="s">
        <v>17101</v>
      </c>
      <c r="B7615" s="5" t="s">
        <v>17102</v>
      </c>
      <c r="C7615" s="5" t="s">
        <v>32</v>
      </c>
      <c r="D7615" s="5" t="s">
        <v>33</v>
      </c>
      <c r="E7615" s="5" t="s">
        <v>90</v>
      </c>
      <c r="F7615" s="9">
        <v>1</v>
      </c>
      <c r="G7615" s="9">
        <v>8</v>
      </c>
      <c r="H7615" s="5" t="s">
        <v>21</v>
      </c>
      <c r="I7615" s="5" t="s">
        <v>17103</v>
      </c>
      <c r="J7615" s="12" t="str">
        <f>HYPERLINK("https://www.boe.es/gazeta/dias/1801/01/02/pdfs/GMD-1801-1.pdf#page=8","Abrir facsímil")</f>
        <v>Abrir facsímil</v>
      </c>
      <c r="K7615" s="15" t="s">
        <v>23</v>
      </c>
    </row>
    <row r="7616" spans="1:11" ht="42" customHeight="1">
      <c r="A7616" s="4" t="s">
        <v>17104</v>
      </c>
      <c r="B7616" s="5" t="s">
        <v>17105</v>
      </c>
      <c r="C7616" s="5" t="s">
        <v>32</v>
      </c>
      <c r="D7616" s="5" t="s">
        <v>33</v>
      </c>
      <c r="E7616" s="5" t="s">
        <v>153</v>
      </c>
      <c r="F7616" s="9">
        <v>48</v>
      </c>
      <c r="G7616" s="9">
        <v>585</v>
      </c>
      <c r="H7616" s="5" t="s">
        <v>21</v>
      </c>
      <c r="I7616" s="5" t="s">
        <v>17106</v>
      </c>
      <c r="J7616" s="12" t="str">
        <f>HYPERLINK("https://www.boe.es/gazeta/dias/1801/06/05/pdfs/GMD-1801-48.pdf#page=7","Abrir facsímil")</f>
        <v>Abrir facsímil</v>
      </c>
      <c r="K7616" s="15" t="s">
        <v>23</v>
      </c>
    </row>
    <row r="7617" spans="1:11" ht="42" customHeight="1">
      <c r="A7617" s="4" t="s">
        <v>17107</v>
      </c>
      <c r="B7617" s="5" t="s">
        <v>17107</v>
      </c>
      <c r="C7617" s="5" t="s">
        <v>75</v>
      </c>
      <c r="D7617" s="5" t="s">
        <v>76</v>
      </c>
      <c r="E7617" s="5" t="s">
        <v>359</v>
      </c>
      <c r="F7617" s="9">
        <v>101</v>
      </c>
      <c r="G7617" s="9">
        <v>1110</v>
      </c>
      <c r="H7617" s="5" t="s">
        <v>21</v>
      </c>
      <c r="I7617" s="5" t="s">
        <v>17108</v>
      </c>
      <c r="J7617" s="12" t="str">
        <f>HYPERLINK("https://www.boe.es/gazeta/dias/1801/10/27/pdfs/GMD-1801-101.pdf#page=3","Abrir facsímil")</f>
        <v>Abrir facsímil</v>
      </c>
      <c r="K7617" s="15" t="s">
        <v>23</v>
      </c>
    </row>
    <row r="7618" spans="1:11" ht="42" customHeight="1">
      <c r="A7618" s="4" t="s">
        <v>17109</v>
      </c>
      <c r="B7618" s="5" t="s">
        <v>17110</v>
      </c>
      <c r="C7618" s="5" t="s">
        <v>38</v>
      </c>
      <c r="D7618" s="5" t="s">
        <v>39</v>
      </c>
      <c r="E7618" s="5" t="s">
        <v>1015</v>
      </c>
      <c r="F7618" s="9">
        <v>15</v>
      </c>
      <c r="G7618" s="9">
        <v>192</v>
      </c>
      <c r="H7618" s="5" t="s">
        <v>21</v>
      </c>
      <c r="I7618" s="5" t="s">
        <v>17111</v>
      </c>
      <c r="J7618" s="12" t="str">
        <f>HYPERLINK("https://www.boe.es/gazeta/dias/1801/02/20/pdfs/GMD-1801-15.pdf#page=11","Abrir facsímil")</f>
        <v>Abrir facsímil</v>
      </c>
      <c r="K7618" s="15" t="s">
        <v>23</v>
      </c>
    </row>
    <row r="7619" spans="1:11" ht="42" customHeight="1">
      <c r="A7619" s="4" t="s">
        <v>17112</v>
      </c>
      <c r="B7619" s="5" t="s">
        <v>17113</v>
      </c>
      <c r="C7619" s="5" t="s">
        <v>32</v>
      </c>
      <c r="D7619" s="5" t="s">
        <v>33</v>
      </c>
      <c r="E7619" s="5" t="s">
        <v>2185</v>
      </c>
      <c r="F7619" s="9">
        <v>84</v>
      </c>
      <c r="G7619" s="9">
        <v>943</v>
      </c>
      <c r="H7619" s="5" t="s">
        <v>21</v>
      </c>
      <c r="I7619" s="5" t="s">
        <v>17114</v>
      </c>
      <c r="J7619" s="12" t="str">
        <f>HYPERLINK("https://www.boe.es/gazeta/dias/1801/09/04/pdfs/GMD-1801-84.pdf#page=6","Abrir facsímil")</f>
        <v>Abrir facsímil</v>
      </c>
      <c r="K7619" s="15" t="s">
        <v>23</v>
      </c>
    </row>
    <row r="7620" spans="1:11" ht="42" customHeight="1">
      <c r="A7620" s="4" t="s">
        <v>17115</v>
      </c>
      <c r="B7620" s="5" t="s">
        <v>17116</v>
      </c>
      <c r="C7620" s="5" t="s">
        <v>32</v>
      </c>
      <c r="D7620" s="5" t="s">
        <v>33</v>
      </c>
      <c r="E7620" s="5" t="s">
        <v>211</v>
      </c>
      <c r="F7620" s="9">
        <v>87</v>
      </c>
      <c r="G7620" s="9">
        <v>969</v>
      </c>
      <c r="H7620" s="5" t="s">
        <v>21</v>
      </c>
      <c r="I7620" s="5" t="s">
        <v>17117</v>
      </c>
      <c r="J7620" s="12" t="str">
        <f>HYPERLINK("https://www.boe.es/gazeta/dias/1801/09/11/pdfs/GMD-1801-87.pdf#page=12","Abrir facsímil")</f>
        <v>Abrir facsímil</v>
      </c>
      <c r="K7620" s="15" t="s">
        <v>23</v>
      </c>
    </row>
    <row r="7621" spans="1:11" ht="42" customHeight="1">
      <c r="A7621" s="4" t="s">
        <v>17118</v>
      </c>
      <c r="B7621" s="5" t="s">
        <v>17118</v>
      </c>
      <c r="C7621" s="5" t="s">
        <v>38</v>
      </c>
      <c r="D7621" s="5" t="s">
        <v>39</v>
      </c>
      <c r="E7621" s="5" t="s">
        <v>221</v>
      </c>
      <c r="F7621" s="9">
        <v>28</v>
      </c>
      <c r="G7621" s="9">
        <v>371</v>
      </c>
      <c r="H7621" s="5" t="s">
        <v>21</v>
      </c>
      <c r="I7621" s="5" t="s">
        <v>17119</v>
      </c>
      <c r="J7621" s="12" t="str">
        <f>HYPERLINK("https://www.boe.es/gazeta/dias/1801/04/07/pdfs/GMD-1801-28.pdf#page=11","Abrir facsímil")</f>
        <v>Abrir facsímil</v>
      </c>
      <c r="K7621" s="15" t="s">
        <v>23</v>
      </c>
    </row>
    <row r="7622" spans="1:11" ht="42" customHeight="1">
      <c r="A7622" s="4" t="s">
        <v>17120</v>
      </c>
      <c r="B7622" s="5" t="s">
        <v>17121</v>
      </c>
      <c r="C7622" s="5" t="s">
        <v>32</v>
      </c>
      <c r="D7622" s="5" t="s">
        <v>33</v>
      </c>
      <c r="E7622" s="5" t="s">
        <v>462</v>
      </c>
      <c r="F7622" s="9">
        <v>5</v>
      </c>
      <c r="G7622" s="9">
        <v>56</v>
      </c>
      <c r="H7622" s="5" t="s">
        <v>21</v>
      </c>
      <c r="I7622" s="5" t="s">
        <v>17122</v>
      </c>
      <c r="J7622" s="12" t="str">
        <f>HYPERLINK("https://www.boe.es/gazeta/dias/1801/01/16/pdfs/GMD-1801-5.pdf#page=8","Abrir facsímil")</f>
        <v>Abrir facsímil</v>
      </c>
      <c r="K7622" s="15" t="s">
        <v>23</v>
      </c>
    </row>
    <row r="7623" spans="1:11" ht="42" customHeight="1">
      <c r="A7623" s="4" t="s">
        <v>17123</v>
      </c>
      <c r="B7623" s="5" t="s">
        <v>17124</v>
      </c>
      <c r="C7623" s="5" t="s">
        <v>32</v>
      </c>
      <c r="D7623" s="5" t="s">
        <v>33</v>
      </c>
      <c r="E7623" s="5" t="s">
        <v>194</v>
      </c>
      <c r="F7623" s="9">
        <v>92</v>
      </c>
      <c r="G7623" s="9">
        <v>1011</v>
      </c>
      <c r="H7623" s="5" t="s">
        <v>21</v>
      </c>
      <c r="I7623" s="5" t="s">
        <v>17125</v>
      </c>
      <c r="J7623" s="12" t="str">
        <f>HYPERLINK("https://www.boe.es/gazeta/dias/1801/09/25/pdfs/GMD-1801-92.pdf#page=6","Abrir facsímil")</f>
        <v>Abrir facsímil</v>
      </c>
      <c r="K7623" s="15" t="s">
        <v>23</v>
      </c>
    </row>
    <row r="7624" spans="1:11" ht="42" customHeight="1">
      <c r="A7624" s="4" t="s">
        <v>17126</v>
      </c>
      <c r="B7624" s="5" t="s">
        <v>17127</v>
      </c>
      <c r="C7624" s="5" t="s">
        <v>75</v>
      </c>
      <c r="D7624" s="5" t="s">
        <v>76</v>
      </c>
      <c r="E7624" s="5" t="s">
        <v>122</v>
      </c>
      <c r="F7624" s="9">
        <v>8</v>
      </c>
      <c r="G7624" s="9">
        <v>95</v>
      </c>
      <c r="H7624" s="5" t="s">
        <v>21</v>
      </c>
      <c r="I7624" s="5" t="s">
        <v>17128</v>
      </c>
      <c r="J7624" s="12" t="str">
        <f>HYPERLINK("https://www.boe.es/gazeta/dias/1801/01/27/pdfs/GMD-1801-8.pdf#page=7","Abrir facsímil")</f>
        <v>Abrir facsímil</v>
      </c>
      <c r="K7624" s="15" t="s">
        <v>23</v>
      </c>
    </row>
    <row r="7625" spans="1:11" ht="42" customHeight="1">
      <c r="A7625" s="4" t="s">
        <v>17129</v>
      </c>
      <c r="B7625" s="5" t="s">
        <v>17130</v>
      </c>
      <c r="C7625" s="5" t="s">
        <v>75</v>
      </c>
      <c r="D7625" s="5" t="s">
        <v>76</v>
      </c>
      <c r="E7625" s="5" t="s">
        <v>161</v>
      </c>
      <c r="F7625" s="9">
        <v>58</v>
      </c>
      <c r="G7625" s="9">
        <v>658</v>
      </c>
      <c r="H7625" s="5" t="s">
        <v>21</v>
      </c>
      <c r="I7625" s="5" t="s">
        <v>17131</v>
      </c>
      <c r="J7625" s="12" t="str">
        <f>HYPERLINK("https://www.boe.es/gazeta/dias/1801/06/19/pdfs/GMD-1801-58.pdf#page=3","Abrir facsímil")</f>
        <v>Abrir facsímil</v>
      </c>
      <c r="K7625" s="15" t="s">
        <v>23</v>
      </c>
    </row>
    <row r="7626" spans="1:11" ht="42" customHeight="1">
      <c r="A7626" s="4" t="s">
        <v>17132</v>
      </c>
      <c r="B7626" s="5" t="s">
        <v>17132</v>
      </c>
      <c r="C7626" s="5" t="s">
        <v>18</v>
      </c>
      <c r="D7626" s="5" t="s">
        <v>19</v>
      </c>
      <c r="E7626" s="5" t="s">
        <v>924</v>
      </c>
      <c r="F7626" s="9">
        <v>90</v>
      </c>
      <c r="G7626" s="9">
        <v>993</v>
      </c>
      <c r="H7626" s="5" t="s">
        <v>21</v>
      </c>
      <c r="I7626" s="5" t="s">
        <v>17133</v>
      </c>
      <c r="J7626" s="12" t="str">
        <f>HYPERLINK("https://www.boe.es/gazeta/dias/1801/09/18/pdfs/GMD-1801-90.pdf#page=8","Abrir facsímil")</f>
        <v>Abrir facsímil</v>
      </c>
      <c r="K7626" s="15" t="s">
        <v>23</v>
      </c>
    </row>
    <row r="7627" spans="1:11" ht="42" customHeight="1">
      <c r="A7627" s="4" t="s">
        <v>17134</v>
      </c>
      <c r="B7627" s="5" t="s">
        <v>17134</v>
      </c>
      <c r="C7627" s="5" t="s">
        <v>80</v>
      </c>
      <c r="D7627" s="5" t="s">
        <v>81</v>
      </c>
      <c r="E7627" s="5" t="s">
        <v>289</v>
      </c>
      <c r="F7627" s="9">
        <v>40</v>
      </c>
      <c r="G7627" s="9" t="s">
        <v>996</v>
      </c>
      <c r="H7627" s="5" t="s">
        <v>21</v>
      </c>
      <c r="I7627" s="5" t="s">
        <v>17135</v>
      </c>
      <c r="J7627" s="12" t="str">
        <f>HYPERLINK("https://www.boe.es/gazeta/dias/1801/05/19/pdfs/GMD-C-1801-40.pdf#page=6","Abrir facsímil")</f>
        <v>Abrir facsímil</v>
      </c>
      <c r="K7627" s="15" t="s">
        <v>23</v>
      </c>
    </row>
    <row r="7628" spans="1:11" ht="42" customHeight="1">
      <c r="A7628" s="4" t="s">
        <v>17136</v>
      </c>
      <c r="B7628" s="5" t="s">
        <v>17137</v>
      </c>
      <c r="C7628" s="5" t="s">
        <v>38</v>
      </c>
      <c r="D7628" s="5" t="s">
        <v>39</v>
      </c>
      <c r="E7628" s="5" t="s">
        <v>480</v>
      </c>
      <c r="F7628" s="9">
        <v>10</v>
      </c>
      <c r="G7628" s="9">
        <v>124</v>
      </c>
      <c r="H7628" s="5" t="s">
        <v>21</v>
      </c>
      <c r="I7628" s="5" t="s">
        <v>17138</v>
      </c>
      <c r="J7628" s="12" t="str">
        <f>HYPERLINK("https://www.boe.es/gazeta/dias/1801/02/03/pdfs/GMD-1801-10.pdf#page=9","Abrir facsímil")</f>
        <v>Abrir facsímil</v>
      </c>
      <c r="K7628" s="15" t="s">
        <v>23</v>
      </c>
    </row>
    <row r="7629" spans="1:11" ht="42" customHeight="1">
      <c r="A7629" s="4" t="s">
        <v>17139</v>
      </c>
      <c r="B7629" s="5" t="s">
        <v>17140</v>
      </c>
      <c r="C7629" s="5" t="s">
        <v>38</v>
      </c>
      <c r="D7629" s="5" t="s">
        <v>39</v>
      </c>
      <c r="E7629" s="5" t="s">
        <v>151</v>
      </c>
      <c r="F7629" s="9">
        <v>45</v>
      </c>
      <c r="G7629" s="9">
        <v>561</v>
      </c>
      <c r="H7629" s="5" t="s">
        <v>21</v>
      </c>
      <c r="I7629" s="5" t="s">
        <v>17141</v>
      </c>
      <c r="J7629" s="12" t="str">
        <f>HYPERLINK("https://www.boe.es/gazeta/dias/1801/06/02/pdfs/GMD-1801-45.pdf#page=9","Abrir facsímil")</f>
        <v>Abrir facsímil</v>
      </c>
      <c r="K7629" s="15" t="s">
        <v>23</v>
      </c>
    </row>
    <row r="7630" spans="1:11" ht="42" customHeight="1">
      <c r="A7630" s="4" t="s">
        <v>17142</v>
      </c>
      <c r="B7630" s="5" t="s">
        <v>17143</v>
      </c>
      <c r="C7630" s="5" t="s">
        <v>32</v>
      </c>
      <c r="D7630" s="5" t="s">
        <v>33</v>
      </c>
      <c r="E7630" s="5" t="s">
        <v>145</v>
      </c>
      <c r="F7630" s="9">
        <v>36</v>
      </c>
      <c r="G7630" s="9">
        <v>468</v>
      </c>
      <c r="H7630" s="5" t="s">
        <v>21</v>
      </c>
      <c r="I7630" s="5" t="s">
        <v>17144</v>
      </c>
      <c r="J7630" s="12" t="str">
        <f>HYPERLINK("https://www.boe.es/gazeta/dias/1801/05/05/pdfs/GMD-1801-36.pdf#page=12","Abrir facsímil")</f>
        <v>Abrir facsímil</v>
      </c>
      <c r="K7630" s="15" t="s">
        <v>23</v>
      </c>
    </row>
    <row r="7631" spans="1:11" ht="42" customHeight="1">
      <c r="A7631" s="4" t="s">
        <v>17145</v>
      </c>
      <c r="B7631" s="5" t="s">
        <v>17146</v>
      </c>
      <c r="C7631" s="5" t="s">
        <v>32</v>
      </c>
      <c r="D7631" s="5" t="s">
        <v>33</v>
      </c>
      <c r="E7631" s="5" t="s">
        <v>131</v>
      </c>
      <c r="F7631" s="9">
        <v>22</v>
      </c>
      <c r="G7631" s="9">
        <v>289</v>
      </c>
      <c r="H7631" s="5" t="s">
        <v>21</v>
      </c>
      <c r="I7631" s="5" t="s">
        <v>17147</v>
      </c>
      <c r="J7631" s="12" t="str">
        <f>HYPERLINK("https://www.boe.es/gazeta/dias/1801/03/17/pdfs/GMD-1801-22.pdf#page=6","Abrir facsímil")</f>
        <v>Abrir facsímil</v>
      </c>
      <c r="K7631" s="15" t="s">
        <v>23</v>
      </c>
    </row>
    <row r="7632" spans="1:11" ht="42" customHeight="1">
      <c r="A7632" s="4" t="s">
        <v>17148</v>
      </c>
      <c r="B7632" s="5" t="s">
        <v>17149</v>
      </c>
      <c r="C7632" s="5" t="s">
        <v>32</v>
      </c>
      <c r="D7632" s="5" t="s">
        <v>33</v>
      </c>
      <c r="E7632" s="5" t="s">
        <v>165</v>
      </c>
      <c r="F7632" s="9">
        <v>59</v>
      </c>
      <c r="G7632" s="9">
        <v>676</v>
      </c>
      <c r="H7632" s="5" t="s">
        <v>21</v>
      </c>
      <c r="I7632" s="5" t="s">
        <v>17150</v>
      </c>
      <c r="J7632" s="12" t="str">
        <f>HYPERLINK("https://www.boe.es/gazeta/dias/1801/06/23/pdfs/GMD-1801-59.pdf#page=9","Abrir facsímil")</f>
        <v>Abrir facsímil</v>
      </c>
      <c r="K7632" s="15" t="s">
        <v>23</v>
      </c>
    </row>
    <row r="7633" spans="1:11" ht="42" customHeight="1">
      <c r="A7633" s="4" t="s">
        <v>17151</v>
      </c>
      <c r="B7633" s="5" t="s">
        <v>17152</v>
      </c>
      <c r="C7633" s="5" t="s">
        <v>75</v>
      </c>
      <c r="D7633" s="5" t="s">
        <v>76</v>
      </c>
      <c r="E7633" s="5" t="s">
        <v>321</v>
      </c>
      <c r="F7633" s="9">
        <v>3</v>
      </c>
      <c r="G7633" s="9">
        <v>33</v>
      </c>
      <c r="H7633" s="5" t="s">
        <v>21</v>
      </c>
      <c r="I7633" s="5" t="s">
        <v>17153</v>
      </c>
      <c r="J7633" s="12" t="str">
        <f>HYPERLINK("https://www.boe.es/gazeta/dias/1801/01/09/pdfs/GMD-1801-3.pdf#page=9","Abrir facsímil")</f>
        <v>Abrir facsímil</v>
      </c>
      <c r="K7633" s="15" t="s">
        <v>23</v>
      </c>
    </row>
    <row r="7634" spans="1:11" ht="42" customHeight="1">
      <c r="A7634" s="4" t="s">
        <v>17154</v>
      </c>
      <c r="B7634" s="5" t="s">
        <v>17155</v>
      </c>
      <c r="C7634" s="5" t="s">
        <v>32</v>
      </c>
      <c r="D7634" s="5" t="s">
        <v>33</v>
      </c>
      <c r="E7634" s="5" t="s">
        <v>462</v>
      </c>
      <c r="F7634" s="9">
        <v>5</v>
      </c>
      <c r="G7634" s="9">
        <v>58</v>
      </c>
      <c r="H7634" s="5" t="s">
        <v>21</v>
      </c>
      <c r="I7634" s="5" t="s">
        <v>17156</v>
      </c>
      <c r="J7634" s="12" t="str">
        <f>HYPERLINK("https://www.boe.es/gazeta/dias/1801/01/16/pdfs/GMD-1801-5.pdf#page=10","Abrir facsímil")</f>
        <v>Abrir facsímil</v>
      </c>
      <c r="K7634" s="15" t="s">
        <v>23</v>
      </c>
    </row>
    <row r="7635" spans="1:11" ht="42" customHeight="1">
      <c r="A7635" s="4" t="s">
        <v>17157</v>
      </c>
      <c r="B7635" s="5" t="s">
        <v>17158</v>
      </c>
      <c r="C7635" s="5" t="s">
        <v>32</v>
      </c>
      <c r="D7635" s="5" t="s">
        <v>33</v>
      </c>
      <c r="E7635" s="5" t="s">
        <v>145</v>
      </c>
      <c r="F7635" s="9">
        <v>36</v>
      </c>
      <c r="G7635" s="9">
        <v>468</v>
      </c>
      <c r="H7635" s="5" t="s">
        <v>21</v>
      </c>
      <c r="I7635" s="5" t="s">
        <v>17159</v>
      </c>
      <c r="J7635" s="12" t="str">
        <f>HYPERLINK("https://www.boe.es/gazeta/dias/1801/05/05/pdfs/GMD-1801-36.pdf#page=12","Abrir facsímil")</f>
        <v>Abrir facsímil</v>
      </c>
      <c r="K7635" s="15" t="s">
        <v>23</v>
      </c>
    </row>
    <row r="7636" spans="1:11" ht="42" customHeight="1">
      <c r="A7636" s="4" t="s">
        <v>17160</v>
      </c>
      <c r="B7636" s="5" t="s">
        <v>17161</v>
      </c>
      <c r="C7636" s="5" t="s">
        <v>32</v>
      </c>
      <c r="D7636" s="5" t="s">
        <v>33</v>
      </c>
      <c r="E7636" s="5" t="s">
        <v>171</v>
      </c>
      <c r="F7636" s="9">
        <v>76</v>
      </c>
      <c r="G7636" s="9">
        <v>854</v>
      </c>
      <c r="H7636" s="5" t="s">
        <v>21</v>
      </c>
      <c r="I7636" s="5" t="s">
        <v>17162</v>
      </c>
      <c r="J7636" s="12" t="str">
        <f>HYPERLINK("https://www.boe.es/gazeta/dias/1801/08/07/pdfs/GMD-1801-76.pdf#page=11","Abrir facsímil")</f>
        <v>Abrir facsímil</v>
      </c>
      <c r="K7636" s="15" t="s">
        <v>23</v>
      </c>
    </row>
    <row r="7637" spans="1:11" ht="42" customHeight="1">
      <c r="A7637" s="4" t="s">
        <v>17163</v>
      </c>
      <c r="B7637" s="5" t="s">
        <v>17164</v>
      </c>
      <c r="C7637" s="5" t="s">
        <v>32</v>
      </c>
      <c r="D7637" s="5" t="s">
        <v>33</v>
      </c>
      <c r="E7637" s="5" t="s">
        <v>179</v>
      </c>
      <c r="F7637" s="9">
        <v>11</v>
      </c>
      <c r="G7637" s="9">
        <v>137</v>
      </c>
      <c r="H7637" s="5" t="s">
        <v>21</v>
      </c>
      <c r="I7637" s="5" t="s">
        <v>17165</v>
      </c>
      <c r="J7637" s="12" t="str">
        <f>HYPERLINK("https://www.boe.es/gazeta/dias/1801/02/06/pdfs/GMD-1801-11.pdf#page=10","Abrir facsímil")</f>
        <v>Abrir facsímil</v>
      </c>
      <c r="K7637" s="15" t="s">
        <v>23</v>
      </c>
    </row>
    <row r="7638" spans="1:11" ht="42" customHeight="1">
      <c r="A7638" s="4" t="s">
        <v>17166</v>
      </c>
      <c r="B7638" s="5" t="s">
        <v>17167</v>
      </c>
      <c r="C7638" s="5" t="s">
        <v>32</v>
      </c>
      <c r="D7638" s="5" t="s">
        <v>33</v>
      </c>
      <c r="E7638" s="5" t="s">
        <v>165</v>
      </c>
      <c r="F7638" s="9">
        <v>59</v>
      </c>
      <c r="G7638" s="9">
        <v>676</v>
      </c>
      <c r="H7638" s="5" t="s">
        <v>21</v>
      </c>
      <c r="I7638" s="5" t="s">
        <v>17168</v>
      </c>
      <c r="J7638" s="12" t="str">
        <f>HYPERLINK("https://www.boe.es/gazeta/dias/1801/06/23/pdfs/GMD-1801-59.pdf#page=9","Abrir facsímil")</f>
        <v>Abrir facsímil</v>
      </c>
      <c r="K7638" s="15" t="s">
        <v>23</v>
      </c>
    </row>
    <row r="7639" spans="1:11" ht="42" customHeight="1">
      <c r="A7639" s="4" t="s">
        <v>17169</v>
      </c>
      <c r="B7639" s="5" t="s">
        <v>17170</v>
      </c>
      <c r="C7639" s="5" t="s">
        <v>32</v>
      </c>
      <c r="D7639" s="5" t="s">
        <v>33</v>
      </c>
      <c r="E7639" s="5" t="s">
        <v>165</v>
      </c>
      <c r="F7639" s="9">
        <v>59</v>
      </c>
      <c r="G7639" s="9">
        <v>676</v>
      </c>
      <c r="H7639" s="5" t="s">
        <v>21</v>
      </c>
      <c r="I7639" s="5" t="s">
        <v>17171</v>
      </c>
      <c r="J7639" s="12" t="str">
        <f>HYPERLINK("https://www.boe.es/gazeta/dias/1801/06/23/pdfs/GMD-1801-59.pdf#page=9","Abrir facsímil")</f>
        <v>Abrir facsímil</v>
      </c>
      <c r="K7639" s="15" t="s">
        <v>23</v>
      </c>
    </row>
    <row r="7640" spans="1:11" ht="42" customHeight="1">
      <c r="A7640" s="4" t="s">
        <v>17172</v>
      </c>
      <c r="B7640" s="5" t="s">
        <v>17172</v>
      </c>
      <c r="C7640" s="5" t="s">
        <v>75</v>
      </c>
      <c r="D7640" s="5" t="s">
        <v>76</v>
      </c>
      <c r="E7640" s="5" t="s">
        <v>90</v>
      </c>
      <c r="F7640" s="9">
        <v>1</v>
      </c>
      <c r="G7640" s="9">
        <v>1</v>
      </c>
      <c r="H7640" s="5" t="s">
        <v>21</v>
      </c>
      <c r="I7640" s="5" t="s">
        <v>17173</v>
      </c>
      <c r="J7640" s="12" t="str">
        <f>HYPERLINK("https://www.boe.es/gazeta/dias/1801/01/02/pdfs/GMD-1801-1.pdf#page=1","Abrir facsímil")</f>
        <v>Abrir facsímil</v>
      </c>
      <c r="K7640" s="15" t="s">
        <v>23</v>
      </c>
    </row>
    <row r="7641" spans="1:11" ht="42" customHeight="1">
      <c r="A7641" s="4" t="s">
        <v>17174</v>
      </c>
      <c r="B7641" s="5" t="s">
        <v>17175</v>
      </c>
      <c r="C7641" s="5" t="s">
        <v>75</v>
      </c>
      <c r="D7641" s="5" t="s">
        <v>76</v>
      </c>
      <c r="E7641" s="5" t="s">
        <v>321</v>
      </c>
      <c r="F7641" s="9">
        <v>3</v>
      </c>
      <c r="G7641" s="9">
        <v>27</v>
      </c>
      <c r="H7641" s="5" t="s">
        <v>21</v>
      </c>
      <c r="I7641" s="5" t="s">
        <v>17176</v>
      </c>
      <c r="J7641" s="12" t="str">
        <f>HYPERLINK("https://www.boe.es/gazeta/dias/1801/01/09/pdfs/GMD-1801-3.pdf#page=3","Abrir facsímil")</f>
        <v>Abrir facsímil</v>
      </c>
      <c r="K7641" s="15" t="s">
        <v>23</v>
      </c>
    </row>
    <row r="7642" spans="1:11" ht="42" customHeight="1">
      <c r="A7642" s="4" t="s">
        <v>17174</v>
      </c>
      <c r="B7642" s="5" t="s">
        <v>17175</v>
      </c>
      <c r="C7642" s="5" t="s">
        <v>75</v>
      </c>
      <c r="D7642" s="5" t="s">
        <v>76</v>
      </c>
      <c r="E7642" s="5" t="s">
        <v>122</v>
      </c>
      <c r="F7642" s="9">
        <v>8</v>
      </c>
      <c r="G7642" s="9">
        <v>89</v>
      </c>
      <c r="H7642" s="5" t="s">
        <v>21</v>
      </c>
      <c r="I7642" s="5" t="s">
        <v>17177</v>
      </c>
      <c r="J7642" s="12" t="str">
        <f>HYPERLINK("https://www.boe.es/gazeta/dias/1801/01/27/pdfs/GMD-1801-8.pdf#page=1","Abrir facsímil")</f>
        <v>Abrir facsímil</v>
      </c>
      <c r="K7642" s="15" t="s">
        <v>23</v>
      </c>
    </row>
    <row r="7643" spans="1:11" ht="42" customHeight="1">
      <c r="A7643" s="4" t="s">
        <v>17178</v>
      </c>
      <c r="B7643" s="5" t="s">
        <v>17179</v>
      </c>
      <c r="C7643" s="5" t="s">
        <v>38</v>
      </c>
      <c r="D7643" s="5" t="s">
        <v>39</v>
      </c>
      <c r="E7643" s="5" t="s">
        <v>40</v>
      </c>
      <c r="F7643" s="9">
        <v>63</v>
      </c>
      <c r="G7643" s="9">
        <v>713</v>
      </c>
      <c r="H7643" s="5" t="s">
        <v>21</v>
      </c>
      <c r="I7643" s="5" t="s">
        <v>17180</v>
      </c>
      <c r="J7643" s="12" t="str">
        <f>HYPERLINK("https://www.boe.es/gazeta/dias/1801/07/03/pdfs/GMD-1801-63.pdf#page=10","Abrir facsímil")</f>
        <v>Abrir facsímil</v>
      </c>
      <c r="K7643" s="15" t="s">
        <v>23</v>
      </c>
    </row>
    <row r="7644" spans="1:11" ht="42" customHeight="1">
      <c r="A7644" s="4" t="s">
        <v>17181</v>
      </c>
      <c r="B7644" s="5" t="s">
        <v>17182</v>
      </c>
      <c r="C7644" s="5" t="s">
        <v>32</v>
      </c>
      <c r="D7644" s="5" t="s">
        <v>33</v>
      </c>
      <c r="E7644" s="5" t="s">
        <v>151</v>
      </c>
      <c r="F7644" s="9">
        <v>45</v>
      </c>
      <c r="G7644" s="9">
        <v>561</v>
      </c>
      <c r="H7644" s="5" t="s">
        <v>21</v>
      </c>
      <c r="I7644" s="5" t="s">
        <v>17183</v>
      </c>
      <c r="J7644" s="12" t="str">
        <f>HYPERLINK("https://www.boe.es/gazeta/dias/1801/06/02/pdfs/GMD-1801-45.pdf#page=9","Abrir facsímil")</f>
        <v>Abrir facsímil</v>
      </c>
      <c r="K7644" s="15" t="s">
        <v>23</v>
      </c>
    </row>
    <row r="7645" spans="1:11" ht="42" customHeight="1">
      <c r="A7645" s="4" t="s">
        <v>17184</v>
      </c>
      <c r="B7645" s="5" t="s">
        <v>17185</v>
      </c>
      <c r="C7645" s="5" t="s">
        <v>26</v>
      </c>
      <c r="D7645" s="5" t="s">
        <v>27</v>
      </c>
      <c r="E7645" s="5" t="s">
        <v>501</v>
      </c>
      <c r="F7645" s="9">
        <v>115</v>
      </c>
      <c r="G7645" s="9" t="s">
        <v>502</v>
      </c>
      <c r="H7645" s="5" t="s">
        <v>21</v>
      </c>
      <c r="I7645" s="5" t="s">
        <v>17186</v>
      </c>
      <c r="J7645" s="12" t="str">
        <f>HYPERLINK("https://www.boe.es/gazeta/dias/1801/12/15/pdfs/GMD-C-1801-115.pdf#page=8","Abrir facsímil")</f>
        <v>Abrir facsímil</v>
      </c>
      <c r="K7645" s="15" t="s">
        <v>23</v>
      </c>
    </row>
    <row r="7646" spans="1:11" ht="42" customHeight="1">
      <c r="A7646" s="4" t="s">
        <v>17187</v>
      </c>
      <c r="B7646" s="5" t="s">
        <v>17188</v>
      </c>
      <c r="C7646" s="5" t="s">
        <v>38</v>
      </c>
      <c r="D7646" s="5" t="s">
        <v>39</v>
      </c>
      <c r="E7646" s="5" t="s">
        <v>112</v>
      </c>
      <c r="F7646" s="9">
        <v>114</v>
      </c>
      <c r="G7646" s="9">
        <v>1246</v>
      </c>
      <c r="H7646" s="5" t="s">
        <v>21</v>
      </c>
      <c r="I7646" s="5" t="s">
        <v>17189</v>
      </c>
      <c r="J7646" s="12" t="str">
        <f>HYPERLINK("https://www.boe.es/gazeta/dias/1801/12/11/pdfs/GMD-1801-114.pdf#page=8","Abrir facsímil")</f>
        <v>Abrir facsímil</v>
      </c>
      <c r="K7646" s="15" t="s">
        <v>23</v>
      </c>
    </row>
    <row r="7647" spans="1:11" ht="42" customHeight="1">
      <c r="A7647" s="4" t="s">
        <v>17190</v>
      </c>
      <c r="B7647" s="5" t="s">
        <v>17191</v>
      </c>
      <c r="C7647" s="5" t="s">
        <v>69</v>
      </c>
      <c r="D7647" s="5" t="s">
        <v>19</v>
      </c>
      <c r="E7647" s="5" t="s">
        <v>145</v>
      </c>
      <c r="F7647" s="9">
        <v>36</v>
      </c>
      <c r="G7647" s="9">
        <v>467</v>
      </c>
      <c r="H7647" s="5" t="s">
        <v>21</v>
      </c>
      <c r="I7647" s="5" t="s">
        <v>17192</v>
      </c>
      <c r="J7647" s="12" t="str">
        <f>HYPERLINK("https://www.boe.es/gazeta/dias/1801/05/05/pdfs/GMD-1801-36.pdf#page=11","Abrir facsímil")</f>
        <v>Abrir facsímil</v>
      </c>
      <c r="K7647" s="15" t="s">
        <v>23</v>
      </c>
    </row>
    <row r="7648" spans="1:11" ht="42" customHeight="1">
      <c r="A7648" s="4" t="s">
        <v>17193</v>
      </c>
      <c r="B7648" s="5" t="s">
        <v>17194</v>
      </c>
      <c r="C7648" s="5" t="s">
        <v>38</v>
      </c>
      <c r="D7648" s="5" t="s">
        <v>39</v>
      </c>
      <c r="E7648" s="5" t="s">
        <v>112</v>
      </c>
      <c r="F7648" s="9">
        <v>114</v>
      </c>
      <c r="G7648" s="9">
        <v>1246</v>
      </c>
      <c r="H7648" s="5" t="s">
        <v>21</v>
      </c>
      <c r="I7648" s="5" t="s">
        <v>17195</v>
      </c>
      <c r="J7648" s="12" t="str">
        <f>HYPERLINK("https://www.boe.es/gazeta/dias/1801/12/11/pdfs/GMD-1801-114.pdf#page=8","Abrir facsímil")</f>
        <v>Abrir facsímil</v>
      </c>
      <c r="K7648" s="15" t="s">
        <v>23</v>
      </c>
    </row>
    <row r="7649" spans="1:11" ht="42" customHeight="1">
      <c r="A7649" s="4" t="s">
        <v>17196</v>
      </c>
      <c r="B7649" s="5" t="s">
        <v>17197</v>
      </c>
      <c r="C7649" s="5" t="s">
        <v>32</v>
      </c>
      <c r="D7649" s="5" t="s">
        <v>33</v>
      </c>
      <c r="E7649" s="5" t="s">
        <v>131</v>
      </c>
      <c r="F7649" s="9">
        <v>22</v>
      </c>
      <c r="G7649" s="9">
        <v>290</v>
      </c>
      <c r="H7649" s="5" t="s">
        <v>21</v>
      </c>
      <c r="I7649" s="5" t="s">
        <v>17198</v>
      </c>
      <c r="J7649" s="12" t="str">
        <f>HYPERLINK("https://www.boe.es/gazeta/dias/1801/03/17/pdfs/GMD-1801-22.pdf#page=7","Abrir facsímil")</f>
        <v>Abrir facsímil</v>
      </c>
      <c r="K7649" s="15" t="s">
        <v>23</v>
      </c>
    </row>
    <row r="7650" spans="1:11" ht="42" customHeight="1">
      <c r="A7650" s="4" t="s">
        <v>17199</v>
      </c>
      <c r="B7650" s="5" t="s">
        <v>17200</v>
      </c>
      <c r="C7650" s="5" t="s">
        <v>32</v>
      </c>
      <c r="D7650" s="5" t="s">
        <v>33</v>
      </c>
      <c r="E7650" s="5" t="s">
        <v>2237</v>
      </c>
      <c r="F7650" s="9">
        <v>82</v>
      </c>
      <c r="G7650" s="9">
        <v>917</v>
      </c>
      <c r="H7650" s="5" t="s">
        <v>21</v>
      </c>
      <c r="I7650" s="5" t="s">
        <v>17201</v>
      </c>
      <c r="J7650" s="12" t="str">
        <f>HYPERLINK("https://www.boe.es/gazeta/dias/1801/08/28/pdfs/GMD-1801-82.pdf#page=6","Abrir facsímil")</f>
        <v>Abrir facsímil</v>
      </c>
      <c r="K7650" s="15" t="s">
        <v>23</v>
      </c>
    </row>
    <row r="7651" spans="1:11" ht="42" customHeight="1">
      <c r="A7651" s="4" t="s">
        <v>17202</v>
      </c>
      <c r="B7651" s="5" t="s">
        <v>17203</v>
      </c>
      <c r="C7651" s="5" t="s">
        <v>32</v>
      </c>
      <c r="D7651" s="5" t="s">
        <v>33</v>
      </c>
      <c r="E7651" s="5" t="s">
        <v>640</v>
      </c>
      <c r="F7651" s="9">
        <v>81</v>
      </c>
      <c r="G7651" s="9">
        <v>910</v>
      </c>
      <c r="H7651" s="5" t="s">
        <v>21</v>
      </c>
      <c r="I7651" s="5" t="s">
        <v>17204</v>
      </c>
      <c r="J7651" s="12" t="str">
        <f>HYPERLINK("https://www.boe.es/gazeta/dias/1801/08/25/pdfs/GMD-1801-81.pdf#page=7","Abrir facsímil")</f>
        <v>Abrir facsímil</v>
      </c>
      <c r="K7651" s="15" t="s">
        <v>23</v>
      </c>
    </row>
    <row r="7652" spans="1:11" ht="42" customHeight="1">
      <c r="A7652" s="4" t="s">
        <v>17205</v>
      </c>
      <c r="B7652" s="5" t="s">
        <v>17206</v>
      </c>
      <c r="C7652" s="5" t="s">
        <v>32</v>
      </c>
      <c r="D7652" s="5" t="s">
        <v>33</v>
      </c>
      <c r="E7652" s="5" t="s">
        <v>781</v>
      </c>
      <c r="F7652" s="9">
        <v>14</v>
      </c>
      <c r="G7652" s="9">
        <v>173</v>
      </c>
      <c r="H7652" s="5" t="s">
        <v>21</v>
      </c>
      <c r="I7652" s="5" t="s">
        <v>17207</v>
      </c>
      <c r="J7652" s="12" t="str">
        <f>HYPERLINK("https://www.boe.es/gazeta/dias/1801/02/17/pdfs/GMD-1801-14.pdf#page=8","Abrir facsímil")</f>
        <v>Abrir facsímil</v>
      </c>
      <c r="K7652" s="15" t="s">
        <v>23</v>
      </c>
    </row>
    <row r="7653" spans="1:11" ht="42" customHeight="1">
      <c r="A7653" s="4" t="s">
        <v>17208</v>
      </c>
      <c r="B7653" s="5" t="s">
        <v>17209</v>
      </c>
      <c r="C7653" s="5" t="s">
        <v>80</v>
      </c>
      <c r="D7653" s="5" t="s">
        <v>81</v>
      </c>
      <c r="E7653" s="5" t="s">
        <v>82</v>
      </c>
      <c r="F7653" s="9">
        <v>75</v>
      </c>
      <c r="G7653" s="9" t="s">
        <v>86</v>
      </c>
      <c r="H7653" s="5" t="s">
        <v>21</v>
      </c>
      <c r="I7653" s="5" t="s">
        <v>17210</v>
      </c>
      <c r="J7653" s="12" t="str">
        <f>HYPERLINK("https://www.boe.es/gazeta/dias/1801/08/04/pdfs/GMD-C-1801-75.pdf#page=3","Abrir facsímil")</f>
        <v>Abrir facsímil</v>
      </c>
      <c r="K7653" s="15" t="s">
        <v>23</v>
      </c>
    </row>
    <row r="7654" spans="1:11" ht="42" customHeight="1">
      <c r="A7654" s="4" t="s">
        <v>17211</v>
      </c>
      <c r="B7654" s="5" t="s">
        <v>17212</v>
      </c>
      <c r="C7654" s="5" t="s">
        <v>26</v>
      </c>
      <c r="D7654" s="5" t="s">
        <v>27</v>
      </c>
      <c r="E7654" s="5" t="s">
        <v>328</v>
      </c>
      <c r="F7654" s="9">
        <v>89</v>
      </c>
      <c r="G7654" s="9">
        <v>985</v>
      </c>
      <c r="H7654" s="5" t="s">
        <v>21</v>
      </c>
      <c r="I7654" s="5" t="s">
        <v>17213</v>
      </c>
      <c r="J7654" s="12" t="str">
        <f>HYPERLINK("https://www.boe.es/gazeta/dias/1801/09/15/pdfs/GMD-1801-89.pdf#page=12","Abrir facsímil")</f>
        <v>Abrir facsímil</v>
      </c>
      <c r="K7654" s="15" t="s">
        <v>23</v>
      </c>
    </row>
    <row r="7655" spans="1:11" ht="42" customHeight="1">
      <c r="A7655" s="4" t="s">
        <v>17214</v>
      </c>
      <c r="B7655" s="5" t="s">
        <v>17215</v>
      </c>
      <c r="C7655" s="5" t="s">
        <v>32</v>
      </c>
      <c r="D7655" s="5" t="s">
        <v>33</v>
      </c>
      <c r="E7655" s="5" t="s">
        <v>453</v>
      </c>
      <c r="F7655" s="9">
        <v>100</v>
      </c>
      <c r="G7655" s="9">
        <v>1099</v>
      </c>
      <c r="H7655" s="5" t="s">
        <v>21</v>
      </c>
      <c r="I7655" s="5" t="s">
        <v>17216</v>
      </c>
      <c r="J7655" s="12" t="str">
        <f>HYPERLINK("https://www.boe.es/gazeta/dias/1801/10/23/pdfs/GMD-1801-100.pdf#page=8","Abrir facsímil")</f>
        <v>Abrir facsímil</v>
      </c>
      <c r="K7655" s="15" t="s">
        <v>23</v>
      </c>
    </row>
    <row r="7656" spans="1:11" ht="42" customHeight="1">
      <c r="A7656" s="4" t="s">
        <v>17217</v>
      </c>
      <c r="B7656" s="5" t="s">
        <v>17218</v>
      </c>
      <c r="C7656" s="5" t="s">
        <v>32</v>
      </c>
      <c r="D7656" s="5" t="s">
        <v>33</v>
      </c>
      <c r="E7656" s="5" t="s">
        <v>135</v>
      </c>
      <c r="F7656" s="9">
        <v>24</v>
      </c>
      <c r="G7656" s="9">
        <v>318</v>
      </c>
      <c r="H7656" s="5" t="s">
        <v>21</v>
      </c>
      <c r="I7656" s="5" t="s">
        <v>17219</v>
      </c>
      <c r="J7656" s="12" t="str">
        <f>HYPERLINK("https://www.boe.es/gazeta/dias/1801/03/24/pdfs/GMD-1801-24.pdf#page=9","Abrir facsímil")</f>
        <v>Abrir facsímil</v>
      </c>
      <c r="K7656" s="15" t="s">
        <v>23</v>
      </c>
    </row>
    <row r="7657" spans="1:11" ht="42" customHeight="1">
      <c r="A7657" s="4" t="s">
        <v>17220</v>
      </c>
      <c r="B7657" s="5" t="s">
        <v>17221</v>
      </c>
      <c r="C7657" s="5" t="s">
        <v>75</v>
      </c>
      <c r="D7657" s="5" t="s">
        <v>76</v>
      </c>
      <c r="E7657" s="5" t="s">
        <v>935</v>
      </c>
      <c r="F7657" s="9">
        <v>116</v>
      </c>
      <c r="G7657" s="9">
        <v>1268</v>
      </c>
      <c r="H7657" s="5" t="s">
        <v>21</v>
      </c>
      <c r="I7657" s="5" t="s">
        <v>17222</v>
      </c>
      <c r="J7657" s="12" t="str">
        <f>HYPERLINK("https://www.boe.es/gazeta/dias/1801/12/18/pdfs/GMD-1801-116.pdf#page=10","Abrir facsímil")</f>
        <v>Abrir facsímil</v>
      </c>
      <c r="K7657" s="15" t="s">
        <v>23</v>
      </c>
    </row>
    <row r="7658" spans="1:11" ht="42" customHeight="1">
      <c r="A7658" s="4" t="s">
        <v>17223</v>
      </c>
      <c r="B7658" s="5" t="s">
        <v>17224</v>
      </c>
      <c r="C7658" s="5" t="s">
        <v>32</v>
      </c>
      <c r="D7658" s="5" t="s">
        <v>33</v>
      </c>
      <c r="E7658" s="5" t="s">
        <v>453</v>
      </c>
      <c r="F7658" s="9">
        <v>100</v>
      </c>
      <c r="G7658" s="9">
        <v>1100</v>
      </c>
      <c r="H7658" s="5" t="s">
        <v>21</v>
      </c>
      <c r="I7658" s="5" t="s">
        <v>17225</v>
      </c>
      <c r="J7658" s="12" t="str">
        <f>HYPERLINK("https://www.boe.es/gazeta/dias/1801/10/23/pdfs/GMD-1801-100.pdf#page=9","Abrir facsímil")</f>
        <v>Abrir facsímil</v>
      </c>
      <c r="K7658" s="15" t="s">
        <v>23</v>
      </c>
    </row>
    <row r="7659" spans="1:11" ht="42" customHeight="1">
      <c r="A7659" s="4" t="s">
        <v>17226</v>
      </c>
      <c r="B7659" s="5" t="s">
        <v>17227</v>
      </c>
      <c r="C7659" s="5" t="s">
        <v>32</v>
      </c>
      <c r="D7659" s="5" t="s">
        <v>33</v>
      </c>
      <c r="E7659" s="5" t="s">
        <v>615</v>
      </c>
      <c r="F7659" s="9">
        <v>72</v>
      </c>
      <c r="G7659" s="9">
        <v>804</v>
      </c>
      <c r="H7659" s="5" t="s">
        <v>21</v>
      </c>
      <c r="I7659" s="5" t="s">
        <v>17228</v>
      </c>
      <c r="J7659" s="12" t="str">
        <f>HYPERLINK("https://www.boe.es/gazeta/dias/1801/07/24/pdfs/GMD-1801-72.pdf#page=9","Abrir facsímil")</f>
        <v>Abrir facsímil</v>
      </c>
      <c r="K7659" s="15" t="s">
        <v>23</v>
      </c>
    </row>
    <row r="7660" spans="1:11" ht="42" customHeight="1">
      <c r="A7660" s="4" t="s">
        <v>17229</v>
      </c>
      <c r="B7660" s="5" t="s">
        <v>17230</v>
      </c>
      <c r="C7660" s="5" t="s">
        <v>32</v>
      </c>
      <c r="D7660" s="5" t="s">
        <v>33</v>
      </c>
      <c r="E7660" s="5" t="s">
        <v>615</v>
      </c>
      <c r="F7660" s="9">
        <v>72</v>
      </c>
      <c r="G7660" s="9">
        <v>805</v>
      </c>
      <c r="H7660" s="5" t="s">
        <v>21</v>
      </c>
      <c r="I7660" s="5" t="s">
        <v>17231</v>
      </c>
      <c r="J7660" s="12" t="str">
        <f>HYPERLINK("https://www.boe.es/gazeta/dias/1801/07/24/pdfs/GMD-1801-72.pdf#page=10","Abrir facsímil")</f>
        <v>Abrir facsímil</v>
      </c>
      <c r="K7660" s="15" t="s">
        <v>23</v>
      </c>
    </row>
    <row r="7661" spans="1:11" ht="42" customHeight="1">
      <c r="A7661" s="4" t="s">
        <v>17232</v>
      </c>
      <c r="B7661" s="5" t="s">
        <v>17233</v>
      </c>
      <c r="C7661" s="5" t="s">
        <v>75</v>
      </c>
      <c r="D7661" s="5" t="s">
        <v>76</v>
      </c>
      <c r="E7661" s="5" t="s">
        <v>70</v>
      </c>
      <c r="F7661" s="9">
        <v>2</v>
      </c>
      <c r="G7661" s="9">
        <v>20</v>
      </c>
      <c r="H7661" s="5" t="s">
        <v>21</v>
      </c>
      <c r="I7661" s="5" t="s">
        <v>17234</v>
      </c>
      <c r="J7661" s="12" t="str">
        <f>HYPERLINK("https://www.boe.es/gazeta/dias/1801/01/06/pdfs/GMD-1801-2.pdf#page=8","Abrir facsímil")</f>
        <v>Abrir facsímil</v>
      </c>
      <c r="K7661" s="15" t="s">
        <v>23</v>
      </c>
    </row>
    <row r="7662" spans="1:11" ht="42" customHeight="1">
      <c r="A7662" s="4" t="s">
        <v>17235</v>
      </c>
      <c r="B7662" s="5" t="s">
        <v>17236</v>
      </c>
      <c r="C7662" s="5" t="s">
        <v>32</v>
      </c>
      <c r="D7662" s="5" t="s">
        <v>33</v>
      </c>
      <c r="E7662" s="5" t="s">
        <v>122</v>
      </c>
      <c r="F7662" s="9">
        <v>8</v>
      </c>
      <c r="G7662" s="9">
        <v>97</v>
      </c>
      <c r="H7662" s="5" t="s">
        <v>21</v>
      </c>
      <c r="I7662" s="5" t="s">
        <v>17237</v>
      </c>
      <c r="J7662" s="12" t="str">
        <f>HYPERLINK("https://www.boe.es/gazeta/dias/1801/01/27/pdfs/GMD-1801-8.pdf#page=9","Abrir facsímil")</f>
        <v>Abrir facsímil</v>
      </c>
      <c r="K7662" s="15" t="s">
        <v>23</v>
      </c>
    </row>
    <row r="7663" spans="1:11" ht="42" customHeight="1">
      <c r="A7663" s="4" t="s">
        <v>17238</v>
      </c>
      <c r="B7663" s="5" t="s">
        <v>17239</v>
      </c>
      <c r="C7663" s="5" t="s">
        <v>32</v>
      </c>
      <c r="D7663" s="5" t="s">
        <v>33</v>
      </c>
      <c r="E7663" s="5" t="s">
        <v>66</v>
      </c>
      <c r="F7663" s="9">
        <v>52</v>
      </c>
      <c r="G7663" s="9">
        <v>607</v>
      </c>
      <c r="H7663" s="5" t="s">
        <v>21</v>
      </c>
      <c r="I7663" s="5" t="s">
        <v>17240</v>
      </c>
      <c r="J7663" s="12" t="str">
        <f>HYPERLINK("https://www.boe.es/gazeta/dias/1801/06/12/pdfs/GMD-1801-52.pdf#page=6","Abrir facsímil")</f>
        <v>Abrir facsímil</v>
      </c>
      <c r="K7663" s="15" t="s">
        <v>23</v>
      </c>
    </row>
    <row r="7664" spans="1:11" ht="42" customHeight="1">
      <c r="A7664" s="4" t="s">
        <v>17241</v>
      </c>
      <c r="B7664" s="5" t="s">
        <v>17242</v>
      </c>
      <c r="C7664" s="5" t="s">
        <v>38</v>
      </c>
      <c r="D7664" s="5" t="s">
        <v>39</v>
      </c>
      <c r="E7664" s="5" t="s">
        <v>161</v>
      </c>
      <c r="F7664" s="9">
        <v>58</v>
      </c>
      <c r="G7664" s="9">
        <v>665</v>
      </c>
      <c r="H7664" s="5" t="s">
        <v>21</v>
      </c>
      <c r="I7664" s="5" t="s">
        <v>17243</v>
      </c>
      <c r="J7664" s="12" t="str">
        <f>HYPERLINK("https://www.boe.es/gazeta/dias/1801/06/19/pdfs/GMD-1801-58.pdf#page=10","Abrir facsímil")</f>
        <v>Abrir facsímil</v>
      </c>
      <c r="K7664" s="15" t="s">
        <v>23</v>
      </c>
    </row>
    <row r="7665" spans="1:11" ht="42" customHeight="1">
      <c r="A7665" s="4" t="s">
        <v>17244</v>
      </c>
      <c r="B7665" s="5" t="s">
        <v>17245</v>
      </c>
      <c r="C7665" s="5" t="s">
        <v>18</v>
      </c>
      <c r="D7665" s="5" t="s">
        <v>19</v>
      </c>
      <c r="E7665" s="5" t="s">
        <v>161</v>
      </c>
      <c r="F7665" s="9">
        <v>58</v>
      </c>
      <c r="G7665" s="9">
        <v>665</v>
      </c>
      <c r="H7665" s="5" t="s">
        <v>21</v>
      </c>
      <c r="I7665" s="5" t="s">
        <v>17246</v>
      </c>
      <c r="J7665" s="12" t="str">
        <f>HYPERLINK("https://www.boe.es/gazeta/dias/1801/06/19/pdfs/GMD-1801-58.pdf#page=10","Abrir facsímil")</f>
        <v>Abrir facsímil</v>
      </c>
      <c r="K7665" s="15" t="s">
        <v>23</v>
      </c>
    </row>
    <row r="7666" spans="1:11" ht="42" customHeight="1">
      <c r="A7666" s="4" t="s">
        <v>17247</v>
      </c>
      <c r="B7666" s="5" t="s">
        <v>17248</v>
      </c>
      <c r="C7666" s="5" t="s">
        <v>32</v>
      </c>
      <c r="D7666" s="5" t="s">
        <v>33</v>
      </c>
      <c r="E7666" s="5" t="s">
        <v>615</v>
      </c>
      <c r="F7666" s="9">
        <v>72</v>
      </c>
      <c r="G7666" s="9">
        <v>804</v>
      </c>
      <c r="H7666" s="5" t="s">
        <v>21</v>
      </c>
      <c r="I7666" s="5" t="s">
        <v>17249</v>
      </c>
      <c r="J7666" s="12" t="str">
        <f>HYPERLINK("https://www.boe.es/gazeta/dias/1801/07/24/pdfs/GMD-1801-72.pdf#page=9","Abrir facsímil")</f>
        <v>Abrir facsímil</v>
      </c>
      <c r="K7666" s="15" t="s">
        <v>23</v>
      </c>
    </row>
    <row r="7667" spans="1:11" ht="42" customHeight="1">
      <c r="A7667" s="4" t="s">
        <v>17250</v>
      </c>
      <c r="B7667" s="5" t="s">
        <v>17250</v>
      </c>
      <c r="C7667" s="5" t="s">
        <v>32</v>
      </c>
      <c r="D7667" s="5" t="s">
        <v>33</v>
      </c>
      <c r="E7667" s="5" t="s">
        <v>145</v>
      </c>
      <c r="F7667" s="9">
        <v>36</v>
      </c>
      <c r="G7667" s="9">
        <v>467</v>
      </c>
      <c r="H7667" s="5" t="s">
        <v>21</v>
      </c>
      <c r="I7667" s="5" t="s">
        <v>17251</v>
      </c>
      <c r="J7667" s="12" t="str">
        <f>HYPERLINK("https://www.boe.es/gazeta/dias/1801/05/05/pdfs/GMD-1801-36.pdf#page=11","Abrir facsímil")</f>
        <v>Abrir facsímil</v>
      </c>
      <c r="K7667" s="15" t="s">
        <v>23</v>
      </c>
    </row>
    <row r="7668" spans="1:11" ht="42" customHeight="1">
      <c r="A7668" s="4" t="s">
        <v>17252</v>
      </c>
      <c r="B7668" s="5" t="s">
        <v>17252</v>
      </c>
      <c r="C7668" s="5" t="s">
        <v>18</v>
      </c>
      <c r="D7668" s="5" t="s">
        <v>19</v>
      </c>
      <c r="E7668" s="5" t="s">
        <v>122</v>
      </c>
      <c r="F7668" s="9">
        <v>8</v>
      </c>
      <c r="G7668" s="9">
        <v>100</v>
      </c>
      <c r="H7668" s="5" t="s">
        <v>21</v>
      </c>
      <c r="I7668" s="5" t="s">
        <v>17253</v>
      </c>
      <c r="J7668" s="12" t="str">
        <f>HYPERLINK("https://www.boe.es/gazeta/dias/1801/01/27/pdfs/GMD-1801-8.pdf#page=12","Abrir facsímil")</f>
        <v>Abrir facsímil</v>
      </c>
      <c r="K7668" s="15" t="s">
        <v>23</v>
      </c>
    </row>
    <row r="7669" spans="1:11" ht="42" customHeight="1">
      <c r="A7669" s="4" t="s">
        <v>17252</v>
      </c>
      <c r="B7669" s="5" t="s">
        <v>17252</v>
      </c>
      <c r="C7669" s="5" t="s">
        <v>26</v>
      </c>
      <c r="D7669" s="5" t="s">
        <v>27</v>
      </c>
      <c r="E7669" s="5" t="s">
        <v>1015</v>
      </c>
      <c r="F7669" s="9">
        <v>15</v>
      </c>
      <c r="G7669" s="9">
        <v>193</v>
      </c>
      <c r="H7669" s="5" t="s">
        <v>21</v>
      </c>
      <c r="I7669" s="5" t="s">
        <v>17254</v>
      </c>
      <c r="J7669" s="12" t="str">
        <f>HYPERLINK("https://www.boe.es/gazeta/dias/1801/02/20/pdfs/GMD-1801-15.pdf#page=12","Abrir facsímil")</f>
        <v>Abrir facsímil</v>
      </c>
      <c r="K7669" s="15" t="s">
        <v>23</v>
      </c>
    </row>
    <row r="7670" spans="1:11" ht="42" customHeight="1">
      <c r="A7670" s="4" t="s">
        <v>17252</v>
      </c>
      <c r="B7670" s="5" t="s">
        <v>17252</v>
      </c>
      <c r="C7670" s="5" t="s">
        <v>26</v>
      </c>
      <c r="D7670" s="5" t="s">
        <v>27</v>
      </c>
      <c r="E7670" s="5" t="s">
        <v>764</v>
      </c>
      <c r="F7670" s="9">
        <v>80</v>
      </c>
      <c r="G7670" s="9">
        <v>899</v>
      </c>
      <c r="H7670" s="5" t="s">
        <v>21</v>
      </c>
      <c r="I7670" s="5" t="s">
        <v>17255</v>
      </c>
      <c r="J7670" s="12" t="str">
        <f>HYPERLINK("https://www.boe.es/gazeta/dias/1801/08/21/pdfs/GMD-1801-80.pdf#page=8","Abrir facsímil")</f>
        <v>Abrir facsímil</v>
      </c>
      <c r="K7670" s="15" t="s">
        <v>23</v>
      </c>
    </row>
    <row r="7671" spans="1:11" ht="42" customHeight="1">
      <c r="A7671" s="4" t="s">
        <v>17256</v>
      </c>
      <c r="B7671" s="5" t="s">
        <v>17256</v>
      </c>
      <c r="C7671" s="5" t="s">
        <v>32</v>
      </c>
      <c r="D7671" s="5" t="s">
        <v>33</v>
      </c>
      <c r="E7671" s="5" t="s">
        <v>378</v>
      </c>
      <c r="F7671" s="9">
        <v>23</v>
      </c>
      <c r="G7671" s="9">
        <v>306</v>
      </c>
      <c r="H7671" s="5" t="s">
        <v>21</v>
      </c>
      <c r="I7671" s="5" t="s">
        <v>17257</v>
      </c>
      <c r="J7671" s="12" t="str">
        <f>HYPERLINK("https://www.boe.es/gazeta/dias/1801/03/20/pdfs/GMD-1801-23.pdf#page=9","Abrir facsímil")</f>
        <v>Abrir facsímil</v>
      </c>
      <c r="K7671" s="15" t="s">
        <v>23</v>
      </c>
    </row>
    <row r="7672" spans="1:11" ht="42" customHeight="1">
      <c r="A7672" s="4" t="s">
        <v>17258</v>
      </c>
      <c r="B7672" s="5" t="s">
        <v>17258</v>
      </c>
      <c r="C7672" s="5" t="s">
        <v>26</v>
      </c>
      <c r="D7672" s="5" t="s">
        <v>27</v>
      </c>
      <c r="E7672" s="5" t="s">
        <v>615</v>
      </c>
      <c r="F7672" s="9">
        <v>72</v>
      </c>
      <c r="G7672" s="9">
        <v>806</v>
      </c>
      <c r="H7672" s="5" t="s">
        <v>21</v>
      </c>
      <c r="I7672" s="5" t="s">
        <v>17259</v>
      </c>
      <c r="J7672" s="12" t="str">
        <f>HYPERLINK("https://www.boe.es/gazeta/dias/1801/07/24/pdfs/GMD-1801-72.pdf#page=11","Abrir facsímil")</f>
        <v>Abrir facsímil</v>
      </c>
      <c r="K7672" s="15" t="s">
        <v>23</v>
      </c>
    </row>
    <row r="7673" spans="1:11" ht="42" customHeight="1">
      <c r="A7673" s="4" t="s">
        <v>17260</v>
      </c>
      <c r="B7673" s="5" t="s">
        <v>17260</v>
      </c>
      <c r="C7673" s="5" t="s">
        <v>69</v>
      </c>
      <c r="D7673" s="5" t="s">
        <v>19</v>
      </c>
      <c r="E7673" s="5" t="s">
        <v>349</v>
      </c>
      <c r="F7673" s="9">
        <v>112</v>
      </c>
      <c r="G7673" s="9">
        <v>1226</v>
      </c>
      <c r="H7673" s="5" t="s">
        <v>21</v>
      </c>
      <c r="I7673" s="5" t="s">
        <v>17261</v>
      </c>
      <c r="J7673" s="12" t="str">
        <f>HYPERLINK("https://www.boe.es/gazeta/dias/1801/12/04/pdfs/GMD-1801-112.pdf#page=7","Abrir facsímil")</f>
        <v>Abrir facsímil</v>
      </c>
      <c r="K7673" s="15" t="s">
        <v>23</v>
      </c>
    </row>
    <row r="7674" spans="1:11" ht="42" customHeight="1">
      <c r="A7674" s="4" t="s">
        <v>17262</v>
      </c>
      <c r="B7674" s="5" t="s">
        <v>17262</v>
      </c>
      <c r="C7674" s="5" t="s">
        <v>32</v>
      </c>
      <c r="D7674" s="5" t="s">
        <v>33</v>
      </c>
      <c r="E7674" s="5" t="s">
        <v>256</v>
      </c>
      <c r="F7674" s="9">
        <v>78</v>
      </c>
      <c r="G7674" s="9">
        <v>882</v>
      </c>
      <c r="H7674" s="5" t="s">
        <v>21</v>
      </c>
      <c r="I7674" s="5" t="s">
        <v>17263</v>
      </c>
      <c r="J7674" s="12" t="str">
        <f>HYPERLINK("https://www.boe.es/gazeta/dias/1801/08/14/pdfs/GMD-1801-78.pdf#page=11","Abrir facsímil")</f>
        <v>Abrir facsímil</v>
      </c>
      <c r="K7674" s="15" t="s">
        <v>23</v>
      </c>
    </row>
    <row r="7675" spans="1:11" ht="42" customHeight="1">
      <c r="A7675" s="4" t="s">
        <v>17264</v>
      </c>
      <c r="B7675" s="5" t="s">
        <v>17264</v>
      </c>
      <c r="C7675" s="5" t="s">
        <v>32</v>
      </c>
      <c r="D7675" s="5" t="s">
        <v>33</v>
      </c>
      <c r="E7675" s="5" t="s">
        <v>128</v>
      </c>
      <c r="F7675" s="9">
        <v>17</v>
      </c>
      <c r="G7675" s="9">
        <v>214</v>
      </c>
      <c r="H7675" s="5" t="s">
        <v>21</v>
      </c>
      <c r="I7675" s="5" t="s">
        <v>17265</v>
      </c>
      <c r="J7675" s="12" t="str">
        <f>HYPERLINK("https://www.boe.es/gazeta/dias/1801/02/27/pdfs/GMD-1801-17.pdf#page=9","Abrir facsímil")</f>
        <v>Abrir facsímil</v>
      </c>
      <c r="K7675" s="15" t="s">
        <v>23</v>
      </c>
    </row>
    <row r="7676" spans="1:11" ht="42" customHeight="1">
      <c r="A7676" s="4" t="s">
        <v>17266</v>
      </c>
      <c r="B7676" s="5" t="s">
        <v>17266</v>
      </c>
      <c r="C7676" s="5" t="s">
        <v>32</v>
      </c>
      <c r="D7676" s="5" t="s">
        <v>33</v>
      </c>
      <c r="E7676" s="5" t="s">
        <v>161</v>
      </c>
      <c r="F7676" s="9">
        <v>58</v>
      </c>
      <c r="G7676" s="9">
        <v>664</v>
      </c>
      <c r="H7676" s="5" t="s">
        <v>21</v>
      </c>
      <c r="I7676" s="5" t="s">
        <v>17267</v>
      </c>
      <c r="J7676" s="12" t="str">
        <f>HYPERLINK("https://www.boe.es/gazeta/dias/1801/06/19/pdfs/GMD-1801-58.pdf#page=9","Abrir facsímil")</f>
        <v>Abrir facsímil</v>
      </c>
      <c r="K7676" s="15" t="s">
        <v>23</v>
      </c>
    </row>
    <row r="7677" spans="1:11" ht="42" customHeight="1">
      <c r="A7677" s="4" t="s">
        <v>17268</v>
      </c>
      <c r="B7677" s="5" t="s">
        <v>17268</v>
      </c>
      <c r="C7677" s="5" t="s">
        <v>80</v>
      </c>
      <c r="D7677" s="5" t="s">
        <v>81</v>
      </c>
      <c r="E7677" s="5" t="s">
        <v>82</v>
      </c>
      <c r="F7677" s="9">
        <v>75</v>
      </c>
      <c r="G7677" s="9" t="s">
        <v>305</v>
      </c>
      <c r="H7677" s="5" t="s">
        <v>21</v>
      </c>
      <c r="I7677" s="5" t="s">
        <v>17269</v>
      </c>
      <c r="J7677" s="12" t="str">
        <f>HYPERLINK("https://www.boe.es/gazeta/dias/1801/08/04/pdfs/GMD-C-1801-75.pdf#page=4","Abrir facsímil")</f>
        <v>Abrir facsímil</v>
      </c>
      <c r="K7677" s="15" t="s">
        <v>23</v>
      </c>
    </row>
    <row r="7678" spans="1:11" ht="42" customHeight="1">
      <c r="A7678" s="4" t="s">
        <v>17270</v>
      </c>
      <c r="B7678" s="5" t="s">
        <v>17270</v>
      </c>
      <c r="C7678" s="5" t="s">
        <v>32</v>
      </c>
      <c r="D7678" s="5" t="s">
        <v>33</v>
      </c>
      <c r="E7678" s="5" t="s">
        <v>186</v>
      </c>
      <c r="F7678" s="9">
        <v>21</v>
      </c>
      <c r="G7678" s="9">
        <v>280</v>
      </c>
      <c r="H7678" s="5" t="s">
        <v>21</v>
      </c>
      <c r="I7678" s="5" t="s">
        <v>17271</v>
      </c>
      <c r="J7678" s="12" t="str">
        <f>HYPERLINK("https://www.boe.es/gazeta/dias/1801/03/13/pdfs/GMD-1801-21.pdf#page=9","Abrir facsímil")</f>
        <v>Abrir facsímil</v>
      </c>
      <c r="K7678" s="15" t="s">
        <v>23</v>
      </c>
    </row>
    <row r="7679" spans="1:11" ht="42" customHeight="1">
      <c r="A7679" s="4" t="s">
        <v>17272</v>
      </c>
      <c r="B7679" s="5" t="s">
        <v>17272</v>
      </c>
      <c r="C7679" s="5" t="s">
        <v>32</v>
      </c>
      <c r="D7679" s="5" t="s">
        <v>33</v>
      </c>
      <c r="E7679" s="5" t="s">
        <v>145</v>
      </c>
      <c r="F7679" s="9">
        <v>36</v>
      </c>
      <c r="G7679" s="9">
        <v>468</v>
      </c>
      <c r="H7679" s="5" t="s">
        <v>21</v>
      </c>
      <c r="I7679" s="5" t="s">
        <v>17273</v>
      </c>
      <c r="J7679" s="12" t="str">
        <f>HYPERLINK("https://www.boe.es/gazeta/dias/1801/05/05/pdfs/GMD-1801-36.pdf#page=12","Abrir facsímil")</f>
        <v>Abrir facsímil</v>
      </c>
      <c r="K7679" s="15" t="s">
        <v>23</v>
      </c>
    </row>
    <row r="7680" spans="1:11" ht="42" customHeight="1">
      <c r="A7680" s="4" t="s">
        <v>17274</v>
      </c>
      <c r="B7680" s="5" t="s">
        <v>17274</v>
      </c>
      <c r="C7680" s="5" t="s">
        <v>80</v>
      </c>
      <c r="D7680" s="5" t="s">
        <v>81</v>
      </c>
      <c r="E7680" s="5" t="s">
        <v>289</v>
      </c>
      <c r="F7680" s="9">
        <v>40</v>
      </c>
      <c r="G7680" s="9" t="s">
        <v>517</v>
      </c>
      <c r="H7680" s="5" t="s">
        <v>21</v>
      </c>
      <c r="I7680" s="5" t="s">
        <v>17275</v>
      </c>
      <c r="J7680" s="12" t="str">
        <f>HYPERLINK("https://www.boe.es/gazeta/dias/1801/05/19/pdfs/GMD-C-1801-40.pdf#page=7","Abrir facsímil")</f>
        <v>Abrir facsímil</v>
      </c>
      <c r="K7680" s="15" t="s">
        <v>23</v>
      </c>
    </row>
    <row r="7681" spans="1:11" ht="42" customHeight="1">
      <c r="A7681" s="4" t="s">
        <v>17276</v>
      </c>
      <c r="B7681" s="5" t="s">
        <v>17277</v>
      </c>
      <c r="C7681" s="5" t="s">
        <v>69</v>
      </c>
      <c r="D7681" s="5" t="s">
        <v>19</v>
      </c>
      <c r="E7681" s="5" t="s">
        <v>34</v>
      </c>
      <c r="F7681" s="9">
        <v>38</v>
      </c>
      <c r="G7681" s="9">
        <v>493</v>
      </c>
      <c r="H7681" s="5" t="s">
        <v>21</v>
      </c>
      <c r="I7681" s="5" t="s">
        <v>17278</v>
      </c>
      <c r="J7681" s="12" t="str">
        <f>HYPERLINK("https://www.boe.es/gazeta/dias/1801/05/12/pdfs/GMD-1801-38.pdf#page=9","Abrir facsímil")</f>
        <v>Abrir facsímil</v>
      </c>
      <c r="K7681" s="15" t="s">
        <v>23</v>
      </c>
    </row>
    <row r="7682" spans="1:11" ht="42" customHeight="1">
      <c r="A7682" s="4" t="s">
        <v>17279</v>
      </c>
      <c r="B7682" s="5" t="s">
        <v>17280</v>
      </c>
      <c r="C7682" s="5" t="s">
        <v>18</v>
      </c>
      <c r="D7682" s="5" t="s">
        <v>19</v>
      </c>
      <c r="E7682" s="5" t="s">
        <v>101</v>
      </c>
      <c r="F7682" s="9">
        <v>41</v>
      </c>
      <c r="G7682" s="9">
        <v>523</v>
      </c>
      <c r="H7682" s="5" t="s">
        <v>21</v>
      </c>
      <c r="I7682" s="5" t="s">
        <v>17281</v>
      </c>
      <c r="J7682" s="12" t="str">
        <f>HYPERLINK("https://www.boe.es/gazeta/dias/1801/05/22/pdfs/GMD-1801-41.pdf#page=7","Abrir facsímil")</f>
        <v>Abrir facsímil</v>
      </c>
      <c r="K7682" s="15" t="s">
        <v>23</v>
      </c>
    </row>
    <row r="7683" spans="1:11" ht="42" customHeight="1">
      <c r="A7683" s="4" t="s">
        <v>17282</v>
      </c>
      <c r="B7683" s="5" t="s">
        <v>17283</v>
      </c>
      <c r="C7683" s="5" t="s">
        <v>75</v>
      </c>
      <c r="D7683" s="5" t="s">
        <v>76</v>
      </c>
      <c r="E7683" s="5" t="s">
        <v>77</v>
      </c>
      <c r="F7683" s="9">
        <v>93</v>
      </c>
      <c r="G7683" s="9">
        <v>1014</v>
      </c>
      <c r="H7683" s="5" t="s">
        <v>21</v>
      </c>
      <c r="I7683" s="5" t="s">
        <v>17284</v>
      </c>
      <c r="J7683" s="12" t="str">
        <f>HYPERLINK("https://www.boe.es/gazeta/dias/1801/09/29/pdfs/GMD-1801-93.pdf#page=1","Abrir facsímil")</f>
        <v>Abrir facsímil</v>
      </c>
      <c r="K7683" s="15" t="s">
        <v>23</v>
      </c>
    </row>
    <row r="7684" spans="1:11" ht="42" customHeight="1">
      <c r="A7684" s="4" t="s">
        <v>17285</v>
      </c>
      <c r="B7684" s="5" t="s">
        <v>17286</v>
      </c>
      <c r="C7684" s="5" t="s">
        <v>26</v>
      </c>
      <c r="D7684" s="5" t="s">
        <v>27</v>
      </c>
      <c r="E7684" s="5" t="s">
        <v>712</v>
      </c>
      <c r="F7684" s="9">
        <v>105</v>
      </c>
      <c r="G7684" s="9">
        <v>1159</v>
      </c>
      <c r="H7684" s="5" t="s">
        <v>21</v>
      </c>
      <c r="I7684" s="5" t="s">
        <v>17287</v>
      </c>
      <c r="J7684" s="12" t="str">
        <f>HYPERLINK("https://www.boe.es/gazeta/dias/1801/11/10/pdfs/GMD-1801-105.pdf#page=12","Abrir facsímil")</f>
        <v>Abrir facsímil</v>
      </c>
      <c r="K7684" s="15" t="s">
        <v>23</v>
      </c>
    </row>
    <row r="7685" spans="1:11" ht="42" customHeight="1">
      <c r="A7685" s="4" t="s">
        <v>17288</v>
      </c>
      <c r="B7685" s="5" t="s">
        <v>17289</v>
      </c>
      <c r="C7685" s="5" t="s">
        <v>26</v>
      </c>
      <c r="D7685" s="5" t="s">
        <v>27</v>
      </c>
      <c r="E7685" s="5" t="s">
        <v>141</v>
      </c>
      <c r="F7685" s="9">
        <v>33</v>
      </c>
      <c r="G7685" s="9">
        <v>428</v>
      </c>
      <c r="H7685" s="5" t="s">
        <v>21</v>
      </c>
      <c r="I7685" s="5" t="s">
        <v>17290</v>
      </c>
      <c r="J7685" s="12" t="str">
        <f>HYPERLINK("https://www.boe.es/gazeta/dias/1801/04/24/pdfs/GMD-1801-33.pdf#page=12","Abrir facsímil")</f>
        <v>Abrir facsímil</v>
      </c>
      <c r="K7685" s="15" t="s">
        <v>23</v>
      </c>
    </row>
    <row r="7686" spans="1:11" ht="42" customHeight="1">
      <c r="A7686" s="4" t="s">
        <v>17291</v>
      </c>
      <c r="B7686" s="5" t="s">
        <v>17292</v>
      </c>
      <c r="C7686" s="5" t="s">
        <v>32</v>
      </c>
      <c r="D7686" s="5" t="s">
        <v>33</v>
      </c>
      <c r="E7686" s="5" t="s">
        <v>55</v>
      </c>
      <c r="F7686" s="9">
        <v>104</v>
      </c>
      <c r="G7686" s="9">
        <v>1144</v>
      </c>
      <c r="H7686" s="5" t="s">
        <v>21</v>
      </c>
      <c r="I7686" s="5" t="s">
        <v>17293</v>
      </c>
      <c r="J7686" s="12" t="str">
        <f>HYPERLINK("https://www.boe.es/gazeta/dias/1801/11/06/pdfs/GMD-1801-104.pdf#page=5","Abrir facsímil")</f>
        <v>Abrir facsímil</v>
      </c>
      <c r="K7686" s="15" t="s">
        <v>23</v>
      </c>
    </row>
    <row r="7687" spans="1:11" ht="42" customHeight="1">
      <c r="A7687" s="4" t="s">
        <v>17294</v>
      </c>
      <c r="B7687" s="5" t="s">
        <v>17295</v>
      </c>
      <c r="C7687" s="5" t="s">
        <v>18</v>
      </c>
      <c r="D7687" s="5" t="s">
        <v>19</v>
      </c>
      <c r="E7687" s="5" t="s">
        <v>145</v>
      </c>
      <c r="F7687" s="9">
        <v>36</v>
      </c>
      <c r="G7687" s="9">
        <v>470</v>
      </c>
      <c r="H7687" s="5" t="s">
        <v>21</v>
      </c>
      <c r="I7687" s="5" t="s">
        <v>17296</v>
      </c>
      <c r="J7687" s="12" t="str">
        <f>HYPERLINK("https://www.boe.es/gazeta/dias/1801/05/05/pdfs/GMD-1801-36.pdf#page=14","Abrir facsímil")</f>
        <v>Abrir facsímil</v>
      </c>
      <c r="K7687" s="15" t="s">
        <v>23</v>
      </c>
    </row>
    <row r="7688" spans="1:11" ht="42" customHeight="1">
      <c r="A7688" s="4" t="s">
        <v>17297</v>
      </c>
      <c r="B7688" s="5" t="s">
        <v>17298</v>
      </c>
      <c r="C7688" s="5" t="s">
        <v>32</v>
      </c>
      <c r="D7688" s="5" t="s">
        <v>33</v>
      </c>
      <c r="E7688" s="5" t="s">
        <v>48</v>
      </c>
      <c r="F7688" s="9">
        <v>20</v>
      </c>
      <c r="G7688" s="9">
        <v>265</v>
      </c>
      <c r="H7688" s="5" t="s">
        <v>21</v>
      </c>
      <c r="I7688" s="5" t="s">
        <v>17299</v>
      </c>
      <c r="J7688" s="12" t="str">
        <f>HYPERLINK("https://www.boe.es/gazeta/dias/1801/03/10/pdfs/GMD-1801-20.pdf#page=10","Abrir facsímil")</f>
        <v>Abrir facsímil</v>
      </c>
      <c r="K7688" s="15" t="s">
        <v>23</v>
      </c>
    </row>
    <row r="7689" spans="1:11" ht="42" customHeight="1">
      <c r="A7689" s="4" t="s">
        <v>17300</v>
      </c>
      <c r="B7689" s="5" t="s">
        <v>17301</v>
      </c>
      <c r="C7689" s="5" t="s">
        <v>38</v>
      </c>
      <c r="D7689" s="5" t="s">
        <v>39</v>
      </c>
      <c r="E7689" s="5" t="s">
        <v>55</v>
      </c>
      <c r="F7689" s="9">
        <v>104</v>
      </c>
      <c r="G7689" s="9">
        <v>1146</v>
      </c>
      <c r="H7689" s="5" t="s">
        <v>21</v>
      </c>
      <c r="I7689" s="5" t="s">
        <v>17302</v>
      </c>
      <c r="J7689" s="12" t="str">
        <f>HYPERLINK("https://www.boe.es/gazeta/dias/1801/11/06/pdfs/GMD-1801-104.pdf#page=7","Abrir facsímil")</f>
        <v>Abrir facsímil</v>
      </c>
      <c r="K7689" s="15" t="s">
        <v>23</v>
      </c>
    </row>
    <row r="7690" spans="1:11" ht="42" customHeight="1">
      <c r="A7690" s="4" t="s">
        <v>17303</v>
      </c>
      <c r="B7690" s="5" t="s">
        <v>17304</v>
      </c>
      <c r="C7690" s="5" t="s">
        <v>69</v>
      </c>
      <c r="D7690" s="5" t="s">
        <v>19</v>
      </c>
      <c r="E7690" s="5" t="s">
        <v>1058</v>
      </c>
      <c r="F7690" s="9">
        <v>108</v>
      </c>
      <c r="G7690" s="9">
        <v>1191</v>
      </c>
      <c r="H7690" s="5" t="s">
        <v>21</v>
      </c>
      <c r="I7690" s="5" t="s">
        <v>17305</v>
      </c>
      <c r="J7690" s="12" t="str">
        <f>HYPERLINK("https://www.boe.es/gazeta/dias/1801/11/20/pdfs/GMD-1801-108.pdf#page=8","Abrir facsímil")</f>
        <v>Abrir facsímil</v>
      </c>
      <c r="K7690" s="15" t="s">
        <v>23</v>
      </c>
    </row>
    <row r="7691" spans="1:11" ht="42" customHeight="1">
      <c r="A7691" s="4" t="s">
        <v>17306</v>
      </c>
      <c r="B7691" s="5" t="s">
        <v>17307</v>
      </c>
      <c r="C7691" s="5" t="s">
        <v>32</v>
      </c>
      <c r="D7691" s="5" t="s">
        <v>33</v>
      </c>
      <c r="E7691" s="5" t="s">
        <v>256</v>
      </c>
      <c r="F7691" s="9">
        <v>78</v>
      </c>
      <c r="G7691" s="9">
        <v>881</v>
      </c>
      <c r="H7691" s="5" t="s">
        <v>21</v>
      </c>
      <c r="I7691" s="5" t="s">
        <v>17308</v>
      </c>
      <c r="J7691" s="12" t="str">
        <f>HYPERLINK("https://www.boe.es/gazeta/dias/1801/08/14/pdfs/GMD-1801-78.pdf#page=10","Abrir facsímil")</f>
        <v>Abrir facsímil</v>
      </c>
      <c r="K7691" s="15" t="s">
        <v>23</v>
      </c>
    </row>
    <row r="7692" spans="1:11" ht="42" customHeight="1">
      <c r="A7692" s="4" t="s">
        <v>17309</v>
      </c>
      <c r="B7692" s="5" t="s">
        <v>17310</v>
      </c>
      <c r="C7692" s="5" t="s">
        <v>75</v>
      </c>
      <c r="D7692" s="5" t="s">
        <v>76</v>
      </c>
      <c r="E7692" s="5" t="s">
        <v>90</v>
      </c>
      <c r="F7692" s="9">
        <v>1</v>
      </c>
      <c r="G7692" s="9">
        <v>6</v>
      </c>
      <c r="H7692" s="5" t="s">
        <v>21</v>
      </c>
      <c r="I7692" s="5" t="s">
        <v>17311</v>
      </c>
      <c r="J7692" s="12" t="str">
        <f>HYPERLINK("https://www.boe.es/gazeta/dias/1801/01/02/pdfs/GMD-1801-1.pdf#page=6","Abrir facsímil")</f>
        <v>Abrir facsímil</v>
      </c>
      <c r="K7692" s="15" t="s">
        <v>23</v>
      </c>
    </row>
    <row r="7693" spans="1:11" ht="42" customHeight="1">
      <c r="A7693" s="4" t="s">
        <v>17312</v>
      </c>
      <c r="B7693" s="5" t="s">
        <v>17313</v>
      </c>
      <c r="C7693" s="5" t="s">
        <v>75</v>
      </c>
      <c r="D7693" s="5" t="s">
        <v>76</v>
      </c>
      <c r="E7693" s="5" t="s">
        <v>462</v>
      </c>
      <c r="F7693" s="9">
        <v>5</v>
      </c>
      <c r="G7693" s="9">
        <v>55</v>
      </c>
      <c r="H7693" s="5" t="s">
        <v>21</v>
      </c>
      <c r="I7693" s="5" t="s">
        <v>17314</v>
      </c>
      <c r="J7693" s="12" t="str">
        <f>HYPERLINK("https://www.boe.es/gazeta/dias/1801/01/16/pdfs/GMD-1801-5.pdf#page=7","Abrir facsímil")</f>
        <v>Abrir facsímil</v>
      </c>
      <c r="K7693" s="15" t="s">
        <v>23</v>
      </c>
    </row>
    <row r="7694" spans="1:11" ht="42" customHeight="1">
      <c r="A7694" s="4" t="s">
        <v>17315</v>
      </c>
      <c r="B7694" s="5" t="s">
        <v>17316</v>
      </c>
      <c r="C7694" s="5" t="s">
        <v>32</v>
      </c>
      <c r="D7694" s="5" t="s">
        <v>33</v>
      </c>
      <c r="E7694" s="5" t="s">
        <v>34</v>
      </c>
      <c r="F7694" s="9">
        <v>38</v>
      </c>
      <c r="G7694" s="9">
        <v>487</v>
      </c>
      <c r="H7694" s="5" t="s">
        <v>21</v>
      </c>
      <c r="I7694" s="5" t="s">
        <v>17317</v>
      </c>
      <c r="J7694" s="12" t="str">
        <f>HYPERLINK("https://www.boe.es/gazeta/dias/1801/05/12/pdfs/GMD-1801-38.pdf#page=3","Abrir facsímil")</f>
        <v>Abrir facsímil</v>
      </c>
      <c r="K7694" s="15" t="s">
        <v>23</v>
      </c>
    </row>
    <row r="7695" spans="1:11" ht="42" customHeight="1">
      <c r="A7695" s="4" t="s">
        <v>17318</v>
      </c>
      <c r="B7695" s="5" t="s">
        <v>17318</v>
      </c>
      <c r="C7695" s="5" t="s">
        <v>75</v>
      </c>
      <c r="D7695" s="5" t="s">
        <v>76</v>
      </c>
      <c r="E7695" s="5" t="s">
        <v>141</v>
      </c>
      <c r="F7695" s="9">
        <v>33</v>
      </c>
      <c r="G7695" s="9">
        <v>422</v>
      </c>
      <c r="H7695" s="5" t="s">
        <v>21</v>
      </c>
      <c r="I7695" s="5" t="s">
        <v>17319</v>
      </c>
      <c r="J7695" s="12" t="str">
        <f>HYPERLINK("https://www.boe.es/gazeta/dias/1801/04/24/pdfs/GMD-1801-33.pdf#page=6","Abrir facsímil")</f>
        <v>Abrir facsímil</v>
      </c>
      <c r="K7695" s="15" t="s">
        <v>23</v>
      </c>
    </row>
    <row r="7696" spans="1:11" ht="42" customHeight="1">
      <c r="A7696" s="4" t="s">
        <v>17318</v>
      </c>
      <c r="B7696" s="5" t="s">
        <v>17318</v>
      </c>
      <c r="C7696" s="5" t="s">
        <v>75</v>
      </c>
      <c r="D7696" s="5" t="s">
        <v>76</v>
      </c>
      <c r="E7696" s="5" t="s">
        <v>145</v>
      </c>
      <c r="F7696" s="9">
        <v>36</v>
      </c>
      <c r="G7696" s="9">
        <v>458</v>
      </c>
      <c r="H7696" s="5" t="s">
        <v>21</v>
      </c>
      <c r="I7696" s="5" t="s">
        <v>17320</v>
      </c>
      <c r="J7696" s="12" t="str">
        <f>HYPERLINK("https://www.boe.es/gazeta/dias/1801/05/05/pdfs/GMD-1801-36.pdf#page=2","Abrir facsímil")</f>
        <v>Abrir facsímil</v>
      </c>
      <c r="K7696" s="15" t="s">
        <v>23</v>
      </c>
    </row>
    <row r="7697" spans="1:11" ht="42" customHeight="1">
      <c r="A7697" s="4" t="s">
        <v>17318</v>
      </c>
      <c r="B7697" s="5" t="s">
        <v>17318</v>
      </c>
      <c r="C7697" s="5" t="s">
        <v>75</v>
      </c>
      <c r="D7697" s="5" t="s">
        <v>76</v>
      </c>
      <c r="E7697" s="5" t="s">
        <v>20</v>
      </c>
      <c r="F7697" s="9">
        <v>37</v>
      </c>
      <c r="G7697" s="9">
        <v>478</v>
      </c>
      <c r="H7697" s="5" t="s">
        <v>21</v>
      </c>
      <c r="I7697" s="5" t="s">
        <v>17321</v>
      </c>
      <c r="J7697" s="12" t="str">
        <f>HYPERLINK("https://www.boe.es/gazeta/dias/1801/05/08/pdfs/GMD-1801-37.pdf#page=6","Abrir facsímil")</f>
        <v>Abrir facsímil</v>
      </c>
      <c r="K7697" s="15" t="s">
        <v>23</v>
      </c>
    </row>
    <row r="7698" spans="1:11" ht="42" customHeight="1">
      <c r="A7698" s="4" t="s">
        <v>17318</v>
      </c>
      <c r="B7698" s="5" t="s">
        <v>17318</v>
      </c>
      <c r="C7698" s="5" t="s">
        <v>38</v>
      </c>
      <c r="D7698" s="5" t="s">
        <v>39</v>
      </c>
      <c r="E7698" s="5" t="s">
        <v>158</v>
      </c>
      <c r="F7698" s="9">
        <v>55</v>
      </c>
      <c r="G7698" s="9">
        <v>628</v>
      </c>
      <c r="H7698" s="5" t="s">
        <v>21</v>
      </c>
      <c r="I7698" s="5" t="s">
        <v>17322</v>
      </c>
      <c r="J7698" s="12" t="str">
        <f>HYPERLINK("https://www.boe.es/gazeta/dias/1801/06/16/pdfs/GMD-1801-55.pdf#page=4","Abrir facsímil")</f>
        <v>Abrir facsímil</v>
      </c>
      <c r="K7698" s="15" t="s">
        <v>23</v>
      </c>
    </row>
    <row r="7699" spans="1:11" ht="42" customHeight="1">
      <c r="A7699" s="4" t="s">
        <v>17323</v>
      </c>
      <c r="B7699" s="5" t="s">
        <v>17324</v>
      </c>
      <c r="C7699" s="5" t="s">
        <v>32</v>
      </c>
      <c r="D7699" s="5" t="s">
        <v>33</v>
      </c>
      <c r="E7699" s="5" t="s">
        <v>171</v>
      </c>
      <c r="F7699" s="9">
        <v>76</v>
      </c>
      <c r="G7699" s="9">
        <v>848</v>
      </c>
      <c r="H7699" s="5" t="s">
        <v>21</v>
      </c>
      <c r="I7699" s="5" t="s">
        <v>17325</v>
      </c>
      <c r="J7699" s="12" t="str">
        <f>HYPERLINK("https://www.boe.es/gazeta/dias/1801/08/07/pdfs/GMD-1801-76.pdf#page=5","Abrir facsímil")</f>
        <v>Abrir facsímil</v>
      </c>
      <c r="K7699" s="15" t="s">
        <v>23</v>
      </c>
    </row>
    <row r="7700" spans="1:11" ht="42" customHeight="1">
      <c r="A7700" s="4" t="s">
        <v>17326</v>
      </c>
      <c r="B7700" s="5" t="s">
        <v>17327</v>
      </c>
      <c r="C7700" s="5" t="s">
        <v>32</v>
      </c>
      <c r="D7700" s="5" t="s">
        <v>33</v>
      </c>
      <c r="E7700" s="5" t="s">
        <v>313</v>
      </c>
      <c r="F7700" s="9">
        <v>39</v>
      </c>
      <c r="G7700" s="9">
        <v>505</v>
      </c>
      <c r="H7700" s="5" t="s">
        <v>21</v>
      </c>
      <c r="I7700" s="5" t="s">
        <v>17328</v>
      </c>
      <c r="J7700" s="12" t="str">
        <f>HYPERLINK("https://www.boe.es/gazeta/dias/1801/05/15/pdfs/GMD-1801-39.pdf#page=9","Abrir facsímil")</f>
        <v>Abrir facsímil</v>
      </c>
      <c r="K7700" s="15" t="s">
        <v>23</v>
      </c>
    </row>
    <row r="7701" spans="1:11" ht="42" customHeight="1">
      <c r="A7701" s="4" t="s">
        <v>17329</v>
      </c>
      <c r="B7701" s="5" t="s">
        <v>17330</v>
      </c>
      <c r="C7701" s="5" t="s">
        <v>75</v>
      </c>
      <c r="D7701" s="5" t="s">
        <v>76</v>
      </c>
      <c r="E7701" s="5" t="s">
        <v>712</v>
      </c>
      <c r="F7701" s="9">
        <v>105</v>
      </c>
      <c r="G7701" s="9">
        <v>1154</v>
      </c>
      <c r="H7701" s="5" t="s">
        <v>21</v>
      </c>
      <c r="I7701" s="5" t="s">
        <v>17331</v>
      </c>
      <c r="J7701" s="12" t="str">
        <f>HYPERLINK("https://www.boe.es/gazeta/dias/1801/11/10/pdfs/GMD-1801-105.pdf#page=7","Abrir facsímil")</f>
        <v>Abrir facsímil</v>
      </c>
      <c r="K7701" s="15" t="s">
        <v>23</v>
      </c>
    </row>
    <row r="7702" spans="1:11" ht="42" customHeight="1">
      <c r="A7702" s="4" t="s">
        <v>17332</v>
      </c>
      <c r="B7702" s="5" t="s">
        <v>17333</v>
      </c>
      <c r="C7702" s="5" t="s">
        <v>32</v>
      </c>
      <c r="D7702" s="5" t="s">
        <v>33</v>
      </c>
      <c r="E7702" s="5" t="s">
        <v>120</v>
      </c>
      <c r="F7702" s="9">
        <v>7</v>
      </c>
      <c r="G7702" s="9">
        <v>84</v>
      </c>
      <c r="H7702" s="5" t="s">
        <v>21</v>
      </c>
      <c r="I7702" s="5" t="s">
        <v>17334</v>
      </c>
      <c r="J7702" s="12" t="str">
        <f>HYPERLINK("https://www.boe.es/gazeta/dias/1801/01/23/pdfs/GMD-1801-7.pdf#page=8","Abrir facsímil")</f>
        <v>Abrir facsímil</v>
      </c>
      <c r="K7702" s="15" t="s">
        <v>23</v>
      </c>
    </row>
    <row r="7703" spans="1:11" ht="42" customHeight="1">
      <c r="A7703" s="4" t="s">
        <v>17335</v>
      </c>
      <c r="B7703" s="5" t="s">
        <v>17336</v>
      </c>
      <c r="C7703" s="5" t="s">
        <v>80</v>
      </c>
      <c r="D7703" s="5" t="s">
        <v>81</v>
      </c>
      <c r="E7703" s="5" t="s">
        <v>82</v>
      </c>
      <c r="F7703" s="9">
        <v>75</v>
      </c>
      <c r="G7703" s="9" t="s">
        <v>668</v>
      </c>
      <c r="H7703" s="5" t="s">
        <v>21</v>
      </c>
      <c r="I7703" s="5" t="s">
        <v>17337</v>
      </c>
      <c r="J7703" s="12" t="str">
        <f>HYPERLINK("https://www.boe.es/gazeta/dias/1801/08/04/pdfs/GMD-C-1801-75.pdf#page=1","Abrir facsímil")</f>
        <v>Abrir facsímil</v>
      </c>
      <c r="K7703" s="15" t="s">
        <v>23</v>
      </c>
    </row>
    <row r="7704" spans="1:11" ht="42" customHeight="1">
      <c r="A7704" s="4" t="s">
        <v>17338</v>
      </c>
      <c r="B7704" s="5" t="s">
        <v>17339</v>
      </c>
      <c r="C7704" s="5" t="s">
        <v>32</v>
      </c>
      <c r="D7704" s="5" t="s">
        <v>33</v>
      </c>
      <c r="E7704" s="5" t="s">
        <v>221</v>
      </c>
      <c r="F7704" s="9">
        <v>28</v>
      </c>
      <c r="G7704" s="9">
        <v>370</v>
      </c>
      <c r="H7704" s="5" t="s">
        <v>21</v>
      </c>
      <c r="I7704" s="5" t="s">
        <v>17340</v>
      </c>
      <c r="J7704" s="12" t="str">
        <f>HYPERLINK("https://www.boe.es/gazeta/dias/1801/04/07/pdfs/GMD-1801-28.pdf#page=10","Abrir facsímil")</f>
        <v>Abrir facsímil</v>
      </c>
      <c r="K7704" s="15" t="s">
        <v>23</v>
      </c>
    </row>
    <row r="7705" spans="1:11" ht="42" customHeight="1">
      <c r="A7705" s="4" t="s">
        <v>17341</v>
      </c>
      <c r="B7705" s="5" t="s">
        <v>17342</v>
      </c>
      <c r="C7705" s="5" t="s">
        <v>32</v>
      </c>
      <c r="D7705" s="5" t="s">
        <v>33</v>
      </c>
      <c r="E7705" s="5" t="s">
        <v>201</v>
      </c>
      <c r="F7705" s="9">
        <v>79</v>
      </c>
      <c r="G7705" s="9">
        <v>889</v>
      </c>
      <c r="H7705" s="5" t="s">
        <v>21</v>
      </c>
      <c r="I7705" s="5" t="s">
        <v>17343</v>
      </c>
      <c r="J7705" s="12" t="str">
        <f>HYPERLINK("https://www.boe.es/gazeta/dias/1801/08/18/pdfs/GMD-1801-79.pdf#page=6","Abrir facsímil")</f>
        <v>Abrir facsímil</v>
      </c>
      <c r="K7705" s="15" t="s">
        <v>23</v>
      </c>
    </row>
    <row r="7706" spans="1:11" ht="42" customHeight="1">
      <c r="A7706" s="4" t="s">
        <v>17344</v>
      </c>
      <c r="B7706" s="5" t="s">
        <v>17345</v>
      </c>
      <c r="C7706" s="5" t="s">
        <v>38</v>
      </c>
      <c r="D7706" s="5" t="s">
        <v>39</v>
      </c>
      <c r="E7706" s="5" t="s">
        <v>615</v>
      </c>
      <c r="F7706" s="9">
        <v>72</v>
      </c>
      <c r="G7706" s="9">
        <v>802</v>
      </c>
      <c r="H7706" s="5" t="s">
        <v>21</v>
      </c>
      <c r="I7706" s="5" t="s">
        <v>17346</v>
      </c>
      <c r="J7706" s="12" t="str">
        <f>HYPERLINK("https://www.boe.es/gazeta/dias/1801/07/24/pdfs/GMD-1801-72.pdf#page=7","Abrir facsímil")</f>
        <v>Abrir facsímil</v>
      </c>
      <c r="K7706" s="15" t="s">
        <v>23</v>
      </c>
    </row>
    <row r="7707" spans="1:11" ht="42" customHeight="1">
      <c r="A7707" s="4" t="s">
        <v>17344</v>
      </c>
      <c r="B7707" s="5" t="s">
        <v>17345</v>
      </c>
      <c r="C7707" s="5" t="s">
        <v>32</v>
      </c>
      <c r="D7707" s="5" t="s">
        <v>33</v>
      </c>
      <c r="E7707" s="5" t="s">
        <v>615</v>
      </c>
      <c r="F7707" s="9">
        <v>72</v>
      </c>
      <c r="G7707" s="9">
        <v>803</v>
      </c>
      <c r="H7707" s="5" t="s">
        <v>21</v>
      </c>
      <c r="I7707" s="5" t="s">
        <v>17347</v>
      </c>
      <c r="J7707" s="12" t="str">
        <f>HYPERLINK("https://www.boe.es/gazeta/dias/1801/07/24/pdfs/GMD-1801-72.pdf#page=8","Abrir facsímil")</f>
        <v>Abrir facsímil</v>
      </c>
      <c r="K7707" s="15" t="s">
        <v>23</v>
      </c>
    </row>
    <row r="7708" spans="1:11" ht="42" customHeight="1">
      <c r="A7708" s="4" t="s">
        <v>17348</v>
      </c>
      <c r="B7708" s="5" t="s">
        <v>17349</v>
      </c>
      <c r="C7708" s="5" t="s">
        <v>75</v>
      </c>
      <c r="D7708" s="5" t="s">
        <v>76</v>
      </c>
      <c r="E7708" s="5" t="s">
        <v>169</v>
      </c>
      <c r="F7708" s="9">
        <v>70</v>
      </c>
      <c r="G7708" s="9">
        <v>771</v>
      </c>
      <c r="H7708" s="5" t="s">
        <v>21</v>
      </c>
      <c r="I7708" s="5" t="s">
        <v>17350</v>
      </c>
      <c r="J7708" s="12" t="str">
        <f>HYPERLINK("https://www.boe.es/gazeta/dias/1801/07/17/pdfs/GMD-1801-70.pdf#page=4","Abrir facsímil")</f>
        <v>Abrir facsímil</v>
      </c>
      <c r="K7708" s="15" t="s">
        <v>23</v>
      </c>
    </row>
    <row r="7709" spans="1:11" ht="42" customHeight="1">
      <c r="A7709" s="4" t="s">
        <v>17351</v>
      </c>
      <c r="B7709" s="5" t="s">
        <v>17352</v>
      </c>
      <c r="C7709" s="5" t="s">
        <v>18</v>
      </c>
      <c r="D7709" s="5" t="s">
        <v>19</v>
      </c>
      <c r="E7709" s="5" t="s">
        <v>223</v>
      </c>
      <c r="F7709" s="9">
        <v>74</v>
      </c>
      <c r="G7709" s="9">
        <v>825</v>
      </c>
      <c r="H7709" s="5" t="s">
        <v>21</v>
      </c>
      <c r="I7709" s="5" t="s">
        <v>17353</v>
      </c>
      <c r="J7709" s="12" t="str">
        <f>HYPERLINK("https://www.boe.es/gazeta/dias/1801/07/31/pdfs/GMD-1801-74.pdf#page=6","Abrir facsímil")</f>
        <v>Abrir facsímil</v>
      </c>
      <c r="K7709" s="15" t="s">
        <v>23</v>
      </c>
    </row>
    <row r="7710" spans="1:11" ht="42" customHeight="1">
      <c r="A7710" s="4" t="s">
        <v>17354</v>
      </c>
      <c r="B7710" s="5" t="s">
        <v>17355</v>
      </c>
      <c r="C7710" s="5" t="s">
        <v>32</v>
      </c>
      <c r="D7710" s="5" t="s">
        <v>33</v>
      </c>
      <c r="E7710" s="5" t="s">
        <v>2237</v>
      </c>
      <c r="F7710" s="9">
        <v>82</v>
      </c>
      <c r="G7710" s="9">
        <v>917</v>
      </c>
      <c r="H7710" s="5" t="s">
        <v>21</v>
      </c>
      <c r="I7710" s="5" t="s">
        <v>17356</v>
      </c>
      <c r="J7710" s="12" t="str">
        <f>HYPERLINK("https://www.boe.es/gazeta/dias/1801/08/28/pdfs/GMD-1801-82.pdf#page=6","Abrir facsímil")</f>
        <v>Abrir facsímil</v>
      </c>
      <c r="K7710" s="15" t="s">
        <v>23</v>
      </c>
    </row>
    <row r="7711" spans="1:11" ht="42" customHeight="1">
      <c r="A7711" s="4" t="s">
        <v>17357</v>
      </c>
      <c r="B7711" s="5" t="s">
        <v>17358</v>
      </c>
      <c r="C7711" s="5" t="s">
        <v>32</v>
      </c>
      <c r="D7711" s="5" t="s">
        <v>33</v>
      </c>
      <c r="E7711" s="5" t="s">
        <v>165</v>
      </c>
      <c r="F7711" s="9">
        <v>59</v>
      </c>
      <c r="G7711" s="9">
        <v>676</v>
      </c>
      <c r="H7711" s="5" t="s">
        <v>21</v>
      </c>
      <c r="I7711" s="5" t="s">
        <v>17359</v>
      </c>
      <c r="J7711" s="12" t="str">
        <f>HYPERLINK("https://www.boe.es/gazeta/dias/1801/06/23/pdfs/GMD-1801-59.pdf#page=9","Abrir facsímil")</f>
        <v>Abrir facsímil</v>
      </c>
      <c r="K7711" s="15" t="s">
        <v>23</v>
      </c>
    </row>
    <row r="7712" spans="1:11" ht="42" customHeight="1">
      <c r="A7712" s="4" t="s">
        <v>17360</v>
      </c>
      <c r="B7712" s="5" t="s">
        <v>17361</v>
      </c>
      <c r="C7712" s="5" t="s">
        <v>80</v>
      </c>
      <c r="D7712" s="5" t="s">
        <v>81</v>
      </c>
      <c r="E7712" s="5" t="s">
        <v>289</v>
      </c>
      <c r="F7712" s="9">
        <v>40</v>
      </c>
      <c r="G7712" s="9" t="s">
        <v>517</v>
      </c>
      <c r="H7712" s="5" t="s">
        <v>21</v>
      </c>
      <c r="I7712" s="5" t="s">
        <v>17362</v>
      </c>
      <c r="J7712" s="12" t="str">
        <f>HYPERLINK("https://www.boe.es/gazeta/dias/1801/05/19/pdfs/GMD-C-1801-40.pdf#page=7","Abrir facsímil")</f>
        <v>Abrir facsímil</v>
      </c>
      <c r="K7712" s="15" t="s">
        <v>23</v>
      </c>
    </row>
    <row r="7713" spans="1:11" ht="42" customHeight="1">
      <c r="A7713" s="4" t="s">
        <v>17363</v>
      </c>
      <c r="B7713" s="5" t="s">
        <v>17364</v>
      </c>
      <c r="C7713" s="5" t="s">
        <v>26</v>
      </c>
      <c r="D7713" s="5" t="s">
        <v>27</v>
      </c>
      <c r="E7713" s="5" t="s">
        <v>735</v>
      </c>
      <c r="F7713" s="9">
        <v>97</v>
      </c>
      <c r="G7713" s="9">
        <v>1068</v>
      </c>
      <c r="H7713" s="5" t="s">
        <v>21</v>
      </c>
      <c r="I7713" s="5" t="s">
        <v>17365</v>
      </c>
      <c r="J7713" s="12" t="str">
        <f>HYPERLINK("https://www.boe.es/gazeta/dias/1801/10/13/pdfs/GMD-1801-97.pdf#page=12","Abrir facsímil")</f>
        <v>Abrir facsímil</v>
      </c>
      <c r="K7713" s="15" t="s">
        <v>23</v>
      </c>
    </row>
    <row r="7714" spans="1:11" ht="42" customHeight="1">
      <c r="A7714" s="4" t="s">
        <v>17366</v>
      </c>
      <c r="B7714" s="5" t="s">
        <v>17367</v>
      </c>
      <c r="C7714" s="5" t="s">
        <v>26</v>
      </c>
      <c r="D7714" s="5" t="s">
        <v>27</v>
      </c>
      <c r="E7714" s="5" t="s">
        <v>275</v>
      </c>
      <c r="F7714" s="9">
        <v>9</v>
      </c>
      <c r="G7714" s="9" t="s">
        <v>83</v>
      </c>
      <c r="H7714" s="5" t="s">
        <v>21</v>
      </c>
      <c r="I7714" s="5" t="s">
        <v>17368</v>
      </c>
      <c r="J7714" s="12" t="str">
        <f>HYPERLINK("https://www.boe.es/gazeta/dias/1801/01/30/pdfs/GMD-C-1801-9.pdf#page=2","Abrir facsímil")</f>
        <v>Abrir facsímil</v>
      </c>
      <c r="K7714" s="15" t="s">
        <v>23</v>
      </c>
    </row>
    <row r="7715" spans="1:11" ht="42" customHeight="1">
      <c r="A7715" s="4" t="s">
        <v>17366</v>
      </c>
      <c r="B7715" s="5" t="s">
        <v>17367</v>
      </c>
      <c r="C7715" s="5" t="s">
        <v>515</v>
      </c>
      <c r="D7715" s="5" t="s">
        <v>516</v>
      </c>
      <c r="E7715" s="5" t="s">
        <v>501</v>
      </c>
      <c r="F7715" s="9">
        <v>115</v>
      </c>
      <c r="G7715" s="9" t="s">
        <v>517</v>
      </c>
      <c r="H7715" s="5" t="s">
        <v>21</v>
      </c>
      <c r="I7715" s="5" t="s">
        <v>17369</v>
      </c>
      <c r="J7715" s="12" t="str">
        <f>HYPERLINK("https://www.boe.es/gazeta/dias/1801/12/15/pdfs/GMD-C-1801-115.pdf#page=7","Abrir facsímil")</f>
        <v>Abrir facsímil</v>
      </c>
      <c r="K7715" s="15" t="s">
        <v>23</v>
      </c>
    </row>
    <row r="7716" spans="1:11" ht="42" customHeight="1">
      <c r="A7716" s="4" t="s">
        <v>17370</v>
      </c>
      <c r="B7716" s="5" t="s">
        <v>17371</v>
      </c>
      <c r="C7716" s="5" t="s">
        <v>32</v>
      </c>
      <c r="D7716" s="5" t="s">
        <v>33</v>
      </c>
      <c r="E7716" s="5" t="s">
        <v>723</v>
      </c>
      <c r="F7716" s="9">
        <v>113</v>
      </c>
      <c r="G7716" s="9">
        <v>1234</v>
      </c>
      <c r="H7716" s="5" t="s">
        <v>21</v>
      </c>
      <c r="I7716" s="5" t="s">
        <v>17372</v>
      </c>
      <c r="J7716" s="12" t="str">
        <f>HYPERLINK("https://www.boe.es/gazeta/dias/1801/12/08/pdfs/GMD-1801-113.pdf#page=7","Abrir facsímil")</f>
        <v>Abrir facsímil</v>
      </c>
      <c r="K7716" s="15" t="s">
        <v>23</v>
      </c>
    </row>
    <row r="7717" spans="1:11" ht="42" customHeight="1">
      <c r="A7717" s="4" t="s">
        <v>17373</v>
      </c>
      <c r="B7717" s="5" t="s">
        <v>17374</v>
      </c>
      <c r="C7717" s="5" t="s">
        <v>38</v>
      </c>
      <c r="D7717" s="5" t="s">
        <v>39</v>
      </c>
      <c r="E7717" s="5" t="s">
        <v>352</v>
      </c>
      <c r="F7717" s="9">
        <v>43</v>
      </c>
      <c r="G7717" s="9">
        <v>538</v>
      </c>
      <c r="H7717" s="5" t="s">
        <v>21</v>
      </c>
      <c r="I7717" s="5" t="s">
        <v>17375</v>
      </c>
      <c r="J7717" s="12" t="str">
        <f>HYPERLINK("https://www.boe.es/gazeta/dias/1801/05/26/pdfs/GMD-1801-43.pdf#page=10","Abrir facsímil")</f>
        <v>Abrir facsímil</v>
      </c>
      <c r="K7717" s="15" t="s">
        <v>23</v>
      </c>
    </row>
    <row r="7718" spans="1:11" ht="42" customHeight="1">
      <c r="A7718" s="4" t="s">
        <v>17376</v>
      </c>
      <c r="B7718" s="5" t="s">
        <v>17377</v>
      </c>
      <c r="C7718" s="5" t="s">
        <v>80</v>
      </c>
      <c r="D7718" s="5" t="s">
        <v>81</v>
      </c>
      <c r="E7718" s="5" t="s">
        <v>289</v>
      </c>
      <c r="F7718" s="9">
        <v>40</v>
      </c>
      <c r="G7718" s="9" t="s">
        <v>996</v>
      </c>
      <c r="H7718" s="5" t="s">
        <v>21</v>
      </c>
      <c r="I7718" s="5" t="s">
        <v>17378</v>
      </c>
      <c r="J7718" s="12" t="str">
        <f>HYPERLINK("https://www.boe.es/gazeta/dias/1801/05/19/pdfs/GMD-C-1801-40.pdf#page=6","Abrir facsímil")</f>
        <v>Abrir facsímil</v>
      </c>
      <c r="K7718" s="15" t="s">
        <v>23</v>
      </c>
    </row>
    <row r="7719" spans="1:11" ht="42" customHeight="1">
      <c r="A7719" s="4" t="s">
        <v>17379</v>
      </c>
      <c r="B7719" s="5" t="s">
        <v>17380</v>
      </c>
      <c r="C7719" s="5" t="s">
        <v>38</v>
      </c>
      <c r="D7719" s="5" t="s">
        <v>39</v>
      </c>
      <c r="E7719" s="5" t="s">
        <v>131</v>
      </c>
      <c r="F7719" s="9">
        <v>22</v>
      </c>
      <c r="G7719" s="9">
        <v>290</v>
      </c>
      <c r="H7719" s="5" t="s">
        <v>21</v>
      </c>
      <c r="I7719" s="5" t="s">
        <v>17381</v>
      </c>
      <c r="J7719" s="12" t="str">
        <f>HYPERLINK("https://www.boe.es/gazeta/dias/1801/03/17/pdfs/GMD-1801-22.pdf#page=7","Abrir facsímil")</f>
        <v>Abrir facsímil</v>
      </c>
      <c r="K7719" s="15" t="s">
        <v>23</v>
      </c>
    </row>
    <row r="7720" spans="1:11" ht="42" customHeight="1">
      <c r="A7720" s="4" t="s">
        <v>17382</v>
      </c>
      <c r="B7720" s="5" t="s">
        <v>17383</v>
      </c>
      <c r="C7720" s="5" t="s">
        <v>80</v>
      </c>
      <c r="D7720" s="5" t="s">
        <v>81</v>
      </c>
      <c r="E7720" s="5" t="s">
        <v>289</v>
      </c>
      <c r="F7720" s="9">
        <v>40</v>
      </c>
      <c r="G7720" s="9" t="s">
        <v>299</v>
      </c>
      <c r="H7720" s="5" t="s">
        <v>21</v>
      </c>
      <c r="I7720" s="5" t="s">
        <v>17384</v>
      </c>
      <c r="J7720" s="12" t="str">
        <f>HYPERLINK("https://www.boe.es/gazeta/dias/1801/05/19/pdfs/GMD-C-1801-40.pdf#page=5","Abrir facsímil")</f>
        <v>Abrir facsímil</v>
      </c>
      <c r="K7720" s="15" t="s">
        <v>23</v>
      </c>
    </row>
    <row r="7721" spans="1:11" ht="42" customHeight="1">
      <c r="A7721" s="4" t="s">
        <v>17385</v>
      </c>
      <c r="B7721" s="5" t="s">
        <v>17386</v>
      </c>
      <c r="C7721" s="5" t="s">
        <v>26</v>
      </c>
      <c r="D7721" s="5" t="s">
        <v>27</v>
      </c>
      <c r="E7721" s="5" t="s">
        <v>108</v>
      </c>
      <c r="F7721" s="9">
        <v>61</v>
      </c>
      <c r="G7721" s="9">
        <v>699</v>
      </c>
      <c r="H7721" s="5" t="s">
        <v>21</v>
      </c>
      <c r="I7721" s="5" t="s">
        <v>17387</v>
      </c>
      <c r="J7721" s="12" t="str">
        <f>HYPERLINK("https://www.boe.es/gazeta/dias/1801/06/30/pdfs/GMD-1801-61.pdf#page=8","Abrir facsímil")</f>
        <v>Abrir facsímil</v>
      </c>
      <c r="K7721" s="15" t="s">
        <v>23</v>
      </c>
    </row>
    <row r="7722" spans="1:11" ht="42" customHeight="1">
      <c r="A7722" s="4" t="s">
        <v>17388</v>
      </c>
      <c r="B7722" s="5" t="s">
        <v>17388</v>
      </c>
      <c r="C7722" s="5" t="s">
        <v>26</v>
      </c>
      <c r="D7722" s="5" t="s">
        <v>27</v>
      </c>
      <c r="E7722" s="5" t="s">
        <v>501</v>
      </c>
      <c r="F7722" s="9">
        <v>115</v>
      </c>
      <c r="G7722" s="9" t="s">
        <v>502</v>
      </c>
      <c r="H7722" s="5" t="s">
        <v>21</v>
      </c>
      <c r="I7722" s="5" t="s">
        <v>17389</v>
      </c>
      <c r="J7722" s="12" t="str">
        <f>HYPERLINK("https://www.boe.es/gazeta/dias/1801/12/15/pdfs/GMD-C-1801-115.pdf#page=8","Abrir facsímil")</f>
        <v>Abrir facsímil</v>
      </c>
      <c r="K7722" s="15" t="s">
        <v>23</v>
      </c>
    </row>
    <row r="7723" spans="1:11" ht="42" customHeight="1">
      <c r="A7723" s="4" t="s">
        <v>17390</v>
      </c>
      <c r="B7723" s="5" t="s">
        <v>17391</v>
      </c>
      <c r="C7723" s="5" t="s">
        <v>26</v>
      </c>
      <c r="D7723" s="5" t="s">
        <v>27</v>
      </c>
      <c r="E7723" s="5" t="s">
        <v>349</v>
      </c>
      <c r="F7723" s="9">
        <v>112</v>
      </c>
      <c r="G7723" s="9">
        <v>1227</v>
      </c>
      <c r="H7723" s="5" t="s">
        <v>21</v>
      </c>
      <c r="I7723" s="5" t="s">
        <v>17392</v>
      </c>
      <c r="J7723" s="12" t="str">
        <f>HYPERLINK("https://www.boe.es/gazeta/dias/1801/12/04/pdfs/GMD-1801-112.pdf#page=8","Abrir facsímil")</f>
        <v>Abrir facsímil</v>
      </c>
      <c r="K7723" s="15" t="s">
        <v>23</v>
      </c>
    </row>
    <row r="7724" spans="1:11" ht="42" customHeight="1">
      <c r="A7724" s="4" t="s">
        <v>17393</v>
      </c>
      <c r="B7724" s="5" t="s">
        <v>17394</v>
      </c>
      <c r="C7724" s="5" t="s">
        <v>80</v>
      </c>
      <c r="D7724" s="5" t="s">
        <v>81</v>
      </c>
      <c r="E7724" s="5" t="s">
        <v>289</v>
      </c>
      <c r="F7724" s="9">
        <v>40</v>
      </c>
      <c r="G7724" s="9" t="s">
        <v>86</v>
      </c>
      <c r="H7724" s="5" t="s">
        <v>21</v>
      </c>
      <c r="I7724" s="5" t="s">
        <v>17395</v>
      </c>
      <c r="J7724" s="12" t="str">
        <f>HYPERLINK("https://www.boe.es/gazeta/dias/1801/05/19/pdfs/GMD-C-1801-40.pdf#page=3","Abrir facsímil")</f>
        <v>Abrir facsímil</v>
      </c>
      <c r="K7724" s="15" t="s">
        <v>23</v>
      </c>
    </row>
    <row r="7725" spans="1:11" ht="42" customHeight="1">
      <c r="A7725" s="4" t="s">
        <v>17396</v>
      </c>
      <c r="B7725" s="5" t="s">
        <v>17397</v>
      </c>
      <c r="C7725" s="5" t="s">
        <v>32</v>
      </c>
      <c r="D7725" s="5" t="s">
        <v>33</v>
      </c>
      <c r="E7725" s="5" t="s">
        <v>292</v>
      </c>
      <c r="F7725" s="9">
        <v>25</v>
      </c>
      <c r="G7725" s="9">
        <v>331</v>
      </c>
      <c r="H7725" s="5" t="s">
        <v>21</v>
      </c>
      <c r="I7725" s="5" t="s">
        <v>17398</v>
      </c>
      <c r="J7725" s="12" t="str">
        <f>HYPERLINK("https://www.boe.es/gazeta/dias/1801/03/27/pdfs/GMD-1801-25.pdf#page=10","Abrir facsímil")</f>
        <v>Abrir facsímil</v>
      </c>
      <c r="K7725" s="15" t="s">
        <v>23</v>
      </c>
    </row>
    <row r="7726" spans="1:11" ht="42" customHeight="1">
      <c r="A7726" s="4" t="s">
        <v>17399</v>
      </c>
      <c r="B7726" s="5" t="s">
        <v>17400</v>
      </c>
      <c r="C7726" s="5" t="s">
        <v>32</v>
      </c>
      <c r="D7726" s="5" t="s">
        <v>33</v>
      </c>
      <c r="E7726" s="5" t="s">
        <v>378</v>
      </c>
      <c r="F7726" s="9">
        <v>23</v>
      </c>
      <c r="G7726" s="9">
        <v>306</v>
      </c>
      <c r="H7726" s="5" t="s">
        <v>21</v>
      </c>
      <c r="I7726" s="5" t="s">
        <v>17401</v>
      </c>
      <c r="J7726" s="12" t="str">
        <f>HYPERLINK("https://www.boe.es/gazeta/dias/1801/03/20/pdfs/GMD-1801-23.pdf#page=9","Abrir facsímil")</f>
        <v>Abrir facsímil</v>
      </c>
      <c r="K7726" s="15" t="s">
        <v>23</v>
      </c>
    </row>
    <row r="7727" spans="1:11" ht="42" customHeight="1">
      <c r="A7727" s="4" t="s">
        <v>17402</v>
      </c>
      <c r="B7727" s="5" t="s">
        <v>17403</v>
      </c>
      <c r="C7727" s="5" t="s">
        <v>26</v>
      </c>
      <c r="D7727" s="5" t="s">
        <v>27</v>
      </c>
      <c r="E7727" s="5" t="s">
        <v>501</v>
      </c>
      <c r="F7727" s="9">
        <v>115</v>
      </c>
      <c r="G7727" s="9" t="s">
        <v>502</v>
      </c>
      <c r="H7727" s="5" t="s">
        <v>21</v>
      </c>
      <c r="I7727" s="5" t="s">
        <v>17404</v>
      </c>
      <c r="J7727" s="12" t="str">
        <f>HYPERLINK("https://www.boe.es/gazeta/dias/1801/12/15/pdfs/GMD-C-1801-115.pdf#page=8","Abrir facsímil")</f>
        <v>Abrir facsímil</v>
      </c>
      <c r="K7727" s="15" t="s">
        <v>23</v>
      </c>
    </row>
    <row r="7728" spans="1:11" ht="42" customHeight="1">
      <c r="A7728" s="4" t="s">
        <v>17405</v>
      </c>
      <c r="B7728" s="5" t="s">
        <v>17406</v>
      </c>
      <c r="C7728" s="5" t="s">
        <v>32</v>
      </c>
      <c r="D7728" s="5" t="s">
        <v>33</v>
      </c>
      <c r="E7728" s="5" t="s">
        <v>55</v>
      </c>
      <c r="F7728" s="9">
        <v>104</v>
      </c>
      <c r="G7728" s="9">
        <v>1146</v>
      </c>
      <c r="H7728" s="5" t="s">
        <v>21</v>
      </c>
      <c r="I7728" s="5" t="s">
        <v>17407</v>
      </c>
      <c r="J7728" s="12" t="str">
        <f>HYPERLINK("https://www.boe.es/gazeta/dias/1801/11/06/pdfs/GMD-1801-104.pdf#page=7","Abrir facsímil")</f>
        <v>Abrir facsímil</v>
      </c>
      <c r="K7728" s="15" t="s">
        <v>23</v>
      </c>
    </row>
    <row r="7729" spans="1:11" ht="42" customHeight="1">
      <c r="A7729" s="4" t="s">
        <v>17408</v>
      </c>
      <c r="B7729" s="5" t="s">
        <v>17409</v>
      </c>
      <c r="C7729" s="5" t="s">
        <v>26</v>
      </c>
      <c r="D7729" s="5" t="s">
        <v>27</v>
      </c>
      <c r="E7729" s="5" t="s">
        <v>128</v>
      </c>
      <c r="F7729" s="9">
        <v>17</v>
      </c>
      <c r="G7729" s="9">
        <v>217</v>
      </c>
      <c r="H7729" s="5" t="s">
        <v>21</v>
      </c>
      <c r="I7729" s="5" t="s">
        <v>17410</v>
      </c>
      <c r="J7729" s="12" t="str">
        <f>HYPERLINK("https://www.boe.es/gazeta/dias/1801/02/27/pdfs/GMD-1801-17.pdf#page=12","Abrir facsímil")</f>
        <v>Abrir facsímil</v>
      </c>
      <c r="K7729" s="15" t="s">
        <v>23</v>
      </c>
    </row>
    <row r="7730" spans="1:11" ht="42" customHeight="1">
      <c r="A7730" s="4" t="s">
        <v>17411</v>
      </c>
      <c r="B7730" s="5" t="s">
        <v>17412</v>
      </c>
      <c r="C7730" s="5" t="s">
        <v>80</v>
      </c>
      <c r="D7730" s="5" t="s">
        <v>81</v>
      </c>
      <c r="E7730" s="5" t="s">
        <v>289</v>
      </c>
      <c r="F7730" s="9">
        <v>40</v>
      </c>
      <c r="G7730" s="9" t="s">
        <v>668</v>
      </c>
      <c r="H7730" s="5" t="s">
        <v>21</v>
      </c>
      <c r="I7730" s="5" t="s">
        <v>17413</v>
      </c>
      <c r="J7730" s="12" t="str">
        <f>HYPERLINK("https://www.boe.es/gazeta/dias/1801/05/19/pdfs/GMD-C-1801-40.pdf#page=1","Abrir facsímil")</f>
        <v>Abrir facsímil</v>
      </c>
      <c r="K7730" s="15" t="s">
        <v>23</v>
      </c>
    </row>
    <row r="7731" spans="1:11" ht="42" customHeight="1">
      <c r="A7731" s="4" t="s">
        <v>17414</v>
      </c>
      <c r="B7731" s="5" t="s">
        <v>17415</v>
      </c>
      <c r="C7731" s="5" t="s">
        <v>26</v>
      </c>
      <c r="D7731" s="5" t="s">
        <v>27</v>
      </c>
      <c r="E7731" s="5" t="s">
        <v>135</v>
      </c>
      <c r="F7731" s="9">
        <v>24</v>
      </c>
      <c r="G7731" s="9">
        <v>320</v>
      </c>
      <c r="H7731" s="5" t="s">
        <v>21</v>
      </c>
      <c r="I7731" s="5" t="s">
        <v>17416</v>
      </c>
      <c r="J7731" s="12" t="str">
        <f>HYPERLINK("https://www.boe.es/gazeta/dias/1801/03/24/pdfs/GMD-1801-24.pdf#page=11","Abrir facsímil")</f>
        <v>Abrir facsímil</v>
      </c>
      <c r="K7731" s="15" t="s">
        <v>23</v>
      </c>
    </row>
    <row r="7732" spans="1:11" ht="42" customHeight="1">
      <c r="A7732" s="4" t="s">
        <v>17417</v>
      </c>
      <c r="B7732" s="5" t="s">
        <v>17418</v>
      </c>
      <c r="C7732" s="5" t="s">
        <v>32</v>
      </c>
      <c r="D7732" s="5" t="s">
        <v>33</v>
      </c>
      <c r="E7732" s="5" t="s">
        <v>34</v>
      </c>
      <c r="F7732" s="9">
        <v>38</v>
      </c>
      <c r="G7732" s="9">
        <v>494</v>
      </c>
      <c r="H7732" s="5" t="s">
        <v>21</v>
      </c>
      <c r="I7732" s="5" t="s">
        <v>17419</v>
      </c>
      <c r="J7732" s="12" t="str">
        <f>HYPERLINK("https://www.boe.es/gazeta/dias/1801/05/12/pdfs/GMD-1801-38.pdf#page=10","Abrir facsímil")</f>
        <v>Abrir facsímil</v>
      </c>
      <c r="K7732" s="15" t="s">
        <v>23</v>
      </c>
    </row>
    <row r="7733" spans="1:11" ht="42" customHeight="1">
      <c r="A7733" s="4" t="s">
        <v>17420</v>
      </c>
      <c r="B7733" s="5" t="s">
        <v>17421</v>
      </c>
      <c r="C7733" s="5" t="s">
        <v>32</v>
      </c>
      <c r="D7733" s="5" t="s">
        <v>33</v>
      </c>
      <c r="E7733" s="5" t="s">
        <v>122</v>
      </c>
      <c r="F7733" s="9">
        <v>8</v>
      </c>
      <c r="G7733" s="9">
        <v>97</v>
      </c>
      <c r="H7733" s="5" t="s">
        <v>21</v>
      </c>
      <c r="I7733" s="5" t="s">
        <v>17422</v>
      </c>
      <c r="J7733" s="12" t="str">
        <f>HYPERLINK("https://www.boe.es/gazeta/dias/1801/01/27/pdfs/GMD-1801-8.pdf#page=9","Abrir facsímil")</f>
        <v>Abrir facsímil</v>
      </c>
      <c r="K7733" s="15" t="s">
        <v>23</v>
      </c>
    </row>
    <row r="7734" spans="1:11" ht="42" customHeight="1">
      <c r="A7734" s="4" t="s">
        <v>17423</v>
      </c>
      <c r="B7734" s="5" t="s">
        <v>17424</v>
      </c>
      <c r="C7734" s="5" t="s">
        <v>32</v>
      </c>
      <c r="D7734" s="5" t="s">
        <v>33</v>
      </c>
      <c r="E7734" s="5" t="s">
        <v>151</v>
      </c>
      <c r="F7734" s="9">
        <v>45</v>
      </c>
      <c r="G7734" s="9">
        <v>561</v>
      </c>
      <c r="H7734" s="5" t="s">
        <v>21</v>
      </c>
      <c r="I7734" s="5" t="s">
        <v>17425</v>
      </c>
      <c r="J7734" s="12" t="str">
        <f>HYPERLINK("https://www.boe.es/gazeta/dias/1801/06/02/pdfs/GMD-1801-45.pdf#page=9","Abrir facsímil")</f>
        <v>Abrir facsímil</v>
      </c>
      <c r="K7734" s="15" t="s">
        <v>23</v>
      </c>
    </row>
    <row r="7735" spans="1:11" ht="42" customHeight="1">
      <c r="A7735" s="4" t="s">
        <v>17426</v>
      </c>
      <c r="B7735" s="5" t="s">
        <v>17427</v>
      </c>
      <c r="C7735" s="5" t="s">
        <v>32</v>
      </c>
      <c r="D7735" s="5" t="s">
        <v>33</v>
      </c>
      <c r="E7735" s="5" t="s">
        <v>171</v>
      </c>
      <c r="F7735" s="9">
        <v>76</v>
      </c>
      <c r="G7735" s="9">
        <v>852</v>
      </c>
      <c r="H7735" s="5" t="s">
        <v>21</v>
      </c>
      <c r="I7735" s="5" t="s">
        <v>17428</v>
      </c>
      <c r="J7735" s="12" t="str">
        <f>HYPERLINK("https://www.boe.es/gazeta/dias/1801/08/07/pdfs/GMD-1801-76.pdf#page=9","Abrir facsímil")</f>
        <v>Abrir facsímil</v>
      </c>
      <c r="K7735" s="15" t="s">
        <v>23</v>
      </c>
    </row>
    <row r="7736" spans="1:11" ht="42" customHeight="1">
      <c r="A7736" s="4" t="s">
        <v>17429</v>
      </c>
      <c r="B7736" s="5" t="s">
        <v>17430</v>
      </c>
      <c r="C7736" s="5" t="s">
        <v>32</v>
      </c>
      <c r="D7736" s="5" t="s">
        <v>33</v>
      </c>
      <c r="E7736" s="5" t="s">
        <v>165</v>
      </c>
      <c r="F7736" s="9">
        <v>59</v>
      </c>
      <c r="G7736" s="9">
        <v>676</v>
      </c>
      <c r="H7736" s="5" t="s">
        <v>21</v>
      </c>
      <c r="I7736" s="5" t="s">
        <v>17431</v>
      </c>
      <c r="J7736" s="12" t="str">
        <f>HYPERLINK("https://www.boe.es/gazeta/dias/1801/06/23/pdfs/GMD-1801-59.pdf#page=9","Abrir facsímil")</f>
        <v>Abrir facsímil</v>
      </c>
      <c r="K7736" s="15" t="s">
        <v>23</v>
      </c>
    </row>
    <row r="7737" spans="1:11" ht="42" customHeight="1">
      <c r="A7737" s="4" t="s">
        <v>17432</v>
      </c>
      <c r="B7737" s="5" t="s">
        <v>17433</v>
      </c>
      <c r="C7737" s="5" t="s">
        <v>26</v>
      </c>
      <c r="D7737" s="5" t="s">
        <v>27</v>
      </c>
      <c r="E7737" s="5" t="s">
        <v>1939</v>
      </c>
      <c r="F7737" s="9">
        <v>107</v>
      </c>
      <c r="G7737" s="9">
        <v>1182</v>
      </c>
      <c r="H7737" s="5" t="s">
        <v>21</v>
      </c>
      <c r="I7737" s="5" t="s">
        <v>17434</v>
      </c>
      <c r="J7737" s="12" t="str">
        <f>HYPERLINK("https://www.boe.es/gazeta/dias/1801/11/17/pdfs/GMD-1801-107.pdf#page=11","Abrir facsímil")</f>
        <v>Abrir facsímil</v>
      </c>
      <c r="K7737" s="15" t="s">
        <v>23</v>
      </c>
    </row>
    <row r="7738" spans="1:11" ht="42" customHeight="1">
      <c r="A7738" s="4" t="s">
        <v>17435</v>
      </c>
      <c r="B7738" s="5" t="s">
        <v>17435</v>
      </c>
      <c r="C7738" s="5" t="s">
        <v>32</v>
      </c>
      <c r="D7738" s="5" t="s">
        <v>33</v>
      </c>
      <c r="E7738" s="5" t="s">
        <v>359</v>
      </c>
      <c r="F7738" s="9">
        <v>101</v>
      </c>
      <c r="G7738" s="9">
        <v>1114</v>
      </c>
      <c r="H7738" s="5" t="s">
        <v>21</v>
      </c>
      <c r="I7738" s="5" t="s">
        <v>17436</v>
      </c>
      <c r="J7738" s="12" t="str">
        <f>HYPERLINK("https://www.boe.es/gazeta/dias/1801/10/27/pdfs/GMD-1801-101.pdf#page=7","Abrir facsímil")</f>
        <v>Abrir facsímil</v>
      </c>
      <c r="K7738" s="15" t="s">
        <v>23</v>
      </c>
    </row>
    <row r="7739" spans="1:11" ht="42" customHeight="1">
      <c r="A7739" s="4" t="s">
        <v>17437</v>
      </c>
      <c r="B7739" s="5" t="s">
        <v>17438</v>
      </c>
      <c r="C7739" s="5" t="s">
        <v>75</v>
      </c>
      <c r="D7739" s="5" t="s">
        <v>76</v>
      </c>
      <c r="E7739" s="5" t="s">
        <v>480</v>
      </c>
      <c r="F7739" s="9">
        <v>10</v>
      </c>
      <c r="G7739" s="9">
        <v>121</v>
      </c>
      <c r="H7739" s="5" t="s">
        <v>21</v>
      </c>
      <c r="I7739" s="5" t="s">
        <v>17439</v>
      </c>
      <c r="J7739" s="12" t="str">
        <f>HYPERLINK("https://www.boe.es/gazeta/dias/1801/02/03/pdfs/GMD-1801-10.pdf#page=6","Abrir facsímil")</f>
        <v>Abrir facsímil</v>
      </c>
      <c r="K7739" s="15" t="s">
        <v>23</v>
      </c>
    </row>
    <row r="7740" spans="1:11" ht="42" customHeight="1">
      <c r="A7740" s="4" t="s">
        <v>17440</v>
      </c>
      <c r="B7740" s="5" t="s">
        <v>17441</v>
      </c>
      <c r="C7740" s="5" t="s">
        <v>80</v>
      </c>
      <c r="D7740" s="5" t="s">
        <v>81</v>
      </c>
      <c r="E7740" s="5" t="s">
        <v>289</v>
      </c>
      <c r="F7740" s="9">
        <v>40</v>
      </c>
      <c r="G7740" s="9" t="s">
        <v>83</v>
      </c>
      <c r="H7740" s="5" t="s">
        <v>21</v>
      </c>
      <c r="I7740" s="5" t="s">
        <v>17442</v>
      </c>
      <c r="J7740" s="12" t="str">
        <f>HYPERLINK("https://www.boe.es/gazeta/dias/1801/05/19/pdfs/GMD-C-1801-40.pdf#page=2","Abrir facsímil")</f>
        <v>Abrir facsímil</v>
      </c>
      <c r="K7740" s="15" t="s">
        <v>23</v>
      </c>
    </row>
    <row r="7741" spans="1:11" ht="42" customHeight="1">
      <c r="A7741" s="4" t="s">
        <v>17443</v>
      </c>
      <c r="B7741" s="5" t="s">
        <v>17443</v>
      </c>
      <c r="C7741" s="5" t="s">
        <v>32</v>
      </c>
      <c r="D7741" s="5" t="s">
        <v>33</v>
      </c>
      <c r="E7741" s="5" t="s">
        <v>328</v>
      </c>
      <c r="F7741" s="9">
        <v>89</v>
      </c>
      <c r="G7741" s="9">
        <v>982</v>
      </c>
      <c r="H7741" s="5" t="s">
        <v>21</v>
      </c>
      <c r="I7741" s="5" t="s">
        <v>17444</v>
      </c>
      <c r="J7741" s="12" t="str">
        <f>HYPERLINK("https://www.boe.es/gazeta/dias/1801/09/15/pdfs/GMD-1801-89.pdf#page=9","Abrir facsímil")</f>
        <v>Abrir facsímil</v>
      </c>
      <c r="K7741" s="15" t="s">
        <v>23</v>
      </c>
    </row>
    <row r="7742" spans="1:11" ht="42" customHeight="1">
      <c r="A7742" s="4" t="s">
        <v>17445</v>
      </c>
      <c r="B7742" s="5" t="s">
        <v>17445</v>
      </c>
      <c r="C7742" s="5" t="s">
        <v>32</v>
      </c>
      <c r="D7742" s="5" t="s">
        <v>33</v>
      </c>
      <c r="E7742" s="5" t="s">
        <v>194</v>
      </c>
      <c r="F7742" s="9">
        <v>92</v>
      </c>
      <c r="G7742" s="9">
        <v>1011</v>
      </c>
      <c r="H7742" s="5" t="s">
        <v>21</v>
      </c>
      <c r="I7742" s="5" t="s">
        <v>17446</v>
      </c>
      <c r="J7742" s="12" t="str">
        <f>HYPERLINK("https://www.boe.es/gazeta/dias/1801/09/25/pdfs/GMD-1801-92.pdf#page=6","Abrir facsímil")</f>
        <v>Abrir facsímil</v>
      </c>
      <c r="K7742" s="15" t="s">
        <v>23</v>
      </c>
    </row>
    <row r="7743" spans="1:11" ht="42" customHeight="1">
      <c r="A7743" s="4" t="s">
        <v>17447</v>
      </c>
      <c r="B7743" s="5" t="s">
        <v>17448</v>
      </c>
      <c r="C7743" s="5" t="s">
        <v>32</v>
      </c>
      <c r="D7743" s="5" t="s">
        <v>33</v>
      </c>
      <c r="E7743" s="5" t="s">
        <v>153</v>
      </c>
      <c r="F7743" s="9">
        <v>48</v>
      </c>
      <c r="G7743" s="9">
        <v>585</v>
      </c>
      <c r="H7743" s="5" t="s">
        <v>21</v>
      </c>
      <c r="I7743" s="5" t="s">
        <v>17449</v>
      </c>
      <c r="J7743" s="12" t="str">
        <f>HYPERLINK("https://www.boe.es/gazeta/dias/1801/06/05/pdfs/GMD-1801-48.pdf#page=7","Abrir facsímil")</f>
        <v>Abrir facsímil</v>
      </c>
      <c r="K7743" s="15" t="s">
        <v>23</v>
      </c>
    </row>
    <row r="7744" spans="1:11" ht="42" customHeight="1">
      <c r="A7744" s="4" t="s">
        <v>17450</v>
      </c>
      <c r="B7744" s="5" t="s">
        <v>17451</v>
      </c>
      <c r="C7744" s="5" t="s">
        <v>38</v>
      </c>
      <c r="D7744" s="5" t="s">
        <v>39</v>
      </c>
      <c r="E7744" s="5" t="s">
        <v>171</v>
      </c>
      <c r="F7744" s="9">
        <v>76</v>
      </c>
      <c r="G7744" s="9">
        <v>854</v>
      </c>
      <c r="H7744" s="5" t="s">
        <v>21</v>
      </c>
      <c r="I7744" s="5" t="s">
        <v>17452</v>
      </c>
      <c r="J7744" s="12" t="str">
        <f>HYPERLINK("https://www.boe.es/gazeta/dias/1801/08/07/pdfs/GMD-1801-76.pdf#page=11","Abrir facsímil")</f>
        <v>Abrir facsímil</v>
      </c>
      <c r="K7744" s="15" t="s">
        <v>23</v>
      </c>
    </row>
    <row r="7745" spans="1:11" ht="42" customHeight="1">
      <c r="A7745" s="4" t="s">
        <v>17453</v>
      </c>
      <c r="B7745" s="5" t="s">
        <v>17453</v>
      </c>
      <c r="C7745" s="5" t="s">
        <v>18</v>
      </c>
      <c r="D7745" s="5" t="s">
        <v>19</v>
      </c>
      <c r="E7745" s="5" t="s">
        <v>615</v>
      </c>
      <c r="F7745" s="9">
        <v>72</v>
      </c>
      <c r="G7745" s="9">
        <v>806</v>
      </c>
      <c r="H7745" s="5" t="s">
        <v>21</v>
      </c>
      <c r="I7745" s="5" t="s">
        <v>17454</v>
      </c>
      <c r="J7745" s="12" t="str">
        <f>HYPERLINK("https://www.boe.es/gazeta/dias/1801/07/24/pdfs/GMD-1801-72.pdf#page=11","Abrir facsímil")</f>
        <v>Abrir facsímil</v>
      </c>
      <c r="K7745" s="15" t="s">
        <v>23</v>
      </c>
    </row>
    <row r="7746" spans="1:11" ht="42" customHeight="1">
      <c r="A7746" s="4" t="s">
        <v>17455</v>
      </c>
      <c r="B7746" s="5" t="s">
        <v>17456</v>
      </c>
      <c r="C7746" s="5" t="s">
        <v>38</v>
      </c>
      <c r="D7746" s="5" t="s">
        <v>39</v>
      </c>
      <c r="E7746" s="5" t="s">
        <v>751</v>
      </c>
      <c r="F7746" s="9">
        <v>106</v>
      </c>
      <c r="G7746" s="9">
        <v>1162</v>
      </c>
      <c r="H7746" s="5" t="s">
        <v>21</v>
      </c>
      <c r="I7746" s="5" t="s">
        <v>17457</v>
      </c>
      <c r="J7746" s="12" t="str">
        <f>HYPERLINK("https://www.boe.es/gazeta/dias/1801/11/13/pdfs/GMD-1801-106.pdf#page=3","Abrir facsímil")</f>
        <v>Abrir facsímil</v>
      </c>
      <c r="K7746" s="15" t="s">
        <v>23</v>
      </c>
    </row>
    <row r="7747" spans="1:11" ht="42" customHeight="1">
      <c r="A7747" s="4" t="s">
        <v>17458</v>
      </c>
      <c r="B7747" s="5" t="s">
        <v>17458</v>
      </c>
      <c r="C7747" s="5" t="s">
        <v>32</v>
      </c>
      <c r="D7747" s="5" t="s">
        <v>33</v>
      </c>
      <c r="E7747" s="5" t="s">
        <v>453</v>
      </c>
      <c r="F7747" s="9">
        <v>100</v>
      </c>
      <c r="G7747" s="9">
        <v>1101</v>
      </c>
      <c r="H7747" s="5" t="s">
        <v>21</v>
      </c>
      <c r="I7747" s="5" t="s">
        <v>17459</v>
      </c>
      <c r="J7747" s="12" t="str">
        <f>HYPERLINK("https://www.boe.es/gazeta/dias/1801/10/23/pdfs/GMD-1801-100.pdf#page=10","Abrir facsímil")</f>
        <v>Abrir facsímil</v>
      </c>
      <c r="K7747" s="15" t="s">
        <v>23</v>
      </c>
    </row>
    <row r="7748" spans="1:11" ht="42" customHeight="1">
      <c r="A7748" s="4" t="s">
        <v>17460</v>
      </c>
      <c r="B7748" s="5" t="s">
        <v>17461</v>
      </c>
      <c r="C7748" s="5" t="s">
        <v>32</v>
      </c>
      <c r="D7748" s="5" t="s">
        <v>33</v>
      </c>
      <c r="E7748" s="5" t="s">
        <v>501</v>
      </c>
      <c r="F7748" s="9">
        <v>115</v>
      </c>
      <c r="G7748" s="9">
        <v>1251</v>
      </c>
      <c r="H7748" s="5" t="s">
        <v>21</v>
      </c>
      <c r="I7748" s="5" t="s">
        <v>17462</v>
      </c>
      <c r="J7748" s="12" t="str">
        <f>HYPERLINK("https://www.boe.es/gazeta/dias/1801/12/15/pdfs/GMD-1801-115.pdf#page=1","Abrir facsímil")</f>
        <v>Abrir facsímil</v>
      </c>
      <c r="K7748" s="15" t="s">
        <v>23</v>
      </c>
    </row>
    <row r="7749" spans="1:11" ht="42" customHeight="1">
      <c r="A7749" s="4" t="s">
        <v>17463</v>
      </c>
      <c r="B7749" s="5" t="s">
        <v>17464</v>
      </c>
      <c r="C7749" s="5" t="s">
        <v>26</v>
      </c>
      <c r="D7749" s="5" t="s">
        <v>27</v>
      </c>
      <c r="E7749" s="5" t="s">
        <v>251</v>
      </c>
      <c r="F7749" s="9">
        <v>66</v>
      </c>
      <c r="G7749" s="9">
        <v>739</v>
      </c>
      <c r="H7749" s="5" t="s">
        <v>21</v>
      </c>
      <c r="I7749" s="5" t="s">
        <v>17465</v>
      </c>
      <c r="J7749" s="12" t="str">
        <f>HYPERLINK("https://www.boe.es/gazeta/dias/1801/07/10/pdfs/GMD-1801-66.pdf#page=4","Abrir facsímil")</f>
        <v>Abrir facsímil</v>
      </c>
      <c r="K7749" s="15" t="s">
        <v>23</v>
      </c>
    </row>
    <row r="7750" spans="1:11" ht="42" customHeight="1">
      <c r="A7750" s="4" t="s">
        <v>17463</v>
      </c>
      <c r="B7750" s="5" t="s">
        <v>17464</v>
      </c>
      <c r="C7750" s="5" t="s">
        <v>38</v>
      </c>
      <c r="D7750" s="5" t="s">
        <v>39</v>
      </c>
      <c r="E7750" s="5" t="s">
        <v>258</v>
      </c>
      <c r="F7750" s="9">
        <v>96</v>
      </c>
      <c r="G7750" s="9">
        <v>1050</v>
      </c>
      <c r="H7750" s="5" t="s">
        <v>21</v>
      </c>
      <c r="I7750" s="5" t="s">
        <v>17466</v>
      </c>
      <c r="J7750" s="12" t="str">
        <f>HYPERLINK("https://www.boe.es/gazeta/dias/1801/10/09/pdfs/GMD-1801-96.pdf#page=6","Abrir facsímil")</f>
        <v>Abrir facsímil</v>
      </c>
      <c r="K7750" s="15" t="s">
        <v>23</v>
      </c>
    </row>
    <row r="7751" spans="1:11" ht="42" customHeight="1">
      <c r="A7751" s="4" t="s">
        <v>17467</v>
      </c>
      <c r="B7751" s="5" t="s">
        <v>17467</v>
      </c>
      <c r="C7751" s="5" t="s">
        <v>69</v>
      </c>
      <c r="D7751" s="5" t="s">
        <v>19</v>
      </c>
      <c r="E7751" s="5" t="s">
        <v>328</v>
      </c>
      <c r="F7751" s="9">
        <v>89</v>
      </c>
      <c r="G7751" s="9">
        <v>984</v>
      </c>
      <c r="H7751" s="5" t="s">
        <v>21</v>
      </c>
      <c r="I7751" s="5" t="s">
        <v>17468</v>
      </c>
      <c r="J7751" s="12" t="str">
        <f>HYPERLINK("https://www.boe.es/gazeta/dias/1801/09/15/pdfs/GMD-1801-89.pdf#page=11","Abrir facsímil")</f>
        <v>Abrir facsímil</v>
      </c>
      <c r="K7751" s="15" t="s">
        <v>23</v>
      </c>
    </row>
    <row r="7752" spans="1:11" ht="42" customHeight="1">
      <c r="A7752" s="4" t="s">
        <v>17469</v>
      </c>
      <c r="B7752" s="5" t="s">
        <v>17469</v>
      </c>
      <c r="C7752" s="5" t="s">
        <v>32</v>
      </c>
      <c r="D7752" s="5" t="s">
        <v>33</v>
      </c>
      <c r="E7752" s="5" t="s">
        <v>221</v>
      </c>
      <c r="F7752" s="9">
        <v>28</v>
      </c>
      <c r="G7752" s="9">
        <v>371</v>
      </c>
      <c r="H7752" s="5" t="s">
        <v>21</v>
      </c>
      <c r="I7752" s="5" t="s">
        <v>17470</v>
      </c>
      <c r="J7752" s="12" t="str">
        <f>HYPERLINK("https://www.boe.es/gazeta/dias/1801/04/07/pdfs/GMD-1801-28.pdf#page=11","Abrir facsímil")</f>
        <v>Abrir facsímil</v>
      </c>
      <c r="K7752" s="15" t="s">
        <v>23</v>
      </c>
    </row>
    <row r="7753" spans="1:11" ht="42" customHeight="1">
      <c r="A7753" s="4" t="s">
        <v>17471</v>
      </c>
      <c r="B7753" s="5" t="s">
        <v>17472</v>
      </c>
      <c r="C7753" s="5" t="s">
        <v>38</v>
      </c>
      <c r="D7753" s="5" t="s">
        <v>39</v>
      </c>
      <c r="E7753" s="5" t="s">
        <v>378</v>
      </c>
      <c r="F7753" s="9">
        <v>23</v>
      </c>
      <c r="G7753" s="9">
        <v>306</v>
      </c>
      <c r="H7753" s="5" t="s">
        <v>21</v>
      </c>
      <c r="I7753" s="5" t="s">
        <v>17473</v>
      </c>
      <c r="J7753" s="12" t="str">
        <f>HYPERLINK("https://www.boe.es/gazeta/dias/1801/03/20/pdfs/GMD-1801-23.pdf#page=9","Abrir facsímil")</f>
        <v>Abrir facsímil</v>
      </c>
      <c r="K7753" s="15" t="s">
        <v>23</v>
      </c>
    </row>
    <row r="7754" spans="1:11" ht="42" customHeight="1">
      <c r="A7754" s="4" t="s">
        <v>17474</v>
      </c>
      <c r="B7754" s="5" t="s">
        <v>17475</v>
      </c>
      <c r="C7754" s="5" t="s">
        <v>32</v>
      </c>
      <c r="D7754" s="5" t="s">
        <v>33</v>
      </c>
      <c r="E7754" s="5" t="s">
        <v>131</v>
      </c>
      <c r="F7754" s="9">
        <v>22</v>
      </c>
      <c r="G7754" s="9">
        <v>290</v>
      </c>
      <c r="H7754" s="5" t="s">
        <v>21</v>
      </c>
      <c r="I7754" s="5" t="s">
        <v>17476</v>
      </c>
      <c r="J7754" s="12" t="str">
        <f>HYPERLINK("https://www.boe.es/gazeta/dias/1801/03/17/pdfs/GMD-1801-22.pdf#page=7","Abrir facsímil")</f>
        <v>Abrir facsímil</v>
      </c>
      <c r="K7754" s="15" t="s">
        <v>23</v>
      </c>
    </row>
    <row r="7755" spans="1:11" ht="42" customHeight="1">
      <c r="A7755" s="4" t="s">
        <v>17477</v>
      </c>
      <c r="B7755" s="5" t="s">
        <v>17478</v>
      </c>
      <c r="C7755" s="5" t="s">
        <v>69</v>
      </c>
      <c r="D7755" s="5" t="s">
        <v>19</v>
      </c>
      <c r="E7755" s="5" t="s">
        <v>292</v>
      </c>
      <c r="F7755" s="9">
        <v>25</v>
      </c>
      <c r="G7755" s="9">
        <v>331</v>
      </c>
      <c r="H7755" s="5" t="s">
        <v>21</v>
      </c>
      <c r="I7755" s="5" t="s">
        <v>17479</v>
      </c>
      <c r="J7755" s="12" t="str">
        <f>HYPERLINK("https://www.boe.es/gazeta/dias/1801/03/27/pdfs/GMD-1801-25.pdf#page=10","Abrir facsímil")</f>
        <v>Abrir facsímil</v>
      </c>
      <c r="K7755" s="15" t="s">
        <v>23</v>
      </c>
    </row>
    <row r="7756" spans="1:11" ht="42" customHeight="1">
      <c r="A7756" s="4" t="s">
        <v>17480</v>
      </c>
      <c r="B7756" s="5" t="s">
        <v>17481</v>
      </c>
      <c r="C7756" s="5" t="s">
        <v>38</v>
      </c>
      <c r="D7756" s="5" t="s">
        <v>39</v>
      </c>
      <c r="E7756" s="5" t="s">
        <v>465</v>
      </c>
      <c r="F7756" s="9">
        <v>4</v>
      </c>
      <c r="G7756" s="9">
        <v>46</v>
      </c>
      <c r="H7756" s="5" t="s">
        <v>21</v>
      </c>
      <c r="I7756" s="5" t="s">
        <v>17482</v>
      </c>
      <c r="J7756" s="12" t="str">
        <f>HYPERLINK("https://www.boe.es/gazeta/dias/1801/01/13/pdfs/GMD-1801-4.pdf#page=10","Abrir facsímil")</f>
        <v>Abrir facsímil</v>
      </c>
      <c r="K7756" s="15" t="s">
        <v>23</v>
      </c>
    </row>
    <row r="7757" spans="1:11" ht="42" customHeight="1">
      <c r="A7757" s="4" t="s">
        <v>17483</v>
      </c>
      <c r="B7757" s="5" t="s">
        <v>17484</v>
      </c>
      <c r="C7757" s="5" t="s">
        <v>69</v>
      </c>
      <c r="D7757" s="5" t="s">
        <v>19</v>
      </c>
      <c r="E7757" s="5" t="s">
        <v>137</v>
      </c>
      <c r="F7757" s="9">
        <v>30</v>
      </c>
      <c r="G7757" s="9">
        <v>394</v>
      </c>
      <c r="H7757" s="5" t="s">
        <v>21</v>
      </c>
      <c r="I7757" s="5" t="s">
        <v>17485</v>
      </c>
      <c r="J7757" s="12" t="str">
        <f>HYPERLINK("https://www.boe.es/gazeta/dias/1801/04/14/pdfs/GMD-1801-30.pdf#page=10","Abrir facsímil")</f>
        <v>Abrir facsímil</v>
      </c>
      <c r="K7757" s="15" t="s">
        <v>23</v>
      </c>
    </row>
    <row r="7758" spans="1:11" ht="42" customHeight="1">
      <c r="A7758" s="4" t="s">
        <v>17486</v>
      </c>
      <c r="B7758" s="5" t="s">
        <v>17487</v>
      </c>
      <c r="C7758" s="5" t="s">
        <v>38</v>
      </c>
      <c r="D7758" s="5" t="s">
        <v>39</v>
      </c>
      <c r="E7758" s="5" t="s">
        <v>328</v>
      </c>
      <c r="F7758" s="9">
        <v>89</v>
      </c>
      <c r="G7758" s="9">
        <v>981</v>
      </c>
      <c r="H7758" s="5" t="s">
        <v>21</v>
      </c>
      <c r="I7758" s="5" t="s">
        <v>17488</v>
      </c>
      <c r="J7758" s="12" t="str">
        <f>HYPERLINK("https://www.boe.es/gazeta/dias/1801/09/15/pdfs/GMD-1801-89.pdf#page=8","Abrir facsímil")</f>
        <v>Abrir facsímil</v>
      </c>
      <c r="K7758" s="15" t="s">
        <v>23</v>
      </c>
    </row>
    <row r="7759" spans="1:11" ht="42" customHeight="1">
      <c r="A7759" s="4" t="s">
        <v>17489</v>
      </c>
      <c r="B7759" s="5" t="s">
        <v>17490</v>
      </c>
      <c r="C7759" s="5" t="s">
        <v>69</v>
      </c>
      <c r="D7759" s="5" t="s">
        <v>19</v>
      </c>
      <c r="E7759" s="5" t="s">
        <v>105</v>
      </c>
      <c r="F7759" s="9">
        <v>44</v>
      </c>
      <c r="G7759" s="9">
        <v>550</v>
      </c>
      <c r="H7759" s="5" t="s">
        <v>21</v>
      </c>
      <c r="I7759" s="5" t="s">
        <v>17491</v>
      </c>
      <c r="J7759" s="12" t="str">
        <f>HYPERLINK("https://www.boe.es/gazeta/dias/1801/05/29/pdfs/GMD-1801-44.pdf#page=10","Abrir facsímil")</f>
        <v>Abrir facsímil</v>
      </c>
      <c r="K7759" s="15" t="s">
        <v>23</v>
      </c>
    </row>
    <row r="7760" spans="1:11" ht="42" customHeight="1">
      <c r="A7760" s="4" t="s">
        <v>17492</v>
      </c>
      <c r="B7760" s="5" t="s">
        <v>17493</v>
      </c>
      <c r="C7760" s="5" t="s">
        <v>69</v>
      </c>
      <c r="D7760" s="5" t="s">
        <v>19</v>
      </c>
      <c r="E7760" s="5" t="s">
        <v>764</v>
      </c>
      <c r="F7760" s="9">
        <v>80</v>
      </c>
      <c r="G7760" s="9">
        <v>898</v>
      </c>
      <c r="H7760" s="5" t="s">
        <v>21</v>
      </c>
      <c r="I7760" s="5" t="s">
        <v>17494</v>
      </c>
      <c r="J7760" s="12" t="str">
        <f>HYPERLINK("https://www.boe.es/gazeta/dias/1801/08/21/pdfs/GMD-1801-80.pdf#page=7","Abrir facsímil")</f>
        <v>Abrir facsímil</v>
      </c>
      <c r="K7760" s="15" t="s">
        <v>23</v>
      </c>
    </row>
    <row r="7761" spans="1:11" ht="42" customHeight="1">
      <c r="A7761" s="4" t="s">
        <v>17495</v>
      </c>
      <c r="B7761" s="5" t="s">
        <v>17496</v>
      </c>
      <c r="C7761" s="5" t="s">
        <v>75</v>
      </c>
      <c r="D7761" s="5" t="s">
        <v>76</v>
      </c>
      <c r="E7761" s="5" t="s">
        <v>935</v>
      </c>
      <c r="F7761" s="9">
        <v>116</v>
      </c>
      <c r="G7761" s="9">
        <v>1265</v>
      </c>
      <c r="H7761" s="5" t="s">
        <v>21</v>
      </c>
      <c r="I7761" s="5" t="s">
        <v>17497</v>
      </c>
      <c r="J7761" s="12" t="str">
        <f>HYPERLINK("https://www.boe.es/gazeta/dias/1801/12/18/pdfs/GMD-1801-116.pdf#page=7","Abrir facsímil")</f>
        <v>Abrir facsímil</v>
      </c>
      <c r="K7761" s="15" t="s">
        <v>23</v>
      </c>
    </row>
    <row r="7762" spans="1:11" ht="42" customHeight="1">
      <c r="A7762" s="4" t="s">
        <v>17498</v>
      </c>
      <c r="B7762" s="5" t="s">
        <v>17499</v>
      </c>
      <c r="C7762" s="5" t="s">
        <v>32</v>
      </c>
      <c r="D7762" s="5" t="s">
        <v>33</v>
      </c>
      <c r="E7762" s="5" t="s">
        <v>151</v>
      </c>
      <c r="F7762" s="9">
        <v>45</v>
      </c>
      <c r="G7762" s="9">
        <v>561</v>
      </c>
      <c r="H7762" s="5" t="s">
        <v>21</v>
      </c>
      <c r="I7762" s="5" t="s">
        <v>17500</v>
      </c>
      <c r="J7762" s="12" t="str">
        <f>HYPERLINK("https://www.boe.es/gazeta/dias/1801/06/02/pdfs/GMD-1801-45.pdf#page=9","Abrir facsímil")</f>
        <v>Abrir facsímil</v>
      </c>
      <c r="K7762" s="15" t="s">
        <v>23</v>
      </c>
    </row>
    <row r="7763" spans="1:11" ht="42" customHeight="1">
      <c r="A7763" s="4" t="s">
        <v>17501</v>
      </c>
      <c r="B7763" s="5" t="s">
        <v>17502</v>
      </c>
      <c r="C7763" s="5" t="s">
        <v>69</v>
      </c>
      <c r="D7763" s="5" t="s">
        <v>19</v>
      </c>
      <c r="E7763" s="5" t="s">
        <v>275</v>
      </c>
      <c r="F7763" s="9">
        <v>9</v>
      </c>
      <c r="G7763" s="9">
        <v>112</v>
      </c>
      <c r="H7763" s="5" t="s">
        <v>21</v>
      </c>
      <c r="I7763" s="5" t="s">
        <v>17503</v>
      </c>
      <c r="J7763" s="12" t="str">
        <f>HYPERLINK("https://www.boe.es/gazeta/dias/1801/01/30/pdfs/GMD-1801-9.pdf#page=9","Abrir facsímil")</f>
        <v>Abrir facsímil</v>
      </c>
      <c r="K7763" s="15" t="s">
        <v>23</v>
      </c>
    </row>
    <row r="7764" spans="1:11" ht="42" customHeight="1">
      <c r="A7764" s="4" t="s">
        <v>17504</v>
      </c>
      <c r="B7764" s="5" t="s">
        <v>17505</v>
      </c>
      <c r="C7764" s="5" t="s">
        <v>80</v>
      </c>
      <c r="D7764" s="5" t="s">
        <v>81</v>
      </c>
      <c r="E7764" s="5" t="s">
        <v>82</v>
      </c>
      <c r="F7764" s="9">
        <v>75</v>
      </c>
      <c r="G7764" s="9" t="s">
        <v>996</v>
      </c>
      <c r="H7764" s="5" t="s">
        <v>21</v>
      </c>
      <c r="I7764" s="5" t="s">
        <v>17506</v>
      </c>
      <c r="J7764" s="12" t="str">
        <f>HYPERLINK("https://www.boe.es/gazeta/dias/1801/08/04/pdfs/GMD-C-1801-75.pdf#page=6","Abrir facsímil")</f>
        <v>Abrir facsímil</v>
      </c>
      <c r="K7764" s="15" t="s">
        <v>23</v>
      </c>
    </row>
    <row r="7765" spans="1:11" ht="42" customHeight="1">
      <c r="A7765" s="4" t="s">
        <v>17507</v>
      </c>
      <c r="B7765" s="5" t="s">
        <v>17508</v>
      </c>
      <c r="C7765" s="5" t="s">
        <v>38</v>
      </c>
      <c r="D7765" s="5" t="s">
        <v>39</v>
      </c>
      <c r="E7765" s="5" t="s">
        <v>735</v>
      </c>
      <c r="F7765" s="9">
        <v>97</v>
      </c>
      <c r="G7765" s="9">
        <v>1062</v>
      </c>
      <c r="H7765" s="5" t="s">
        <v>21</v>
      </c>
      <c r="I7765" s="5" t="s">
        <v>17509</v>
      </c>
      <c r="J7765" s="12" t="str">
        <f>HYPERLINK("https://www.boe.es/gazeta/dias/1801/10/13/pdfs/GMD-1801-97.pdf#page=6","Abrir facsímil")</f>
        <v>Abrir facsímil</v>
      </c>
      <c r="K7765" s="15" t="s">
        <v>23</v>
      </c>
    </row>
    <row r="7766" spans="1:11" ht="42" customHeight="1">
      <c r="A7766" s="4" t="s">
        <v>17510</v>
      </c>
      <c r="B7766" s="5" t="s">
        <v>17511</v>
      </c>
      <c r="C7766" s="5" t="s">
        <v>32</v>
      </c>
      <c r="D7766" s="5" t="s">
        <v>33</v>
      </c>
      <c r="E7766" s="5" t="s">
        <v>378</v>
      </c>
      <c r="F7766" s="9">
        <v>23</v>
      </c>
      <c r="G7766" s="9">
        <v>306</v>
      </c>
      <c r="H7766" s="5" t="s">
        <v>21</v>
      </c>
      <c r="I7766" s="5" t="s">
        <v>17512</v>
      </c>
      <c r="J7766" s="12" t="str">
        <f>HYPERLINK("https://www.boe.es/gazeta/dias/1801/03/20/pdfs/GMD-1801-23.pdf#page=9","Abrir facsímil")</f>
        <v>Abrir facsímil</v>
      </c>
      <c r="K7766" s="15" t="s">
        <v>23</v>
      </c>
    </row>
    <row r="7767" spans="1:11" ht="42" customHeight="1">
      <c r="A7767" s="4" t="s">
        <v>17513</v>
      </c>
      <c r="B7767" s="5" t="s">
        <v>17514</v>
      </c>
      <c r="C7767" s="5" t="s">
        <v>80</v>
      </c>
      <c r="D7767" s="5" t="s">
        <v>81</v>
      </c>
      <c r="E7767" s="5" t="s">
        <v>289</v>
      </c>
      <c r="F7767" s="9">
        <v>40</v>
      </c>
      <c r="G7767" s="9" t="s">
        <v>83</v>
      </c>
      <c r="H7767" s="5" t="s">
        <v>21</v>
      </c>
      <c r="I7767" s="5" t="s">
        <v>17515</v>
      </c>
      <c r="J7767" s="12" t="str">
        <f>HYPERLINK("https://www.boe.es/gazeta/dias/1801/05/19/pdfs/GMD-C-1801-40.pdf#page=2","Abrir facsímil")</f>
        <v>Abrir facsímil</v>
      </c>
      <c r="K7767" s="15" t="s">
        <v>23</v>
      </c>
    </row>
    <row r="7768" spans="1:11" ht="42" customHeight="1">
      <c r="A7768" s="4" t="s">
        <v>17516</v>
      </c>
      <c r="B7768" s="5" t="s">
        <v>17517</v>
      </c>
      <c r="C7768" s="5" t="s">
        <v>32</v>
      </c>
      <c r="D7768" s="5" t="s">
        <v>33</v>
      </c>
      <c r="E7768" s="5" t="s">
        <v>352</v>
      </c>
      <c r="F7768" s="9">
        <v>43</v>
      </c>
      <c r="G7768" s="9">
        <v>538</v>
      </c>
      <c r="H7768" s="5" t="s">
        <v>21</v>
      </c>
      <c r="I7768" s="5" t="s">
        <v>17518</v>
      </c>
      <c r="J7768" s="12" t="str">
        <f>HYPERLINK("https://www.boe.es/gazeta/dias/1801/05/26/pdfs/GMD-1801-43.pdf#page=10","Abrir facsímil")</f>
        <v>Abrir facsímil</v>
      </c>
      <c r="K7768" s="15" t="s">
        <v>23</v>
      </c>
    </row>
    <row r="7769" spans="1:11" ht="42" customHeight="1">
      <c r="A7769" s="4" t="s">
        <v>17519</v>
      </c>
      <c r="B7769" s="5" t="s">
        <v>17520</v>
      </c>
      <c r="C7769" s="5" t="s">
        <v>32</v>
      </c>
      <c r="D7769" s="5" t="s">
        <v>33</v>
      </c>
      <c r="E7769" s="5" t="s">
        <v>151</v>
      </c>
      <c r="F7769" s="9">
        <v>45</v>
      </c>
      <c r="G7769" s="9">
        <v>561</v>
      </c>
      <c r="H7769" s="5" t="s">
        <v>21</v>
      </c>
      <c r="I7769" s="5" t="s">
        <v>17521</v>
      </c>
      <c r="J7769" s="12" t="str">
        <f>HYPERLINK("https://www.boe.es/gazeta/dias/1801/06/02/pdfs/GMD-1801-45.pdf#page=9","Abrir facsímil")</f>
        <v>Abrir facsímil</v>
      </c>
      <c r="K7769" s="15" t="s">
        <v>23</v>
      </c>
    </row>
    <row r="7770" spans="1:11" ht="42" customHeight="1">
      <c r="A7770" s="4" t="s">
        <v>17522</v>
      </c>
      <c r="B7770" s="5" t="s">
        <v>17523</v>
      </c>
      <c r="C7770" s="5" t="s">
        <v>18</v>
      </c>
      <c r="D7770" s="5" t="s">
        <v>19</v>
      </c>
      <c r="E7770" s="5" t="s">
        <v>453</v>
      </c>
      <c r="F7770" s="9">
        <v>100</v>
      </c>
      <c r="G7770" s="9">
        <v>1101</v>
      </c>
      <c r="H7770" s="5" t="s">
        <v>21</v>
      </c>
      <c r="I7770" s="5" t="s">
        <v>17524</v>
      </c>
      <c r="J7770" s="12" t="str">
        <f>HYPERLINK("https://www.boe.es/gazeta/dias/1801/10/23/pdfs/GMD-1801-100.pdf#page=10","Abrir facsímil")</f>
        <v>Abrir facsímil</v>
      </c>
      <c r="K7770" s="15" t="s">
        <v>23</v>
      </c>
    </row>
    <row r="7771" spans="1:11" ht="42" customHeight="1">
      <c r="A7771" s="4" t="s">
        <v>17525</v>
      </c>
      <c r="B7771" s="5" t="s">
        <v>17526</v>
      </c>
      <c r="C7771" s="5" t="s">
        <v>32</v>
      </c>
      <c r="D7771" s="5" t="s">
        <v>33</v>
      </c>
      <c r="E7771" s="5" t="s">
        <v>151</v>
      </c>
      <c r="F7771" s="9" t="s">
        <v>1483</v>
      </c>
      <c r="G7771" s="9">
        <v>567</v>
      </c>
      <c r="H7771" s="5" t="s">
        <v>21</v>
      </c>
      <c r="I7771" s="5" t="s">
        <v>17527</v>
      </c>
      <c r="J7771" s="12" t="str">
        <f>HYPERLINK("https://www.boe.es/gazeta/dias/1801/06/02/pdfs/GMD-1801-46E.pdf#page=3","Abrir facsímil")</f>
        <v>Abrir facsímil</v>
      </c>
      <c r="K7771" s="15" t="s">
        <v>23</v>
      </c>
    </row>
    <row r="7772" spans="1:11" ht="42" customHeight="1">
      <c r="A7772" s="4" t="s">
        <v>17528</v>
      </c>
      <c r="B7772" s="5" t="s">
        <v>17529</v>
      </c>
      <c r="C7772" s="5" t="s">
        <v>32</v>
      </c>
      <c r="D7772" s="5" t="s">
        <v>33</v>
      </c>
      <c r="E7772" s="5" t="s">
        <v>328</v>
      </c>
      <c r="F7772" s="9">
        <v>89</v>
      </c>
      <c r="G7772" s="9">
        <v>983</v>
      </c>
      <c r="H7772" s="5" t="s">
        <v>21</v>
      </c>
      <c r="I7772" s="5" t="s">
        <v>17530</v>
      </c>
      <c r="J7772" s="12" t="str">
        <f>HYPERLINK("https://www.boe.es/gazeta/dias/1801/09/15/pdfs/GMD-1801-89.pdf#page=10","Abrir facsímil")</f>
        <v>Abrir facsímil</v>
      </c>
      <c r="K7772" s="15" t="s">
        <v>23</v>
      </c>
    </row>
    <row r="7773" spans="1:11" ht="42" customHeight="1">
      <c r="A7773" s="4" t="s">
        <v>17531</v>
      </c>
      <c r="B7773" s="5" t="s">
        <v>17532</v>
      </c>
      <c r="C7773" s="5" t="s">
        <v>32</v>
      </c>
      <c r="D7773" s="5" t="s">
        <v>33</v>
      </c>
      <c r="E7773" s="5" t="s">
        <v>1939</v>
      </c>
      <c r="F7773" s="9">
        <v>107</v>
      </c>
      <c r="G7773" s="9">
        <v>1174</v>
      </c>
      <c r="H7773" s="5" t="s">
        <v>21</v>
      </c>
      <c r="I7773" s="5" t="s">
        <v>17533</v>
      </c>
      <c r="J7773" s="12" t="str">
        <f>HYPERLINK("https://www.boe.es/gazeta/dias/1801/11/17/pdfs/GMD-1801-107.pdf#page=3","Abrir facsímil")</f>
        <v>Abrir facsímil</v>
      </c>
      <c r="K7773" s="15" t="s">
        <v>23</v>
      </c>
    </row>
    <row r="7774" spans="1:11" ht="42" customHeight="1">
      <c r="A7774" s="4" t="s">
        <v>17534</v>
      </c>
      <c r="B7774" s="5" t="s">
        <v>17535</v>
      </c>
      <c r="C7774" s="5" t="s">
        <v>38</v>
      </c>
      <c r="D7774" s="5" t="s">
        <v>39</v>
      </c>
      <c r="E7774" s="5" t="s">
        <v>186</v>
      </c>
      <c r="F7774" s="9">
        <v>21</v>
      </c>
      <c r="G7774" s="9">
        <v>279</v>
      </c>
      <c r="H7774" s="5" t="s">
        <v>21</v>
      </c>
      <c r="I7774" s="5" t="s">
        <v>17536</v>
      </c>
      <c r="J7774" s="12" t="str">
        <f>HYPERLINK("https://www.boe.es/gazeta/dias/1801/03/13/pdfs/GMD-1801-21.pdf#page=8","Abrir facsímil")</f>
        <v>Abrir facsímil</v>
      </c>
      <c r="K7774" s="15" t="s">
        <v>23</v>
      </c>
    </row>
    <row r="7775" spans="1:11" ht="42" customHeight="1">
      <c r="A7775" s="4" t="s">
        <v>17534</v>
      </c>
      <c r="B7775" s="5" t="s">
        <v>17535</v>
      </c>
      <c r="C7775" s="5" t="s">
        <v>38</v>
      </c>
      <c r="D7775" s="5" t="s">
        <v>39</v>
      </c>
      <c r="E7775" s="5" t="s">
        <v>161</v>
      </c>
      <c r="F7775" s="9">
        <v>58</v>
      </c>
      <c r="G7775" s="9">
        <v>661</v>
      </c>
      <c r="H7775" s="5" t="s">
        <v>21</v>
      </c>
      <c r="I7775" s="5" t="s">
        <v>17537</v>
      </c>
      <c r="J7775" s="12" t="str">
        <f>HYPERLINK("https://www.boe.es/gazeta/dias/1801/06/19/pdfs/GMD-1801-58.pdf#page=6","Abrir facsímil")</f>
        <v>Abrir facsímil</v>
      </c>
      <c r="K7775" s="15" t="s">
        <v>23</v>
      </c>
    </row>
    <row r="7776" spans="1:11" ht="42" customHeight="1">
      <c r="A7776" s="4" t="s">
        <v>17538</v>
      </c>
      <c r="B7776" s="5" t="s">
        <v>17539</v>
      </c>
      <c r="C7776" s="5" t="s">
        <v>32</v>
      </c>
      <c r="D7776" s="5" t="s">
        <v>33</v>
      </c>
      <c r="E7776" s="5" t="s">
        <v>275</v>
      </c>
      <c r="F7776" s="9">
        <v>9</v>
      </c>
      <c r="G7776" s="9">
        <v>112</v>
      </c>
      <c r="H7776" s="5" t="s">
        <v>21</v>
      </c>
      <c r="I7776" s="5" t="s">
        <v>17540</v>
      </c>
      <c r="J7776" s="12" t="str">
        <f>HYPERLINK("https://www.boe.es/gazeta/dias/1801/01/30/pdfs/GMD-1801-9.pdf#page=9","Abrir facsímil")</f>
        <v>Abrir facsímil</v>
      </c>
      <c r="K7776" s="15" t="s">
        <v>23</v>
      </c>
    </row>
    <row r="7777" spans="1:11" ht="42" customHeight="1">
      <c r="A7777" s="4" t="s">
        <v>17541</v>
      </c>
      <c r="B7777" s="5" t="s">
        <v>17542</v>
      </c>
      <c r="C7777" s="5" t="s">
        <v>32</v>
      </c>
      <c r="D7777" s="5" t="s">
        <v>33</v>
      </c>
      <c r="E7777" s="5" t="s">
        <v>462</v>
      </c>
      <c r="F7777" s="9">
        <v>5</v>
      </c>
      <c r="G7777" s="9">
        <v>57</v>
      </c>
      <c r="H7777" s="5" t="s">
        <v>21</v>
      </c>
      <c r="I7777" s="5" t="s">
        <v>17543</v>
      </c>
      <c r="J7777" s="12" t="str">
        <f>HYPERLINK("https://www.boe.es/gazeta/dias/1801/01/16/pdfs/GMD-1801-5.pdf#page=9","Abrir facsímil")</f>
        <v>Abrir facsímil</v>
      </c>
      <c r="K7777" s="15" t="s">
        <v>23</v>
      </c>
    </row>
    <row r="7778" spans="1:11" ht="42" customHeight="1">
      <c r="A7778" s="4" t="s">
        <v>17544</v>
      </c>
      <c r="B7778" s="5" t="s">
        <v>17545</v>
      </c>
      <c r="C7778" s="5" t="s">
        <v>32</v>
      </c>
      <c r="D7778" s="5" t="s">
        <v>33</v>
      </c>
      <c r="E7778" s="5" t="s">
        <v>352</v>
      </c>
      <c r="F7778" s="9">
        <v>43</v>
      </c>
      <c r="G7778" s="9">
        <v>534</v>
      </c>
      <c r="H7778" s="5" t="s">
        <v>21</v>
      </c>
      <c r="I7778" s="5" t="s">
        <v>17546</v>
      </c>
      <c r="J7778" s="12" t="str">
        <f>HYPERLINK("https://www.boe.es/gazeta/dias/1801/05/26/pdfs/GMD-1801-43.pdf#page=6","Abrir facsímil")</f>
        <v>Abrir facsímil</v>
      </c>
      <c r="K7778" s="15" t="s">
        <v>23</v>
      </c>
    </row>
    <row r="7779" spans="1:11" ht="42" customHeight="1">
      <c r="A7779" s="4" t="s">
        <v>17547</v>
      </c>
      <c r="B7779" s="5" t="s">
        <v>17548</v>
      </c>
      <c r="C7779" s="5" t="s">
        <v>38</v>
      </c>
      <c r="D7779" s="5" t="s">
        <v>39</v>
      </c>
      <c r="E7779" s="5" t="s">
        <v>143</v>
      </c>
      <c r="F7779" s="9">
        <v>34</v>
      </c>
      <c r="G7779" s="9">
        <v>434</v>
      </c>
      <c r="H7779" s="5" t="s">
        <v>21</v>
      </c>
      <c r="I7779" s="5" t="s">
        <v>17549</v>
      </c>
      <c r="J7779" s="12" t="str">
        <f>HYPERLINK("https://www.boe.es/gazeta/dias/1801/04/28/pdfs/GMD-1801-34.pdf#page=6","Abrir facsímil")</f>
        <v>Abrir facsímil</v>
      </c>
      <c r="K7779" s="15" t="s">
        <v>23</v>
      </c>
    </row>
    <row r="7780" spans="1:11" ht="42" customHeight="1">
      <c r="A7780" s="4" t="s">
        <v>17550</v>
      </c>
      <c r="B7780" s="5" t="s">
        <v>17551</v>
      </c>
      <c r="C7780" s="5" t="s">
        <v>32</v>
      </c>
      <c r="D7780" s="5" t="s">
        <v>33</v>
      </c>
      <c r="E7780" s="5" t="s">
        <v>50</v>
      </c>
      <c r="F7780" s="9">
        <v>29</v>
      </c>
      <c r="G7780" s="9">
        <v>382</v>
      </c>
      <c r="H7780" s="5" t="s">
        <v>21</v>
      </c>
      <c r="I7780" s="5" t="s">
        <v>17552</v>
      </c>
      <c r="J7780" s="12" t="str">
        <f>HYPERLINK("https://www.boe.es/gazeta/dias/1801/04/10/pdfs/GMD-1801-29.pdf#page=10","Abrir facsímil")</f>
        <v>Abrir facsímil</v>
      </c>
      <c r="K7780" s="15" t="s">
        <v>23</v>
      </c>
    </row>
    <row r="7781" spans="1:11" ht="42" customHeight="1">
      <c r="A7781" s="4" t="s">
        <v>17553</v>
      </c>
      <c r="B7781" s="5" t="s">
        <v>17554</v>
      </c>
      <c r="C7781" s="5" t="s">
        <v>32</v>
      </c>
      <c r="D7781" s="5" t="s">
        <v>33</v>
      </c>
      <c r="E7781" s="5" t="s">
        <v>615</v>
      </c>
      <c r="F7781" s="9">
        <v>72</v>
      </c>
      <c r="G7781" s="9">
        <v>803</v>
      </c>
      <c r="H7781" s="5" t="s">
        <v>21</v>
      </c>
      <c r="I7781" s="5" t="s">
        <v>17555</v>
      </c>
      <c r="J7781" s="12" t="str">
        <f>HYPERLINK("https://www.boe.es/gazeta/dias/1801/07/24/pdfs/GMD-1801-72.pdf#page=8","Abrir facsímil")</f>
        <v>Abrir facsímil</v>
      </c>
      <c r="K7781" s="15" t="s">
        <v>23</v>
      </c>
    </row>
    <row r="7782" spans="1:11" ht="42" customHeight="1">
      <c r="A7782" s="4" t="s">
        <v>17556</v>
      </c>
      <c r="B7782" s="5" t="s">
        <v>17557</v>
      </c>
      <c r="C7782" s="5" t="s">
        <v>32</v>
      </c>
      <c r="D7782" s="5" t="s">
        <v>33</v>
      </c>
      <c r="E7782" s="5" t="s">
        <v>712</v>
      </c>
      <c r="F7782" s="9">
        <v>105</v>
      </c>
      <c r="G7782" s="9">
        <v>1155</v>
      </c>
      <c r="H7782" s="5" t="s">
        <v>21</v>
      </c>
      <c r="I7782" s="5" t="s">
        <v>17558</v>
      </c>
      <c r="J7782" s="12" t="str">
        <f>HYPERLINK("https://www.boe.es/gazeta/dias/1801/11/10/pdfs/GMD-1801-105.pdf#page=8","Abrir facsímil")</f>
        <v>Abrir facsímil</v>
      </c>
      <c r="K7782" s="15" t="s">
        <v>23</v>
      </c>
    </row>
    <row r="7783" spans="1:11" ht="42" customHeight="1">
      <c r="A7783" s="4" t="s">
        <v>17559</v>
      </c>
      <c r="B7783" s="5" t="s">
        <v>17560</v>
      </c>
      <c r="C7783" s="5" t="s">
        <v>38</v>
      </c>
      <c r="D7783" s="5" t="s">
        <v>39</v>
      </c>
      <c r="E7783" s="5" t="s">
        <v>151</v>
      </c>
      <c r="F7783" s="9">
        <v>45</v>
      </c>
      <c r="G7783" s="9">
        <v>561</v>
      </c>
      <c r="H7783" s="5" t="s">
        <v>21</v>
      </c>
      <c r="I7783" s="5" t="s">
        <v>17561</v>
      </c>
      <c r="J7783" s="12" t="str">
        <f>HYPERLINK("https://www.boe.es/gazeta/dias/1801/06/02/pdfs/GMD-1801-45.pdf#page=9","Abrir facsímil")</f>
        <v>Abrir facsímil</v>
      </c>
      <c r="K7783" s="15" t="s">
        <v>23</v>
      </c>
    </row>
    <row r="7784" spans="1:11" ht="42" customHeight="1">
      <c r="A7784" s="4" t="s">
        <v>17562</v>
      </c>
      <c r="B7784" s="5" t="s">
        <v>17563</v>
      </c>
      <c r="C7784" s="5" t="s">
        <v>32</v>
      </c>
      <c r="D7784" s="5" t="s">
        <v>33</v>
      </c>
      <c r="E7784" s="5" t="s">
        <v>256</v>
      </c>
      <c r="F7784" s="9">
        <v>78</v>
      </c>
      <c r="G7784" s="9">
        <v>881</v>
      </c>
      <c r="H7784" s="5" t="s">
        <v>21</v>
      </c>
      <c r="I7784" s="5" t="s">
        <v>17564</v>
      </c>
      <c r="J7784" s="12" t="str">
        <f>HYPERLINK("https://www.boe.es/gazeta/dias/1801/08/14/pdfs/GMD-1801-78.pdf#page=10","Abrir facsímil")</f>
        <v>Abrir facsímil</v>
      </c>
      <c r="K7784" s="15" t="s">
        <v>23</v>
      </c>
    </row>
    <row r="7785" spans="1:11" ht="42" customHeight="1">
      <c r="A7785" s="4" t="s">
        <v>17565</v>
      </c>
      <c r="B7785" s="5" t="s">
        <v>17566</v>
      </c>
      <c r="C7785" s="5" t="s">
        <v>69</v>
      </c>
      <c r="D7785" s="5" t="s">
        <v>19</v>
      </c>
      <c r="E7785" s="5" t="s">
        <v>275</v>
      </c>
      <c r="F7785" s="9">
        <v>9</v>
      </c>
      <c r="G7785" s="9">
        <v>112</v>
      </c>
      <c r="H7785" s="5" t="s">
        <v>21</v>
      </c>
      <c r="I7785" s="5" t="s">
        <v>17567</v>
      </c>
      <c r="J7785" s="12" t="str">
        <f>HYPERLINK("https://www.boe.es/gazeta/dias/1801/01/30/pdfs/GMD-1801-9.pdf#page=9","Abrir facsímil")</f>
        <v>Abrir facsímil</v>
      </c>
      <c r="K7785" s="15" t="s">
        <v>23</v>
      </c>
    </row>
    <row r="7786" spans="1:11" ht="42" customHeight="1">
      <c r="A7786" s="4" t="s">
        <v>17565</v>
      </c>
      <c r="B7786" s="5" t="s">
        <v>17566</v>
      </c>
      <c r="C7786" s="5" t="s">
        <v>69</v>
      </c>
      <c r="D7786" s="5" t="s">
        <v>19</v>
      </c>
      <c r="E7786" s="5" t="s">
        <v>151</v>
      </c>
      <c r="F7786" s="9">
        <v>45</v>
      </c>
      <c r="G7786" s="9">
        <v>560</v>
      </c>
      <c r="H7786" s="5" t="s">
        <v>21</v>
      </c>
      <c r="I7786" s="5" t="s">
        <v>17568</v>
      </c>
      <c r="J7786" s="12" t="str">
        <f>HYPERLINK("https://www.boe.es/gazeta/dias/1801/06/02/pdfs/GMD-1801-45.pdf#page=8","Abrir facsímil")</f>
        <v>Abrir facsímil</v>
      </c>
      <c r="K7786" s="15" t="s">
        <v>23</v>
      </c>
    </row>
    <row r="7787" spans="1:11" ht="42" customHeight="1">
      <c r="A7787" s="4" t="s">
        <v>17569</v>
      </c>
      <c r="B7787" s="5" t="s">
        <v>17570</v>
      </c>
      <c r="C7787" s="5" t="s">
        <v>32</v>
      </c>
      <c r="D7787" s="5" t="s">
        <v>33</v>
      </c>
      <c r="E7787" s="5" t="s">
        <v>1015</v>
      </c>
      <c r="F7787" s="9">
        <v>15</v>
      </c>
      <c r="G7787" s="9">
        <v>190</v>
      </c>
      <c r="H7787" s="5" t="s">
        <v>21</v>
      </c>
      <c r="I7787" s="5" t="s">
        <v>17571</v>
      </c>
      <c r="J7787" s="12" t="str">
        <f>HYPERLINK("https://www.boe.es/gazeta/dias/1801/02/20/pdfs/GMD-1801-15.pdf#page=9","Abrir facsímil")</f>
        <v>Abrir facsímil</v>
      </c>
      <c r="K7787" s="15" t="s">
        <v>23</v>
      </c>
    </row>
    <row r="7788" spans="1:11" ht="42" customHeight="1">
      <c r="A7788" s="4" t="s">
        <v>17572</v>
      </c>
      <c r="B7788" s="5" t="s">
        <v>17573</v>
      </c>
      <c r="C7788" s="5" t="s">
        <v>32</v>
      </c>
      <c r="D7788" s="5" t="s">
        <v>33</v>
      </c>
      <c r="E7788" s="5" t="s">
        <v>179</v>
      </c>
      <c r="F7788" s="9">
        <v>11</v>
      </c>
      <c r="G7788" s="9">
        <v>137</v>
      </c>
      <c r="H7788" s="5" t="s">
        <v>21</v>
      </c>
      <c r="I7788" s="5" t="s">
        <v>17574</v>
      </c>
      <c r="J7788" s="12" t="str">
        <f>HYPERLINK("https://www.boe.es/gazeta/dias/1801/02/06/pdfs/GMD-1801-11.pdf#page=10","Abrir facsímil")</f>
        <v>Abrir facsímil</v>
      </c>
      <c r="K7788" s="15" t="s">
        <v>23</v>
      </c>
    </row>
    <row r="7789" spans="1:11" ht="42" customHeight="1">
      <c r="A7789" s="4" t="s">
        <v>17575</v>
      </c>
      <c r="B7789" s="5" t="s">
        <v>17576</v>
      </c>
      <c r="C7789" s="5" t="s">
        <v>80</v>
      </c>
      <c r="D7789" s="5" t="s">
        <v>81</v>
      </c>
      <c r="E7789" s="5" t="s">
        <v>82</v>
      </c>
      <c r="F7789" s="9">
        <v>75</v>
      </c>
      <c r="G7789" s="9" t="s">
        <v>996</v>
      </c>
      <c r="H7789" s="5" t="s">
        <v>21</v>
      </c>
      <c r="I7789" s="5" t="s">
        <v>17577</v>
      </c>
      <c r="J7789" s="12" t="str">
        <f>HYPERLINK("https://www.boe.es/gazeta/dias/1801/08/04/pdfs/GMD-C-1801-75.pdf#page=6","Abrir facsímil")</f>
        <v>Abrir facsímil</v>
      </c>
      <c r="K7789" s="15" t="s">
        <v>23</v>
      </c>
    </row>
    <row r="7790" spans="1:11" ht="42" customHeight="1">
      <c r="A7790" s="4" t="s">
        <v>17578</v>
      </c>
      <c r="B7790" s="5" t="s">
        <v>17579</v>
      </c>
      <c r="C7790" s="5" t="s">
        <v>32</v>
      </c>
      <c r="D7790" s="5" t="s">
        <v>33</v>
      </c>
      <c r="E7790" s="5" t="s">
        <v>465</v>
      </c>
      <c r="F7790" s="9">
        <v>4</v>
      </c>
      <c r="G7790" s="9">
        <v>46</v>
      </c>
      <c r="H7790" s="5" t="s">
        <v>21</v>
      </c>
      <c r="I7790" s="5" t="s">
        <v>17580</v>
      </c>
      <c r="J7790" s="12" t="str">
        <f>HYPERLINK("https://www.boe.es/gazeta/dias/1801/01/13/pdfs/GMD-1801-4.pdf#page=10","Abrir facsímil")</f>
        <v>Abrir facsímil</v>
      </c>
      <c r="K7790" s="15" t="s">
        <v>23</v>
      </c>
    </row>
    <row r="7791" spans="1:11" ht="42" customHeight="1">
      <c r="A7791" s="4" t="s">
        <v>17581</v>
      </c>
      <c r="B7791" s="5" t="s">
        <v>17582</v>
      </c>
      <c r="C7791" s="5" t="s">
        <v>32</v>
      </c>
      <c r="D7791" s="5" t="s">
        <v>33</v>
      </c>
      <c r="E7791" s="5" t="s">
        <v>137</v>
      </c>
      <c r="F7791" s="9">
        <v>30</v>
      </c>
      <c r="G7791" s="9">
        <v>394</v>
      </c>
      <c r="H7791" s="5" t="s">
        <v>21</v>
      </c>
      <c r="I7791" s="5" t="s">
        <v>17583</v>
      </c>
      <c r="J7791" s="12" t="str">
        <f>HYPERLINK("https://www.boe.es/gazeta/dias/1801/04/14/pdfs/GMD-1801-30.pdf#page=10","Abrir facsímil")</f>
        <v>Abrir facsímil</v>
      </c>
      <c r="K7791" s="15" t="s">
        <v>23</v>
      </c>
    </row>
    <row r="7792" spans="1:11" ht="42" customHeight="1">
      <c r="A7792" s="4" t="s">
        <v>17584</v>
      </c>
      <c r="B7792" s="5" t="s">
        <v>17585</v>
      </c>
      <c r="C7792" s="5" t="s">
        <v>32</v>
      </c>
      <c r="D7792" s="5" t="s">
        <v>33</v>
      </c>
      <c r="E7792" s="5" t="s">
        <v>90</v>
      </c>
      <c r="F7792" s="9">
        <v>1</v>
      </c>
      <c r="G7792" s="9">
        <v>8</v>
      </c>
      <c r="H7792" s="5" t="s">
        <v>21</v>
      </c>
      <c r="I7792" s="5" t="s">
        <v>17586</v>
      </c>
      <c r="J7792" s="12" t="str">
        <f>HYPERLINK("https://www.boe.es/gazeta/dias/1801/01/02/pdfs/GMD-1801-1.pdf#page=8","Abrir facsímil")</f>
        <v>Abrir facsímil</v>
      </c>
      <c r="K7792" s="15" t="s">
        <v>23</v>
      </c>
    </row>
    <row r="7793" spans="1:11" ht="42" customHeight="1">
      <c r="A7793" s="4" t="s">
        <v>17587</v>
      </c>
      <c r="B7793" s="5" t="s">
        <v>17588</v>
      </c>
      <c r="C7793" s="5" t="s">
        <v>38</v>
      </c>
      <c r="D7793" s="5" t="s">
        <v>39</v>
      </c>
      <c r="E7793" s="5" t="s">
        <v>169</v>
      </c>
      <c r="F7793" s="9">
        <v>70</v>
      </c>
      <c r="G7793" s="9">
        <v>779</v>
      </c>
      <c r="H7793" s="5" t="s">
        <v>21</v>
      </c>
      <c r="I7793" s="5" t="s">
        <v>17589</v>
      </c>
      <c r="J7793" s="12" t="str">
        <f>HYPERLINK("https://www.boe.es/gazeta/dias/1801/07/17/pdfs/GMD-1801-70.pdf#page=12","Abrir facsímil")</f>
        <v>Abrir facsímil</v>
      </c>
      <c r="K7793" s="15" t="s">
        <v>23</v>
      </c>
    </row>
    <row r="7794" spans="1:11" ht="42" customHeight="1">
      <c r="A7794" s="4" t="s">
        <v>17590</v>
      </c>
      <c r="B7794" s="5" t="s">
        <v>17591</v>
      </c>
      <c r="C7794" s="5" t="s">
        <v>32</v>
      </c>
      <c r="D7794" s="5" t="s">
        <v>33</v>
      </c>
      <c r="E7794" s="5" t="s">
        <v>1487</v>
      </c>
      <c r="F7794" s="9" t="s">
        <v>1488</v>
      </c>
      <c r="G7794" s="9">
        <v>644</v>
      </c>
      <c r="H7794" s="5" t="s">
        <v>21</v>
      </c>
      <c r="I7794" s="5" t="s">
        <v>17592</v>
      </c>
      <c r="J7794" s="12" t="str">
        <f>HYPERLINK("https://www.boe.es/gazeta/dias/1801/06/17/pdfs/GMD-1801-56E.pdf#page=4","Abrir facsímil")</f>
        <v>Abrir facsímil</v>
      </c>
      <c r="K7794" s="15" t="s">
        <v>23</v>
      </c>
    </row>
    <row r="7795" spans="1:11" ht="42" customHeight="1">
      <c r="A7795" s="4" t="s">
        <v>17593</v>
      </c>
      <c r="B7795" s="5" t="s">
        <v>17593</v>
      </c>
      <c r="C7795" s="5" t="s">
        <v>38</v>
      </c>
      <c r="D7795" s="5" t="s">
        <v>39</v>
      </c>
      <c r="E7795" s="5" t="s">
        <v>141</v>
      </c>
      <c r="F7795" s="9">
        <v>33</v>
      </c>
      <c r="G7795" s="9">
        <v>427</v>
      </c>
      <c r="H7795" s="5" t="s">
        <v>21</v>
      </c>
      <c r="I7795" s="5" t="s">
        <v>17594</v>
      </c>
      <c r="J7795" s="12" t="str">
        <f>HYPERLINK("https://www.boe.es/gazeta/dias/1801/04/24/pdfs/GMD-1801-33.pdf#page=11","Abrir facsímil")</f>
        <v>Abrir facsímil</v>
      </c>
      <c r="K7795" s="15" t="s">
        <v>23</v>
      </c>
    </row>
    <row r="7796" spans="1:11" ht="42" customHeight="1">
      <c r="A7796" s="4" t="s">
        <v>17595</v>
      </c>
      <c r="B7796" s="5" t="s">
        <v>17595</v>
      </c>
      <c r="C7796" s="5" t="s">
        <v>38</v>
      </c>
      <c r="D7796" s="5" t="s">
        <v>39</v>
      </c>
      <c r="E7796" s="5" t="s">
        <v>158</v>
      </c>
      <c r="F7796" s="9">
        <v>55</v>
      </c>
      <c r="G7796" s="9">
        <v>629</v>
      </c>
      <c r="H7796" s="5" t="s">
        <v>21</v>
      </c>
      <c r="I7796" s="5" t="s">
        <v>17596</v>
      </c>
      <c r="J7796" s="12" t="str">
        <f>HYPERLINK("https://www.boe.es/gazeta/dias/1801/06/16/pdfs/GMD-1801-55.pdf#page=5","Abrir facsímil")</f>
        <v>Abrir facsímil</v>
      </c>
      <c r="K7796" s="15" t="s">
        <v>23</v>
      </c>
    </row>
    <row r="7797" spans="1:11" ht="42" customHeight="1">
      <c r="A7797" s="4" t="s">
        <v>17597</v>
      </c>
      <c r="B7797" s="5" t="s">
        <v>17598</v>
      </c>
      <c r="C7797" s="5" t="s">
        <v>75</v>
      </c>
      <c r="D7797" s="5" t="s">
        <v>76</v>
      </c>
      <c r="E7797" s="5" t="s">
        <v>122</v>
      </c>
      <c r="F7797" s="9">
        <v>8</v>
      </c>
      <c r="G7797" s="9">
        <v>93</v>
      </c>
      <c r="H7797" s="5" t="s">
        <v>21</v>
      </c>
      <c r="I7797" s="5" t="s">
        <v>17599</v>
      </c>
      <c r="J7797" s="12" t="str">
        <f>HYPERLINK("https://www.boe.es/gazeta/dias/1801/01/27/pdfs/GMD-1801-8.pdf#page=5","Abrir facsímil")</f>
        <v>Abrir facsímil</v>
      </c>
      <c r="K7797" s="15" t="s">
        <v>23</v>
      </c>
    </row>
    <row r="7798" spans="1:11" ht="42" customHeight="1">
      <c r="A7798" s="4" t="s">
        <v>17600</v>
      </c>
      <c r="B7798" s="5" t="s">
        <v>17601</v>
      </c>
      <c r="C7798" s="5" t="s">
        <v>75</v>
      </c>
      <c r="D7798" s="5" t="s">
        <v>76</v>
      </c>
      <c r="E7798" s="5" t="s">
        <v>313</v>
      </c>
      <c r="F7798" s="9">
        <v>39</v>
      </c>
      <c r="G7798" s="9">
        <v>500</v>
      </c>
      <c r="H7798" s="5" t="s">
        <v>21</v>
      </c>
      <c r="I7798" s="5" t="s">
        <v>17602</v>
      </c>
      <c r="J7798" s="12" t="str">
        <f>HYPERLINK("https://www.boe.es/gazeta/dias/1801/05/15/pdfs/GMD-1801-39.pdf#page=4","Abrir facsímil")</f>
        <v>Abrir facsímil</v>
      </c>
      <c r="K7798" s="15" t="s">
        <v>23</v>
      </c>
    </row>
    <row r="7799" spans="1:11" ht="42" customHeight="1">
      <c r="A7799" s="4" t="s">
        <v>17603</v>
      </c>
      <c r="B7799" s="5" t="s">
        <v>17604</v>
      </c>
      <c r="C7799" s="5" t="s">
        <v>75</v>
      </c>
      <c r="D7799" s="5" t="s">
        <v>76</v>
      </c>
      <c r="E7799" s="5" t="s">
        <v>328</v>
      </c>
      <c r="F7799" s="9">
        <v>89</v>
      </c>
      <c r="G7799" s="9">
        <v>977</v>
      </c>
      <c r="H7799" s="5" t="s">
        <v>21</v>
      </c>
      <c r="I7799" s="5" t="s">
        <v>17605</v>
      </c>
      <c r="J7799" s="12" t="str">
        <f>HYPERLINK("https://www.boe.es/gazeta/dias/1801/09/15/pdfs/GMD-1801-89.pdf#page=4","Abrir facsímil")</f>
        <v>Abrir facsímil</v>
      </c>
      <c r="K7799" s="15" t="s">
        <v>23</v>
      </c>
    </row>
    <row r="7800" spans="1:11" ht="42" customHeight="1">
      <c r="A7800" s="4" t="s">
        <v>17606</v>
      </c>
      <c r="B7800" s="5" t="s">
        <v>17607</v>
      </c>
      <c r="C7800" s="5" t="s">
        <v>75</v>
      </c>
      <c r="D7800" s="5" t="s">
        <v>76</v>
      </c>
      <c r="E7800" s="5" t="s">
        <v>935</v>
      </c>
      <c r="F7800" s="9">
        <v>116</v>
      </c>
      <c r="G7800" s="9">
        <v>1259</v>
      </c>
      <c r="H7800" s="5" t="s">
        <v>21</v>
      </c>
      <c r="I7800" s="5" t="s">
        <v>17608</v>
      </c>
      <c r="J7800" s="12" t="str">
        <f>HYPERLINK("https://www.boe.es/gazeta/dias/1801/12/18/pdfs/GMD-1801-116.pdf#page=1","Abrir facsímil")</f>
        <v>Abrir facsímil</v>
      </c>
      <c r="K7800" s="15" t="s">
        <v>23</v>
      </c>
    </row>
    <row r="7801" spans="1:11" ht="42" customHeight="1">
      <c r="A7801" s="4" t="s">
        <v>17609</v>
      </c>
      <c r="B7801" s="5" t="s">
        <v>17610</v>
      </c>
      <c r="C7801" s="5" t="s">
        <v>75</v>
      </c>
      <c r="D7801" s="5" t="s">
        <v>76</v>
      </c>
      <c r="E7801" s="5" t="s">
        <v>313</v>
      </c>
      <c r="F7801" s="9">
        <v>39</v>
      </c>
      <c r="G7801" s="9">
        <v>498</v>
      </c>
      <c r="H7801" s="5" t="s">
        <v>21</v>
      </c>
      <c r="I7801" s="5" t="s">
        <v>17611</v>
      </c>
      <c r="J7801" s="12" t="str">
        <f>HYPERLINK("https://www.boe.es/gazeta/dias/1801/05/15/pdfs/GMD-1801-39.pdf#page=2","Abrir facsímil")</f>
        <v>Abrir facsímil</v>
      </c>
      <c r="K7801" s="15" t="s">
        <v>23</v>
      </c>
    </row>
    <row r="7802" spans="1:11" ht="42" customHeight="1">
      <c r="A7802" s="4" t="s">
        <v>17612</v>
      </c>
      <c r="B7802" s="5" t="s">
        <v>17613</v>
      </c>
      <c r="C7802" s="5" t="s">
        <v>75</v>
      </c>
      <c r="D7802" s="5" t="s">
        <v>76</v>
      </c>
      <c r="E7802" s="5" t="s">
        <v>919</v>
      </c>
      <c r="F7802" s="9">
        <v>91</v>
      </c>
      <c r="G7802" s="9">
        <v>1000</v>
      </c>
      <c r="H7802" s="5" t="s">
        <v>21</v>
      </c>
      <c r="I7802" s="5" t="s">
        <v>17614</v>
      </c>
      <c r="J7802" s="12" t="str">
        <f>HYPERLINK("https://www.boe.es/gazeta/dias/1801/09/22/pdfs/GMD-1801-91.pdf#page=3","Abrir facsímil")</f>
        <v>Abrir facsímil</v>
      </c>
      <c r="K7802" s="15" t="s">
        <v>23</v>
      </c>
    </row>
    <row r="7803" spans="1:11" ht="42" customHeight="1">
      <c r="A7803" s="4" t="s">
        <v>17612</v>
      </c>
      <c r="B7803" s="5" t="s">
        <v>17613</v>
      </c>
      <c r="C7803" s="5" t="s">
        <v>38</v>
      </c>
      <c r="D7803" s="5" t="s">
        <v>39</v>
      </c>
      <c r="E7803" s="5" t="s">
        <v>309</v>
      </c>
      <c r="F7803" s="9">
        <v>118</v>
      </c>
      <c r="G7803" s="9">
        <v>1289</v>
      </c>
      <c r="H7803" s="5" t="s">
        <v>21</v>
      </c>
      <c r="I7803" s="5" t="s">
        <v>17615</v>
      </c>
      <c r="J7803" s="12" t="str">
        <f>HYPERLINK("https://www.boe.es/gazeta/dias/1801/12/25/pdfs/GMD-1801-118.pdf#page=4","Abrir facsímil")</f>
        <v>Abrir facsímil</v>
      </c>
      <c r="K7803" s="15" t="s">
        <v>23</v>
      </c>
    </row>
    <row r="7804" spans="1:11" ht="42" customHeight="1">
      <c r="A7804" s="4" t="s">
        <v>17616</v>
      </c>
      <c r="B7804" s="5" t="s">
        <v>17617</v>
      </c>
      <c r="C7804" s="5" t="s">
        <v>32</v>
      </c>
      <c r="D7804" s="5" t="s">
        <v>33</v>
      </c>
      <c r="E7804" s="5" t="s">
        <v>465</v>
      </c>
      <c r="F7804" s="9">
        <v>4</v>
      </c>
      <c r="G7804" s="9">
        <v>46</v>
      </c>
      <c r="H7804" s="5" t="s">
        <v>21</v>
      </c>
      <c r="I7804" s="5" t="s">
        <v>17618</v>
      </c>
      <c r="J7804" s="12" t="str">
        <f>HYPERLINK("https://www.boe.es/gazeta/dias/1801/01/13/pdfs/GMD-1801-4.pdf#page=10","Abrir facsímil")</f>
        <v>Abrir facsímil</v>
      </c>
      <c r="K7804" s="15" t="s">
        <v>23</v>
      </c>
    </row>
    <row r="7805" spans="1:11" ht="42" customHeight="1">
      <c r="A7805" s="4" t="s">
        <v>17619</v>
      </c>
      <c r="B7805" s="5" t="s">
        <v>17620</v>
      </c>
      <c r="C7805" s="5" t="s">
        <v>32</v>
      </c>
      <c r="D7805" s="5" t="s">
        <v>33</v>
      </c>
      <c r="E7805" s="5" t="s">
        <v>465</v>
      </c>
      <c r="F7805" s="9">
        <v>4</v>
      </c>
      <c r="G7805" s="9">
        <v>46</v>
      </c>
      <c r="H7805" s="5" t="s">
        <v>21</v>
      </c>
      <c r="I7805" s="5" t="s">
        <v>17621</v>
      </c>
      <c r="J7805" s="12" t="str">
        <f>HYPERLINK("https://www.boe.es/gazeta/dias/1801/01/13/pdfs/GMD-1801-4.pdf#page=10","Abrir facsímil")</f>
        <v>Abrir facsímil</v>
      </c>
      <c r="K7805" s="15" t="s">
        <v>23</v>
      </c>
    </row>
    <row r="7806" spans="1:11" ht="42" customHeight="1">
      <c r="A7806" s="4" t="s">
        <v>17622</v>
      </c>
      <c r="B7806" s="5" t="s">
        <v>17623</v>
      </c>
      <c r="C7806" s="5" t="s">
        <v>38</v>
      </c>
      <c r="D7806" s="5" t="s">
        <v>39</v>
      </c>
      <c r="E7806" s="5" t="s">
        <v>124</v>
      </c>
      <c r="F7806" s="9">
        <v>12</v>
      </c>
      <c r="G7806" s="9">
        <v>148</v>
      </c>
      <c r="H7806" s="5" t="s">
        <v>21</v>
      </c>
      <c r="I7806" s="5" t="s">
        <v>17624</v>
      </c>
      <c r="J7806" s="12" t="str">
        <f>HYPERLINK("https://www.boe.es/gazeta/dias/1801/02/10/pdfs/GMD-1801-12.pdf#page=9","Abrir facsímil")</f>
        <v>Abrir facsímil</v>
      </c>
      <c r="K7806" s="15" t="s">
        <v>23</v>
      </c>
    </row>
    <row r="7807" spans="1:11" ht="42" customHeight="1">
      <c r="A7807" s="4" t="s">
        <v>17625</v>
      </c>
      <c r="B7807" s="5" t="s">
        <v>17626</v>
      </c>
      <c r="C7807" s="5" t="s">
        <v>32</v>
      </c>
      <c r="D7807" s="5" t="s">
        <v>33</v>
      </c>
      <c r="E7807" s="5" t="s">
        <v>292</v>
      </c>
      <c r="F7807" s="9">
        <v>25</v>
      </c>
      <c r="G7807" s="9">
        <v>329</v>
      </c>
      <c r="H7807" s="5" t="s">
        <v>21</v>
      </c>
      <c r="I7807" s="5" t="s">
        <v>17627</v>
      </c>
      <c r="J7807" s="12" t="str">
        <f>HYPERLINK("https://www.boe.es/gazeta/dias/1801/03/27/pdfs/GMD-1801-25.pdf#page=8","Abrir facsímil")</f>
        <v>Abrir facsímil</v>
      </c>
      <c r="K7807" s="15" t="s">
        <v>23</v>
      </c>
    </row>
    <row r="7808" spans="1:11" ht="42" customHeight="1">
      <c r="A7808" s="4" t="s">
        <v>17628</v>
      </c>
      <c r="B7808" s="5" t="s">
        <v>17629</v>
      </c>
      <c r="C7808" s="5" t="s">
        <v>75</v>
      </c>
      <c r="D7808" s="5" t="s">
        <v>76</v>
      </c>
      <c r="E7808" s="5" t="s">
        <v>141</v>
      </c>
      <c r="F7808" s="9">
        <v>33</v>
      </c>
      <c r="G7808" s="9">
        <v>423</v>
      </c>
      <c r="H7808" s="5" t="s">
        <v>21</v>
      </c>
      <c r="I7808" s="5" t="s">
        <v>17630</v>
      </c>
      <c r="J7808" s="12" t="str">
        <f>HYPERLINK("https://www.boe.es/gazeta/dias/1801/04/24/pdfs/GMD-1801-33.pdf#page=7","Abrir facsímil")</f>
        <v>Abrir facsímil</v>
      </c>
      <c r="K7808" s="15" t="s">
        <v>23</v>
      </c>
    </row>
    <row r="7809" spans="1:11" ht="42" customHeight="1">
      <c r="A7809" s="4" t="s">
        <v>17631</v>
      </c>
      <c r="B7809" s="5" t="s">
        <v>17632</v>
      </c>
      <c r="C7809" s="5" t="s">
        <v>75</v>
      </c>
      <c r="D7809" s="5" t="s">
        <v>76</v>
      </c>
      <c r="E7809" s="5" t="s">
        <v>141</v>
      </c>
      <c r="F7809" s="9">
        <v>33</v>
      </c>
      <c r="G7809" s="9">
        <v>421</v>
      </c>
      <c r="H7809" s="5" t="s">
        <v>21</v>
      </c>
      <c r="I7809" s="5" t="s">
        <v>17633</v>
      </c>
      <c r="J7809" s="12" t="str">
        <f>HYPERLINK("https://www.boe.es/gazeta/dias/1801/04/24/pdfs/GMD-1801-33.pdf#page=5","Abrir facsímil")</f>
        <v>Abrir facsímil</v>
      </c>
      <c r="K7809" s="15" t="s">
        <v>23</v>
      </c>
    </row>
    <row r="7810" spans="1:11" ht="42" customHeight="1">
      <c r="A7810" s="4" t="s">
        <v>17631</v>
      </c>
      <c r="B7810" s="5" t="s">
        <v>17632</v>
      </c>
      <c r="C7810" s="5" t="s">
        <v>38</v>
      </c>
      <c r="D7810" s="5" t="s">
        <v>39</v>
      </c>
      <c r="E7810" s="5" t="s">
        <v>72</v>
      </c>
      <c r="F7810" s="9">
        <v>60</v>
      </c>
      <c r="G7810" s="9">
        <v>683</v>
      </c>
      <c r="H7810" s="5" t="s">
        <v>21</v>
      </c>
      <c r="I7810" s="5" t="s">
        <v>17634</v>
      </c>
      <c r="J7810" s="12" t="str">
        <f>HYPERLINK("https://www.boe.es/gazeta/dias/1801/06/26/pdfs/GMD-1801-60.pdf#page=4","Abrir facsímil")</f>
        <v>Abrir facsímil</v>
      </c>
      <c r="K7810" s="15" t="s">
        <v>23</v>
      </c>
    </row>
    <row r="7811" spans="1:11" ht="42" customHeight="1">
      <c r="A7811" s="4" t="s">
        <v>17631</v>
      </c>
      <c r="B7811" s="5" t="s">
        <v>17632</v>
      </c>
      <c r="C7811" s="5" t="s">
        <v>75</v>
      </c>
      <c r="D7811" s="5" t="s">
        <v>76</v>
      </c>
      <c r="E7811" s="5" t="s">
        <v>215</v>
      </c>
      <c r="F7811" s="9">
        <v>71</v>
      </c>
      <c r="G7811" s="9">
        <v>783</v>
      </c>
      <c r="H7811" s="5" t="s">
        <v>21</v>
      </c>
      <c r="I7811" s="5" t="s">
        <v>17635</v>
      </c>
      <c r="J7811" s="12" t="str">
        <f>HYPERLINK("https://www.boe.es/gazeta/dias/1801/07/21/pdfs/GMD-1801-71.pdf#page=4","Abrir facsímil")</f>
        <v>Abrir facsímil</v>
      </c>
      <c r="K7811" s="15" t="s">
        <v>23</v>
      </c>
    </row>
    <row r="7812" spans="1:11" ht="42" customHeight="1">
      <c r="A7812" s="4" t="s">
        <v>17631</v>
      </c>
      <c r="B7812" s="5" t="s">
        <v>17632</v>
      </c>
      <c r="C7812" s="5" t="s">
        <v>75</v>
      </c>
      <c r="D7812" s="5" t="s">
        <v>76</v>
      </c>
      <c r="E7812" s="5" t="s">
        <v>2237</v>
      </c>
      <c r="F7812" s="9">
        <v>82</v>
      </c>
      <c r="G7812" s="9">
        <v>914</v>
      </c>
      <c r="H7812" s="5" t="s">
        <v>21</v>
      </c>
      <c r="I7812" s="5" t="s">
        <v>17636</v>
      </c>
      <c r="J7812" s="12" t="str">
        <f>HYPERLINK("https://www.boe.es/gazeta/dias/1801/08/28/pdfs/GMD-1801-82.pdf#page=3","Abrir facsímil")</f>
        <v>Abrir facsímil</v>
      </c>
      <c r="K7812" s="15" t="s">
        <v>23</v>
      </c>
    </row>
    <row r="7813" spans="1:11" ht="42" customHeight="1">
      <c r="A7813" s="4" t="s">
        <v>17631</v>
      </c>
      <c r="B7813" s="5" t="s">
        <v>17632</v>
      </c>
      <c r="C7813" s="5" t="s">
        <v>18</v>
      </c>
      <c r="D7813" s="5" t="s">
        <v>19</v>
      </c>
      <c r="E7813" s="5" t="s">
        <v>211</v>
      </c>
      <c r="F7813" s="9">
        <v>87</v>
      </c>
      <c r="G7813" s="9">
        <v>959</v>
      </c>
      <c r="H7813" s="5" t="s">
        <v>21</v>
      </c>
      <c r="I7813" s="5" t="s">
        <v>17637</v>
      </c>
      <c r="J7813" s="12" t="str">
        <f>HYPERLINK("https://www.boe.es/gazeta/dias/1801/09/11/pdfs/GMD-1801-87.pdf#page=2","Abrir facsímil")</f>
        <v>Abrir facsímil</v>
      </c>
      <c r="K7813" s="15" t="s">
        <v>23</v>
      </c>
    </row>
    <row r="7814" spans="1:11" ht="42" customHeight="1">
      <c r="A7814" s="4" t="s">
        <v>17631</v>
      </c>
      <c r="B7814" s="5" t="s">
        <v>17632</v>
      </c>
      <c r="C7814" s="5" t="s">
        <v>75</v>
      </c>
      <c r="D7814" s="5" t="s">
        <v>76</v>
      </c>
      <c r="E7814" s="5" t="s">
        <v>211</v>
      </c>
      <c r="F7814" s="9">
        <v>87</v>
      </c>
      <c r="G7814" s="9">
        <v>963</v>
      </c>
      <c r="H7814" s="5" t="s">
        <v>21</v>
      </c>
      <c r="I7814" s="5" t="s">
        <v>17638</v>
      </c>
      <c r="J7814" s="12" t="str">
        <f>HYPERLINK("https://www.boe.es/gazeta/dias/1801/09/11/pdfs/GMD-1801-87.pdf#page=6","Abrir facsímil")</f>
        <v>Abrir facsímil</v>
      </c>
      <c r="K7814" s="15" t="s">
        <v>23</v>
      </c>
    </row>
    <row r="7815" spans="1:11" ht="42" customHeight="1">
      <c r="A7815" s="4" t="s">
        <v>17631</v>
      </c>
      <c r="B7815" s="5" t="s">
        <v>17632</v>
      </c>
      <c r="C7815" s="5" t="s">
        <v>38</v>
      </c>
      <c r="D7815" s="5" t="s">
        <v>39</v>
      </c>
      <c r="E7815" s="5" t="s">
        <v>735</v>
      </c>
      <c r="F7815" s="9">
        <v>97</v>
      </c>
      <c r="G7815" s="9">
        <v>1061</v>
      </c>
      <c r="H7815" s="5" t="s">
        <v>21</v>
      </c>
      <c r="I7815" s="5" t="s">
        <v>17639</v>
      </c>
      <c r="J7815" s="12" t="str">
        <f>HYPERLINK("https://www.boe.es/gazeta/dias/1801/10/13/pdfs/GMD-1801-97.pdf#page=5","Abrir facsímil")</f>
        <v>Abrir facsímil</v>
      </c>
      <c r="K7815" s="15" t="s">
        <v>23</v>
      </c>
    </row>
    <row r="7816" spans="1:11" ht="42" customHeight="1">
      <c r="A7816" s="4" t="s">
        <v>17631</v>
      </c>
      <c r="B7816" s="5" t="s">
        <v>17632</v>
      </c>
      <c r="C7816" s="5" t="s">
        <v>75</v>
      </c>
      <c r="D7816" s="5" t="s">
        <v>76</v>
      </c>
      <c r="E7816" s="5" t="s">
        <v>1085</v>
      </c>
      <c r="F7816" s="9">
        <v>99</v>
      </c>
      <c r="G7816" s="9">
        <v>1087</v>
      </c>
      <c r="H7816" s="5" t="s">
        <v>21</v>
      </c>
      <c r="I7816" s="5" t="s">
        <v>17640</v>
      </c>
      <c r="J7816" s="12" t="str">
        <f>HYPERLINK("https://www.boe.es/gazeta/dias/1801/10/20/pdfs/GMD-1801-99.pdf#page=4","Abrir facsímil")</f>
        <v>Abrir facsímil</v>
      </c>
      <c r="K7816" s="15" t="s">
        <v>23</v>
      </c>
    </row>
    <row r="7817" spans="1:11" ht="42" customHeight="1">
      <c r="A7817" s="4" t="s">
        <v>17641</v>
      </c>
      <c r="B7817" s="5" t="s">
        <v>17642</v>
      </c>
      <c r="C7817" s="5" t="s">
        <v>38</v>
      </c>
      <c r="D7817" s="5" t="s">
        <v>39</v>
      </c>
      <c r="E7817" s="5" t="s">
        <v>161</v>
      </c>
      <c r="F7817" s="9">
        <v>58</v>
      </c>
      <c r="G7817" s="9">
        <v>663</v>
      </c>
      <c r="H7817" s="5" t="s">
        <v>21</v>
      </c>
      <c r="I7817" s="5" t="s">
        <v>17643</v>
      </c>
      <c r="J7817" s="12" t="str">
        <f>HYPERLINK("https://www.boe.es/gazeta/dias/1801/06/19/pdfs/GMD-1801-58.pdf#page=8","Abrir facsímil")</f>
        <v>Abrir facsímil</v>
      </c>
      <c r="K7817" s="15" t="s">
        <v>23</v>
      </c>
    </row>
    <row r="7818" spans="1:11" ht="42" customHeight="1">
      <c r="A7818" s="4" t="s">
        <v>17644</v>
      </c>
      <c r="B7818" s="5" t="s">
        <v>17644</v>
      </c>
      <c r="C7818" s="5" t="s">
        <v>32</v>
      </c>
      <c r="D7818" s="5" t="s">
        <v>33</v>
      </c>
      <c r="E7818" s="5" t="s">
        <v>289</v>
      </c>
      <c r="F7818" s="9">
        <v>40</v>
      </c>
      <c r="G7818" s="9">
        <v>509</v>
      </c>
      <c r="H7818" s="5" t="s">
        <v>21</v>
      </c>
      <c r="I7818" s="5" t="s">
        <v>17645</v>
      </c>
      <c r="J7818" s="12" t="str">
        <f>HYPERLINK("https://www.boe.es/gazeta/dias/1801/05/19/pdfs/GMD-1801-40.pdf#page=1","Abrir facsímil")</f>
        <v>Abrir facsímil</v>
      </c>
      <c r="K7818" s="15" t="s">
        <v>23</v>
      </c>
    </row>
    <row r="7819" spans="1:11" ht="42" customHeight="1">
      <c r="A7819" s="4" t="s">
        <v>17646</v>
      </c>
      <c r="B7819" s="5" t="s">
        <v>17647</v>
      </c>
      <c r="C7819" s="5" t="s">
        <v>26</v>
      </c>
      <c r="D7819" s="5" t="s">
        <v>27</v>
      </c>
      <c r="E7819" s="5" t="s">
        <v>77</v>
      </c>
      <c r="F7819" s="9">
        <v>93</v>
      </c>
      <c r="G7819" s="9">
        <v>1018</v>
      </c>
      <c r="H7819" s="5" t="s">
        <v>21</v>
      </c>
      <c r="I7819" s="5" t="s">
        <v>17648</v>
      </c>
      <c r="J7819" s="12" t="str">
        <f>HYPERLINK("https://www.boe.es/gazeta/dias/1801/09/29/pdfs/GMD-1801-93.pdf#page=5","Abrir facsímil")</f>
        <v>Abrir facsímil</v>
      </c>
      <c r="K7819" s="15" t="s">
        <v>23</v>
      </c>
    </row>
    <row r="7820" spans="1:11" ht="42" customHeight="1">
      <c r="A7820" s="4" t="s">
        <v>17649</v>
      </c>
      <c r="B7820" s="5" t="s">
        <v>17650</v>
      </c>
      <c r="C7820" s="5" t="s">
        <v>38</v>
      </c>
      <c r="D7820" s="5" t="s">
        <v>39</v>
      </c>
      <c r="E7820" s="5" t="s">
        <v>352</v>
      </c>
      <c r="F7820" s="9">
        <v>43</v>
      </c>
      <c r="G7820" s="9">
        <v>534</v>
      </c>
      <c r="H7820" s="5" t="s">
        <v>21</v>
      </c>
      <c r="I7820" s="5" t="s">
        <v>17651</v>
      </c>
      <c r="J7820" s="12" t="str">
        <f>HYPERLINK("https://www.boe.es/gazeta/dias/1801/05/26/pdfs/GMD-1801-43.pdf#page=6","Abrir facsímil")</f>
        <v>Abrir facsímil</v>
      </c>
      <c r="K7820" s="15" t="s">
        <v>23</v>
      </c>
    </row>
    <row r="7821" spans="1:11" ht="42" customHeight="1">
      <c r="A7821" s="4" t="s">
        <v>17649</v>
      </c>
      <c r="B7821" s="5" t="s">
        <v>17650</v>
      </c>
      <c r="C7821" s="5" t="s">
        <v>32</v>
      </c>
      <c r="D7821" s="5" t="s">
        <v>33</v>
      </c>
      <c r="E7821" s="5" t="s">
        <v>151</v>
      </c>
      <c r="F7821" s="9">
        <v>45</v>
      </c>
      <c r="G7821" s="9">
        <v>558</v>
      </c>
      <c r="H7821" s="5" t="s">
        <v>21</v>
      </c>
      <c r="I7821" s="5" t="s">
        <v>17652</v>
      </c>
      <c r="J7821" s="12" t="str">
        <f>HYPERLINK("https://www.boe.es/gazeta/dias/1801/06/02/pdfs/GMD-1801-45.pdf#page=6","Abrir facsímil")</f>
        <v>Abrir facsímil</v>
      </c>
      <c r="K7821" s="15" t="s">
        <v>23</v>
      </c>
    </row>
    <row r="7822" spans="1:11" ht="42" customHeight="1">
      <c r="A7822" s="4" t="s">
        <v>17649</v>
      </c>
      <c r="B7822" s="5" t="s">
        <v>17650</v>
      </c>
      <c r="C7822" s="5" t="s">
        <v>32</v>
      </c>
      <c r="D7822" s="5" t="s">
        <v>33</v>
      </c>
      <c r="E7822" s="5" t="s">
        <v>155</v>
      </c>
      <c r="F7822" s="9">
        <v>50</v>
      </c>
      <c r="G7822" s="9">
        <v>594</v>
      </c>
      <c r="H7822" s="5" t="s">
        <v>21</v>
      </c>
      <c r="I7822" s="5" t="s">
        <v>17653</v>
      </c>
      <c r="J7822" s="12" t="str">
        <f>HYPERLINK("https://www.boe.es/gazeta/dias/1801/06/09/pdfs/GMD-1801-50.pdf#page=6","Abrir facsímil")</f>
        <v>Abrir facsímil</v>
      </c>
      <c r="K7822" s="15" t="s">
        <v>23</v>
      </c>
    </row>
    <row r="7823" spans="1:11" ht="42" customHeight="1">
      <c r="A7823" s="4" t="s">
        <v>17649</v>
      </c>
      <c r="B7823" s="5" t="s">
        <v>17650</v>
      </c>
      <c r="C7823" s="5" t="s">
        <v>38</v>
      </c>
      <c r="D7823" s="5" t="s">
        <v>39</v>
      </c>
      <c r="E7823" s="5" t="s">
        <v>108</v>
      </c>
      <c r="F7823" s="9">
        <v>61</v>
      </c>
      <c r="G7823" s="9">
        <v>697</v>
      </c>
      <c r="H7823" s="5" t="s">
        <v>21</v>
      </c>
      <c r="I7823" s="5" t="s">
        <v>17654</v>
      </c>
      <c r="J7823" s="12" t="str">
        <f>HYPERLINK("https://www.boe.es/gazeta/dias/1801/06/30/pdfs/GMD-1801-61.pdf#page=6","Abrir facsímil")</f>
        <v>Abrir facsímil</v>
      </c>
      <c r="K7823" s="15" t="s">
        <v>23</v>
      </c>
    </row>
    <row r="7824" spans="1:11" ht="42" customHeight="1">
      <c r="A7824" s="4" t="s">
        <v>17655</v>
      </c>
      <c r="B7824" s="5" t="s">
        <v>17656</v>
      </c>
      <c r="C7824" s="5" t="s">
        <v>75</v>
      </c>
      <c r="D7824" s="5" t="s">
        <v>76</v>
      </c>
      <c r="E7824" s="5" t="s">
        <v>165</v>
      </c>
      <c r="F7824" s="9">
        <v>59</v>
      </c>
      <c r="G7824" s="9">
        <v>668</v>
      </c>
      <c r="H7824" s="5" t="s">
        <v>21</v>
      </c>
      <c r="I7824" s="5" t="s">
        <v>17657</v>
      </c>
      <c r="J7824" s="12" t="str">
        <f>HYPERLINK("https://www.boe.es/gazeta/dias/1801/06/23/pdfs/GMD-1801-59.pdf#page=1","Abrir facsímil")</f>
        <v>Abrir facsímil</v>
      </c>
      <c r="K7824" s="15" t="s">
        <v>23</v>
      </c>
    </row>
    <row r="7825" spans="1:11" ht="42" customHeight="1">
      <c r="A7825" s="4" t="s">
        <v>17658</v>
      </c>
      <c r="B7825" s="5" t="s">
        <v>17659</v>
      </c>
      <c r="C7825" s="5" t="s">
        <v>32</v>
      </c>
      <c r="D7825" s="5" t="s">
        <v>33</v>
      </c>
      <c r="E7825" s="5" t="s">
        <v>366</v>
      </c>
      <c r="F7825" s="9">
        <v>86</v>
      </c>
      <c r="G7825" s="9">
        <v>950</v>
      </c>
      <c r="H7825" s="5" t="s">
        <v>21</v>
      </c>
      <c r="I7825" s="5" t="s">
        <v>17660</v>
      </c>
      <c r="J7825" s="12" t="str">
        <f>HYPERLINK("https://www.boe.es/gazeta/dias/1801/09/08/pdfs/GMD-1801-86.pdf#page=1","Abrir facsímil")</f>
        <v>Abrir facsímil</v>
      </c>
      <c r="K7825" s="15" t="s">
        <v>23</v>
      </c>
    </row>
    <row r="7826" spans="1:11" ht="42" customHeight="1">
      <c r="A7826" s="4" t="s">
        <v>17661</v>
      </c>
      <c r="B7826" s="5" t="s">
        <v>17662</v>
      </c>
      <c r="C7826" s="5" t="s">
        <v>75</v>
      </c>
      <c r="D7826" s="5" t="s">
        <v>76</v>
      </c>
      <c r="E7826" s="5" t="s">
        <v>62</v>
      </c>
      <c r="F7826" s="9">
        <v>6</v>
      </c>
      <c r="G7826" s="9">
        <v>65</v>
      </c>
      <c r="H7826" s="5" t="s">
        <v>21</v>
      </c>
      <c r="I7826" s="5" t="s">
        <v>17663</v>
      </c>
      <c r="J7826" s="12" t="str">
        <f>HYPERLINK("https://www.boe.es/gazeta/dias/1801/01/20/pdfs/GMD-1801-6.pdf#page=1","Abrir facsímil")</f>
        <v>Abrir facsímil</v>
      </c>
      <c r="K7826" s="15" t="s">
        <v>23</v>
      </c>
    </row>
    <row r="7827" spans="1:11" ht="42" customHeight="1">
      <c r="A7827" s="4" t="s">
        <v>17664</v>
      </c>
      <c r="B7827" s="5" t="s">
        <v>17664</v>
      </c>
      <c r="C7827" s="5" t="s">
        <v>32</v>
      </c>
      <c r="D7827" s="5" t="s">
        <v>33</v>
      </c>
      <c r="E7827" s="5" t="s">
        <v>292</v>
      </c>
      <c r="F7827" s="9">
        <v>25</v>
      </c>
      <c r="G7827" s="9">
        <v>327</v>
      </c>
      <c r="H7827" s="5" t="s">
        <v>21</v>
      </c>
      <c r="I7827" s="5" t="s">
        <v>17665</v>
      </c>
      <c r="J7827" s="12" t="str">
        <f>HYPERLINK("https://www.boe.es/gazeta/dias/1801/03/27/pdfs/GMD-1801-25.pdf#page=6","Abrir facsímil")</f>
        <v>Abrir facsímil</v>
      </c>
      <c r="K7827" s="15" t="s">
        <v>23</v>
      </c>
    </row>
    <row r="7828" spans="1:11" ht="42" customHeight="1">
      <c r="A7828" s="4" t="s">
        <v>17666</v>
      </c>
      <c r="B7828" s="5" t="s">
        <v>17667</v>
      </c>
      <c r="C7828" s="5" t="s">
        <v>38</v>
      </c>
      <c r="D7828" s="5" t="s">
        <v>39</v>
      </c>
      <c r="E7828" s="5" t="s">
        <v>131</v>
      </c>
      <c r="F7828" s="9">
        <v>22</v>
      </c>
      <c r="G7828" s="9">
        <v>286</v>
      </c>
      <c r="H7828" s="5" t="s">
        <v>21</v>
      </c>
      <c r="I7828" s="5" t="s">
        <v>17668</v>
      </c>
      <c r="J7828" s="12" t="str">
        <f>HYPERLINK("https://www.boe.es/gazeta/dias/1801/03/17/pdfs/GMD-1801-22.pdf#page=3","Abrir facsímil")</f>
        <v>Abrir facsímil</v>
      </c>
      <c r="K7828" s="15" t="s">
        <v>23</v>
      </c>
    </row>
    <row r="7829" spans="1:11" ht="42" customHeight="1">
      <c r="A7829" s="4" t="s">
        <v>17669</v>
      </c>
      <c r="B7829" s="5" t="s">
        <v>17670</v>
      </c>
      <c r="C7829" s="5" t="s">
        <v>32</v>
      </c>
      <c r="D7829" s="5" t="s">
        <v>33</v>
      </c>
      <c r="E7829" s="5" t="s">
        <v>28</v>
      </c>
      <c r="F7829" s="9">
        <v>77</v>
      </c>
      <c r="G7829" s="9">
        <v>860</v>
      </c>
      <c r="H7829" s="5" t="s">
        <v>21</v>
      </c>
      <c r="I7829" s="5" t="s">
        <v>17671</v>
      </c>
      <c r="J7829" s="12" t="str">
        <f>HYPERLINK("https://www.boe.es/gazeta/dias/1801/08/11/pdfs/GMD-1801-77.pdf#page=5","Abrir facsímil")</f>
        <v>Abrir facsímil</v>
      </c>
      <c r="K7829" s="15" t="s">
        <v>23</v>
      </c>
    </row>
    <row r="7830" spans="1:11" ht="42" customHeight="1">
      <c r="A7830" s="4" t="s">
        <v>17672</v>
      </c>
      <c r="B7830" s="5" t="s">
        <v>17672</v>
      </c>
      <c r="C7830" s="5" t="s">
        <v>75</v>
      </c>
      <c r="D7830" s="5" t="s">
        <v>76</v>
      </c>
      <c r="E7830" s="5" t="s">
        <v>292</v>
      </c>
      <c r="F7830" s="9">
        <v>25</v>
      </c>
      <c r="G7830" s="9">
        <v>327</v>
      </c>
      <c r="H7830" s="5" t="s">
        <v>21</v>
      </c>
      <c r="I7830" s="5" t="s">
        <v>17673</v>
      </c>
      <c r="J7830" s="12" t="str">
        <f>HYPERLINK("https://www.boe.es/gazeta/dias/1801/03/27/pdfs/GMD-1801-25.pdf#page=6","Abrir facsímil")</f>
        <v>Abrir facsímil</v>
      </c>
      <c r="K7830" s="15" t="s">
        <v>23</v>
      </c>
    </row>
    <row r="7831" spans="1:11" ht="42" customHeight="1">
      <c r="A7831" s="4" t="s">
        <v>17674</v>
      </c>
      <c r="B7831" s="5" t="s">
        <v>17674</v>
      </c>
      <c r="C7831" s="5" t="s">
        <v>75</v>
      </c>
      <c r="D7831" s="5" t="s">
        <v>76</v>
      </c>
      <c r="E7831" s="5" t="s">
        <v>254</v>
      </c>
      <c r="F7831" s="9">
        <v>73</v>
      </c>
      <c r="G7831" s="9">
        <v>808</v>
      </c>
      <c r="H7831" s="5" t="s">
        <v>21</v>
      </c>
      <c r="I7831" s="5" t="s">
        <v>17675</v>
      </c>
      <c r="J7831" s="12" t="str">
        <f>HYPERLINK("https://www.boe.es/gazeta/dias/1801/07/28/pdfs/GMD-1801-73.pdf#page=1","Abrir facsímil")</f>
        <v>Abrir facsímil</v>
      </c>
      <c r="K7831" s="15" t="s">
        <v>23</v>
      </c>
    </row>
    <row r="7832" spans="1:11" ht="42" customHeight="1">
      <c r="A7832" s="4" t="s">
        <v>17676</v>
      </c>
      <c r="B7832" s="5" t="s">
        <v>17676</v>
      </c>
      <c r="C7832" s="5" t="s">
        <v>75</v>
      </c>
      <c r="D7832" s="5" t="s">
        <v>76</v>
      </c>
      <c r="E7832" s="5" t="s">
        <v>256</v>
      </c>
      <c r="F7832" s="9">
        <v>78</v>
      </c>
      <c r="G7832" s="9">
        <v>876</v>
      </c>
      <c r="H7832" s="5" t="s">
        <v>21</v>
      </c>
      <c r="I7832" s="5" t="s">
        <v>17677</v>
      </c>
      <c r="J7832" s="12" t="str">
        <f>HYPERLINK("https://www.boe.es/gazeta/dias/1801/08/14/pdfs/GMD-1801-78.pdf#page=5","Abrir facsímil")</f>
        <v>Abrir facsímil</v>
      </c>
      <c r="K7832" s="15" t="s">
        <v>23</v>
      </c>
    </row>
    <row r="7833" spans="1:11" ht="42" customHeight="1">
      <c r="A7833" s="4" t="s">
        <v>17678</v>
      </c>
      <c r="B7833" s="5" t="s">
        <v>17678</v>
      </c>
      <c r="C7833" s="5" t="s">
        <v>18</v>
      </c>
      <c r="D7833" s="5" t="s">
        <v>19</v>
      </c>
      <c r="E7833" s="5" t="s">
        <v>122</v>
      </c>
      <c r="F7833" s="9">
        <v>8</v>
      </c>
      <c r="G7833" s="9">
        <v>92</v>
      </c>
      <c r="H7833" s="5" t="s">
        <v>21</v>
      </c>
      <c r="I7833" s="5" t="s">
        <v>17679</v>
      </c>
      <c r="J7833" s="12" t="str">
        <f>HYPERLINK("https://www.boe.es/gazeta/dias/1801/01/27/pdfs/GMD-1801-8.pdf#page=4","Abrir facsímil")</f>
        <v>Abrir facsímil</v>
      </c>
      <c r="K7833" s="15" t="s">
        <v>23</v>
      </c>
    </row>
    <row r="7834" spans="1:11" ht="42" customHeight="1">
      <c r="A7834" s="4" t="s">
        <v>17678</v>
      </c>
      <c r="B7834" s="5" t="s">
        <v>17678</v>
      </c>
      <c r="C7834" s="5" t="s">
        <v>75</v>
      </c>
      <c r="D7834" s="5" t="s">
        <v>76</v>
      </c>
      <c r="E7834" s="5" t="s">
        <v>50</v>
      </c>
      <c r="F7834" s="9">
        <v>29</v>
      </c>
      <c r="G7834" s="9">
        <v>375</v>
      </c>
      <c r="H7834" s="5" t="s">
        <v>21</v>
      </c>
      <c r="I7834" s="5" t="s">
        <v>17680</v>
      </c>
      <c r="J7834" s="12" t="str">
        <f>HYPERLINK("https://www.boe.es/gazeta/dias/1801/04/10/pdfs/GMD-1801-29.pdf#page=3","Abrir facsímil")</f>
        <v>Abrir facsímil</v>
      </c>
      <c r="K7834" s="15" t="s">
        <v>23</v>
      </c>
    </row>
    <row r="7835" spans="1:11" ht="42" customHeight="1">
      <c r="A7835" s="4" t="s">
        <v>17681</v>
      </c>
      <c r="B7835" s="5" t="s">
        <v>17681</v>
      </c>
      <c r="C7835" s="5" t="s">
        <v>75</v>
      </c>
      <c r="D7835" s="5" t="s">
        <v>76</v>
      </c>
      <c r="E7835" s="5" t="s">
        <v>254</v>
      </c>
      <c r="F7835" s="9">
        <v>73</v>
      </c>
      <c r="G7835" s="9">
        <v>809</v>
      </c>
      <c r="H7835" s="5" t="s">
        <v>21</v>
      </c>
      <c r="I7835" s="5" t="s">
        <v>17682</v>
      </c>
      <c r="J7835" s="12" t="str">
        <f>HYPERLINK("https://www.boe.es/gazeta/dias/1801/07/28/pdfs/GMD-1801-73.pdf#page=2","Abrir facsímil")</f>
        <v>Abrir facsímil</v>
      </c>
      <c r="K7835" s="15" t="s">
        <v>23</v>
      </c>
    </row>
    <row r="7836" spans="1:11" ht="42" customHeight="1">
      <c r="A7836" s="4" t="s">
        <v>17683</v>
      </c>
      <c r="B7836" s="5" t="s">
        <v>17684</v>
      </c>
      <c r="C7836" s="5" t="s">
        <v>32</v>
      </c>
      <c r="D7836" s="5" t="s">
        <v>33</v>
      </c>
      <c r="E7836" s="5" t="s">
        <v>352</v>
      </c>
      <c r="F7836" s="9">
        <v>43</v>
      </c>
      <c r="G7836" s="9">
        <v>533</v>
      </c>
      <c r="H7836" s="5" t="s">
        <v>21</v>
      </c>
      <c r="I7836" s="5" t="s">
        <v>17685</v>
      </c>
      <c r="J7836" s="12" t="str">
        <f>HYPERLINK("https://www.boe.es/gazeta/dias/1801/05/26/pdfs/GMD-1801-43.pdf#page=5","Abrir facsímil")</f>
        <v>Abrir facsímil</v>
      </c>
      <c r="K7836" s="15" t="s">
        <v>23</v>
      </c>
    </row>
    <row r="7837" spans="1:11" ht="42" customHeight="1">
      <c r="A7837" s="4" t="s">
        <v>17686</v>
      </c>
      <c r="B7837" s="5" t="s">
        <v>17686</v>
      </c>
      <c r="C7837" s="5" t="s">
        <v>32</v>
      </c>
      <c r="D7837" s="5" t="s">
        <v>33</v>
      </c>
      <c r="E7837" s="5" t="s">
        <v>135</v>
      </c>
      <c r="F7837" s="9">
        <v>24</v>
      </c>
      <c r="G7837" s="9">
        <v>313</v>
      </c>
      <c r="H7837" s="5" t="s">
        <v>21</v>
      </c>
      <c r="I7837" s="5" t="s">
        <v>17687</v>
      </c>
      <c r="J7837" s="12" t="str">
        <f>HYPERLINK("https://www.boe.es/gazeta/dias/1801/03/24/pdfs/GMD-1801-24.pdf#page=4","Abrir facsímil")</f>
        <v>Abrir facsímil</v>
      </c>
      <c r="K7837" s="15" t="s">
        <v>23</v>
      </c>
    </row>
    <row r="7838" spans="1:11" ht="42" customHeight="1">
      <c r="A7838" s="4" t="s">
        <v>17686</v>
      </c>
      <c r="B7838" s="5" t="s">
        <v>17686</v>
      </c>
      <c r="C7838" s="5" t="s">
        <v>38</v>
      </c>
      <c r="D7838" s="5" t="s">
        <v>39</v>
      </c>
      <c r="E7838" s="5" t="s">
        <v>309</v>
      </c>
      <c r="F7838" s="9">
        <v>118</v>
      </c>
      <c r="G7838" s="9">
        <v>1288</v>
      </c>
      <c r="H7838" s="5" t="s">
        <v>21</v>
      </c>
      <c r="I7838" s="5" t="s">
        <v>17688</v>
      </c>
      <c r="J7838" s="12" t="str">
        <f>HYPERLINK("https://www.boe.es/gazeta/dias/1801/12/25/pdfs/GMD-1801-118.pdf#page=3","Abrir facsímil")</f>
        <v>Abrir facsímil</v>
      </c>
      <c r="K7838" s="15" t="s">
        <v>23</v>
      </c>
    </row>
    <row r="7839" spans="1:11" ht="42" customHeight="1">
      <c r="A7839" s="4" t="s">
        <v>17689</v>
      </c>
      <c r="B7839" s="5" t="s">
        <v>17689</v>
      </c>
      <c r="C7839" s="5" t="s">
        <v>75</v>
      </c>
      <c r="D7839" s="5" t="s">
        <v>76</v>
      </c>
      <c r="E7839" s="5" t="s">
        <v>924</v>
      </c>
      <c r="F7839" s="9">
        <v>90</v>
      </c>
      <c r="G7839" s="9">
        <v>990</v>
      </c>
      <c r="H7839" s="5" t="s">
        <v>21</v>
      </c>
      <c r="I7839" s="5" t="s">
        <v>17690</v>
      </c>
      <c r="J7839" s="12" t="str">
        <f>HYPERLINK("https://www.boe.es/gazeta/dias/1801/09/18/pdfs/GMD-1801-90.pdf#page=5","Abrir facsímil")</f>
        <v>Abrir facsímil</v>
      </c>
      <c r="K7839" s="15" t="s">
        <v>23</v>
      </c>
    </row>
    <row r="7840" spans="1:11" ht="42" customHeight="1">
      <c r="A7840" s="4" t="s">
        <v>17691</v>
      </c>
      <c r="B7840" s="5" t="s">
        <v>17691</v>
      </c>
      <c r="C7840" s="5" t="s">
        <v>38</v>
      </c>
      <c r="D7840" s="5" t="s">
        <v>39</v>
      </c>
      <c r="E7840" s="5" t="s">
        <v>131</v>
      </c>
      <c r="F7840" s="9">
        <v>22</v>
      </c>
      <c r="G7840" s="9">
        <v>286</v>
      </c>
      <c r="H7840" s="5" t="s">
        <v>21</v>
      </c>
      <c r="I7840" s="5" t="s">
        <v>17692</v>
      </c>
      <c r="J7840" s="12" t="str">
        <f>HYPERLINK("https://www.boe.es/gazeta/dias/1801/03/17/pdfs/GMD-1801-22.pdf#page=3","Abrir facsímil")</f>
        <v>Abrir facsímil</v>
      </c>
      <c r="K7840" s="15" t="s">
        <v>23</v>
      </c>
    </row>
    <row r="7841" spans="1:11" ht="42" customHeight="1">
      <c r="A7841" s="4" t="s">
        <v>17691</v>
      </c>
      <c r="B7841" s="5" t="s">
        <v>17691</v>
      </c>
      <c r="C7841" s="5" t="s">
        <v>75</v>
      </c>
      <c r="D7841" s="5" t="s">
        <v>76</v>
      </c>
      <c r="E7841" s="5" t="s">
        <v>135</v>
      </c>
      <c r="F7841" s="9">
        <v>24</v>
      </c>
      <c r="G7841" s="9">
        <v>313</v>
      </c>
      <c r="H7841" s="5" t="s">
        <v>21</v>
      </c>
      <c r="I7841" s="5" t="s">
        <v>17693</v>
      </c>
      <c r="J7841" s="12" t="str">
        <f>HYPERLINK("https://www.boe.es/gazeta/dias/1801/03/24/pdfs/GMD-1801-24.pdf#page=4","Abrir facsímil")</f>
        <v>Abrir facsímil</v>
      </c>
      <c r="K7841" s="15" t="s">
        <v>23</v>
      </c>
    </row>
    <row r="7842" spans="1:11" ht="42" customHeight="1">
      <c r="A7842" s="4" t="s">
        <v>17691</v>
      </c>
      <c r="B7842" s="5" t="s">
        <v>17691</v>
      </c>
      <c r="C7842" s="5" t="s">
        <v>38</v>
      </c>
      <c r="D7842" s="5" t="s">
        <v>39</v>
      </c>
      <c r="E7842" s="5" t="s">
        <v>264</v>
      </c>
      <c r="F7842" s="9">
        <v>111</v>
      </c>
      <c r="G7842" s="9">
        <v>1215</v>
      </c>
      <c r="H7842" s="5" t="s">
        <v>21</v>
      </c>
      <c r="I7842" s="5" t="s">
        <v>17694</v>
      </c>
      <c r="J7842" s="12" t="str">
        <f>HYPERLINK("https://www.boe.es/gazeta/dias/1801/12/01/pdfs/GMD-1801-111.pdf#page=4","Abrir facsímil")</f>
        <v>Abrir facsímil</v>
      </c>
      <c r="K7842" s="15" t="s">
        <v>23</v>
      </c>
    </row>
    <row r="7843" spans="1:11" ht="42" customHeight="1">
      <c r="A7843" s="4" t="s">
        <v>17695</v>
      </c>
      <c r="B7843" s="5" t="s">
        <v>17695</v>
      </c>
      <c r="C7843" s="5" t="s">
        <v>75</v>
      </c>
      <c r="D7843" s="5" t="s">
        <v>76</v>
      </c>
      <c r="E7843" s="5" t="s">
        <v>182</v>
      </c>
      <c r="F7843" s="9">
        <v>18</v>
      </c>
      <c r="G7843" s="9">
        <v>222</v>
      </c>
      <c r="H7843" s="5" t="s">
        <v>21</v>
      </c>
      <c r="I7843" s="5" t="s">
        <v>17696</v>
      </c>
      <c r="J7843" s="12" t="str">
        <f>HYPERLINK("https://www.boe.es/gazeta/dias/1801/03/03/pdfs/GMD-1801-18.pdf#page=3","Abrir facsímil")</f>
        <v>Abrir facsímil</v>
      </c>
      <c r="K7843" s="15" t="s">
        <v>23</v>
      </c>
    </row>
    <row r="7844" spans="1:11" ht="42" customHeight="1">
      <c r="A7844" s="4" t="s">
        <v>17695</v>
      </c>
      <c r="B7844" s="5" t="s">
        <v>17695</v>
      </c>
      <c r="C7844" s="5" t="s">
        <v>75</v>
      </c>
      <c r="D7844" s="5" t="s">
        <v>76</v>
      </c>
      <c r="E7844" s="5" t="s">
        <v>186</v>
      </c>
      <c r="F7844" s="9">
        <v>21</v>
      </c>
      <c r="G7844" s="9">
        <v>275</v>
      </c>
      <c r="H7844" s="5" t="s">
        <v>21</v>
      </c>
      <c r="I7844" s="5" t="s">
        <v>17697</v>
      </c>
      <c r="J7844" s="12" t="str">
        <f>HYPERLINK("https://www.boe.es/gazeta/dias/1801/03/13/pdfs/GMD-1801-21.pdf#page=4","Abrir facsímil")</f>
        <v>Abrir facsímil</v>
      </c>
      <c r="K7844" s="15" t="s">
        <v>23</v>
      </c>
    </row>
    <row r="7845" spans="1:11" ht="42" customHeight="1">
      <c r="A7845" s="4" t="s">
        <v>17698</v>
      </c>
      <c r="B7845" s="5" t="s">
        <v>17699</v>
      </c>
      <c r="C7845" s="5" t="s">
        <v>75</v>
      </c>
      <c r="D7845" s="5" t="s">
        <v>76</v>
      </c>
      <c r="E7845" s="5" t="s">
        <v>34</v>
      </c>
      <c r="F7845" s="9">
        <v>38</v>
      </c>
      <c r="G7845" s="9">
        <v>489</v>
      </c>
      <c r="H7845" s="5" t="s">
        <v>21</v>
      </c>
      <c r="I7845" s="5" t="s">
        <v>17700</v>
      </c>
      <c r="J7845" s="12" t="str">
        <f>HYPERLINK("https://www.boe.es/gazeta/dias/1801/05/12/pdfs/GMD-1801-38.pdf#page=5","Abrir facsímil")</f>
        <v>Abrir facsímil</v>
      </c>
      <c r="K7845" s="15" t="s">
        <v>23</v>
      </c>
    </row>
    <row r="7846" spans="1:11" ht="42" customHeight="1">
      <c r="A7846" s="4" t="s">
        <v>17701</v>
      </c>
      <c r="B7846" s="5" t="s">
        <v>17702</v>
      </c>
      <c r="C7846" s="5" t="s">
        <v>75</v>
      </c>
      <c r="D7846" s="5" t="s">
        <v>76</v>
      </c>
      <c r="E7846" s="5" t="s">
        <v>34</v>
      </c>
      <c r="F7846" s="9">
        <v>38</v>
      </c>
      <c r="G7846" s="9">
        <v>489</v>
      </c>
      <c r="H7846" s="5" t="s">
        <v>21</v>
      </c>
      <c r="I7846" s="5" t="s">
        <v>17703</v>
      </c>
      <c r="J7846" s="12" t="str">
        <f>HYPERLINK("https://www.boe.es/gazeta/dias/1801/05/12/pdfs/GMD-1801-38.pdf#page=5","Abrir facsímil")</f>
        <v>Abrir facsímil</v>
      </c>
      <c r="K7846" s="15" t="s">
        <v>23</v>
      </c>
    </row>
    <row r="7847" spans="1:11" ht="42" customHeight="1">
      <c r="A7847" s="4" t="s">
        <v>17704</v>
      </c>
      <c r="B7847" s="5" t="s">
        <v>17705</v>
      </c>
      <c r="C7847" s="5" t="s">
        <v>75</v>
      </c>
      <c r="D7847" s="5" t="s">
        <v>76</v>
      </c>
      <c r="E7847" s="5" t="s">
        <v>44</v>
      </c>
      <c r="F7847" s="9">
        <v>117</v>
      </c>
      <c r="G7847" s="9">
        <v>1277</v>
      </c>
      <c r="H7847" s="5" t="s">
        <v>21</v>
      </c>
      <c r="I7847" s="5" t="s">
        <v>17706</v>
      </c>
      <c r="J7847" s="12" t="str">
        <f>HYPERLINK("https://www.boe.es/gazeta/dias/1801/12/22/pdfs/GMD-1801-117.pdf#page=4","Abrir facsímil")</f>
        <v>Abrir facsímil</v>
      </c>
      <c r="K7847" s="15" t="s">
        <v>23</v>
      </c>
    </row>
    <row r="7848" spans="1:11" ht="42" customHeight="1">
      <c r="A7848" s="4" t="s">
        <v>17707</v>
      </c>
      <c r="B7848" s="5" t="s">
        <v>17708</v>
      </c>
      <c r="C7848" s="5" t="s">
        <v>18</v>
      </c>
      <c r="D7848" s="5" t="s">
        <v>19</v>
      </c>
      <c r="E7848" s="5" t="s">
        <v>90</v>
      </c>
      <c r="F7848" s="9">
        <v>1</v>
      </c>
      <c r="G7848" s="9">
        <v>1</v>
      </c>
      <c r="H7848" s="5" t="s">
        <v>21</v>
      </c>
      <c r="I7848" s="5" t="s">
        <v>17709</v>
      </c>
      <c r="J7848" s="12" t="str">
        <f>HYPERLINK("https://www.boe.es/gazeta/dias/1801/01/02/pdfs/GMD-1801-1.pdf#page=1","Abrir facsímil")</f>
        <v>Abrir facsímil</v>
      </c>
      <c r="K7848" s="15" t="s">
        <v>23</v>
      </c>
    </row>
    <row r="7849" spans="1:11" ht="42" customHeight="1">
      <c r="A7849" s="4" t="s">
        <v>17710</v>
      </c>
      <c r="B7849" s="5" t="s">
        <v>17710</v>
      </c>
      <c r="C7849" s="5" t="s">
        <v>75</v>
      </c>
      <c r="D7849" s="5" t="s">
        <v>76</v>
      </c>
      <c r="E7849" s="5" t="s">
        <v>190</v>
      </c>
      <c r="F7849" s="9">
        <v>16</v>
      </c>
      <c r="G7849" s="9">
        <v>195</v>
      </c>
      <c r="H7849" s="5" t="s">
        <v>21</v>
      </c>
      <c r="I7849" s="5" t="s">
        <v>17711</v>
      </c>
      <c r="J7849" s="12" t="str">
        <f>HYPERLINK("https://www.boe.es/gazeta/dias/1801/02/24/pdfs/GMD-1801-16.pdf#page=2","Abrir facsímil")</f>
        <v>Abrir facsímil</v>
      </c>
      <c r="K7849" s="15" t="s">
        <v>23</v>
      </c>
    </row>
    <row r="7850" spans="1:11" ht="42" customHeight="1">
      <c r="A7850" s="4" t="s">
        <v>17712</v>
      </c>
      <c r="B7850" s="5" t="s">
        <v>17713</v>
      </c>
      <c r="C7850" s="5" t="s">
        <v>32</v>
      </c>
      <c r="D7850" s="5" t="s">
        <v>33</v>
      </c>
      <c r="E7850" s="5" t="s">
        <v>50</v>
      </c>
      <c r="F7850" s="9">
        <v>29</v>
      </c>
      <c r="G7850" s="9">
        <v>374</v>
      </c>
      <c r="H7850" s="5" t="s">
        <v>21</v>
      </c>
      <c r="I7850" s="5" t="s">
        <v>17714</v>
      </c>
      <c r="J7850" s="12" t="str">
        <f>HYPERLINK("https://www.boe.es/gazeta/dias/1801/04/10/pdfs/GMD-1801-29.pdf#page=2","Abrir facsímil")</f>
        <v>Abrir facsímil</v>
      </c>
      <c r="K7850" s="15" t="s">
        <v>23</v>
      </c>
    </row>
    <row r="7851" spans="1:11" ht="42" customHeight="1">
      <c r="A7851" s="4" t="s">
        <v>17712</v>
      </c>
      <c r="B7851" s="5" t="s">
        <v>17713</v>
      </c>
      <c r="C7851" s="5" t="s">
        <v>38</v>
      </c>
      <c r="D7851" s="5" t="s">
        <v>39</v>
      </c>
      <c r="E7851" s="5" t="s">
        <v>171</v>
      </c>
      <c r="F7851" s="9">
        <v>76</v>
      </c>
      <c r="G7851" s="9">
        <v>845</v>
      </c>
      <c r="H7851" s="5" t="s">
        <v>21</v>
      </c>
      <c r="I7851" s="5" t="s">
        <v>17715</v>
      </c>
      <c r="J7851" s="12" t="str">
        <f>HYPERLINK("https://www.boe.es/gazeta/dias/1801/08/07/pdfs/GMD-1801-76.pdf#page=2","Abrir facsímil")</f>
        <v>Abrir facsímil</v>
      </c>
      <c r="K7851" s="15" t="s">
        <v>23</v>
      </c>
    </row>
    <row r="7852" spans="1:11" ht="42" customHeight="1">
      <c r="A7852" s="4" t="s">
        <v>17716</v>
      </c>
      <c r="B7852" s="5" t="s">
        <v>17717</v>
      </c>
      <c r="C7852" s="5" t="s">
        <v>38</v>
      </c>
      <c r="D7852" s="5" t="s">
        <v>39</v>
      </c>
      <c r="E7852" s="5" t="s">
        <v>171</v>
      </c>
      <c r="F7852" s="9">
        <v>76</v>
      </c>
      <c r="G7852" s="9">
        <v>850</v>
      </c>
      <c r="H7852" s="5" t="s">
        <v>21</v>
      </c>
      <c r="I7852" s="5" t="s">
        <v>17718</v>
      </c>
      <c r="J7852" s="12" t="str">
        <f>HYPERLINK("https://www.boe.es/gazeta/dias/1801/08/07/pdfs/GMD-1801-76.pdf#page=7","Abrir facsímil")</f>
        <v>Abrir facsímil</v>
      </c>
      <c r="K7852" s="15" t="s">
        <v>23</v>
      </c>
    </row>
    <row r="7853" spans="1:11" ht="42" customHeight="1">
      <c r="A7853" s="4" t="s">
        <v>17719</v>
      </c>
      <c r="B7853" s="5" t="s">
        <v>17719</v>
      </c>
      <c r="C7853" s="5" t="s">
        <v>38</v>
      </c>
      <c r="D7853" s="5" t="s">
        <v>39</v>
      </c>
      <c r="E7853" s="5" t="s">
        <v>378</v>
      </c>
      <c r="F7853" s="9">
        <v>23</v>
      </c>
      <c r="G7853" s="9">
        <v>301</v>
      </c>
      <c r="H7853" s="5" t="s">
        <v>21</v>
      </c>
      <c r="I7853" s="5" t="s">
        <v>17720</v>
      </c>
      <c r="J7853" s="12" t="str">
        <f>HYPERLINK("https://www.boe.es/gazeta/dias/1801/03/20/pdfs/GMD-1801-23.pdf#page=4","Abrir facsímil")</f>
        <v>Abrir facsímil</v>
      </c>
      <c r="K7853" s="15" t="s">
        <v>23</v>
      </c>
    </row>
    <row r="7854" spans="1:11" ht="42" customHeight="1">
      <c r="A7854" s="4" t="s">
        <v>17721</v>
      </c>
      <c r="B7854" s="5" t="s">
        <v>17722</v>
      </c>
      <c r="C7854" s="5" t="s">
        <v>75</v>
      </c>
      <c r="D7854" s="5" t="s">
        <v>76</v>
      </c>
      <c r="E7854" s="5" t="s">
        <v>465</v>
      </c>
      <c r="F7854" s="9">
        <v>4</v>
      </c>
      <c r="G7854" s="9">
        <v>42</v>
      </c>
      <c r="H7854" s="5" t="s">
        <v>21</v>
      </c>
      <c r="I7854" s="5" t="s">
        <v>17723</v>
      </c>
      <c r="J7854" s="12" t="str">
        <f>HYPERLINK("https://www.boe.es/gazeta/dias/1801/01/13/pdfs/GMD-1801-4.pdf#page=6","Abrir facsímil")</f>
        <v>Abrir facsímil</v>
      </c>
      <c r="K7854" s="15" t="s">
        <v>23</v>
      </c>
    </row>
    <row r="7855" spans="1:11" ht="42" customHeight="1">
      <c r="A7855" s="4" t="s">
        <v>17724</v>
      </c>
      <c r="B7855" s="5" t="s">
        <v>17725</v>
      </c>
      <c r="C7855" s="5" t="s">
        <v>38</v>
      </c>
      <c r="D7855" s="5" t="s">
        <v>39</v>
      </c>
      <c r="E7855" s="5" t="s">
        <v>126</v>
      </c>
      <c r="F7855" s="9">
        <v>13</v>
      </c>
      <c r="G7855" s="9">
        <v>159</v>
      </c>
      <c r="H7855" s="5" t="s">
        <v>21</v>
      </c>
      <c r="I7855" s="5" t="s">
        <v>17726</v>
      </c>
      <c r="J7855" s="12" t="str">
        <f>HYPERLINK("https://www.boe.es/gazeta/dias/1801/02/13/pdfs/GMD-1801-13.pdf#page=6","Abrir facsímil")</f>
        <v>Abrir facsímil</v>
      </c>
      <c r="K7855" s="15" t="s">
        <v>23</v>
      </c>
    </row>
    <row r="7856" spans="1:11" ht="42" customHeight="1">
      <c r="A7856" s="4" t="s">
        <v>17727</v>
      </c>
      <c r="B7856" s="5" t="s">
        <v>17727</v>
      </c>
      <c r="C7856" s="5" t="s">
        <v>75</v>
      </c>
      <c r="D7856" s="5" t="s">
        <v>76</v>
      </c>
      <c r="E7856" s="5" t="s">
        <v>258</v>
      </c>
      <c r="F7856" s="9">
        <v>96</v>
      </c>
      <c r="G7856" s="9">
        <v>1049</v>
      </c>
      <c r="H7856" s="5" t="s">
        <v>21</v>
      </c>
      <c r="I7856" s="5" t="s">
        <v>17728</v>
      </c>
      <c r="J7856" s="12" t="str">
        <f>HYPERLINK("https://www.boe.es/gazeta/dias/1801/10/09/pdfs/GMD-1801-96.pdf#page=5","Abrir facsímil")</f>
        <v>Abrir facsímil</v>
      </c>
      <c r="K7856" s="15" t="s">
        <v>23</v>
      </c>
    </row>
    <row r="7857" spans="1:11" ht="42" customHeight="1">
      <c r="A7857" s="4" t="s">
        <v>17729</v>
      </c>
      <c r="B7857" s="5" t="s">
        <v>17730</v>
      </c>
      <c r="C7857" s="5" t="s">
        <v>32</v>
      </c>
      <c r="D7857" s="5" t="s">
        <v>33</v>
      </c>
      <c r="E7857" s="5" t="s">
        <v>179</v>
      </c>
      <c r="F7857" s="9">
        <v>11</v>
      </c>
      <c r="G7857" s="9">
        <v>137</v>
      </c>
      <c r="H7857" s="5" t="s">
        <v>21</v>
      </c>
      <c r="I7857" s="5" t="s">
        <v>17731</v>
      </c>
      <c r="J7857" s="12" t="str">
        <f>HYPERLINK("https://www.boe.es/gazeta/dias/1801/02/06/pdfs/GMD-1801-11.pdf#page=10","Abrir facsímil")</f>
        <v>Abrir facsímil</v>
      </c>
      <c r="K7857" s="15" t="s">
        <v>23</v>
      </c>
    </row>
    <row r="7858" spans="1:11" ht="42" customHeight="1">
      <c r="A7858" s="4" t="s">
        <v>17732</v>
      </c>
      <c r="B7858" s="5" t="s">
        <v>17732</v>
      </c>
      <c r="C7858" s="5" t="s">
        <v>75</v>
      </c>
      <c r="D7858" s="5" t="s">
        <v>76</v>
      </c>
      <c r="E7858" s="5" t="s">
        <v>1015</v>
      </c>
      <c r="F7858" s="9">
        <v>15</v>
      </c>
      <c r="G7858" s="9">
        <v>182</v>
      </c>
      <c r="H7858" s="5" t="s">
        <v>21</v>
      </c>
      <c r="I7858" s="5" t="s">
        <v>17733</v>
      </c>
      <c r="J7858" s="12" t="str">
        <f>HYPERLINK("https://www.boe.es/gazeta/dias/1801/02/20/pdfs/GMD-1801-15.pdf#page=1","Abrir facsímil")</f>
        <v>Abrir facsímil</v>
      </c>
      <c r="K7858" s="15" t="s">
        <v>23</v>
      </c>
    </row>
    <row r="7859" spans="1:11" ht="42" customHeight="1">
      <c r="A7859" s="4" t="s">
        <v>17734</v>
      </c>
      <c r="B7859" s="5" t="s">
        <v>17735</v>
      </c>
      <c r="C7859" s="5" t="s">
        <v>32</v>
      </c>
      <c r="D7859" s="5" t="s">
        <v>33</v>
      </c>
      <c r="E7859" s="5" t="s">
        <v>171</v>
      </c>
      <c r="F7859" s="9">
        <v>76</v>
      </c>
      <c r="G7859" s="9">
        <v>853</v>
      </c>
      <c r="H7859" s="5" t="s">
        <v>21</v>
      </c>
      <c r="I7859" s="5" t="s">
        <v>17736</v>
      </c>
      <c r="J7859" s="12" t="str">
        <f>HYPERLINK("https://www.boe.es/gazeta/dias/1801/08/07/pdfs/GMD-1801-76.pdf#page=10","Abrir facsímil")</f>
        <v>Abrir facsímil</v>
      </c>
      <c r="K7859" s="15" t="s">
        <v>23</v>
      </c>
    </row>
    <row r="7860" spans="1:11" ht="42" customHeight="1">
      <c r="A7860" s="4" t="s">
        <v>17737</v>
      </c>
      <c r="B7860" s="5" t="s">
        <v>17737</v>
      </c>
      <c r="C7860" s="5" t="s">
        <v>32</v>
      </c>
      <c r="D7860" s="5" t="s">
        <v>33</v>
      </c>
      <c r="E7860" s="5" t="s">
        <v>169</v>
      </c>
      <c r="F7860" s="9">
        <v>70</v>
      </c>
      <c r="G7860" s="9">
        <v>771</v>
      </c>
      <c r="H7860" s="5" t="s">
        <v>21</v>
      </c>
      <c r="I7860" s="5" t="s">
        <v>17738</v>
      </c>
      <c r="J7860" s="12" t="str">
        <f>HYPERLINK("https://www.boe.es/gazeta/dias/1801/07/17/pdfs/GMD-1801-70.pdf#page=4","Abrir facsímil")</f>
        <v>Abrir facsímil</v>
      </c>
      <c r="K7860" s="15" t="s">
        <v>23</v>
      </c>
    </row>
    <row r="7861" spans="1:11" ht="42" customHeight="1">
      <c r="A7861" s="4" t="s">
        <v>17739</v>
      </c>
      <c r="B7861" s="5" t="s">
        <v>17739</v>
      </c>
      <c r="C7861" s="5" t="s">
        <v>18</v>
      </c>
      <c r="D7861" s="5" t="s">
        <v>19</v>
      </c>
      <c r="E7861" s="5" t="s">
        <v>266</v>
      </c>
      <c r="F7861" s="9">
        <v>119</v>
      </c>
      <c r="G7861" s="9">
        <v>1303</v>
      </c>
      <c r="H7861" s="5" t="s">
        <v>21</v>
      </c>
      <c r="I7861" s="5" t="s">
        <v>17740</v>
      </c>
      <c r="J7861" s="12" t="str">
        <f>HYPERLINK("https://www.boe.es/gazeta/dias/1801/12/29/pdfs/GMD-1801-119.pdf#page=7","Abrir facsímil")</f>
        <v>Abrir facsímil</v>
      </c>
      <c r="K7861" s="15" t="s">
        <v>23</v>
      </c>
    </row>
    <row r="7862" spans="1:11" ht="42" customHeight="1">
      <c r="A7862" s="4" t="s">
        <v>17741</v>
      </c>
      <c r="B7862" s="5" t="s">
        <v>17741</v>
      </c>
      <c r="C7862" s="5" t="s">
        <v>75</v>
      </c>
      <c r="D7862" s="5" t="s">
        <v>76</v>
      </c>
      <c r="E7862" s="5" t="s">
        <v>465</v>
      </c>
      <c r="F7862" s="9">
        <v>4</v>
      </c>
      <c r="G7862" s="9">
        <v>43</v>
      </c>
      <c r="H7862" s="5" t="s">
        <v>21</v>
      </c>
      <c r="I7862" s="5" t="s">
        <v>17742</v>
      </c>
      <c r="J7862" s="12" t="str">
        <f>HYPERLINK("https://www.boe.es/gazeta/dias/1801/01/13/pdfs/GMD-1801-4.pdf#page=7","Abrir facsímil")</f>
        <v>Abrir facsímil</v>
      </c>
      <c r="K7862" s="15" t="s">
        <v>23</v>
      </c>
    </row>
    <row r="7863" spans="1:11" ht="42" customHeight="1">
      <c r="A7863" s="4" t="s">
        <v>17743</v>
      </c>
      <c r="B7863" s="5" t="s">
        <v>17743</v>
      </c>
      <c r="C7863" s="5" t="s">
        <v>75</v>
      </c>
      <c r="D7863" s="5" t="s">
        <v>76</v>
      </c>
      <c r="E7863" s="5" t="s">
        <v>462</v>
      </c>
      <c r="F7863" s="9">
        <v>5</v>
      </c>
      <c r="G7863" s="9">
        <v>54</v>
      </c>
      <c r="H7863" s="5" t="s">
        <v>21</v>
      </c>
      <c r="I7863" s="5" t="s">
        <v>17744</v>
      </c>
      <c r="J7863" s="12" t="str">
        <f>HYPERLINK("https://www.boe.es/gazeta/dias/1801/01/16/pdfs/GMD-1801-5.pdf#page=6","Abrir facsímil")</f>
        <v>Abrir facsímil</v>
      </c>
      <c r="K7863" s="15" t="s">
        <v>23</v>
      </c>
    </row>
    <row r="7864" spans="1:11" ht="42" customHeight="1">
      <c r="A7864" s="4" t="s">
        <v>17745</v>
      </c>
      <c r="B7864" s="5" t="s">
        <v>17745</v>
      </c>
      <c r="C7864" s="5" t="s">
        <v>75</v>
      </c>
      <c r="D7864" s="5" t="s">
        <v>76</v>
      </c>
      <c r="E7864" s="5" t="s">
        <v>70</v>
      </c>
      <c r="F7864" s="9">
        <v>2</v>
      </c>
      <c r="G7864" s="9">
        <v>18</v>
      </c>
      <c r="H7864" s="5" t="s">
        <v>21</v>
      </c>
      <c r="I7864" s="5" t="s">
        <v>17746</v>
      </c>
      <c r="J7864" s="12" t="str">
        <f>HYPERLINK("https://www.boe.es/gazeta/dias/1801/01/06/pdfs/GMD-1801-2.pdf#page=6","Abrir facsímil")</f>
        <v>Abrir facsímil</v>
      </c>
      <c r="K7864" s="15" t="s">
        <v>23</v>
      </c>
    </row>
    <row r="7865" spans="1:11" ht="42" customHeight="1">
      <c r="A7865" s="4" t="s">
        <v>17747</v>
      </c>
      <c r="B7865" s="5" t="s">
        <v>17747</v>
      </c>
      <c r="C7865" s="5" t="s">
        <v>32</v>
      </c>
      <c r="D7865" s="5" t="s">
        <v>33</v>
      </c>
      <c r="E7865" s="5" t="s">
        <v>124</v>
      </c>
      <c r="F7865" s="9">
        <v>12</v>
      </c>
      <c r="G7865" s="9">
        <v>145</v>
      </c>
      <c r="H7865" s="5" t="s">
        <v>21</v>
      </c>
      <c r="I7865" s="5" t="s">
        <v>17748</v>
      </c>
      <c r="J7865" s="12" t="str">
        <f>HYPERLINK("https://www.boe.es/gazeta/dias/1801/02/10/pdfs/GMD-1801-12.pdf#page=6","Abrir facsímil")</f>
        <v>Abrir facsímil</v>
      </c>
      <c r="K7865" s="15" t="s">
        <v>23</v>
      </c>
    </row>
    <row r="7866" spans="1:11" ht="42" customHeight="1">
      <c r="A7866" s="4" t="s">
        <v>17749</v>
      </c>
      <c r="B7866" s="5" t="s">
        <v>17749</v>
      </c>
      <c r="C7866" s="5" t="s">
        <v>75</v>
      </c>
      <c r="D7866" s="5" t="s">
        <v>76</v>
      </c>
      <c r="E7866" s="5" t="s">
        <v>62</v>
      </c>
      <c r="F7866" s="9">
        <v>6</v>
      </c>
      <c r="G7866" s="9">
        <v>67</v>
      </c>
      <c r="H7866" s="5" t="s">
        <v>21</v>
      </c>
      <c r="I7866" s="5" t="s">
        <v>17750</v>
      </c>
      <c r="J7866" s="12" t="str">
        <f>HYPERLINK("https://www.boe.es/gazeta/dias/1801/01/20/pdfs/GMD-1801-6.pdf#page=3","Abrir facsímil")</f>
        <v>Abrir facsímil</v>
      </c>
      <c r="K7866" s="15" t="s">
        <v>23</v>
      </c>
    </row>
    <row r="7867" spans="1:11" ht="42" customHeight="1">
      <c r="A7867" s="4" t="s">
        <v>17751</v>
      </c>
      <c r="B7867" s="5" t="s">
        <v>17751</v>
      </c>
      <c r="C7867" s="5" t="s">
        <v>75</v>
      </c>
      <c r="D7867" s="5" t="s">
        <v>76</v>
      </c>
      <c r="E7867" s="5" t="s">
        <v>211</v>
      </c>
      <c r="F7867" s="9">
        <v>87</v>
      </c>
      <c r="G7867" s="9">
        <v>964</v>
      </c>
      <c r="H7867" s="5" t="s">
        <v>21</v>
      </c>
      <c r="I7867" s="5" t="s">
        <v>17752</v>
      </c>
      <c r="J7867" s="12" t="str">
        <f>HYPERLINK("https://www.boe.es/gazeta/dias/1801/09/11/pdfs/GMD-1801-87.pdf#page=7","Abrir facsímil")</f>
        <v>Abrir facsímil</v>
      </c>
      <c r="K7867" s="15" t="s">
        <v>23</v>
      </c>
    </row>
    <row r="7868" spans="1:11" ht="42" customHeight="1">
      <c r="A7868" s="4" t="s">
        <v>17753</v>
      </c>
      <c r="B7868" s="5" t="s">
        <v>17753</v>
      </c>
      <c r="C7868" s="5" t="s">
        <v>32</v>
      </c>
      <c r="D7868" s="5" t="s">
        <v>33</v>
      </c>
      <c r="E7868" s="5" t="s">
        <v>275</v>
      </c>
      <c r="F7868" s="9">
        <v>9</v>
      </c>
      <c r="G7868" s="9">
        <v>109</v>
      </c>
      <c r="H7868" s="5" t="s">
        <v>21</v>
      </c>
      <c r="I7868" s="5" t="s">
        <v>17754</v>
      </c>
      <c r="J7868" s="12" t="str">
        <f>HYPERLINK("https://www.boe.es/gazeta/dias/1801/01/30/pdfs/GMD-1801-9.pdf#page=6","Abrir facsímil")</f>
        <v>Abrir facsímil</v>
      </c>
      <c r="K7868" s="15" t="s">
        <v>23</v>
      </c>
    </row>
    <row r="7869" spans="1:11" ht="42" customHeight="1">
      <c r="A7869" s="4" t="s">
        <v>17755</v>
      </c>
      <c r="B7869" s="5" t="s">
        <v>17755</v>
      </c>
      <c r="C7869" s="5" t="s">
        <v>75</v>
      </c>
      <c r="D7869" s="5" t="s">
        <v>76</v>
      </c>
      <c r="E7869" s="5" t="s">
        <v>179</v>
      </c>
      <c r="F7869" s="9">
        <v>11</v>
      </c>
      <c r="G7869" s="9">
        <v>132</v>
      </c>
      <c r="H7869" s="5" t="s">
        <v>21</v>
      </c>
      <c r="I7869" s="5" t="s">
        <v>17756</v>
      </c>
      <c r="J7869" s="12" t="str">
        <f>HYPERLINK("https://www.boe.es/gazeta/dias/1801/02/06/pdfs/GMD-1801-11.pdf#page=5","Abrir facsímil")</f>
        <v>Abrir facsímil</v>
      </c>
      <c r="K7869" s="15" t="s">
        <v>23</v>
      </c>
    </row>
    <row r="7870" spans="1:11" ht="42" customHeight="1">
      <c r="A7870" s="4" t="s">
        <v>17757</v>
      </c>
      <c r="B7870" s="5" t="s">
        <v>17757</v>
      </c>
      <c r="C7870" s="5" t="s">
        <v>75</v>
      </c>
      <c r="D7870" s="5" t="s">
        <v>76</v>
      </c>
      <c r="E7870" s="5" t="s">
        <v>465</v>
      </c>
      <c r="F7870" s="9">
        <v>4</v>
      </c>
      <c r="G7870" s="9">
        <v>42</v>
      </c>
      <c r="H7870" s="5" t="s">
        <v>21</v>
      </c>
      <c r="I7870" s="5" t="s">
        <v>17758</v>
      </c>
      <c r="J7870" s="12" t="str">
        <f>HYPERLINK("https://www.boe.es/gazeta/dias/1801/01/13/pdfs/GMD-1801-4.pdf#page=6","Abrir facsímil")</f>
        <v>Abrir facsímil</v>
      </c>
      <c r="K7870" s="15" t="s">
        <v>23</v>
      </c>
    </row>
    <row r="7871" spans="1:11" ht="42" customHeight="1">
      <c r="A7871" s="4" t="s">
        <v>17759</v>
      </c>
      <c r="B7871" s="5" t="s">
        <v>17759</v>
      </c>
      <c r="C7871" s="5" t="s">
        <v>75</v>
      </c>
      <c r="D7871" s="5" t="s">
        <v>76</v>
      </c>
      <c r="E7871" s="5" t="s">
        <v>94</v>
      </c>
      <c r="F7871" s="9">
        <v>19</v>
      </c>
      <c r="G7871" s="9">
        <v>241</v>
      </c>
      <c r="H7871" s="5" t="s">
        <v>21</v>
      </c>
      <c r="I7871" s="5" t="s">
        <v>17760</v>
      </c>
      <c r="J7871" s="12" t="str">
        <f>HYPERLINK("https://www.boe.es/gazeta/dias/1801/03/06/pdfs/GMD-1801-19.pdf#page=6","Abrir facsímil")</f>
        <v>Abrir facsímil</v>
      </c>
      <c r="K7871" s="15" t="s">
        <v>23</v>
      </c>
    </row>
    <row r="7872" spans="1:11" ht="42" customHeight="1">
      <c r="A7872" s="4" t="s">
        <v>17761</v>
      </c>
      <c r="B7872" s="5" t="s">
        <v>17761</v>
      </c>
      <c r="C7872" s="5" t="s">
        <v>38</v>
      </c>
      <c r="D7872" s="5" t="s">
        <v>39</v>
      </c>
      <c r="E7872" s="5" t="s">
        <v>781</v>
      </c>
      <c r="F7872" s="9">
        <v>14</v>
      </c>
      <c r="G7872" s="9">
        <v>172</v>
      </c>
      <c r="H7872" s="5" t="s">
        <v>21</v>
      </c>
      <c r="I7872" s="5" t="s">
        <v>17762</v>
      </c>
      <c r="J7872" s="12" t="str">
        <f>HYPERLINK("https://www.boe.es/gazeta/dias/1801/02/17/pdfs/GMD-1801-14.pdf#page=7","Abrir facsímil")</f>
        <v>Abrir facsímil</v>
      </c>
      <c r="K7872" s="15" t="s">
        <v>23</v>
      </c>
    </row>
    <row r="7873" spans="1:11" ht="42" customHeight="1">
      <c r="A7873" s="4" t="s">
        <v>17763</v>
      </c>
      <c r="B7873" s="5" t="s">
        <v>17763</v>
      </c>
      <c r="C7873" s="5" t="s">
        <v>32</v>
      </c>
      <c r="D7873" s="5" t="s">
        <v>33</v>
      </c>
      <c r="E7873" s="5" t="s">
        <v>62</v>
      </c>
      <c r="F7873" s="9">
        <v>6</v>
      </c>
      <c r="G7873" s="9">
        <v>69</v>
      </c>
      <c r="H7873" s="5" t="s">
        <v>21</v>
      </c>
      <c r="I7873" s="5" t="s">
        <v>17764</v>
      </c>
      <c r="J7873" s="12" t="str">
        <f>HYPERLINK("https://www.boe.es/gazeta/dias/1801/01/20/pdfs/GMD-1801-6.pdf#page=5","Abrir facsímil")</f>
        <v>Abrir facsímil</v>
      </c>
      <c r="K7873" s="15" t="s">
        <v>23</v>
      </c>
    </row>
    <row r="7874" spans="1:11" ht="42" customHeight="1">
      <c r="A7874" s="4" t="s">
        <v>17765</v>
      </c>
      <c r="B7874" s="5" t="s">
        <v>17765</v>
      </c>
      <c r="C7874" s="5" t="s">
        <v>32</v>
      </c>
      <c r="D7874" s="5" t="s">
        <v>33</v>
      </c>
      <c r="E7874" s="5" t="s">
        <v>94</v>
      </c>
      <c r="F7874" s="9">
        <v>19</v>
      </c>
      <c r="G7874" s="9">
        <v>242</v>
      </c>
      <c r="H7874" s="5" t="s">
        <v>21</v>
      </c>
      <c r="I7874" s="5" t="s">
        <v>17766</v>
      </c>
      <c r="J7874" s="12" t="str">
        <f>HYPERLINK("https://www.boe.es/gazeta/dias/1801/03/06/pdfs/GMD-1801-19.pdf#page=7","Abrir facsímil")</f>
        <v>Abrir facsímil</v>
      </c>
      <c r="K7874" s="15" t="s">
        <v>23</v>
      </c>
    </row>
    <row r="7875" spans="1:11" ht="42" customHeight="1">
      <c r="A7875" s="4" t="s">
        <v>17767</v>
      </c>
      <c r="B7875" s="5" t="s">
        <v>17767</v>
      </c>
      <c r="C7875" s="5" t="s">
        <v>38</v>
      </c>
      <c r="D7875" s="5" t="s">
        <v>39</v>
      </c>
      <c r="E7875" s="5" t="s">
        <v>173</v>
      </c>
      <c r="F7875" s="9">
        <v>98</v>
      </c>
      <c r="G7875" s="9">
        <v>1074</v>
      </c>
      <c r="H7875" s="5" t="s">
        <v>21</v>
      </c>
      <c r="I7875" s="5" t="s">
        <v>17768</v>
      </c>
      <c r="J7875" s="12" t="str">
        <f>HYPERLINK("https://www.boe.es/gazeta/dias/1801/10/16/pdfs/GMD-1801-98.pdf#page=6","Abrir facsímil")</f>
        <v>Abrir facsímil</v>
      </c>
      <c r="K7875" s="15" t="s">
        <v>23</v>
      </c>
    </row>
    <row r="7876" spans="1:11" ht="42" customHeight="1">
      <c r="A7876" s="4" t="s">
        <v>17769</v>
      </c>
      <c r="B7876" s="5" t="s">
        <v>17769</v>
      </c>
      <c r="C7876" s="5" t="s">
        <v>75</v>
      </c>
      <c r="D7876" s="5" t="s">
        <v>76</v>
      </c>
      <c r="E7876" s="5" t="s">
        <v>101</v>
      </c>
      <c r="F7876" s="9">
        <v>41</v>
      </c>
      <c r="G7876" s="9">
        <v>520</v>
      </c>
      <c r="H7876" s="5" t="s">
        <v>21</v>
      </c>
      <c r="I7876" s="5" t="s">
        <v>17770</v>
      </c>
      <c r="J7876" s="12" t="str">
        <f>HYPERLINK("https://www.boe.es/gazeta/dias/1801/05/22/pdfs/GMD-1801-41.pdf#page=4","Abrir facsímil")</f>
        <v>Abrir facsímil</v>
      </c>
      <c r="K7876" s="15" t="s">
        <v>23</v>
      </c>
    </row>
    <row r="7877" spans="1:11" ht="42" customHeight="1">
      <c r="A7877" s="4" t="s">
        <v>17771</v>
      </c>
      <c r="B7877" s="5" t="s">
        <v>17771</v>
      </c>
      <c r="C7877" s="5" t="s">
        <v>75</v>
      </c>
      <c r="D7877" s="5" t="s">
        <v>76</v>
      </c>
      <c r="E7877" s="5" t="s">
        <v>105</v>
      </c>
      <c r="F7877" s="9">
        <v>44</v>
      </c>
      <c r="G7877" s="9">
        <v>546</v>
      </c>
      <c r="H7877" s="5" t="s">
        <v>21</v>
      </c>
      <c r="I7877" s="5" t="s">
        <v>17772</v>
      </c>
      <c r="J7877" s="12" t="str">
        <f>HYPERLINK("https://www.boe.es/gazeta/dias/1801/05/29/pdfs/GMD-1801-44.pdf#page=6","Abrir facsímil")</f>
        <v>Abrir facsímil</v>
      </c>
      <c r="K7877" s="15" t="s">
        <v>23</v>
      </c>
    </row>
    <row r="7878" spans="1:11" ht="42" customHeight="1">
      <c r="A7878" s="4" t="s">
        <v>17773</v>
      </c>
      <c r="B7878" s="5" t="s">
        <v>17773</v>
      </c>
      <c r="C7878" s="5" t="s">
        <v>75</v>
      </c>
      <c r="D7878" s="5" t="s">
        <v>76</v>
      </c>
      <c r="E7878" s="5" t="s">
        <v>105</v>
      </c>
      <c r="F7878" s="9">
        <v>44</v>
      </c>
      <c r="G7878" s="9">
        <v>547</v>
      </c>
      <c r="H7878" s="5" t="s">
        <v>21</v>
      </c>
      <c r="I7878" s="5" t="s">
        <v>17774</v>
      </c>
      <c r="J7878" s="12" t="str">
        <f>HYPERLINK("https://www.boe.es/gazeta/dias/1801/05/29/pdfs/GMD-1801-44.pdf#page=7","Abrir facsímil")</f>
        <v>Abrir facsímil</v>
      </c>
      <c r="K7878" s="15" t="s">
        <v>23</v>
      </c>
    </row>
    <row r="7879" spans="1:11" ht="42" customHeight="1">
      <c r="A7879" s="4" t="s">
        <v>17775</v>
      </c>
      <c r="B7879" s="5" t="s">
        <v>17775</v>
      </c>
      <c r="C7879" s="5" t="s">
        <v>75</v>
      </c>
      <c r="D7879" s="5" t="s">
        <v>76</v>
      </c>
      <c r="E7879" s="5" t="s">
        <v>190</v>
      </c>
      <c r="F7879" s="9">
        <v>16</v>
      </c>
      <c r="G7879" s="9">
        <v>197</v>
      </c>
      <c r="H7879" s="5" t="s">
        <v>21</v>
      </c>
      <c r="I7879" s="5" t="s">
        <v>17776</v>
      </c>
      <c r="J7879" s="12" t="str">
        <f>HYPERLINK("https://www.boe.es/gazeta/dias/1801/02/24/pdfs/GMD-1801-16.pdf#page=4","Abrir facsímil")</f>
        <v>Abrir facsímil</v>
      </c>
      <c r="K7879" s="15" t="s">
        <v>23</v>
      </c>
    </row>
    <row r="7880" spans="1:11" ht="42" customHeight="1">
      <c r="A7880" s="4" t="s">
        <v>17777</v>
      </c>
      <c r="B7880" s="5" t="s">
        <v>17777</v>
      </c>
      <c r="C7880" s="5" t="s">
        <v>38</v>
      </c>
      <c r="D7880" s="5" t="s">
        <v>39</v>
      </c>
      <c r="E7880" s="5" t="s">
        <v>169</v>
      </c>
      <c r="F7880" s="9">
        <v>70</v>
      </c>
      <c r="G7880" s="9">
        <v>778</v>
      </c>
      <c r="H7880" s="5" t="s">
        <v>21</v>
      </c>
      <c r="I7880" s="5" t="s">
        <v>17778</v>
      </c>
      <c r="J7880" s="12" t="str">
        <f>HYPERLINK("https://www.boe.es/gazeta/dias/1801/07/17/pdfs/GMD-1801-70.pdf#page=11","Abrir facsímil")</f>
        <v>Abrir facsímil</v>
      </c>
      <c r="K7880" s="15" t="s">
        <v>23</v>
      </c>
    </row>
    <row r="7881" spans="1:11" ht="42" customHeight="1">
      <c r="A7881" s="4" t="s">
        <v>17779</v>
      </c>
      <c r="B7881" s="5" t="s">
        <v>17779</v>
      </c>
      <c r="C7881" s="5" t="s">
        <v>75</v>
      </c>
      <c r="D7881" s="5" t="s">
        <v>76</v>
      </c>
      <c r="E7881" s="5" t="s">
        <v>66</v>
      </c>
      <c r="F7881" s="9">
        <v>52</v>
      </c>
      <c r="G7881" s="9">
        <v>604</v>
      </c>
      <c r="H7881" s="5" t="s">
        <v>21</v>
      </c>
      <c r="I7881" s="5" t="s">
        <v>17780</v>
      </c>
      <c r="J7881" s="12" t="str">
        <f>HYPERLINK("https://www.boe.es/gazeta/dias/1801/06/12/pdfs/GMD-1801-52.pdf#page=3","Abrir facsímil")</f>
        <v>Abrir facsímil</v>
      </c>
      <c r="K7881" s="15" t="s">
        <v>23</v>
      </c>
    </row>
    <row r="7882" spans="1:11" ht="42" customHeight="1">
      <c r="A7882" s="4" t="s">
        <v>17781</v>
      </c>
      <c r="B7882" s="5" t="s">
        <v>17781</v>
      </c>
      <c r="C7882" s="5" t="s">
        <v>75</v>
      </c>
      <c r="D7882" s="5" t="s">
        <v>76</v>
      </c>
      <c r="E7882" s="5" t="s">
        <v>141</v>
      </c>
      <c r="F7882" s="9">
        <v>33</v>
      </c>
      <c r="G7882" s="9">
        <v>424</v>
      </c>
      <c r="H7882" s="5" t="s">
        <v>21</v>
      </c>
      <c r="I7882" s="5" t="s">
        <v>17782</v>
      </c>
      <c r="J7882" s="12" t="str">
        <f>HYPERLINK("https://www.boe.es/gazeta/dias/1801/04/24/pdfs/GMD-1801-33.pdf#page=8","Abrir facsímil")</f>
        <v>Abrir facsímil</v>
      </c>
      <c r="K7882" s="15" t="s">
        <v>23</v>
      </c>
    </row>
    <row r="7883" spans="1:11" ht="42" customHeight="1">
      <c r="A7883" s="4" t="s">
        <v>17783</v>
      </c>
      <c r="B7883" s="5" t="s">
        <v>17783</v>
      </c>
      <c r="C7883" s="5" t="s">
        <v>38</v>
      </c>
      <c r="D7883" s="5" t="s">
        <v>39</v>
      </c>
      <c r="E7883" s="5" t="s">
        <v>258</v>
      </c>
      <c r="F7883" s="9">
        <v>96</v>
      </c>
      <c r="G7883" s="9">
        <v>1052</v>
      </c>
      <c r="H7883" s="5" t="s">
        <v>21</v>
      </c>
      <c r="I7883" s="5" t="s">
        <v>17784</v>
      </c>
      <c r="J7883" s="12" t="str">
        <f>HYPERLINK("https://www.boe.es/gazeta/dias/1801/10/09/pdfs/GMD-1801-96.pdf#page=8","Abrir facsímil")</f>
        <v>Abrir facsímil</v>
      </c>
      <c r="K7883" s="15" t="s">
        <v>23</v>
      </c>
    </row>
    <row r="7884" spans="1:11" ht="42" customHeight="1">
      <c r="A7884" s="4" t="s">
        <v>17785</v>
      </c>
      <c r="B7884" s="5" t="s">
        <v>17785</v>
      </c>
      <c r="C7884" s="5" t="s">
        <v>75</v>
      </c>
      <c r="D7884" s="5" t="s">
        <v>76</v>
      </c>
      <c r="E7884" s="5" t="s">
        <v>179</v>
      </c>
      <c r="F7884" s="9">
        <v>11</v>
      </c>
      <c r="G7884" s="9">
        <v>131</v>
      </c>
      <c r="H7884" s="5" t="s">
        <v>21</v>
      </c>
      <c r="I7884" s="5" t="s">
        <v>17786</v>
      </c>
      <c r="J7884" s="12" t="str">
        <f>HYPERLINK("https://www.boe.es/gazeta/dias/1801/02/06/pdfs/GMD-1801-11.pdf#page=4","Abrir facsímil")</f>
        <v>Abrir facsímil</v>
      </c>
      <c r="K7884" s="15" t="s">
        <v>23</v>
      </c>
    </row>
    <row r="7885" spans="1:11" ht="42" customHeight="1">
      <c r="A7885" s="4" t="s">
        <v>17787</v>
      </c>
      <c r="B7885" s="5" t="s">
        <v>17787</v>
      </c>
      <c r="C7885" s="5" t="s">
        <v>38</v>
      </c>
      <c r="D7885" s="5" t="s">
        <v>39</v>
      </c>
      <c r="E7885" s="5" t="s">
        <v>48</v>
      </c>
      <c r="F7885" s="9">
        <v>20</v>
      </c>
      <c r="G7885" s="9">
        <v>264</v>
      </c>
      <c r="H7885" s="5" t="s">
        <v>21</v>
      </c>
      <c r="I7885" s="5" t="s">
        <v>17788</v>
      </c>
      <c r="J7885" s="12" t="str">
        <f>HYPERLINK("https://www.boe.es/gazeta/dias/1801/03/10/pdfs/GMD-1801-20.pdf#page=9","Abrir facsímil")</f>
        <v>Abrir facsímil</v>
      </c>
      <c r="K7885" s="15" t="s">
        <v>23</v>
      </c>
    </row>
    <row r="7886" spans="1:11" ht="42" customHeight="1">
      <c r="A7886" s="4" t="s">
        <v>17789</v>
      </c>
      <c r="B7886" s="5" t="s">
        <v>17789</v>
      </c>
      <c r="C7886" s="5" t="s">
        <v>32</v>
      </c>
      <c r="D7886" s="5" t="s">
        <v>33</v>
      </c>
      <c r="E7886" s="5" t="s">
        <v>256</v>
      </c>
      <c r="F7886" s="9">
        <v>78</v>
      </c>
      <c r="G7886" s="9">
        <v>875</v>
      </c>
      <c r="H7886" s="5" t="s">
        <v>21</v>
      </c>
      <c r="I7886" s="5" t="s">
        <v>17790</v>
      </c>
      <c r="J7886" s="12" t="str">
        <f>HYPERLINK("https://www.boe.es/gazeta/dias/1801/08/14/pdfs/GMD-1801-78.pdf#page=4","Abrir facsímil")</f>
        <v>Abrir facsímil</v>
      </c>
      <c r="K7886" s="15" t="s">
        <v>23</v>
      </c>
    </row>
    <row r="7887" spans="1:11" ht="42" customHeight="1">
      <c r="A7887" s="4" t="s">
        <v>17789</v>
      </c>
      <c r="B7887" s="5" t="s">
        <v>17789</v>
      </c>
      <c r="C7887" s="5" t="s">
        <v>75</v>
      </c>
      <c r="D7887" s="5" t="s">
        <v>76</v>
      </c>
      <c r="E7887" s="5" t="s">
        <v>256</v>
      </c>
      <c r="F7887" s="9">
        <v>78</v>
      </c>
      <c r="G7887" s="9">
        <v>876</v>
      </c>
      <c r="H7887" s="5" t="s">
        <v>21</v>
      </c>
      <c r="I7887" s="5" t="s">
        <v>17791</v>
      </c>
      <c r="J7887" s="12" t="str">
        <f>HYPERLINK("https://www.boe.es/gazeta/dias/1801/08/14/pdfs/GMD-1801-78.pdf#page=5","Abrir facsímil")</f>
        <v>Abrir facsímil</v>
      </c>
      <c r="K7887" s="15" t="s">
        <v>23</v>
      </c>
    </row>
    <row r="7888" spans="1:11" ht="42" customHeight="1">
      <c r="A7888" s="4" t="s">
        <v>17789</v>
      </c>
      <c r="B7888" s="5" t="s">
        <v>17789</v>
      </c>
      <c r="C7888" s="5" t="s">
        <v>75</v>
      </c>
      <c r="D7888" s="5" t="s">
        <v>76</v>
      </c>
      <c r="E7888" s="5" t="s">
        <v>924</v>
      </c>
      <c r="F7888" s="9">
        <v>90</v>
      </c>
      <c r="G7888" s="9">
        <v>988</v>
      </c>
      <c r="H7888" s="5" t="s">
        <v>21</v>
      </c>
      <c r="I7888" s="5" t="s">
        <v>17792</v>
      </c>
      <c r="J7888" s="12" t="str">
        <f>HYPERLINK("https://www.boe.es/gazeta/dias/1801/09/18/pdfs/GMD-1801-90.pdf#page=3","Abrir facsímil")</f>
        <v>Abrir facsímil</v>
      </c>
      <c r="K7888" s="15" t="s">
        <v>23</v>
      </c>
    </row>
    <row r="7889" spans="1:11" ht="42" customHeight="1">
      <c r="A7889" s="4" t="s">
        <v>17793</v>
      </c>
      <c r="B7889" s="5" t="s">
        <v>17793</v>
      </c>
      <c r="C7889" s="5" t="s">
        <v>38</v>
      </c>
      <c r="D7889" s="5" t="s">
        <v>39</v>
      </c>
      <c r="E7889" s="5" t="s">
        <v>201</v>
      </c>
      <c r="F7889" s="9">
        <v>79</v>
      </c>
      <c r="G7889" s="9">
        <v>888</v>
      </c>
      <c r="H7889" s="5" t="s">
        <v>21</v>
      </c>
      <c r="I7889" s="5" t="s">
        <v>17794</v>
      </c>
      <c r="J7889" s="12" t="str">
        <f>HYPERLINK("https://www.boe.es/gazeta/dias/1801/08/18/pdfs/GMD-1801-79.pdf#page=5","Abrir facsímil")</f>
        <v>Abrir facsímil</v>
      </c>
      <c r="K7889" s="15" t="s">
        <v>23</v>
      </c>
    </row>
    <row r="7890" spans="1:11" ht="42" customHeight="1">
      <c r="A7890" s="4" t="s">
        <v>17795</v>
      </c>
      <c r="B7890" s="5" t="s">
        <v>17795</v>
      </c>
      <c r="C7890" s="5" t="s">
        <v>32</v>
      </c>
      <c r="D7890" s="5" t="s">
        <v>33</v>
      </c>
      <c r="E7890" s="5" t="s">
        <v>264</v>
      </c>
      <c r="F7890" s="9">
        <v>111</v>
      </c>
      <c r="G7890" s="9">
        <v>1217</v>
      </c>
      <c r="H7890" s="5" t="s">
        <v>21</v>
      </c>
      <c r="I7890" s="5" t="s">
        <v>17796</v>
      </c>
      <c r="J7890" s="12" t="str">
        <f>HYPERLINK("https://www.boe.es/gazeta/dias/1801/12/01/pdfs/GMD-1801-111.pdf#page=6","Abrir facsímil")</f>
        <v>Abrir facsímil</v>
      </c>
      <c r="K7890" s="15" t="s">
        <v>23</v>
      </c>
    </row>
    <row r="7891" spans="1:11" ht="42" customHeight="1">
      <c r="A7891" s="4" t="s">
        <v>17797</v>
      </c>
      <c r="B7891" s="5" t="s">
        <v>17797</v>
      </c>
      <c r="C7891" s="5" t="s">
        <v>38</v>
      </c>
      <c r="D7891" s="5" t="s">
        <v>39</v>
      </c>
      <c r="E7891" s="5" t="s">
        <v>173</v>
      </c>
      <c r="F7891" s="9">
        <v>98</v>
      </c>
      <c r="G7891" s="9">
        <v>1073</v>
      </c>
      <c r="H7891" s="5" t="s">
        <v>21</v>
      </c>
      <c r="I7891" s="5" t="s">
        <v>17798</v>
      </c>
      <c r="J7891" s="12" t="str">
        <f>HYPERLINK("https://www.boe.es/gazeta/dias/1801/10/16/pdfs/GMD-1801-98.pdf#page=5","Abrir facsímil")</f>
        <v>Abrir facsímil</v>
      </c>
      <c r="K7891" s="15" t="s">
        <v>23</v>
      </c>
    </row>
    <row r="7892" spans="1:11" ht="42" customHeight="1">
      <c r="A7892" s="4" t="s">
        <v>17799</v>
      </c>
      <c r="B7892" s="5" t="s">
        <v>17799</v>
      </c>
      <c r="C7892" s="5" t="s">
        <v>38</v>
      </c>
      <c r="D7892" s="5" t="s">
        <v>39</v>
      </c>
      <c r="E7892" s="5" t="s">
        <v>173</v>
      </c>
      <c r="F7892" s="9">
        <v>98</v>
      </c>
      <c r="G7892" s="9">
        <v>1073</v>
      </c>
      <c r="H7892" s="5" t="s">
        <v>21</v>
      </c>
      <c r="I7892" s="5" t="s">
        <v>17800</v>
      </c>
      <c r="J7892" s="12" t="str">
        <f>HYPERLINK("https://www.boe.es/gazeta/dias/1801/10/16/pdfs/GMD-1801-98.pdf#page=5","Abrir facsímil")</f>
        <v>Abrir facsímil</v>
      </c>
      <c r="K7892" s="15" t="s">
        <v>23</v>
      </c>
    </row>
    <row r="7893" spans="1:11" ht="42" customHeight="1">
      <c r="A7893" s="4" t="s">
        <v>17801</v>
      </c>
      <c r="B7893" s="5" t="s">
        <v>17801</v>
      </c>
      <c r="C7893" s="5" t="s">
        <v>75</v>
      </c>
      <c r="D7893" s="5" t="s">
        <v>76</v>
      </c>
      <c r="E7893" s="5" t="s">
        <v>321</v>
      </c>
      <c r="F7893" s="9">
        <v>3</v>
      </c>
      <c r="G7893" s="9">
        <v>28</v>
      </c>
      <c r="H7893" s="5" t="s">
        <v>21</v>
      </c>
      <c r="I7893" s="5" t="s">
        <v>17802</v>
      </c>
      <c r="J7893" s="12" t="str">
        <f>HYPERLINK("https://www.boe.es/gazeta/dias/1801/01/09/pdfs/GMD-1801-3.pdf#page=4","Abrir facsímil")</f>
        <v>Abrir facsímil</v>
      </c>
      <c r="K7893" s="15" t="s">
        <v>23</v>
      </c>
    </row>
    <row r="7894" spans="1:11" ht="42" customHeight="1">
      <c r="A7894" s="4" t="s">
        <v>17803</v>
      </c>
      <c r="B7894" s="5" t="s">
        <v>17803</v>
      </c>
      <c r="C7894" s="5" t="s">
        <v>75</v>
      </c>
      <c r="D7894" s="5" t="s">
        <v>76</v>
      </c>
      <c r="E7894" s="5" t="s">
        <v>201</v>
      </c>
      <c r="F7894" s="9">
        <v>79</v>
      </c>
      <c r="G7894" s="9">
        <v>887</v>
      </c>
      <c r="H7894" s="5" t="s">
        <v>21</v>
      </c>
      <c r="I7894" s="5" t="s">
        <v>17804</v>
      </c>
      <c r="J7894" s="12" t="str">
        <f>HYPERLINK("https://www.boe.es/gazeta/dias/1801/08/18/pdfs/GMD-1801-79.pdf#page=4","Abrir facsímil")</f>
        <v>Abrir facsímil</v>
      </c>
      <c r="K7894" s="15" t="s">
        <v>23</v>
      </c>
    </row>
    <row r="7895" spans="1:11" ht="42" customHeight="1">
      <c r="A7895" s="4" t="s">
        <v>17805</v>
      </c>
      <c r="B7895" s="5" t="s">
        <v>17805</v>
      </c>
      <c r="C7895" s="5" t="s">
        <v>75</v>
      </c>
      <c r="D7895" s="5" t="s">
        <v>76</v>
      </c>
      <c r="E7895" s="5" t="s">
        <v>62</v>
      </c>
      <c r="F7895" s="9">
        <v>6</v>
      </c>
      <c r="G7895" s="9">
        <v>69</v>
      </c>
      <c r="H7895" s="5" t="s">
        <v>21</v>
      </c>
      <c r="I7895" s="5" t="s">
        <v>17806</v>
      </c>
      <c r="J7895" s="12" t="str">
        <f>HYPERLINK("https://www.boe.es/gazeta/dias/1801/01/20/pdfs/GMD-1801-6.pdf#page=5","Abrir facsímil")</f>
        <v>Abrir facsímil</v>
      </c>
      <c r="K7895" s="15" t="s">
        <v>23</v>
      </c>
    </row>
    <row r="7896" spans="1:11" ht="42" customHeight="1">
      <c r="A7896" s="4" t="s">
        <v>17807</v>
      </c>
      <c r="B7896" s="5" t="s">
        <v>17807</v>
      </c>
      <c r="C7896" s="5" t="s">
        <v>75</v>
      </c>
      <c r="D7896" s="5" t="s">
        <v>76</v>
      </c>
      <c r="E7896" s="5" t="s">
        <v>505</v>
      </c>
      <c r="F7896" s="9">
        <v>94</v>
      </c>
      <c r="G7896" s="9">
        <v>1026</v>
      </c>
      <c r="H7896" s="5" t="s">
        <v>21</v>
      </c>
      <c r="I7896" s="5" t="s">
        <v>17808</v>
      </c>
      <c r="J7896" s="12" t="str">
        <f>HYPERLINK("https://www.boe.es/gazeta/dias/1801/10/02/pdfs/GMD-1801-94.pdf#page=2","Abrir facsímil")</f>
        <v>Abrir facsímil</v>
      </c>
      <c r="K7896" s="15" t="s">
        <v>23</v>
      </c>
    </row>
    <row r="7897" spans="1:11" ht="42" customHeight="1">
      <c r="A7897" s="4" t="s">
        <v>17809</v>
      </c>
      <c r="B7897" s="5" t="s">
        <v>17809</v>
      </c>
      <c r="C7897" s="5" t="s">
        <v>75</v>
      </c>
      <c r="D7897" s="5" t="s">
        <v>76</v>
      </c>
      <c r="E7897" s="5" t="s">
        <v>321</v>
      </c>
      <c r="F7897" s="9">
        <v>3</v>
      </c>
      <c r="G7897" s="9">
        <v>28</v>
      </c>
      <c r="H7897" s="5" t="s">
        <v>21</v>
      </c>
      <c r="I7897" s="5" t="s">
        <v>17810</v>
      </c>
      <c r="J7897" s="12" t="str">
        <f>HYPERLINK("https://www.boe.es/gazeta/dias/1801/01/09/pdfs/GMD-1801-3.pdf#page=4","Abrir facsímil")</f>
        <v>Abrir facsímil</v>
      </c>
      <c r="K7897" s="15" t="s">
        <v>23</v>
      </c>
    </row>
    <row r="7898" spans="1:11" ht="42" customHeight="1">
      <c r="A7898" s="4" t="s">
        <v>17811</v>
      </c>
      <c r="B7898" s="5" t="s">
        <v>17811</v>
      </c>
      <c r="C7898" s="5" t="s">
        <v>32</v>
      </c>
      <c r="D7898" s="5" t="s">
        <v>33</v>
      </c>
      <c r="E7898" s="5" t="s">
        <v>256</v>
      </c>
      <c r="F7898" s="9">
        <v>78</v>
      </c>
      <c r="G7898" s="9">
        <v>878</v>
      </c>
      <c r="H7898" s="5" t="s">
        <v>21</v>
      </c>
      <c r="I7898" s="5" t="s">
        <v>17812</v>
      </c>
      <c r="J7898" s="12" t="str">
        <f>HYPERLINK("https://www.boe.es/gazeta/dias/1801/08/14/pdfs/GMD-1801-78.pdf#page=7","Abrir facsímil")</f>
        <v>Abrir facsímil</v>
      </c>
      <c r="K7898" s="15" t="s">
        <v>23</v>
      </c>
    </row>
    <row r="7899" spans="1:11" ht="42" customHeight="1">
      <c r="A7899" s="4" t="s">
        <v>17813</v>
      </c>
      <c r="B7899" s="5" t="s">
        <v>17813</v>
      </c>
      <c r="C7899" s="5" t="s">
        <v>75</v>
      </c>
      <c r="D7899" s="5" t="s">
        <v>76</v>
      </c>
      <c r="E7899" s="5" t="s">
        <v>712</v>
      </c>
      <c r="F7899" s="9">
        <v>105</v>
      </c>
      <c r="G7899" s="9">
        <v>1151</v>
      </c>
      <c r="H7899" s="5" t="s">
        <v>21</v>
      </c>
      <c r="I7899" s="5" t="s">
        <v>17814</v>
      </c>
      <c r="J7899" s="12" t="str">
        <f>HYPERLINK("https://www.boe.es/gazeta/dias/1801/11/10/pdfs/GMD-1801-105.pdf#page=4","Abrir facsímil")</f>
        <v>Abrir facsímil</v>
      </c>
      <c r="K7899" s="15" t="s">
        <v>23</v>
      </c>
    </row>
    <row r="7900" spans="1:11" ht="42" customHeight="1">
      <c r="A7900" s="4" t="s">
        <v>17813</v>
      </c>
      <c r="B7900" s="5" t="s">
        <v>17813</v>
      </c>
      <c r="C7900" s="5" t="s">
        <v>75</v>
      </c>
      <c r="D7900" s="5" t="s">
        <v>76</v>
      </c>
      <c r="E7900" s="5" t="s">
        <v>1939</v>
      </c>
      <c r="F7900" s="9">
        <v>107</v>
      </c>
      <c r="G7900" s="9">
        <v>1177</v>
      </c>
      <c r="H7900" s="5" t="s">
        <v>21</v>
      </c>
      <c r="I7900" s="5" t="s">
        <v>17815</v>
      </c>
      <c r="J7900" s="12" t="str">
        <f>HYPERLINK("https://www.boe.es/gazeta/dias/1801/11/17/pdfs/GMD-1801-107.pdf#page=6","Abrir facsímil")</f>
        <v>Abrir facsímil</v>
      </c>
      <c r="K7900" s="15" t="s">
        <v>23</v>
      </c>
    </row>
    <row r="7901" spans="1:11" ht="42" customHeight="1">
      <c r="A7901" s="4" t="s">
        <v>17813</v>
      </c>
      <c r="B7901" s="5" t="s">
        <v>17813</v>
      </c>
      <c r="C7901" s="5" t="s">
        <v>38</v>
      </c>
      <c r="D7901" s="5" t="s">
        <v>39</v>
      </c>
      <c r="E7901" s="5" t="s">
        <v>112</v>
      </c>
      <c r="F7901" s="9">
        <v>114</v>
      </c>
      <c r="G7901" s="9">
        <v>1245</v>
      </c>
      <c r="H7901" s="5" t="s">
        <v>21</v>
      </c>
      <c r="I7901" s="5" t="s">
        <v>17816</v>
      </c>
      <c r="J7901" s="12" t="str">
        <f>HYPERLINK("https://www.boe.es/gazeta/dias/1801/12/11/pdfs/GMD-1801-114.pdf#page=7","Abrir facsímil")</f>
        <v>Abrir facsímil</v>
      </c>
      <c r="K7901" s="15" t="s">
        <v>23</v>
      </c>
    </row>
    <row r="7902" spans="1:11" ht="42" customHeight="1">
      <c r="A7902" s="4" t="s">
        <v>17817</v>
      </c>
      <c r="B7902" s="5" t="s">
        <v>17817</v>
      </c>
      <c r="C7902" s="5" t="s">
        <v>75</v>
      </c>
      <c r="D7902" s="5" t="s">
        <v>76</v>
      </c>
      <c r="E7902" s="5" t="s">
        <v>781</v>
      </c>
      <c r="F7902" s="9">
        <v>14</v>
      </c>
      <c r="G7902" s="9">
        <v>169</v>
      </c>
      <c r="H7902" s="5" t="s">
        <v>21</v>
      </c>
      <c r="I7902" s="5" t="s">
        <v>17818</v>
      </c>
      <c r="J7902" s="12" t="str">
        <f>HYPERLINK("https://www.boe.es/gazeta/dias/1801/02/17/pdfs/GMD-1801-14.pdf#page=4","Abrir facsímil")</f>
        <v>Abrir facsímil</v>
      </c>
      <c r="K7902" s="15" t="s">
        <v>23</v>
      </c>
    </row>
    <row r="7903" spans="1:11" ht="42" customHeight="1">
      <c r="A7903" s="4" t="s">
        <v>17819</v>
      </c>
      <c r="B7903" s="5" t="s">
        <v>17819</v>
      </c>
      <c r="C7903" s="5" t="s">
        <v>75</v>
      </c>
      <c r="D7903" s="5" t="s">
        <v>76</v>
      </c>
      <c r="E7903" s="5" t="s">
        <v>378</v>
      </c>
      <c r="F7903" s="9">
        <v>23</v>
      </c>
      <c r="G7903" s="9">
        <v>300</v>
      </c>
      <c r="H7903" s="5" t="s">
        <v>21</v>
      </c>
      <c r="I7903" s="5" t="s">
        <v>17820</v>
      </c>
      <c r="J7903" s="12" t="str">
        <f>HYPERLINK("https://www.boe.es/gazeta/dias/1801/03/20/pdfs/GMD-1801-23.pdf#page=3","Abrir facsímil")</f>
        <v>Abrir facsímil</v>
      </c>
      <c r="K7903" s="15" t="s">
        <v>23</v>
      </c>
    </row>
    <row r="7904" spans="1:11" ht="42" customHeight="1">
      <c r="A7904" s="4" t="s">
        <v>17821</v>
      </c>
      <c r="B7904" s="5" t="s">
        <v>17821</v>
      </c>
      <c r="C7904" s="5" t="s">
        <v>38</v>
      </c>
      <c r="D7904" s="5" t="s">
        <v>39</v>
      </c>
      <c r="E7904" s="5" t="s">
        <v>155</v>
      </c>
      <c r="F7904" s="9">
        <v>50</v>
      </c>
      <c r="G7904" s="9">
        <v>595</v>
      </c>
      <c r="H7904" s="5" t="s">
        <v>21</v>
      </c>
      <c r="I7904" s="5" t="s">
        <v>17822</v>
      </c>
      <c r="J7904" s="12" t="str">
        <f>HYPERLINK("https://www.boe.es/gazeta/dias/1801/06/09/pdfs/GMD-1801-50.pdf#page=7","Abrir facsímil")</f>
        <v>Abrir facsímil</v>
      </c>
      <c r="K7904" s="15" t="s">
        <v>23</v>
      </c>
    </row>
    <row r="7905" spans="1:11" ht="42" customHeight="1">
      <c r="A7905" s="4" t="s">
        <v>17823</v>
      </c>
      <c r="B7905" s="5" t="s">
        <v>17823</v>
      </c>
      <c r="C7905" s="5" t="s">
        <v>18</v>
      </c>
      <c r="D7905" s="5" t="s">
        <v>19</v>
      </c>
      <c r="E7905" s="5" t="s">
        <v>465</v>
      </c>
      <c r="F7905" s="9">
        <v>4</v>
      </c>
      <c r="G7905" s="9">
        <v>45</v>
      </c>
      <c r="H7905" s="5" t="s">
        <v>21</v>
      </c>
      <c r="I7905" s="5" t="s">
        <v>17824</v>
      </c>
      <c r="J7905" s="12" t="str">
        <f>HYPERLINK("https://www.boe.es/gazeta/dias/1801/01/13/pdfs/GMD-1801-4.pdf#page=9","Abrir facsímil")</f>
        <v>Abrir facsímil</v>
      </c>
      <c r="K7905" s="15" t="s">
        <v>23</v>
      </c>
    </row>
    <row r="7906" spans="1:11" ht="42" customHeight="1">
      <c r="A7906" s="4" t="s">
        <v>17825</v>
      </c>
      <c r="B7906" s="5" t="s">
        <v>17825</v>
      </c>
      <c r="C7906" s="5" t="s">
        <v>75</v>
      </c>
      <c r="D7906" s="5" t="s">
        <v>76</v>
      </c>
      <c r="E7906" s="5" t="s">
        <v>105</v>
      </c>
      <c r="F7906" s="9">
        <v>44</v>
      </c>
      <c r="G7906" s="9">
        <v>547</v>
      </c>
      <c r="H7906" s="5" t="s">
        <v>21</v>
      </c>
      <c r="I7906" s="5" t="s">
        <v>17826</v>
      </c>
      <c r="J7906" s="12" t="str">
        <f>HYPERLINK("https://www.boe.es/gazeta/dias/1801/05/29/pdfs/GMD-1801-44.pdf#page=7","Abrir facsímil")</f>
        <v>Abrir facsímil</v>
      </c>
      <c r="K7906" s="15" t="s">
        <v>23</v>
      </c>
    </row>
    <row r="7907" spans="1:11" ht="42" customHeight="1">
      <c r="A7907" s="4" t="s">
        <v>17827</v>
      </c>
      <c r="B7907" s="5" t="s">
        <v>17827</v>
      </c>
      <c r="C7907" s="5" t="s">
        <v>38</v>
      </c>
      <c r="D7907" s="5" t="s">
        <v>39</v>
      </c>
      <c r="E7907" s="5" t="s">
        <v>264</v>
      </c>
      <c r="F7907" s="9">
        <v>111</v>
      </c>
      <c r="G7907" s="9">
        <v>1217</v>
      </c>
      <c r="H7907" s="5" t="s">
        <v>21</v>
      </c>
      <c r="I7907" s="5" t="s">
        <v>17828</v>
      </c>
      <c r="J7907" s="12" t="str">
        <f>HYPERLINK("https://www.boe.es/gazeta/dias/1801/12/01/pdfs/GMD-1801-111.pdf#page=6","Abrir facsímil")</f>
        <v>Abrir facsímil</v>
      </c>
      <c r="K7907" s="15" t="s">
        <v>23</v>
      </c>
    </row>
    <row r="7908" spans="1:11" ht="42" customHeight="1">
      <c r="A7908" s="4" t="s">
        <v>17829</v>
      </c>
      <c r="B7908" s="5" t="s">
        <v>17829</v>
      </c>
      <c r="C7908" s="5" t="s">
        <v>75</v>
      </c>
      <c r="D7908" s="5" t="s">
        <v>76</v>
      </c>
      <c r="E7908" s="5" t="s">
        <v>62</v>
      </c>
      <c r="F7908" s="9">
        <v>6</v>
      </c>
      <c r="G7908" s="9">
        <v>70</v>
      </c>
      <c r="H7908" s="5" t="s">
        <v>21</v>
      </c>
      <c r="I7908" s="5" t="s">
        <v>17830</v>
      </c>
      <c r="J7908" s="12" t="str">
        <f>HYPERLINK("https://www.boe.es/gazeta/dias/1801/01/20/pdfs/GMD-1801-6.pdf#page=6","Abrir facsímil")</f>
        <v>Abrir facsímil</v>
      </c>
      <c r="K7908" s="15" t="s">
        <v>23</v>
      </c>
    </row>
    <row r="7909" spans="1:11" ht="42" customHeight="1">
      <c r="A7909" s="4" t="s">
        <v>17831</v>
      </c>
      <c r="B7909" s="5" t="s">
        <v>17831</v>
      </c>
      <c r="C7909" s="5" t="s">
        <v>32</v>
      </c>
      <c r="D7909" s="5" t="s">
        <v>33</v>
      </c>
      <c r="E7909" s="5" t="s">
        <v>465</v>
      </c>
      <c r="F7909" s="9">
        <v>4</v>
      </c>
      <c r="G7909" s="9">
        <v>45</v>
      </c>
      <c r="H7909" s="5" t="s">
        <v>21</v>
      </c>
      <c r="I7909" s="5" t="s">
        <v>17832</v>
      </c>
      <c r="J7909" s="12" t="str">
        <f>HYPERLINK("https://www.boe.es/gazeta/dias/1801/01/13/pdfs/GMD-1801-4.pdf#page=9","Abrir facsímil")</f>
        <v>Abrir facsímil</v>
      </c>
      <c r="K7909" s="15" t="s">
        <v>23</v>
      </c>
    </row>
    <row r="7910" spans="1:11" ht="42" customHeight="1">
      <c r="A7910" s="4" t="s">
        <v>17833</v>
      </c>
      <c r="B7910" s="5" t="s">
        <v>17833</v>
      </c>
      <c r="C7910" s="5" t="s">
        <v>75</v>
      </c>
      <c r="D7910" s="5" t="s">
        <v>76</v>
      </c>
      <c r="E7910" s="5" t="s">
        <v>90</v>
      </c>
      <c r="F7910" s="9">
        <v>1</v>
      </c>
      <c r="G7910" s="9">
        <v>7</v>
      </c>
      <c r="H7910" s="5" t="s">
        <v>21</v>
      </c>
      <c r="I7910" s="5" t="s">
        <v>17834</v>
      </c>
      <c r="J7910" s="12" t="str">
        <f>HYPERLINK("https://www.boe.es/gazeta/dias/1801/01/02/pdfs/GMD-1801-1.pdf#page=7","Abrir facsímil")</f>
        <v>Abrir facsímil</v>
      </c>
      <c r="K7910" s="15" t="s">
        <v>23</v>
      </c>
    </row>
    <row r="7911" spans="1:11" ht="42" customHeight="1">
      <c r="A7911" s="4" t="s">
        <v>17835</v>
      </c>
      <c r="B7911" s="5" t="s">
        <v>17835</v>
      </c>
      <c r="C7911" s="5" t="s">
        <v>38</v>
      </c>
      <c r="D7911" s="5" t="s">
        <v>39</v>
      </c>
      <c r="E7911" s="5" t="s">
        <v>173</v>
      </c>
      <c r="F7911" s="9">
        <v>98</v>
      </c>
      <c r="G7911" s="9">
        <v>1074</v>
      </c>
      <c r="H7911" s="5" t="s">
        <v>21</v>
      </c>
      <c r="I7911" s="5" t="s">
        <v>17836</v>
      </c>
      <c r="J7911" s="12" t="str">
        <f>HYPERLINK("https://www.boe.es/gazeta/dias/1801/10/16/pdfs/GMD-1801-98.pdf#page=6","Abrir facsímil")</f>
        <v>Abrir facsímil</v>
      </c>
      <c r="K7911" s="15" t="s">
        <v>23</v>
      </c>
    </row>
    <row r="7912" spans="1:11" ht="42" customHeight="1">
      <c r="A7912" s="4" t="s">
        <v>17837</v>
      </c>
      <c r="B7912" s="5" t="s">
        <v>17837</v>
      </c>
      <c r="C7912" s="5" t="s">
        <v>75</v>
      </c>
      <c r="D7912" s="5" t="s">
        <v>76</v>
      </c>
      <c r="E7912" s="5" t="s">
        <v>465</v>
      </c>
      <c r="F7912" s="9">
        <v>4</v>
      </c>
      <c r="G7912" s="9">
        <v>44</v>
      </c>
      <c r="H7912" s="5" t="s">
        <v>21</v>
      </c>
      <c r="I7912" s="5" t="s">
        <v>17838</v>
      </c>
      <c r="J7912" s="12" t="str">
        <f>HYPERLINK("https://www.boe.es/gazeta/dias/1801/01/13/pdfs/GMD-1801-4.pdf#page=8","Abrir facsímil")</f>
        <v>Abrir facsímil</v>
      </c>
      <c r="K7912" s="15" t="s">
        <v>23</v>
      </c>
    </row>
    <row r="7913" spans="1:11" ht="42" customHeight="1">
      <c r="A7913" s="4" t="s">
        <v>17839</v>
      </c>
      <c r="B7913" s="5" t="s">
        <v>17839</v>
      </c>
      <c r="C7913" s="5" t="s">
        <v>75</v>
      </c>
      <c r="D7913" s="5" t="s">
        <v>76</v>
      </c>
      <c r="E7913" s="5" t="s">
        <v>105</v>
      </c>
      <c r="F7913" s="9">
        <v>44</v>
      </c>
      <c r="G7913" s="9">
        <v>542</v>
      </c>
      <c r="H7913" s="5" t="s">
        <v>21</v>
      </c>
      <c r="I7913" s="5" t="s">
        <v>17840</v>
      </c>
      <c r="J7913" s="12" t="str">
        <f>HYPERLINK("https://www.boe.es/gazeta/dias/1801/05/29/pdfs/GMD-1801-44.pdf#page=2","Abrir facsímil")</f>
        <v>Abrir facsímil</v>
      </c>
      <c r="K7913" s="15" t="s">
        <v>23</v>
      </c>
    </row>
    <row r="7914" spans="1:11" ht="42" customHeight="1">
      <c r="A7914" s="4" t="s">
        <v>17841</v>
      </c>
      <c r="B7914" s="5" t="s">
        <v>17841</v>
      </c>
      <c r="C7914" s="5" t="s">
        <v>38</v>
      </c>
      <c r="D7914" s="5" t="s">
        <v>39</v>
      </c>
      <c r="E7914" s="5" t="s">
        <v>352</v>
      </c>
      <c r="F7914" s="9">
        <v>43</v>
      </c>
      <c r="G7914" s="9">
        <v>537</v>
      </c>
      <c r="H7914" s="5" t="s">
        <v>21</v>
      </c>
      <c r="I7914" s="5" t="s">
        <v>17842</v>
      </c>
      <c r="J7914" s="12" t="str">
        <f>HYPERLINK("https://www.boe.es/gazeta/dias/1801/05/26/pdfs/GMD-1801-43.pdf#page=9","Abrir facsímil")</f>
        <v>Abrir facsímil</v>
      </c>
      <c r="K7914" s="15" t="s">
        <v>23</v>
      </c>
    </row>
    <row r="7915" spans="1:11" ht="42" customHeight="1">
      <c r="A7915" s="4" t="s">
        <v>17843</v>
      </c>
      <c r="B7915" s="5" t="s">
        <v>17843</v>
      </c>
      <c r="C7915" s="5" t="s">
        <v>32</v>
      </c>
      <c r="D7915" s="5" t="s">
        <v>33</v>
      </c>
      <c r="E7915" s="5" t="s">
        <v>161</v>
      </c>
      <c r="F7915" s="9">
        <v>58</v>
      </c>
      <c r="G7915" s="9">
        <v>661</v>
      </c>
      <c r="H7915" s="5" t="s">
        <v>21</v>
      </c>
      <c r="I7915" s="5" t="s">
        <v>17844</v>
      </c>
      <c r="J7915" s="12" t="str">
        <f>HYPERLINK("https://www.boe.es/gazeta/dias/1801/06/19/pdfs/GMD-1801-58.pdf#page=6","Abrir facsímil")</f>
        <v>Abrir facsímil</v>
      </c>
      <c r="K7915" s="15" t="s">
        <v>23</v>
      </c>
    </row>
    <row r="7916" spans="1:11" ht="42" customHeight="1">
      <c r="A7916" s="4" t="s">
        <v>17845</v>
      </c>
      <c r="B7916" s="5" t="s">
        <v>17845</v>
      </c>
      <c r="C7916" s="5" t="s">
        <v>32</v>
      </c>
      <c r="D7916" s="5" t="s">
        <v>33</v>
      </c>
      <c r="E7916" s="5" t="s">
        <v>317</v>
      </c>
      <c r="F7916" s="9">
        <v>102</v>
      </c>
      <c r="G7916" s="9">
        <v>1116</v>
      </c>
      <c r="H7916" s="5" t="s">
        <v>21</v>
      </c>
      <c r="I7916" s="5" t="s">
        <v>17846</v>
      </c>
      <c r="J7916" s="12" t="str">
        <f>HYPERLINK("https://www.boe.es/gazeta/dias/1801/10/30/pdfs/GMD-1801-102.pdf#page=1","Abrir facsímil")</f>
        <v>Abrir facsímil</v>
      </c>
      <c r="K7916" s="15" t="s">
        <v>23</v>
      </c>
    </row>
    <row r="7917" spans="1:11" ht="42" customHeight="1">
      <c r="A7917" s="4" t="s">
        <v>17847</v>
      </c>
      <c r="B7917" s="5" t="s">
        <v>17847</v>
      </c>
      <c r="C7917" s="5" t="s">
        <v>75</v>
      </c>
      <c r="D7917" s="5" t="s">
        <v>76</v>
      </c>
      <c r="E7917" s="5" t="s">
        <v>62</v>
      </c>
      <c r="F7917" s="9">
        <v>6</v>
      </c>
      <c r="G7917" s="9">
        <v>70</v>
      </c>
      <c r="H7917" s="5" t="s">
        <v>21</v>
      </c>
      <c r="I7917" s="5" t="s">
        <v>17848</v>
      </c>
      <c r="J7917" s="12" t="str">
        <f>HYPERLINK("https://www.boe.es/gazeta/dias/1801/01/20/pdfs/GMD-1801-6.pdf#page=6","Abrir facsímil")</f>
        <v>Abrir facsímil</v>
      </c>
      <c r="K7917" s="15" t="s">
        <v>23</v>
      </c>
    </row>
    <row r="7918" spans="1:11" ht="42" customHeight="1">
      <c r="A7918" s="4" t="s">
        <v>17849</v>
      </c>
      <c r="B7918" s="5" t="s">
        <v>17849</v>
      </c>
      <c r="C7918" s="5" t="s">
        <v>18</v>
      </c>
      <c r="D7918" s="5" t="s">
        <v>19</v>
      </c>
      <c r="E7918" s="5" t="s">
        <v>165</v>
      </c>
      <c r="F7918" s="9">
        <v>59</v>
      </c>
      <c r="G7918" s="9">
        <v>671</v>
      </c>
      <c r="H7918" s="5" t="s">
        <v>21</v>
      </c>
      <c r="I7918" s="5" t="s">
        <v>17850</v>
      </c>
      <c r="J7918" s="12" t="str">
        <f>HYPERLINK("https://www.boe.es/gazeta/dias/1801/06/23/pdfs/GMD-1801-59.pdf#page=4","Abrir facsímil")</f>
        <v>Abrir facsímil</v>
      </c>
      <c r="K7918" s="15" t="s">
        <v>23</v>
      </c>
    </row>
    <row r="7919" spans="1:11" ht="42" customHeight="1">
      <c r="A7919" s="4" t="s">
        <v>17851</v>
      </c>
      <c r="B7919" s="5" t="s">
        <v>17851</v>
      </c>
      <c r="C7919" s="5" t="s">
        <v>38</v>
      </c>
      <c r="D7919" s="5" t="s">
        <v>39</v>
      </c>
      <c r="E7919" s="5" t="s">
        <v>44</v>
      </c>
      <c r="F7919" s="9">
        <v>117</v>
      </c>
      <c r="G7919" s="9">
        <v>1281</v>
      </c>
      <c r="H7919" s="5" t="s">
        <v>21</v>
      </c>
      <c r="I7919" s="5" t="s">
        <v>17852</v>
      </c>
      <c r="J7919" s="12" t="str">
        <f>HYPERLINK("https://www.boe.es/gazeta/dias/1801/12/22/pdfs/GMD-1801-117.pdf#page=8","Abrir facsímil")</f>
        <v>Abrir facsímil</v>
      </c>
      <c r="K7919" s="15" t="s">
        <v>23</v>
      </c>
    </row>
    <row r="7920" spans="1:11" ht="42" customHeight="1">
      <c r="A7920" s="4" t="s">
        <v>17853</v>
      </c>
      <c r="B7920" s="5" t="s">
        <v>17853</v>
      </c>
      <c r="C7920" s="5" t="s">
        <v>75</v>
      </c>
      <c r="D7920" s="5" t="s">
        <v>76</v>
      </c>
      <c r="E7920" s="5" t="s">
        <v>352</v>
      </c>
      <c r="F7920" s="9">
        <v>43</v>
      </c>
      <c r="G7920" s="9">
        <v>532</v>
      </c>
      <c r="H7920" s="5" t="s">
        <v>21</v>
      </c>
      <c r="I7920" s="5" t="s">
        <v>17854</v>
      </c>
      <c r="J7920" s="12" t="str">
        <f>HYPERLINK("https://www.boe.es/gazeta/dias/1801/05/26/pdfs/GMD-1801-43.pdf#page=4","Abrir facsímil")</f>
        <v>Abrir facsímil</v>
      </c>
      <c r="K7920" s="15" t="s">
        <v>23</v>
      </c>
    </row>
    <row r="7921" spans="1:11" ht="42" customHeight="1">
      <c r="A7921" s="4" t="s">
        <v>17855</v>
      </c>
      <c r="B7921" s="5" t="s">
        <v>17855</v>
      </c>
      <c r="C7921" s="5" t="s">
        <v>75</v>
      </c>
      <c r="D7921" s="5" t="s">
        <v>76</v>
      </c>
      <c r="E7921" s="5" t="s">
        <v>108</v>
      </c>
      <c r="F7921" s="9">
        <v>61</v>
      </c>
      <c r="G7921" s="9">
        <v>692</v>
      </c>
      <c r="H7921" s="5" t="s">
        <v>21</v>
      </c>
      <c r="I7921" s="5" t="s">
        <v>17856</v>
      </c>
      <c r="J7921" s="12" t="str">
        <f>HYPERLINK("https://www.boe.es/gazeta/dias/1801/06/30/pdfs/GMD-1801-61.pdf#page=1","Abrir facsímil")</f>
        <v>Abrir facsímil</v>
      </c>
      <c r="K7921" s="15" t="s">
        <v>23</v>
      </c>
    </row>
    <row r="7922" spans="1:11" ht="42" customHeight="1">
      <c r="A7922" s="4" t="s">
        <v>17857</v>
      </c>
      <c r="B7922" s="5" t="s">
        <v>17857</v>
      </c>
      <c r="C7922" s="5" t="s">
        <v>75</v>
      </c>
      <c r="D7922" s="5" t="s">
        <v>76</v>
      </c>
      <c r="E7922" s="5" t="s">
        <v>266</v>
      </c>
      <c r="F7922" s="9">
        <v>119</v>
      </c>
      <c r="G7922" s="9">
        <v>1297</v>
      </c>
      <c r="H7922" s="5" t="s">
        <v>21</v>
      </c>
      <c r="I7922" s="5" t="s">
        <v>17858</v>
      </c>
      <c r="J7922" s="12" t="str">
        <f>HYPERLINK("https://www.boe.es/gazeta/dias/1801/12/29/pdfs/GMD-1801-119.pdf#page=1","Abrir facsímil")</f>
        <v>Abrir facsímil</v>
      </c>
      <c r="K7922" s="15" t="s">
        <v>23</v>
      </c>
    </row>
    <row r="7923" spans="1:11" ht="42" customHeight="1">
      <c r="A7923" s="4" t="s">
        <v>17859</v>
      </c>
      <c r="B7923" s="5" t="s">
        <v>17859</v>
      </c>
      <c r="C7923" s="5" t="s">
        <v>32</v>
      </c>
      <c r="D7923" s="5" t="s">
        <v>33</v>
      </c>
      <c r="E7923" s="5" t="s">
        <v>781</v>
      </c>
      <c r="F7923" s="9">
        <v>14</v>
      </c>
      <c r="G7923" s="9">
        <v>172</v>
      </c>
      <c r="H7923" s="5" t="s">
        <v>21</v>
      </c>
      <c r="I7923" s="5" t="s">
        <v>17860</v>
      </c>
      <c r="J7923" s="12" t="str">
        <f>HYPERLINK("https://www.boe.es/gazeta/dias/1801/02/17/pdfs/GMD-1801-14.pdf#page=7","Abrir facsímil")</f>
        <v>Abrir facsímil</v>
      </c>
      <c r="K7923" s="15" t="s">
        <v>23</v>
      </c>
    </row>
    <row r="7924" spans="1:11" ht="42" customHeight="1">
      <c r="A7924" s="4" t="s">
        <v>17859</v>
      </c>
      <c r="B7924" s="5" t="s">
        <v>17859</v>
      </c>
      <c r="C7924" s="5" t="s">
        <v>75</v>
      </c>
      <c r="D7924" s="5" t="s">
        <v>76</v>
      </c>
      <c r="E7924" s="5" t="s">
        <v>105</v>
      </c>
      <c r="F7924" s="9">
        <v>44</v>
      </c>
      <c r="G7924" s="9">
        <v>547</v>
      </c>
      <c r="H7924" s="5" t="s">
        <v>21</v>
      </c>
      <c r="I7924" s="5" t="s">
        <v>17861</v>
      </c>
      <c r="J7924" s="12" t="str">
        <f>HYPERLINK("https://www.boe.es/gazeta/dias/1801/05/29/pdfs/GMD-1801-44.pdf#page=7","Abrir facsímil")</f>
        <v>Abrir facsímil</v>
      </c>
      <c r="K7924" s="15" t="s">
        <v>23</v>
      </c>
    </row>
    <row r="7925" spans="1:11" ht="42" customHeight="1">
      <c r="A7925" s="4" t="s">
        <v>17859</v>
      </c>
      <c r="B7925" s="5" t="s">
        <v>17859</v>
      </c>
      <c r="C7925" s="5" t="s">
        <v>38</v>
      </c>
      <c r="D7925" s="5" t="s">
        <v>39</v>
      </c>
      <c r="E7925" s="5" t="s">
        <v>309</v>
      </c>
      <c r="F7925" s="9">
        <v>118</v>
      </c>
      <c r="G7925" s="9">
        <v>1290</v>
      </c>
      <c r="H7925" s="5" t="s">
        <v>21</v>
      </c>
      <c r="I7925" s="5" t="s">
        <v>17862</v>
      </c>
      <c r="J7925" s="12" t="str">
        <f>HYPERLINK("https://www.boe.es/gazeta/dias/1801/12/25/pdfs/GMD-1801-118.pdf#page=5","Abrir facsímil")</f>
        <v>Abrir facsímil</v>
      </c>
      <c r="K7925" s="15" t="s">
        <v>23</v>
      </c>
    </row>
    <row r="7926" spans="1:11" ht="42" customHeight="1">
      <c r="A7926" s="4" t="s">
        <v>17863</v>
      </c>
      <c r="B7926" s="5" t="s">
        <v>17863</v>
      </c>
      <c r="C7926" s="5" t="s">
        <v>75</v>
      </c>
      <c r="D7926" s="5" t="s">
        <v>76</v>
      </c>
      <c r="E7926" s="5" t="s">
        <v>182</v>
      </c>
      <c r="F7926" s="9">
        <v>18</v>
      </c>
      <c r="G7926" s="9">
        <v>223</v>
      </c>
      <c r="H7926" s="5" t="s">
        <v>21</v>
      </c>
      <c r="I7926" s="5" t="s">
        <v>17864</v>
      </c>
      <c r="J7926" s="12" t="str">
        <f>HYPERLINK("https://www.boe.es/gazeta/dias/1801/03/03/pdfs/GMD-1801-18.pdf#page=4","Abrir facsímil")</f>
        <v>Abrir facsímil</v>
      </c>
      <c r="K7926" s="15" t="s">
        <v>23</v>
      </c>
    </row>
    <row r="7927" spans="1:11" ht="42" customHeight="1">
      <c r="A7927" s="4" t="s">
        <v>17865</v>
      </c>
      <c r="B7927" s="5" t="s">
        <v>17865</v>
      </c>
      <c r="C7927" s="5" t="s">
        <v>75</v>
      </c>
      <c r="D7927" s="5" t="s">
        <v>76</v>
      </c>
      <c r="E7927" s="5" t="s">
        <v>781</v>
      </c>
      <c r="F7927" s="9">
        <v>14</v>
      </c>
      <c r="G7927" s="9">
        <v>171</v>
      </c>
      <c r="H7927" s="5" t="s">
        <v>21</v>
      </c>
      <c r="I7927" s="5" t="s">
        <v>17866</v>
      </c>
      <c r="J7927" s="12" t="str">
        <f>HYPERLINK("https://www.boe.es/gazeta/dias/1801/02/17/pdfs/GMD-1801-14.pdf#page=6","Abrir facsímil")</f>
        <v>Abrir facsímil</v>
      </c>
      <c r="K7927" s="15" t="s">
        <v>23</v>
      </c>
    </row>
    <row r="7928" spans="1:11" ht="42" customHeight="1">
      <c r="A7928" s="4" t="s">
        <v>17867</v>
      </c>
      <c r="B7928" s="5" t="s">
        <v>17867</v>
      </c>
      <c r="C7928" s="5" t="s">
        <v>75</v>
      </c>
      <c r="D7928" s="5" t="s">
        <v>76</v>
      </c>
      <c r="E7928" s="5" t="s">
        <v>275</v>
      </c>
      <c r="F7928" s="9">
        <v>9</v>
      </c>
      <c r="G7928" s="9">
        <v>108</v>
      </c>
      <c r="H7928" s="5" t="s">
        <v>21</v>
      </c>
      <c r="I7928" s="5" t="s">
        <v>17868</v>
      </c>
      <c r="J7928" s="12" t="str">
        <f>HYPERLINK("https://www.boe.es/gazeta/dias/1801/01/30/pdfs/GMD-1801-9.pdf#page=5","Abrir facsímil")</f>
        <v>Abrir facsímil</v>
      </c>
      <c r="K7928" s="15" t="s">
        <v>23</v>
      </c>
    </row>
    <row r="7929" spans="1:11" ht="42" customHeight="1">
      <c r="A7929" s="4" t="s">
        <v>17869</v>
      </c>
      <c r="B7929" s="5" t="s">
        <v>17869</v>
      </c>
      <c r="C7929" s="5" t="s">
        <v>18</v>
      </c>
      <c r="D7929" s="5" t="s">
        <v>19</v>
      </c>
      <c r="E7929" s="5" t="s">
        <v>781</v>
      </c>
      <c r="F7929" s="9">
        <v>14</v>
      </c>
      <c r="G7929" s="9">
        <v>171</v>
      </c>
      <c r="H7929" s="5" t="s">
        <v>21</v>
      </c>
      <c r="I7929" s="5" t="s">
        <v>17870</v>
      </c>
      <c r="J7929" s="12" t="str">
        <f>HYPERLINK("https://www.boe.es/gazeta/dias/1801/02/17/pdfs/GMD-1801-14.pdf#page=6","Abrir facsímil")</f>
        <v>Abrir facsímil</v>
      </c>
      <c r="K7929" s="15" t="s">
        <v>23</v>
      </c>
    </row>
    <row r="7930" spans="1:11" ht="42" customHeight="1">
      <c r="A7930" s="4" t="s">
        <v>17871</v>
      </c>
      <c r="B7930" s="5" t="s">
        <v>17871</v>
      </c>
      <c r="C7930" s="5" t="s">
        <v>75</v>
      </c>
      <c r="D7930" s="5" t="s">
        <v>76</v>
      </c>
      <c r="E7930" s="5" t="s">
        <v>462</v>
      </c>
      <c r="F7930" s="9">
        <v>5</v>
      </c>
      <c r="G7930" s="9">
        <v>55</v>
      </c>
      <c r="H7930" s="5" t="s">
        <v>21</v>
      </c>
      <c r="I7930" s="5" t="s">
        <v>17872</v>
      </c>
      <c r="J7930" s="12" t="str">
        <f>HYPERLINK("https://www.boe.es/gazeta/dias/1801/01/16/pdfs/GMD-1801-5.pdf#page=7","Abrir facsímil")</f>
        <v>Abrir facsímil</v>
      </c>
      <c r="K7930" s="15" t="s">
        <v>23</v>
      </c>
    </row>
    <row r="7931" spans="1:11" ht="42" customHeight="1">
      <c r="A7931" s="4" t="s">
        <v>17873</v>
      </c>
      <c r="B7931" s="5" t="s">
        <v>17873</v>
      </c>
      <c r="C7931" s="5" t="s">
        <v>75</v>
      </c>
      <c r="D7931" s="5" t="s">
        <v>76</v>
      </c>
      <c r="E7931" s="5" t="s">
        <v>122</v>
      </c>
      <c r="F7931" s="9">
        <v>8</v>
      </c>
      <c r="G7931" s="9">
        <v>92</v>
      </c>
      <c r="H7931" s="5" t="s">
        <v>21</v>
      </c>
      <c r="I7931" s="5" t="s">
        <v>17874</v>
      </c>
      <c r="J7931" s="12" t="str">
        <f>HYPERLINK("https://www.boe.es/gazeta/dias/1801/01/27/pdfs/GMD-1801-8.pdf#page=4","Abrir facsímil")</f>
        <v>Abrir facsímil</v>
      </c>
      <c r="K7931" s="15" t="s">
        <v>23</v>
      </c>
    </row>
    <row r="7932" spans="1:11" ht="42" customHeight="1">
      <c r="A7932" s="4" t="s">
        <v>17875</v>
      </c>
      <c r="B7932" s="5" t="s">
        <v>17875</v>
      </c>
      <c r="C7932" s="5" t="s">
        <v>75</v>
      </c>
      <c r="D7932" s="5" t="s">
        <v>76</v>
      </c>
      <c r="E7932" s="5" t="s">
        <v>124</v>
      </c>
      <c r="F7932" s="9">
        <v>12</v>
      </c>
      <c r="G7932" s="9">
        <v>145</v>
      </c>
      <c r="H7932" s="5" t="s">
        <v>21</v>
      </c>
      <c r="I7932" s="5" t="s">
        <v>17876</v>
      </c>
      <c r="J7932" s="12" t="str">
        <f>HYPERLINK("https://www.boe.es/gazeta/dias/1801/02/10/pdfs/GMD-1801-12.pdf#page=6","Abrir facsímil")</f>
        <v>Abrir facsímil</v>
      </c>
      <c r="K7932" s="15" t="s">
        <v>23</v>
      </c>
    </row>
    <row r="7933" spans="1:11" ht="42" customHeight="1">
      <c r="A7933" s="4" t="s">
        <v>17877</v>
      </c>
      <c r="B7933" s="5" t="s">
        <v>17877</v>
      </c>
      <c r="C7933" s="5" t="s">
        <v>32</v>
      </c>
      <c r="D7933" s="5" t="s">
        <v>33</v>
      </c>
      <c r="E7933" s="5" t="s">
        <v>126</v>
      </c>
      <c r="F7933" s="9">
        <v>13</v>
      </c>
      <c r="G7933" s="9">
        <v>160</v>
      </c>
      <c r="H7933" s="5" t="s">
        <v>21</v>
      </c>
      <c r="I7933" s="5" t="s">
        <v>17878</v>
      </c>
      <c r="J7933" s="12" t="str">
        <f>HYPERLINK("https://www.boe.es/gazeta/dias/1801/02/13/pdfs/GMD-1801-13.pdf#page=7","Abrir facsímil")</f>
        <v>Abrir facsímil</v>
      </c>
      <c r="K7933" s="15" t="s">
        <v>23</v>
      </c>
    </row>
    <row r="7934" spans="1:11" ht="42" customHeight="1">
      <c r="A7934" s="4" t="s">
        <v>17879</v>
      </c>
      <c r="B7934" s="5" t="s">
        <v>17879</v>
      </c>
      <c r="C7934" s="5" t="s">
        <v>1481</v>
      </c>
      <c r="D7934" s="5" t="s">
        <v>1482</v>
      </c>
      <c r="E7934" s="5" t="s">
        <v>1487</v>
      </c>
      <c r="F7934" s="9" t="s">
        <v>1488</v>
      </c>
      <c r="G7934" s="9">
        <v>646</v>
      </c>
      <c r="H7934" s="5" t="s">
        <v>21</v>
      </c>
      <c r="I7934" s="5" t="s">
        <v>17880</v>
      </c>
      <c r="J7934" s="12" t="str">
        <f>HYPERLINK("https://www.boe.es/gazeta/dias/1801/06/17/pdfs/GMD-1801-56E.pdf#page=6","Abrir facsímil")</f>
        <v>Abrir facsímil</v>
      </c>
      <c r="K7934" s="15" t="s">
        <v>23</v>
      </c>
    </row>
    <row r="7935" spans="1:11" ht="42" customHeight="1">
      <c r="A7935" s="4" t="s">
        <v>17881</v>
      </c>
      <c r="B7935" s="5" t="s">
        <v>17881</v>
      </c>
      <c r="C7935" s="5" t="s">
        <v>32</v>
      </c>
      <c r="D7935" s="5" t="s">
        <v>33</v>
      </c>
      <c r="E7935" s="5" t="s">
        <v>2339</v>
      </c>
      <c r="F7935" s="9" t="s">
        <v>2340</v>
      </c>
      <c r="G7935" s="9">
        <v>617</v>
      </c>
      <c r="H7935" s="5" t="s">
        <v>21</v>
      </c>
      <c r="I7935" s="5" t="s">
        <v>17882</v>
      </c>
      <c r="J7935" s="12" t="str">
        <f>HYPERLINK("https://www.boe.es/gazeta/dias/1801/06/15/pdfs/GMD-1801-54E.pdf#page=1","Abrir facsímil")</f>
        <v>Abrir facsímil</v>
      </c>
      <c r="K7935" s="15" t="s">
        <v>23</v>
      </c>
    </row>
    <row r="7936" spans="1:11" ht="42" customHeight="1">
      <c r="A7936" s="4" t="s">
        <v>17883</v>
      </c>
      <c r="B7936" s="5" t="s">
        <v>17883</v>
      </c>
      <c r="C7936" s="5" t="s">
        <v>32</v>
      </c>
      <c r="D7936" s="5" t="s">
        <v>33</v>
      </c>
      <c r="E7936" s="5" t="s">
        <v>448</v>
      </c>
      <c r="F7936" s="9">
        <v>35</v>
      </c>
      <c r="G7936" s="9">
        <v>454</v>
      </c>
      <c r="H7936" s="5" t="s">
        <v>21</v>
      </c>
      <c r="I7936" s="5" t="s">
        <v>17884</v>
      </c>
      <c r="J7936" s="12" t="str">
        <f>HYPERLINK("https://www.boe.es/gazeta/dias/1801/05/01/pdfs/GMD-1801-35.pdf#page=10","Abrir facsímil")</f>
        <v>Abrir facsímil</v>
      </c>
      <c r="K7936" s="15" t="s">
        <v>23</v>
      </c>
    </row>
    <row r="7937" spans="1:11" ht="42" customHeight="1">
      <c r="A7937" s="4" t="s">
        <v>17885</v>
      </c>
      <c r="B7937" s="5" t="s">
        <v>17885</v>
      </c>
      <c r="C7937" s="5" t="s">
        <v>32</v>
      </c>
      <c r="D7937" s="5" t="s">
        <v>33</v>
      </c>
      <c r="E7937" s="5" t="s">
        <v>151</v>
      </c>
      <c r="F7937" s="9" t="s">
        <v>1483</v>
      </c>
      <c r="G7937" s="9">
        <v>566</v>
      </c>
      <c r="H7937" s="5" t="s">
        <v>21</v>
      </c>
      <c r="I7937" s="5" t="s">
        <v>17886</v>
      </c>
      <c r="J7937" s="12" t="str">
        <f>HYPERLINK("https://www.boe.es/gazeta/dias/1801/06/02/pdfs/GMD-1801-46E.pdf#page=2","Abrir facsímil")</f>
        <v>Abrir facsímil</v>
      </c>
      <c r="K7937" s="15" t="s">
        <v>23</v>
      </c>
    </row>
    <row r="7938" spans="1:11" ht="42" customHeight="1">
      <c r="A7938" s="4" t="s">
        <v>17887</v>
      </c>
      <c r="B7938" s="5" t="s">
        <v>17887</v>
      </c>
      <c r="C7938" s="5" t="s">
        <v>1481</v>
      </c>
      <c r="D7938" s="5" t="s">
        <v>1482</v>
      </c>
      <c r="E7938" s="5" t="s">
        <v>2339</v>
      </c>
      <c r="F7938" s="9" t="s">
        <v>2340</v>
      </c>
      <c r="G7938" s="9">
        <v>622</v>
      </c>
      <c r="H7938" s="5" t="s">
        <v>21</v>
      </c>
      <c r="I7938" s="5" t="s">
        <v>17888</v>
      </c>
      <c r="J7938" s="12" t="str">
        <f>HYPERLINK("https://www.boe.es/gazeta/dias/1801/06/15/pdfs/GMD-1801-54E.pdf#page=6","Abrir facsímil")</f>
        <v>Abrir facsímil</v>
      </c>
      <c r="K7938" s="15" t="s">
        <v>23</v>
      </c>
    </row>
    <row r="7939" spans="1:11" ht="42" customHeight="1">
      <c r="A7939" s="4" t="s">
        <v>17889</v>
      </c>
      <c r="B7939" s="5" t="s">
        <v>17889</v>
      </c>
      <c r="C7939" s="5" t="s">
        <v>75</v>
      </c>
      <c r="D7939" s="5" t="s">
        <v>76</v>
      </c>
      <c r="E7939" s="5" t="s">
        <v>137</v>
      </c>
      <c r="F7939" s="9">
        <v>30</v>
      </c>
      <c r="G7939" s="9">
        <v>389</v>
      </c>
      <c r="H7939" s="5" t="s">
        <v>21</v>
      </c>
      <c r="I7939" s="5" t="s">
        <v>17890</v>
      </c>
      <c r="J7939" s="12" t="str">
        <f>HYPERLINK("https://www.boe.es/gazeta/dias/1801/04/14/pdfs/GMD-1801-30.pdf#page=5","Abrir facsímil")</f>
        <v>Abrir facsímil</v>
      </c>
      <c r="K7939" s="15" t="s">
        <v>23</v>
      </c>
    </row>
    <row r="7940" spans="1:11" ht="42" customHeight="1">
      <c r="A7940" s="4" t="s">
        <v>17891</v>
      </c>
      <c r="B7940" s="5" t="s">
        <v>17891</v>
      </c>
      <c r="C7940" s="5" t="s">
        <v>32</v>
      </c>
      <c r="D7940" s="5" t="s">
        <v>33</v>
      </c>
      <c r="E7940" s="5" t="s">
        <v>919</v>
      </c>
      <c r="F7940" s="9">
        <v>91</v>
      </c>
      <c r="G7940" s="9">
        <v>1001</v>
      </c>
      <c r="H7940" s="5" t="s">
        <v>21</v>
      </c>
      <c r="I7940" s="5" t="s">
        <v>17892</v>
      </c>
      <c r="J7940" s="12" t="str">
        <f>HYPERLINK("https://www.boe.es/gazeta/dias/1801/09/22/pdfs/GMD-1801-91.pdf#page=4","Abrir facsímil")</f>
        <v>Abrir facsímil</v>
      </c>
      <c r="K7940" s="15" t="s">
        <v>23</v>
      </c>
    </row>
    <row r="7941" spans="1:11" ht="42" customHeight="1">
      <c r="A7941" s="4" t="s">
        <v>17893</v>
      </c>
      <c r="B7941" s="5" t="s">
        <v>17893</v>
      </c>
      <c r="C7941" s="5" t="s">
        <v>38</v>
      </c>
      <c r="D7941" s="5" t="s">
        <v>39</v>
      </c>
      <c r="E7941" s="5" t="s">
        <v>1058</v>
      </c>
      <c r="F7941" s="9">
        <v>108</v>
      </c>
      <c r="G7941" s="9">
        <v>1188</v>
      </c>
      <c r="H7941" s="5" t="s">
        <v>21</v>
      </c>
      <c r="I7941" s="5" t="s">
        <v>17894</v>
      </c>
      <c r="J7941" s="12" t="str">
        <f>HYPERLINK("https://www.boe.es/gazeta/dias/1801/11/20/pdfs/GMD-1801-108.pdf#page=5","Abrir facsímil")</f>
        <v>Abrir facsímil</v>
      </c>
      <c r="K7941" s="15" t="s">
        <v>23</v>
      </c>
    </row>
    <row r="7942" spans="1:11" ht="42" customHeight="1">
      <c r="A7942" s="4" t="s">
        <v>17895</v>
      </c>
      <c r="B7942" s="5" t="s">
        <v>17895</v>
      </c>
      <c r="C7942" s="5" t="s">
        <v>32</v>
      </c>
      <c r="D7942" s="5" t="s">
        <v>33</v>
      </c>
      <c r="E7942" s="5" t="s">
        <v>112</v>
      </c>
      <c r="F7942" s="9">
        <v>114</v>
      </c>
      <c r="G7942" s="9">
        <v>1248</v>
      </c>
      <c r="H7942" s="5" t="s">
        <v>21</v>
      </c>
      <c r="I7942" s="5" t="s">
        <v>17896</v>
      </c>
      <c r="J7942" s="12" t="str">
        <f>HYPERLINK("https://www.boe.es/gazeta/dias/1801/12/11/pdfs/GMD-1801-114.pdf#page=10","Abrir facsímil")</f>
        <v>Abrir facsímil</v>
      </c>
      <c r="K7942" s="15" t="s">
        <v>23</v>
      </c>
    </row>
    <row r="7943" spans="1:11" ht="42" customHeight="1">
      <c r="A7943" s="4" t="s">
        <v>17897</v>
      </c>
      <c r="B7943" s="5" t="s">
        <v>17897</v>
      </c>
      <c r="C7943" s="5" t="s">
        <v>32</v>
      </c>
      <c r="D7943" s="5" t="s">
        <v>33</v>
      </c>
      <c r="E7943" s="5" t="s">
        <v>44</v>
      </c>
      <c r="F7943" s="9">
        <v>117</v>
      </c>
      <c r="G7943" s="9">
        <v>1276</v>
      </c>
      <c r="H7943" s="5" t="s">
        <v>21</v>
      </c>
      <c r="I7943" s="5" t="s">
        <v>17898</v>
      </c>
      <c r="J7943" s="12" t="str">
        <f>HYPERLINK("https://www.boe.es/gazeta/dias/1801/12/22/pdfs/GMD-1801-117.pdf#page=3","Abrir facsímil")</f>
        <v>Abrir facsímil</v>
      </c>
      <c r="K7943" s="15" t="s">
        <v>23</v>
      </c>
    </row>
    <row r="7944" spans="1:11" ht="42" customHeight="1">
      <c r="A7944" s="4" t="s">
        <v>17899</v>
      </c>
      <c r="B7944" s="5" t="s">
        <v>17899</v>
      </c>
      <c r="C7944" s="5" t="s">
        <v>75</v>
      </c>
      <c r="D7944" s="5" t="s">
        <v>76</v>
      </c>
      <c r="E7944" s="5" t="s">
        <v>448</v>
      </c>
      <c r="F7944" s="9">
        <v>35</v>
      </c>
      <c r="G7944" s="9">
        <v>447</v>
      </c>
      <c r="H7944" s="5" t="s">
        <v>21</v>
      </c>
      <c r="I7944" s="5" t="s">
        <v>17900</v>
      </c>
      <c r="J7944" s="12" t="str">
        <f>HYPERLINK("https://www.boe.es/gazeta/dias/1801/05/01/pdfs/GMD-1801-35.pdf#page=3","Abrir facsímil")</f>
        <v>Abrir facsímil</v>
      </c>
      <c r="K7944" s="15" t="s">
        <v>23</v>
      </c>
    </row>
    <row r="7945" spans="1:11" ht="42" customHeight="1">
      <c r="A7945" s="4" t="s">
        <v>17901</v>
      </c>
      <c r="B7945" s="5" t="s">
        <v>17901</v>
      </c>
      <c r="C7945" s="5" t="s">
        <v>32</v>
      </c>
      <c r="D7945" s="5" t="s">
        <v>33</v>
      </c>
      <c r="E7945" s="5" t="s">
        <v>321</v>
      </c>
      <c r="F7945" s="9">
        <v>3</v>
      </c>
      <c r="G7945" s="9">
        <v>30</v>
      </c>
      <c r="H7945" s="5" t="s">
        <v>21</v>
      </c>
      <c r="I7945" s="5" t="s">
        <v>17902</v>
      </c>
      <c r="J7945" s="12" t="str">
        <f>HYPERLINK("https://www.boe.es/gazeta/dias/1801/01/09/pdfs/GMD-1801-3.pdf#page=6","Abrir facsímil")</f>
        <v>Abrir facsímil</v>
      </c>
      <c r="K7945" s="15" t="s">
        <v>23</v>
      </c>
    </row>
    <row r="7946" spans="1:11" ht="42" customHeight="1">
      <c r="A7946" s="4" t="s">
        <v>17903</v>
      </c>
      <c r="B7946" s="5" t="s">
        <v>17903</v>
      </c>
      <c r="C7946" s="5" t="s">
        <v>75</v>
      </c>
      <c r="D7946" s="5" t="s">
        <v>76</v>
      </c>
      <c r="E7946" s="5" t="s">
        <v>275</v>
      </c>
      <c r="F7946" s="9">
        <v>9</v>
      </c>
      <c r="G7946" s="9">
        <v>108</v>
      </c>
      <c r="H7946" s="5" t="s">
        <v>21</v>
      </c>
      <c r="I7946" s="5" t="s">
        <v>17904</v>
      </c>
      <c r="J7946" s="12" t="str">
        <f>HYPERLINK("https://www.boe.es/gazeta/dias/1801/01/30/pdfs/GMD-1801-9.pdf#page=5","Abrir facsímil")</f>
        <v>Abrir facsímil</v>
      </c>
      <c r="K7946" s="15" t="s">
        <v>23</v>
      </c>
    </row>
    <row r="7947" spans="1:11" ht="42" customHeight="1">
      <c r="A7947" s="4" t="s">
        <v>17905</v>
      </c>
      <c r="B7947" s="5" t="s">
        <v>17905</v>
      </c>
      <c r="C7947" s="5" t="s">
        <v>32</v>
      </c>
      <c r="D7947" s="5" t="s">
        <v>33</v>
      </c>
      <c r="E7947" s="5" t="s">
        <v>462</v>
      </c>
      <c r="F7947" s="9">
        <v>5</v>
      </c>
      <c r="G7947" s="9">
        <v>52</v>
      </c>
      <c r="H7947" s="5" t="s">
        <v>21</v>
      </c>
      <c r="I7947" s="5" t="s">
        <v>17906</v>
      </c>
      <c r="J7947" s="12" t="str">
        <f>HYPERLINK("https://www.boe.es/gazeta/dias/1801/01/16/pdfs/GMD-1801-5.pdf#page=4","Abrir facsímil")</f>
        <v>Abrir facsímil</v>
      </c>
      <c r="K7947" s="15" t="s">
        <v>23</v>
      </c>
    </row>
    <row r="7948" spans="1:11" ht="42" customHeight="1">
      <c r="A7948" s="4" t="s">
        <v>17905</v>
      </c>
      <c r="B7948" s="5" t="s">
        <v>17905</v>
      </c>
      <c r="C7948" s="5" t="s">
        <v>75</v>
      </c>
      <c r="D7948" s="5" t="s">
        <v>76</v>
      </c>
      <c r="E7948" s="5" t="s">
        <v>66</v>
      </c>
      <c r="F7948" s="9">
        <v>52</v>
      </c>
      <c r="G7948" s="9">
        <v>606</v>
      </c>
      <c r="H7948" s="5" t="s">
        <v>21</v>
      </c>
      <c r="I7948" s="5" t="s">
        <v>17907</v>
      </c>
      <c r="J7948" s="12" t="str">
        <f>HYPERLINK("https://www.boe.es/gazeta/dias/1801/06/12/pdfs/GMD-1801-52.pdf#page=5","Abrir facsímil")</f>
        <v>Abrir facsímil</v>
      </c>
      <c r="K7948" s="15" t="s">
        <v>23</v>
      </c>
    </row>
    <row r="7949" spans="1:11" ht="42" customHeight="1">
      <c r="A7949" s="4" t="s">
        <v>17908</v>
      </c>
      <c r="B7949" s="5" t="s">
        <v>17908</v>
      </c>
      <c r="C7949" s="5" t="s">
        <v>75</v>
      </c>
      <c r="D7949" s="5" t="s">
        <v>76</v>
      </c>
      <c r="E7949" s="5" t="s">
        <v>141</v>
      </c>
      <c r="F7949" s="9">
        <v>33</v>
      </c>
      <c r="G7949" s="9">
        <v>424</v>
      </c>
      <c r="H7949" s="5" t="s">
        <v>21</v>
      </c>
      <c r="I7949" s="5" t="s">
        <v>17909</v>
      </c>
      <c r="J7949" s="12" t="str">
        <f>HYPERLINK("https://www.boe.es/gazeta/dias/1801/04/24/pdfs/GMD-1801-33.pdf#page=8","Abrir facsímil")</f>
        <v>Abrir facsímil</v>
      </c>
      <c r="K7949" s="15" t="s">
        <v>23</v>
      </c>
    </row>
    <row r="7950" spans="1:11" ht="42" customHeight="1">
      <c r="A7950" s="4" t="s">
        <v>17910</v>
      </c>
      <c r="B7950" s="5" t="s">
        <v>17910</v>
      </c>
      <c r="C7950" s="5" t="s">
        <v>38</v>
      </c>
      <c r="D7950" s="5" t="s">
        <v>39</v>
      </c>
      <c r="E7950" s="5" t="s">
        <v>751</v>
      </c>
      <c r="F7950" s="9">
        <v>106</v>
      </c>
      <c r="G7950" s="9">
        <v>1164</v>
      </c>
      <c r="H7950" s="5" t="s">
        <v>21</v>
      </c>
      <c r="I7950" s="5" t="s">
        <v>17911</v>
      </c>
      <c r="J7950" s="12" t="str">
        <f>HYPERLINK("https://www.boe.es/gazeta/dias/1801/11/13/pdfs/GMD-1801-106.pdf#page=5","Abrir facsímil")</f>
        <v>Abrir facsímil</v>
      </c>
      <c r="K7950" s="15" t="s">
        <v>23</v>
      </c>
    </row>
    <row r="7951" spans="1:11" ht="42" customHeight="1">
      <c r="A7951" s="4" t="s">
        <v>17912</v>
      </c>
      <c r="B7951" s="5" t="s">
        <v>17912</v>
      </c>
      <c r="C7951" s="5" t="s">
        <v>32</v>
      </c>
      <c r="D7951" s="5" t="s">
        <v>33</v>
      </c>
      <c r="E7951" s="5" t="s">
        <v>155</v>
      </c>
      <c r="F7951" s="9">
        <v>50</v>
      </c>
      <c r="G7951" s="9">
        <v>594</v>
      </c>
      <c r="H7951" s="5" t="s">
        <v>21</v>
      </c>
      <c r="I7951" s="5" t="s">
        <v>17913</v>
      </c>
      <c r="J7951" s="12" t="str">
        <f>HYPERLINK("https://www.boe.es/gazeta/dias/1801/06/09/pdfs/GMD-1801-50.pdf#page=6","Abrir facsímil")</f>
        <v>Abrir facsímil</v>
      </c>
      <c r="K7951" s="15" t="s">
        <v>23</v>
      </c>
    </row>
    <row r="7952" spans="1:11" ht="42" customHeight="1">
      <c r="A7952" s="4" t="s">
        <v>17914</v>
      </c>
      <c r="B7952" s="5" t="s">
        <v>17914</v>
      </c>
      <c r="C7952" s="5" t="s">
        <v>32</v>
      </c>
      <c r="D7952" s="5" t="s">
        <v>33</v>
      </c>
      <c r="E7952" s="5" t="s">
        <v>62</v>
      </c>
      <c r="F7952" s="9">
        <v>6</v>
      </c>
      <c r="G7952" s="9">
        <v>66</v>
      </c>
      <c r="H7952" s="5" t="s">
        <v>21</v>
      </c>
      <c r="I7952" s="5" t="s">
        <v>17915</v>
      </c>
      <c r="J7952" s="12" t="str">
        <f>HYPERLINK("https://www.boe.es/gazeta/dias/1801/01/20/pdfs/GMD-1801-6.pdf#page=2","Abrir facsímil")</f>
        <v>Abrir facsímil</v>
      </c>
      <c r="K7952" s="15" t="s">
        <v>23</v>
      </c>
    </row>
    <row r="7953" spans="1:11" ht="42" customHeight="1">
      <c r="A7953" s="4" t="s">
        <v>17916</v>
      </c>
      <c r="B7953" s="5" t="s">
        <v>17916</v>
      </c>
      <c r="C7953" s="5" t="s">
        <v>75</v>
      </c>
      <c r="D7953" s="5" t="s">
        <v>76</v>
      </c>
      <c r="E7953" s="5" t="s">
        <v>219</v>
      </c>
      <c r="F7953" s="9">
        <v>26</v>
      </c>
      <c r="G7953" s="9">
        <v>341</v>
      </c>
      <c r="H7953" s="5" t="s">
        <v>21</v>
      </c>
      <c r="I7953" s="5" t="s">
        <v>17917</v>
      </c>
      <c r="J7953" s="12" t="str">
        <f>HYPERLINK("https://www.boe.es/gazeta/dias/1801/03/31/pdfs/GMD-1801-26.pdf#page=5","Abrir facsímil")</f>
        <v>Abrir facsímil</v>
      </c>
      <c r="K7953" s="15" t="s">
        <v>23</v>
      </c>
    </row>
    <row r="7954" spans="1:11" ht="42" customHeight="1">
      <c r="A7954" s="4" t="s">
        <v>17914</v>
      </c>
      <c r="B7954" s="5" t="s">
        <v>17914</v>
      </c>
      <c r="C7954" s="5" t="s">
        <v>38</v>
      </c>
      <c r="D7954" s="5" t="s">
        <v>39</v>
      </c>
      <c r="E7954" s="5" t="s">
        <v>309</v>
      </c>
      <c r="F7954" s="9">
        <v>118</v>
      </c>
      <c r="G7954" s="9">
        <v>1290</v>
      </c>
      <c r="H7954" s="5" t="s">
        <v>21</v>
      </c>
      <c r="I7954" s="5" t="s">
        <v>17918</v>
      </c>
      <c r="J7954" s="12" t="str">
        <f>HYPERLINK("https://www.boe.es/gazeta/dias/1801/12/25/pdfs/GMD-1801-118.pdf#page=5","Abrir facsímil")</f>
        <v>Abrir facsímil</v>
      </c>
      <c r="K7954" s="15" t="s">
        <v>23</v>
      </c>
    </row>
    <row r="7955" spans="1:11" ht="42" customHeight="1">
      <c r="A7955" s="4" t="s">
        <v>17919</v>
      </c>
      <c r="B7955" s="5" t="s">
        <v>17919</v>
      </c>
      <c r="C7955" s="5" t="s">
        <v>75</v>
      </c>
      <c r="D7955" s="5" t="s">
        <v>76</v>
      </c>
      <c r="E7955" s="5" t="s">
        <v>321</v>
      </c>
      <c r="F7955" s="9">
        <v>3</v>
      </c>
      <c r="G7955" s="9">
        <v>26</v>
      </c>
      <c r="H7955" s="5" t="s">
        <v>21</v>
      </c>
      <c r="I7955" s="5" t="s">
        <v>17920</v>
      </c>
      <c r="J7955" s="12" t="str">
        <f>HYPERLINK("https://www.boe.es/gazeta/dias/1801/01/09/pdfs/GMD-1801-3.pdf#page=2","Abrir facsímil")</f>
        <v>Abrir facsímil</v>
      </c>
      <c r="K7955" s="15" t="s">
        <v>23</v>
      </c>
    </row>
    <row r="7956" spans="1:11" ht="42" customHeight="1">
      <c r="A7956" s="4" t="s">
        <v>17921</v>
      </c>
      <c r="B7956" s="5" t="s">
        <v>17921</v>
      </c>
      <c r="C7956" s="5" t="s">
        <v>38</v>
      </c>
      <c r="D7956" s="5" t="s">
        <v>39</v>
      </c>
      <c r="E7956" s="5" t="s">
        <v>309</v>
      </c>
      <c r="F7956" s="9">
        <v>118</v>
      </c>
      <c r="G7956" s="9">
        <v>1291</v>
      </c>
      <c r="H7956" s="5" t="s">
        <v>21</v>
      </c>
      <c r="I7956" s="5" t="s">
        <v>17922</v>
      </c>
      <c r="J7956" s="12" t="str">
        <f>HYPERLINK("https://www.boe.es/gazeta/dias/1801/12/25/pdfs/GMD-1801-118.pdf#page=6","Abrir facsímil")</f>
        <v>Abrir facsímil</v>
      </c>
      <c r="K7956" s="15" t="s">
        <v>23</v>
      </c>
    </row>
    <row r="7957" spans="1:11" ht="42" customHeight="1">
      <c r="A7957" s="4" t="s">
        <v>17923</v>
      </c>
      <c r="B7957" s="5" t="s">
        <v>17923</v>
      </c>
      <c r="C7957" s="5" t="s">
        <v>75</v>
      </c>
      <c r="D7957" s="5" t="s">
        <v>76</v>
      </c>
      <c r="E7957" s="5" t="s">
        <v>62</v>
      </c>
      <c r="F7957" s="9">
        <v>6</v>
      </c>
      <c r="G7957" s="9">
        <v>66</v>
      </c>
      <c r="H7957" s="5" t="s">
        <v>21</v>
      </c>
      <c r="I7957" s="5" t="s">
        <v>17924</v>
      </c>
      <c r="J7957" s="12" t="str">
        <f>HYPERLINK("https://www.boe.es/gazeta/dias/1801/01/20/pdfs/GMD-1801-6.pdf#page=2","Abrir facsímil")</f>
        <v>Abrir facsímil</v>
      </c>
      <c r="K7957" s="15" t="s">
        <v>23</v>
      </c>
    </row>
    <row r="7958" spans="1:11" ht="42" customHeight="1">
      <c r="A7958" s="4" t="s">
        <v>17925</v>
      </c>
      <c r="B7958" s="5" t="s">
        <v>17925</v>
      </c>
      <c r="C7958" s="5" t="s">
        <v>26</v>
      </c>
      <c r="D7958" s="5" t="s">
        <v>27</v>
      </c>
      <c r="E7958" s="5" t="s">
        <v>70</v>
      </c>
      <c r="F7958" s="9">
        <v>2</v>
      </c>
      <c r="G7958" s="9">
        <v>17</v>
      </c>
      <c r="H7958" s="5" t="s">
        <v>21</v>
      </c>
      <c r="I7958" s="5" t="s">
        <v>17926</v>
      </c>
      <c r="J7958" s="12" t="str">
        <f>HYPERLINK("https://www.boe.es/gazeta/dias/1801/01/06/pdfs/GMD-1801-2.pdf#page=5","Abrir facsímil")</f>
        <v>Abrir facsímil</v>
      </c>
      <c r="K7958" s="15" t="s">
        <v>23</v>
      </c>
    </row>
    <row r="7959" spans="1:11" ht="42" customHeight="1">
      <c r="A7959" s="4" t="s">
        <v>17927</v>
      </c>
      <c r="B7959" s="5" t="s">
        <v>17927</v>
      </c>
      <c r="C7959" s="5" t="s">
        <v>18</v>
      </c>
      <c r="D7959" s="5" t="s">
        <v>19</v>
      </c>
      <c r="E7959" s="5" t="s">
        <v>120</v>
      </c>
      <c r="F7959" s="9">
        <v>7</v>
      </c>
      <c r="G7959" s="9">
        <v>81</v>
      </c>
      <c r="H7959" s="5" t="s">
        <v>21</v>
      </c>
      <c r="I7959" s="5" t="s">
        <v>17928</v>
      </c>
      <c r="J7959" s="12" t="str">
        <f>HYPERLINK("https://www.boe.es/gazeta/dias/1801/01/23/pdfs/GMD-1801-7.pdf#page=5","Abrir facsímil")</f>
        <v>Abrir facsímil</v>
      </c>
      <c r="K7959" s="15" t="s">
        <v>23</v>
      </c>
    </row>
    <row r="7960" spans="1:11" ht="42" customHeight="1">
      <c r="A7960" s="4" t="s">
        <v>17927</v>
      </c>
      <c r="B7960" s="5" t="s">
        <v>17927</v>
      </c>
      <c r="C7960" s="5" t="s">
        <v>75</v>
      </c>
      <c r="D7960" s="5" t="s">
        <v>76</v>
      </c>
      <c r="E7960" s="5" t="s">
        <v>122</v>
      </c>
      <c r="F7960" s="9">
        <v>8</v>
      </c>
      <c r="G7960" s="9">
        <v>95</v>
      </c>
      <c r="H7960" s="5" t="s">
        <v>21</v>
      </c>
      <c r="I7960" s="5" t="s">
        <v>17929</v>
      </c>
      <c r="J7960" s="12" t="str">
        <f>HYPERLINK("https://www.boe.es/gazeta/dias/1801/01/27/pdfs/GMD-1801-8.pdf#page=7","Abrir facsímil")</f>
        <v>Abrir facsímil</v>
      </c>
      <c r="K7960" s="15" t="s">
        <v>23</v>
      </c>
    </row>
    <row r="7961" spans="1:11" ht="42" customHeight="1">
      <c r="A7961" s="4" t="s">
        <v>17927</v>
      </c>
      <c r="B7961" s="5" t="s">
        <v>17927</v>
      </c>
      <c r="C7961" s="5" t="s">
        <v>75</v>
      </c>
      <c r="D7961" s="5" t="s">
        <v>76</v>
      </c>
      <c r="E7961" s="5" t="s">
        <v>182</v>
      </c>
      <c r="F7961" s="9">
        <v>18</v>
      </c>
      <c r="G7961" s="9">
        <v>224</v>
      </c>
      <c r="H7961" s="5" t="s">
        <v>21</v>
      </c>
      <c r="I7961" s="5" t="s">
        <v>17930</v>
      </c>
      <c r="J7961" s="12" t="str">
        <f>HYPERLINK("https://www.boe.es/gazeta/dias/1801/03/03/pdfs/GMD-1801-18.pdf#page=5","Abrir facsímil")</f>
        <v>Abrir facsímil</v>
      </c>
      <c r="K7961" s="15" t="s">
        <v>23</v>
      </c>
    </row>
    <row r="7962" spans="1:11" ht="42" customHeight="1">
      <c r="A7962" s="4" t="s">
        <v>17931</v>
      </c>
      <c r="B7962" s="5" t="s">
        <v>17931</v>
      </c>
      <c r="C7962" s="5" t="s">
        <v>18</v>
      </c>
      <c r="D7962" s="5" t="s">
        <v>19</v>
      </c>
      <c r="E7962" s="5" t="s">
        <v>145</v>
      </c>
      <c r="F7962" s="9">
        <v>36</v>
      </c>
      <c r="G7962" s="9">
        <v>464</v>
      </c>
      <c r="H7962" s="5" t="s">
        <v>21</v>
      </c>
      <c r="I7962" s="5" t="s">
        <v>17932</v>
      </c>
      <c r="J7962" s="12" t="str">
        <f>HYPERLINK("https://www.boe.es/gazeta/dias/1801/05/05/pdfs/GMD-1801-36.pdf#page=8","Abrir facsímil")</f>
        <v>Abrir facsímil</v>
      </c>
      <c r="K7962" s="15" t="s">
        <v>23</v>
      </c>
    </row>
    <row r="7963" spans="1:11" ht="42" customHeight="1">
      <c r="A7963" s="4" t="s">
        <v>17933</v>
      </c>
      <c r="B7963" s="5" t="s">
        <v>17933</v>
      </c>
      <c r="C7963" s="5" t="s">
        <v>1481</v>
      </c>
      <c r="D7963" s="5" t="s">
        <v>1482</v>
      </c>
      <c r="E7963" s="5" t="s">
        <v>2339</v>
      </c>
      <c r="F7963" s="9" t="s">
        <v>2340</v>
      </c>
      <c r="G7963" s="9">
        <v>622</v>
      </c>
      <c r="H7963" s="5" t="s">
        <v>21</v>
      </c>
      <c r="I7963" s="5" t="s">
        <v>17934</v>
      </c>
      <c r="J7963" s="12" t="str">
        <f>HYPERLINK("https://www.boe.es/gazeta/dias/1801/06/15/pdfs/GMD-1801-54E.pdf#page=6","Abrir facsímil")</f>
        <v>Abrir facsímil</v>
      </c>
      <c r="K7963" s="15" t="s">
        <v>23</v>
      </c>
    </row>
    <row r="7964" spans="1:11" ht="42" customHeight="1">
      <c r="A7964" s="4" t="s">
        <v>17935</v>
      </c>
      <c r="B7964" s="5" t="s">
        <v>17935</v>
      </c>
      <c r="C7964" s="5" t="s">
        <v>18</v>
      </c>
      <c r="D7964" s="5" t="s">
        <v>19</v>
      </c>
      <c r="E7964" s="5" t="s">
        <v>122</v>
      </c>
      <c r="F7964" s="9">
        <v>8</v>
      </c>
      <c r="G7964" s="9">
        <v>95</v>
      </c>
      <c r="H7964" s="5" t="s">
        <v>21</v>
      </c>
      <c r="I7964" s="5" t="s">
        <v>17936</v>
      </c>
      <c r="J7964" s="12" t="str">
        <f>HYPERLINK("https://www.boe.es/gazeta/dias/1801/01/27/pdfs/GMD-1801-8.pdf#page=7","Abrir facsímil")</f>
        <v>Abrir facsímil</v>
      </c>
      <c r="K7964" s="15" t="s">
        <v>23</v>
      </c>
    </row>
    <row r="7965" spans="1:11" ht="42" customHeight="1">
      <c r="A7965" s="4" t="s">
        <v>17937</v>
      </c>
      <c r="B7965" s="5" t="s">
        <v>17937</v>
      </c>
      <c r="C7965" s="5" t="s">
        <v>32</v>
      </c>
      <c r="D7965" s="5" t="s">
        <v>33</v>
      </c>
      <c r="E7965" s="5" t="s">
        <v>72</v>
      </c>
      <c r="F7965" s="9">
        <v>60</v>
      </c>
      <c r="G7965" s="9">
        <v>685</v>
      </c>
      <c r="H7965" s="5" t="s">
        <v>21</v>
      </c>
      <c r="I7965" s="5" t="s">
        <v>17938</v>
      </c>
      <c r="J7965" s="12" t="str">
        <f>HYPERLINK("https://www.boe.es/gazeta/dias/1801/06/26/pdfs/GMD-1801-60.pdf#page=6","Abrir facsímil")</f>
        <v>Abrir facsímil</v>
      </c>
      <c r="K7965" s="15" t="s">
        <v>23</v>
      </c>
    </row>
    <row r="7966" spans="1:11" ht="42" customHeight="1">
      <c r="A7966" s="4" t="s">
        <v>17939</v>
      </c>
      <c r="B7966" s="5" t="s">
        <v>17939</v>
      </c>
      <c r="C7966" s="5" t="s">
        <v>75</v>
      </c>
      <c r="D7966" s="5" t="s">
        <v>76</v>
      </c>
      <c r="E7966" s="5" t="s">
        <v>124</v>
      </c>
      <c r="F7966" s="9">
        <v>12</v>
      </c>
      <c r="G7966" s="9">
        <v>144</v>
      </c>
      <c r="H7966" s="5" t="s">
        <v>21</v>
      </c>
      <c r="I7966" s="5" t="s">
        <v>17940</v>
      </c>
      <c r="J7966" s="12" t="str">
        <f>HYPERLINK("https://www.boe.es/gazeta/dias/1801/02/10/pdfs/GMD-1801-12.pdf#page=5","Abrir facsímil")</f>
        <v>Abrir facsímil</v>
      </c>
      <c r="K7966" s="15" t="s">
        <v>23</v>
      </c>
    </row>
    <row r="7967" spans="1:11" ht="42" customHeight="1">
      <c r="A7967" s="4" t="s">
        <v>17941</v>
      </c>
      <c r="B7967" s="5" t="s">
        <v>17941</v>
      </c>
      <c r="C7967" s="5" t="s">
        <v>1481</v>
      </c>
      <c r="D7967" s="5" t="s">
        <v>1482</v>
      </c>
      <c r="E7967" s="5" t="s">
        <v>2339</v>
      </c>
      <c r="F7967" s="9" t="s">
        <v>2340</v>
      </c>
      <c r="G7967" s="9">
        <v>621</v>
      </c>
      <c r="H7967" s="5" t="s">
        <v>21</v>
      </c>
      <c r="I7967" s="5" t="s">
        <v>17942</v>
      </c>
      <c r="J7967" s="12" t="str">
        <f>HYPERLINK("https://www.boe.es/gazeta/dias/1801/06/15/pdfs/GMD-1801-54E.pdf#page=5","Abrir facsímil")</f>
        <v>Abrir facsímil</v>
      </c>
      <c r="K7967" s="15" t="s">
        <v>23</v>
      </c>
    </row>
    <row r="7968" spans="1:11" ht="42" customHeight="1">
      <c r="A7968" s="4" t="s">
        <v>17943</v>
      </c>
      <c r="B7968" s="5" t="s">
        <v>17943</v>
      </c>
      <c r="C7968" s="5" t="s">
        <v>26</v>
      </c>
      <c r="D7968" s="5" t="s">
        <v>27</v>
      </c>
      <c r="E7968" s="5" t="s">
        <v>919</v>
      </c>
      <c r="F7968" s="9">
        <v>91</v>
      </c>
      <c r="G7968" s="9">
        <v>1003</v>
      </c>
      <c r="H7968" s="5" t="s">
        <v>21</v>
      </c>
      <c r="I7968" s="5" t="s">
        <v>17944</v>
      </c>
      <c r="J7968" s="12" t="str">
        <f>HYPERLINK("https://www.boe.es/gazeta/dias/1801/09/22/pdfs/GMD-1801-91.pdf#page=6","Abrir facsímil")</f>
        <v>Abrir facsímil</v>
      </c>
      <c r="K7968" s="15" t="s">
        <v>23</v>
      </c>
    </row>
    <row r="7969" spans="1:11" ht="42" customHeight="1">
      <c r="A7969" s="4" t="s">
        <v>17945</v>
      </c>
      <c r="B7969" s="5" t="s">
        <v>17945</v>
      </c>
      <c r="C7969" s="5" t="s">
        <v>75</v>
      </c>
      <c r="D7969" s="5" t="s">
        <v>76</v>
      </c>
      <c r="E7969" s="5" t="s">
        <v>935</v>
      </c>
      <c r="F7969" s="9">
        <v>116</v>
      </c>
      <c r="G7969" s="9">
        <v>1265</v>
      </c>
      <c r="H7969" s="5" t="s">
        <v>21</v>
      </c>
      <c r="I7969" s="5" t="s">
        <v>17946</v>
      </c>
      <c r="J7969" s="12" t="str">
        <f>HYPERLINK("https://www.boe.es/gazeta/dias/1801/12/18/pdfs/GMD-1801-116.pdf#page=7","Abrir facsímil")</f>
        <v>Abrir facsímil</v>
      </c>
      <c r="K7969" s="15" t="s">
        <v>23</v>
      </c>
    </row>
    <row r="7970" spans="1:11" ht="42" customHeight="1">
      <c r="A7970" s="4" t="s">
        <v>17947</v>
      </c>
      <c r="B7970" s="5" t="s">
        <v>17947</v>
      </c>
      <c r="C7970" s="5" t="s">
        <v>75</v>
      </c>
      <c r="D7970" s="5" t="s">
        <v>76</v>
      </c>
      <c r="E7970" s="5" t="s">
        <v>292</v>
      </c>
      <c r="F7970" s="9">
        <v>25</v>
      </c>
      <c r="G7970" s="9">
        <v>324</v>
      </c>
      <c r="H7970" s="5" t="s">
        <v>21</v>
      </c>
      <c r="I7970" s="5" t="s">
        <v>17948</v>
      </c>
      <c r="J7970" s="12" t="str">
        <f>HYPERLINK("https://www.boe.es/gazeta/dias/1801/03/27/pdfs/GMD-1801-25.pdf#page=3","Abrir facsímil")</f>
        <v>Abrir facsímil</v>
      </c>
      <c r="K7970" s="15" t="s">
        <v>23</v>
      </c>
    </row>
    <row r="7971" spans="1:11" ht="42" customHeight="1">
      <c r="A7971" s="4" t="s">
        <v>17947</v>
      </c>
      <c r="B7971" s="5" t="s">
        <v>17947</v>
      </c>
      <c r="C7971" s="5" t="s">
        <v>32</v>
      </c>
      <c r="D7971" s="5" t="s">
        <v>33</v>
      </c>
      <c r="E7971" s="5" t="s">
        <v>221</v>
      </c>
      <c r="F7971" s="9">
        <v>28</v>
      </c>
      <c r="G7971" s="9">
        <v>361</v>
      </c>
      <c r="H7971" s="5" t="s">
        <v>21</v>
      </c>
      <c r="I7971" s="5" t="s">
        <v>17949</v>
      </c>
      <c r="J7971" s="12" t="str">
        <f>HYPERLINK("https://www.boe.es/gazeta/dias/1801/04/07/pdfs/GMD-1801-28.pdf#page=1","Abrir facsímil")</f>
        <v>Abrir facsímil</v>
      </c>
      <c r="K7971" s="15" t="s">
        <v>23</v>
      </c>
    </row>
    <row r="7972" spans="1:11" ht="42" customHeight="1">
      <c r="A7972" s="4" t="s">
        <v>17950</v>
      </c>
      <c r="B7972" s="5" t="s">
        <v>17950</v>
      </c>
      <c r="C7972" s="5" t="s">
        <v>32</v>
      </c>
      <c r="D7972" s="5" t="s">
        <v>33</v>
      </c>
      <c r="E7972" s="5" t="s">
        <v>256</v>
      </c>
      <c r="F7972" s="9">
        <v>78</v>
      </c>
      <c r="G7972" s="9">
        <v>873</v>
      </c>
      <c r="H7972" s="5" t="s">
        <v>21</v>
      </c>
      <c r="I7972" s="5" t="s">
        <v>17951</v>
      </c>
      <c r="J7972" s="12" t="str">
        <f>HYPERLINK("https://www.boe.es/gazeta/dias/1801/08/14/pdfs/GMD-1801-78.pdf#page=2","Abrir facsímil")</f>
        <v>Abrir facsímil</v>
      </c>
      <c r="K7972" s="15" t="s">
        <v>23</v>
      </c>
    </row>
    <row r="7973" spans="1:11" ht="42" customHeight="1">
      <c r="A7973" s="4" t="s">
        <v>17952</v>
      </c>
      <c r="B7973" s="5" t="s">
        <v>17952</v>
      </c>
      <c r="C7973" s="5" t="s">
        <v>75</v>
      </c>
      <c r="D7973" s="5" t="s">
        <v>76</v>
      </c>
      <c r="E7973" s="5" t="s">
        <v>292</v>
      </c>
      <c r="F7973" s="9">
        <v>25</v>
      </c>
      <c r="G7973" s="9">
        <v>324</v>
      </c>
      <c r="H7973" s="5" t="s">
        <v>21</v>
      </c>
      <c r="I7973" s="5" t="s">
        <v>17953</v>
      </c>
      <c r="J7973" s="12" t="str">
        <f>HYPERLINK("https://www.boe.es/gazeta/dias/1801/03/27/pdfs/GMD-1801-25.pdf#page=3","Abrir facsímil")</f>
        <v>Abrir facsímil</v>
      </c>
      <c r="K7973" s="15" t="s">
        <v>23</v>
      </c>
    </row>
    <row r="7974" spans="1:11" ht="42" customHeight="1">
      <c r="A7974" s="4" t="s">
        <v>17954</v>
      </c>
      <c r="B7974" s="5" t="s">
        <v>17954</v>
      </c>
      <c r="C7974" s="5" t="s">
        <v>75</v>
      </c>
      <c r="D7974" s="5" t="s">
        <v>76</v>
      </c>
      <c r="E7974" s="5" t="s">
        <v>317</v>
      </c>
      <c r="F7974" s="9">
        <v>102</v>
      </c>
      <c r="G7974" s="9">
        <v>1117</v>
      </c>
      <c r="H7974" s="5" t="s">
        <v>21</v>
      </c>
      <c r="I7974" s="5" t="s">
        <v>17955</v>
      </c>
      <c r="J7974" s="12" t="str">
        <f>HYPERLINK("https://www.boe.es/gazeta/dias/1801/10/30/pdfs/GMD-1801-102.pdf#page=2","Abrir facsímil")</f>
        <v>Abrir facsímil</v>
      </c>
      <c r="K7974" s="15" t="s">
        <v>23</v>
      </c>
    </row>
    <row r="7975" spans="1:11" ht="42" customHeight="1">
      <c r="A7975" s="4" t="s">
        <v>17956</v>
      </c>
      <c r="B7975" s="5" t="s">
        <v>17956</v>
      </c>
      <c r="C7975" s="5" t="s">
        <v>75</v>
      </c>
      <c r="D7975" s="5" t="s">
        <v>76</v>
      </c>
      <c r="E7975" s="5" t="s">
        <v>105</v>
      </c>
      <c r="F7975" s="9">
        <v>44</v>
      </c>
      <c r="G7975" s="9">
        <v>543</v>
      </c>
      <c r="H7975" s="5" t="s">
        <v>21</v>
      </c>
      <c r="I7975" s="5" t="s">
        <v>17957</v>
      </c>
      <c r="J7975" s="12" t="str">
        <f>HYPERLINK("https://www.boe.es/gazeta/dias/1801/05/29/pdfs/GMD-1801-44.pdf#page=3","Abrir facsímil")</f>
        <v>Abrir facsímil</v>
      </c>
      <c r="K7975" s="15" t="s">
        <v>23</v>
      </c>
    </row>
    <row r="7976" spans="1:11" ht="42" customHeight="1">
      <c r="A7976" s="4" t="s">
        <v>17958</v>
      </c>
      <c r="B7976" s="5" t="s">
        <v>17958</v>
      </c>
      <c r="C7976" s="5" t="s">
        <v>75</v>
      </c>
      <c r="D7976" s="5" t="s">
        <v>76</v>
      </c>
      <c r="E7976" s="5" t="s">
        <v>179</v>
      </c>
      <c r="F7976" s="9">
        <v>11</v>
      </c>
      <c r="G7976" s="9">
        <v>135</v>
      </c>
      <c r="H7976" s="5" t="s">
        <v>21</v>
      </c>
      <c r="I7976" s="5" t="s">
        <v>17959</v>
      </c>
      <c r="J7976" s="12" t="str">
        <f>HYPERLINK("https://www.boe.es/gazeta/dias/1801/02/06/pdfs/GMD-1801-11.pdf#page=8","Abrir facsímil")</f>
        <v>Abrir facsímil</v>
      </c>
      <c r="K7976" s="15" t="s">
        <v>23</v>
      </c>
    </row>
    <row r="7977" spans="1:11" ht="42" customHeight="1">
      <c r="A7977" s="4" t="s">
        <v>17960</v>
      </c>
      <c r="B7977" s="5" t="s">
        <v>17960</v>
      </c>
      <c r="C7977" s="5" t="s">
        <v>75</v>
      </c>
      <c r="D7977" s="5" t="s">
        <v>76</v>
      </c>
      <c r="E7977" s="5" t="s">
        <v>99</v>
      </c>
      <c r="F7977" s="9">
        <v>32</v>
      </c>
      <c r="G7977" s="9">
        <v>412</v>
      </c>
      <c r="H7977" s="5" t="s">
        <v>21</v>
      </c>
      <c r="I7977" s="5" t="s">
        <v>17961</v>
      </c>
      <c r="J7977" s="12" t="str">
        <f>HYPERLINK("https://www.boe.es/gazeta/dias/1801/04/21/pdfs/GMD-1801-32.pdf#page=8","Abrir facsímil")</f>
        <v>Abrir facsímil</v>
      </c>
      <c r="K7977" s="15" t="s">
        <v>23</v>
      </c>
    </row>
    <row r="7978" spans="1:11" ht="42" customHeight="1">
      <c r="A7978" s="4" t="s">
        <v>17962</v>
      </c>
      <c r="B7978" s="5" t="s">
        <v>17962</v>
      </c>
      <c r="C7978" s="5" t="s">
        <v>38</v>
      </c>
      <c r="D7978" s="5" t="s">
        <v>39</v>
      </c>
      <c r="E7978" s="5" t="s">
        <v>112</v>
      </c>
      <c r="F7978" s="9">
        <v>114</v>
      </c>
      <c r="G7978" s="9">
        <v>1245</v>
      </c>
      <c r="H7978" s="5" t="s">
        <v>21</v>
      </c>
      <c r="I7978" s="5" t="s">
        <v>17963</v>
      </c>
      <c r="J7978" s="12" t="str">
        <f>HYPERLINK("https://www.boe.es/gazeta/dias/1801/12/11/pdfs/GMD-1801-114.pdf#page=7","Abrir facsímil")</f>
        <v>Abrir facsímil</v>
      </c>
      <c r="K7978" s="15" t="s">
        <v>23</v>
      </c>
    </row>
    <row r="7979" spans="1:11" ht="42" customHeight="1">
      <c r="A7979" s="4" t="s">
        <v>17964</v>
      </c>
      <c r="B7979" s="5" t="s">
        <v>17964</v>
      </c>
      <c r="C7979" s="5" t="s">
        <v>38</v>
      </c>
      <c r="D7979" s="5" t="s">
        <v>39</v>
      </c>
      <c r="E7979" s="5" t="s">
        <v>165</v>
      </c>
      <c r="F7979" s="9">
        <v>59</v>
      </c>
      <c r="G7979" s="9">
        <v>677</v>
      </c>
      <c r="H7979" s="5" t="s">
        <v>21</v>
      </c>
      <c r="I7979" s="5" t="s">
        <v>17965</v>
      </c>
      <c r="J7979" s="12" t="str">
        <f>HYPERLINK("https://www.boe.es/gazeta/dias/1801/06/23/pdfs/GMD-1801-59.pdf#page=10","Abrir facsímil")</f>
        <v>Abrir facsímil</v>
      </c>
      <c r="K7979" s="15" t="s">
        <v>23</v>
      </c>
    </row>
    <row r="7980" spans="1:11" ht="42" customHeight="1">
      <c r="A7980" s="4" t="s">
        <v>17966</v>
      </c>
      <c r="B7980" s="5" t="s">
        <v>17966</v>
      </c>
      <c r="C7980" s="5" t="s">
        <v>75</v>
      </c>
      <c r="D7980" s="5" t="s">
        <v>76</v>
      </c>
      <c r="E7980" s="5" t="s">
        <v>105</v>
      </c>
      <c r="F7980" s="9">
        <v>44</v>
      </c>
      <c r="G7980" s="9">
        <v>543</v>
      </c>
      <c r="H7980" s="5" t="s">
        <v>21</v>
      </c>
      <c r="I7980" s="5" t="s">
        <v>17967</v>
      </c>
      <c r="J7980" s="12" t="str">
        <f>HYPERLINK("https://www.boe.es/gazeta/dias/1801/05/29/pdfs/GMD-1801-44.pdf#page=3","Abrir facsímil")</f>
        <v>Abrir facsímil</v>
      </c>
      <c r="K7980" s="15" t="s">
        <v>23</v>
      </c>
    </row>
    <row r="7981" spans="1:11" ht="42" customHeight="1">
      <c r="A7981" s="4" t="s">
        <v>17968</v>
      </c>
      <c r="B7981" s="5" t="s">
        <v>17968</v>
      </c>
      <c r="C7981" s="5" t="s">
        <v>75</v>
      </c>
      <c r="D7981" s="5" t="s">
        <v>76</v>
      </c>
      <c r="E7981" s="5" t="s">
        <v>70</v>
      </c>
      <c r="F7981" s="9">
        <v>2</v>
      </c>
      <c r="G7981" s="9">
        <v>18</v>
      </c>
      <c r="H7981" s="5" t="s">
        <v>21</v>
      </c>
      <c r="I7981" s="5" t="s">
        <v>17969</v>
      </c>
      <c r="J7981" s="12" t="str">
        <f>HYPERLINK("https://www.boe.es/gazeta/dias/1801/01/06/pdfs/GMD-1801-2.pdf#page=6","Abrir facsímil")</f>
        <v>Abrir facsímil</v>
      </c>
      <c r="K7981" s="15" t="s">
        <v>23</v>
      </c>
    </row>
    <row r="7982" spans="1:11" ht="42" customHeight="1">
      <c r="A7982" s="4" t="s">
        <v>17970</v>
      </c>
      <c r="B7982" s="5" t="s">
        <v>17970</v>
      </c>
      <c r="C7982" s="5" t="s">
        <v>38</v>
      </c>
      <c r="D7982" s="5" t="s">
        <v>39</v>
      </c>
      <c r="E7982" s="5" t="s">
        <v>173</v>
      </c>
      <c r="F7982" s="9">
        <v>98</v>
      </c>
      <c r="G7982" s="9">
        <v>1073</v>
      </c>
      <c r="H7982" s="5" t="s">
        <v>21</v>
      </c>
      <c r="I7982" s="5" t="s">
        <v>17971</v>
      </c>
      <c r="J7982" s="12" t="str">
        <f>HYPERLINK("https://www.boe.es/gazeta/dias/1801/10/16/pdfs/GMD-1801-98.pdf#page=5","Abrir facsímil")</f>
        <v>Abrir facsímil</v>
      </c>
      <c r="K7982" s="15" t="s">
        <v>23</v>
      </c>
    </row>
    <row r="7983" spans="1:11" ht="42" customHeight="1">
      <c r="A7983" s="4" t="s">
        <v>17972</v>
      </c>
      <c r="B7983" s="5" t="s">
        <v>17972</v>
      </c>
      <c r="C7983" s="5" t="s">
        <v>75</v>
      </c>
      <c r="D7983" s="5" t="s">
        <v>76</v>
      </c>
      <c r="E7983" s="5" t="s">
        <v>275</v>
      </c>
      <c r="F7983" s="9">
        <v>9</v>
      </c>
      <c r="G7983" s="9">
        <v>108</v>
      </c>
      <c r="H7983" s="5" t="s">
        <v>21</v>
      </c>
      <c r="I7983" s="5" t="s">
        <v>17973</v>
      </c>
      <c r="J7983" s="12" t="str">
        <f>HYPERLINK("https://www.boe.es/gazeta/dias/1801/01/30/pdfs/GMD-1801-9.pdf#page=5","Abrir facsímil")</f>
        <v>Abrir facsímil</v>
      </c>
      <c r="K7983" s="15" t="s">
        <v>23</v>
      </c>
    </row>
    <row r="7984" spans="1:11" ht="42" customHeight="1">
      <c r="A7984" s="4" t="s">
        <v>17974</v>
      </c>
      <c r="B7984" s="5" t="s">
        <v>17974</v>
      </c>
      <c r="C7984" s="5" t="s">
        <v>38</v>
      </c>
      <c r="D7984" s="5" t="s">
        <v>39</v>
      </c>
      <c r="E7984" s="5" t="s">
        <v>781</v>
      </c>
      <c r="F7984" s="9">
        <v>14</v>
      </c>
      <c r="G7984" s="9">
        <v>172</v>
      </c>
      <c r="H7984" s="5" t="s">
        <v>21</v>
      </c>
      <c r="I7984" s="5" t="s">
        <v>17975</v>
      </c>
      <c r="J7984" s="12" t="str">
        <f>HYPERLINK("https://www.boe.es/gazeta/dias/1801/02/17/pdfs/GMD-1801-14.pdf#page=7","Abrir facsímil")</f>
        <v>Abrir facsímil</v>
      </c>
      <c r="K7984" s="15" t="s">
        <v>23</v>
      </c>
    </row>
    <row r="7985" spans="1:11" ht="42" customHeight="1">
      <c r="A7985" s="4" t="s">
        <v>17976</v>
      </c>
      <c r="B7985" s="5" t="s">
        <v>17976</v>
      </c>
      <c r="C7985" s="5" t="s">
        <v>32</v>
      </c>
      <c r="D7985" s="5" t="s">
        <v>33</v>
      </c>
      <c r="E7985" s="5" t="s">
        <v>292</v>
      </c>
      <c r="F7985" s="9">
        <v>25</v>
      </c>
      <c r="G7985" s="9">
        <v>329</v>
      </c>
      <c r="H7985" s="5" t="s">
        <v>21</v>
      </c>
      <c r="I7985" s="5" t="s">
        <v>17977</v>
      </c>
      <c r="J7985" s="12" t="str">
        <f>HYPERLINK("https://www.boe.es/gazeta/dias/1801/03/27/pdfs/GMD-1801-25.pdf#page=8","Abrir facsímil")</f>
        <v>Abrir facsímil</v>
      </c>
      <c r="K7985" s="15" t="s">
        <v>23</v>
      </c>
    </row>
    <row r="7986" spans="1:11" ht="42" customHeight="1">
      <c r="A7986" s="4" t="s">
        <v>17978</v>
      </c>
      <c r="B7986" s="5" t="s">
        <v>17978</v>
      </c>
      <c r="C7986" s="5" t="s">
        <v>75</v>
      </c>
      <c r="D7986" s="5" t="s">
        <v>76</v>
      </c>
      <c r="E7986" s="5" t="s">
        <v>70</v>
      </c>
      <c r="F7986" s="9">
        <v>2</v>
      </c>
      <c r="G7986" s="9">
        <v>18</v>
      </c>
      <c r="H7986" s="5" t="s">
        <v>21</v>
      </c>
      <c r="I7986" s="5" t="s">
        <v>17979</v>
      </c>
      <c r="J7986" s="12" t="str">
        <f>HYPERLINK("https://www.boe.es/gazeta/dias/1801/01/06/pdfs/GMD-1801-2.pdf#page=6","Abrir facsímil")</f>
        <v>Abrir facsímil</v>
      </c>
      <c r="K7986" s="15" t="s">
        <v>23</v>
      </c>
    </row>
    <row r="7987" spans="1:11" ht="42" customHeight="1">
      <c r="A7987" s="4" t="s">
        <v>17980</v>
      </c>
      <c r="B7987" s="5" t="s">
        <v>17980</v>
      </c>
      <c r="C7987" s="5" t="s">
        <v>75</v>
      </c>
      <c r="D7987" s="5" t="s">
        <v>76</v>
      </c>
      <c r="E7987" s="5" t="s">
        <v>935</v>
      </c>
      <c r="F7987" s="9">
        <v>116</v>
      </c>
      <c r="G7987" s="9">
        <v>1265</v>
      </c>
      <c r="H7987" s="5" t="s">
        <v>21</v>
      </c>
      <c r="I7987" s="5" t="s">
        <v>17981</v>
      </c>
      <c r="J7987" s="12" t="str">
        <f>HYPERLINK("https://www.boe.es/gazeta/dias/1801/12/18/pdfs/GMD-1801-116.pdf#page=7","Abrir facsímil")</f>
        <v>Abrir facsímil</v>
      </c>
      <c r="K7987" s="15" t="s">
        <v>23</v>
      </c>
    </row>
    <row r="7988" spans="1:11" ht="42" customHeight="1">
      <c r="A7988" s="4" t="s">
        <v>17982</v>
      </c>
      <c r="B7988" s="5" t="s">
        <v>17982</v>
      </c>
      <c r="C7988" s="5" t="s">
        <v>75</v>
      </c>
      <c r="D7988" s="5" t="s">
        <v>76</v>
      </c>
      <c r="E7988" s="5" t="s">
        <v>151</v>
      </c>
      <c r="F7988" s="9">
        <v>45</v>
      </c>
      <c r="G7988" s="9">
        <v>554</v>
      </c>
      <c r="H7988" s="5" t="s">
        <v>21</v>
      </c>
      <c r="I7988" s="5" t="s">
        <v>17983</v>
      </c>
      <c r="J7988" s="12" t="str">
        <f>HYPERLINK("https://www.boe.es/gazeta/dias/1801/06/02/pdfs/GMD-1801-45.pdf#page=2","Abrir facsímil")</f>
        <v>Abrir facsímil</v>
      </c>
      <c r="K7988" s="15" t="s">
        <v>23</v>
      </c>
    </row>
    <row r="7989" spans="1:11" ht="42" customHeight="1">
      <c r="A7989" s="4" t="s">
        <v>17984</v>
      </c>
      <c r="B7989" s="5" t="s">
        <v>17984</v>
      </c>
      <c r="C7989" s="5" t="s">
        <v>75</v>
      </c>
      <c r="D7989" s="5" t="s">
        <v>76</v>
      </c>
      <c r="E7989" s="5" t="s">
        <v>321</v>
      </c>
      <c r="F7989" s="9">
        <v>3</v>
      </c>
      <c r="G7989" s="9">
        <v>28</v>
      </c>
      <c r="H7989" s="5" t="s">
        <v>21</v>
      </c>
      <c r="I7989" s="5" t="s">
        <v>17985</v>
      </c>
      <c r="J7989" s="12" t="str">
        <f>HYPERLINK("https://www.boe.es/gazeta/dias/1801/01/09/pdfs/GMD-1801-3.pdf#page=4","Abrir facsímil")</f>
        <v>Abrir facsímil</v>
      </c>
      <c r="K7989" s="15" t="s">
        <v>23</v>
      </c>
    </row>
    <row r="7990" spans="1:11" ht="42" customHeight="1">
      <c r="A7990" s="4" t="s">
        <v>17986</v>
      </c>
      <c r="B7990" s="5" t="s">
        <v>17986</v>
      </c>
      <c r="C7990" s="5" t="s">
        <v>38</v>
      </c>
      <c r="D7990" s="5" t="s">
        <v>39</v>
      </c>
      <c r="E7990" s="5" t="s">
        <v>155</v>
      </c>
      <c r="F7990" s="9">
        <v>50</v>
      </c>
      <c r="G7990" s="9">
        <v>594</v>
      </c>
      <c r="H7990" s="5" t="s">
        <v>21</v>
      </c>
      <c r="I7990" s="5" t="s">
        <v>17987</v>
      </c>
      <c r="J7990" s="12" t="str">
        <f>HYPERLINK("https://www.boe.es/gazeta/dias/1801/06/09/pdfs/GMD-1801-50.pdf#page=6","Abrir facsímil")</f>
        <v>Abrir facsímil</v>
      </c>
      <c r="K7990" s="15" t="s">
        <v>23</v>
      </c>
    </row>
    <row r="7991" spans="1:11" ht="42" customHeight="1">
      <c r="A7991" s="4" t="s">
        <v>17988</v>
      </c>
      <c r="B7991" s="5" t="s">
        <v>17988</v>
      </c>
      <c r="C7991" s="5" t="s">
        <v>75</v>
      </c>
      <c r="D7991" s="5" t="s">
        <v>76</v>
      </c>
      <c r="E7991" s="5" t="s">
        <v>321</v>
      </c>
      <c r="F7991" s="9">
        <v>3</v>
      </c>
      <c r="G7991" s="9">
        <v>28</v>
      </c>
      <c r="H7991" s="5" t="s">
        <v>21</v>
      </c>
      <c r="I7991" s="5" t="s">
        <v>17989</v>
      </c>
      <c r="J7991" s="12" t="str">
        <f>HYPERLINK("https://www.boe.es/gazeta/dias/1801/01/09/pdfs/GMD-1801-3.pdf#page=4","Abrir facsímil")</f>
        <v>Abrir facsímil</v>
      </c>
      <c r="K7991" s="15" t="s">
        <v>23</v>
      </c>
    </row>
    <row r="7992" spans="1:11" ht="42" customHeight="1">
      <c r="A7992" s="4" t="s">
        <v>17990</v>
      </c>
      <c r="B7992" s="5" t="s">
        <v>17990</v>
      </c>
      <c r="C7992" s="5" t="s">
        <v>75</v>
      </c>
      <c r="D7992" s="5" t="s">
        <v>76</v>
      </c>
      <c r="E7992" s="5" t="s">
        <v>124</v>
      </c>
      <c r="F7992" s="9">
        <v>12</v>
      </c>
      <c r="G7992" s="9">
        <v>146</v>
      </c>
      <c r="H7992" s="5" t="s">
        <v>21</v>
      </c>
      <c r="I7992" s="5" t="s">
        <v>17991</v>
      </c>
      <c r="J7992" s="12" t="str">
        <f>HYPERLINK("https://www.boe.es/gazeta/dias/1801/02/10/pdfs/GMD-1801-12.pdf#page=7","Abrir facsímil")</f>
        <v>Abrir facsímil</v>
      </c>
      <c r="K7992" s="15" t="s">
        <v>23</v>
      </c>
    </row>
    <row r="7993" spans="1:11" ht="42" customHeight="1">
      <c r="A7993" s="4" t="s">
        <v>17990</v>
      </c>
      <c r="B7993" s="5" t="s">
        <v>17990</v>
      </c>
      <c r="C7993" s="5" t="s">
        <v>18</v>
      </c>
      <c r="D7993" s="5" t="s">
        <v>19</v>
      </c>
      <c r="E7993" s="5" t="s">
        <v>97</v>
      </c>
      <c r="F7993" s="9">
        <v>31</v>
      </c>
      <c r="G7993" s="9">
        <v>402</v>
      </c>
      <c r="H7993" s="5" t="s">
        <v>21</v>
      </c>
      <c r="I7993" s="5" t="s">
        <v>17992</v>
      </c>
      <c r="J7993" s="12" t="str">
        <f>HYPERLINK("https://www.boe.es/gazeta/dias/1801/04/17/pdfs/GMD-1801-31.pdf#page=6","Abrir facsímil")</f>
        <v>Abrir facsímil</v>
      </c>
      <c r="K7993" s="15" t="s">
        <v>23</v>
      </c>
    </row>
    <row r="7994" spans="1:11" ht="42" customHeight="1">
      <c r="A7994" s="4" t="s">
        <v>17990</v>
      </c>
      <c r="B7994" s="5" t="s">
        <v>17990</v>
      </c>
      <c r="C7994" s="5" t="s">
        <v>75</v>
      </c>
      <c r="D7994" s="5" t="s">
        <v>76</v>
      </c>
      <c r="E7994" s="5" t="s">
        <v>313</v>
      </c>
      <c r="F7994" s="9">
        <v>39</v>
      </c>
      <c r="G7994" s="9">
        <v>504</v>
      </c>
      <c r="H7994" s="5" t="s">
        <v>21</v>
      </c>
      <c r="I7994" s="5" t="s">
        <v>17993</v>
      </c>
      <c r="J7994" s="12" t="str">
        <f>HYPERLINK("https://www.boe.es/gazeta/dias/1801/05/15/pdfs/GMD-1801-39.pdf#page=8","Abrir facsímil")</f>
        <v>Abrir facsímil</v>
      </c>
      <c r="K7994" s="15" t="s">
        <v>23</v>
      </c>
    </row>
    <row r="7995" spans="1:11" ht="42" customHeight="1">
      <c r="A7995" s="4" t="s">
        <v>17990</v>
      </c>
      <c r="B7995" s="5" t="s">
        <v>17990</v>
      </c>
      <c r="C7995" s="5" t="s">
        <v>38</v>
      </c>
      <c r="D7995" s="5" t="s">
        <v>39</v>
      </c>
      <c r="E7995" s="5" t="s">
        <v>173</v>
      </c>
      <c r="F7995" s="9">
        <v>98</v>
      </c>
      <c r="G7995" s="9">
        <v>1073</v>
      </c>
      <c r="H7995" s="5" t="s">
        <v>21</v>
      </c>
      <c r="I7995" s="5" t="s">
        <v>17994</v>
      </c>
      <c r="J7995" s="12" t="str">
        <f>HYPERLINK("https://www.boe.es/gazeta/dias/1801/10/16/pdfs/GMD-1801-98.pdf#page=5","Abrir facsímil")</f>
        <v>Abrir facsímil</v>
      </c>
      <c r="K7995" s="15" t="s">
        <v>23</v>
      </c>
    </row>
    <row r="7996" spans="1:11" ht="42" customHeight="1">
      <c r="A7996" s="4" t="s">
        <v>17995</v>
      </c>
      <c r="B7996" s="5" t="s">
        <v>17995</v>
      </c>
      <c r="C7996" s="5" t="s">
        <v>75</v>
      </c>
      <c r="D7996" s="5" t="s">
        <v>76</v>
      </c>
      <c r="E7996" s="5" t="s">
        <v>145</v>
      </c>
      <c r="F7996" s="9">
        <v>36</v>
      </c>
      <c r="G7996" s="9">
        <v>464</v>
      </c>
      <c r="H7996" s="5" t="s">
        <v>21</v>
      </c>
      <c r="I7996" s="5" t="s">
        <v>17996</v>
      </c>
      <c r="J7996" s="12" t="str">
        <f>HYPERLINK("https://www.boe.es/gazeta/dias/1801/05/05/pdfs/GMD-1801-36.pdf#page=8","Abrir facsímil")</f>
        <v>Abrir facsímil</v>
      </c>
      <c r="K7996" s="15" t="s">
        <v>23</v>
      </c>
    </row>
    <row r="7997" spans="1:11" ht="42" customHeight="1">
      <c r="A7997" s="4" t="s">
        <v>17997</v>
      </c>
      <c r="B7997" s="5" t="s">
        <v>17997</v>
      </c>
      <c r="C7997" s="5" t="s">
        <v>38</v>
      </c>
      <c r="D7997" s="5" t="s">
        <v>39</v>
      </c>
      <c r="E7997" s="5" t="s">
        <v>20</v>
      </c>
      <c r="F7997" s="9">
        <v>37</v>
      </c>
      <c r="G7997" s="9">
        <v>481</v>
      </c>
      <c r="H7997" s="5" t="s">
        <v>21</v>
      </c>
      <c r="I7997" s="5" t="s">
        <v>17998</v>
      </c>
      <c r="J7997" s="12" t="str">
        <f>HYPERLINK("https://www.boe.es/gazeta/dias/1801/05/08/pdfs/GMD-1801-37.pdf#page=9","Abrir facsímil")</f>
        <v>Abrir facsímil</v>
      </c>
      <c r="K7997" s="15" t="s">
        <v>23</v>
      </c>
    </row>
    <row r="7998" spans="1:11" ht="42" customHeight="1">
      <c r="A7998" s="4" t="s">
        <v>17999</v>
      </c>
      <c r="B7998" s="5" t="s">
        <v>17999</v>
      </c>
      <c r="C7998" s="5" t="s">
        <v>75</v>
      </c>
      <c r="D7998" s="5" t="s">
        <v>76</v>
      </c>
      <c r="E7998" s="5" t="s">
        <v>124</v>
      </c>
      <c r="F7998" s="9">
        <v>12</v>
      </c>
      <c r="G7998" s="9">
        <v>140</v>
      </c>
      <c r="H7998" s="5" t="s">
        <v>21</v>
      </c>
      <c r="I7998" s="5" t="s">
        <v>18000</v>
      </c>
      <c r="J7998" s="12" t="str">
        <f>HYPERLINK("https://www.boe.es/gazeta/dias/1801/02/10/pdfs/GMD-1801-12.pdf#page=1","Abrir facsímil")</f>
        <v>Abrir facsímil</v>
      </c>
      <c r="K7998" s="15" t="s">
        <v>23</v>
      </c>
    </row>
    <row r="7999" spans="1:11" ht="42" customHeight="1">
      <c r="A7999" s="4" t="s">
        <v>18001</v>
      </c>
      <c r="B7999" s="5" t="s">
        <v>18001</v>
      </c>
      <c r="C7999" s="5" t="s">
        <v>38</v>
      </c>
      <c r="D7999" s="5" t="s">
        <v>39</v>
      </c>
      <c r="E7999" s="5" t="s">
        <v>309</v>
      </c>
      <c r="F7999" s="9">
        <v>118</v>
      </c>
      <c r="G7999" s="9">
        <v>1290</v>
      </c>
      <c r="H7999" s="5" t="s">
        <v>21</v>
      </c>
      <c r="I7999" s="5" t="s">
        <v>18002</v>
      </c>
      <c r="J7999" s="12" t="str">
        <f>HYPERLINK("https://www.boe.es/gazeta/dias/1801/12/25/pdfs/GMD-1801-118.pdf#page=5","Abrir facsímil")</f>
        <v>Abrir facsímil</v>
      </c>
      <c r="K7999" s="15" t="s">
        <v>23</v>
      </c>
    </row>
    <row r="8000" spans="1:11" ht="42" customHeight="1">
      <c r="A8000" s="4" t="s">
        <v>18003</v>
      </c>
      <c r="B8000" s="5" t="s">
        <v>18003</v>
      </c>
      <c r="C8000" s="5" t="s">
        <v>75</v>
      </c>
      <c r="D8000" s="5" t="s">
        <v>76</v>
      </c>
      <c r="E8000" s="5" t="s">
        <v>313</v>
      </c>
      <c r="F8000" s="9">
        <v>39</v>
      </c>
      <c r="G8000" s="9">
        <v>503</v>
      </c>
      <c r="H8000" s="5" t="s">
        <v>21</v>
      </c>
      <c r="I8000" s="5" t="s">
        <v>18004</v>
      </c>
      <c r="J8000" s="12" t="str">
        <f>HYPERLINK("https://www.boe.es/gazeta/dias/1801/05/15/pdfs/GMD-1801-39.pdf#page=7","Abrir facsímil")</f>
        <v>Abrir facsímil</v>
      </c>
      <c r="K8000" s="15" t="s">
        <v>23</v>
      </c>
    </row>
    <row r="8001" spans="1:11" ht="42" customHeight="1">
      <c r="A8001" s="4" t="s">
        <v>18005</v>
      </c>
      <c r="B8001" s="5" t="s">
        <v>18005</v>
      </c>
      <c r="C8001" s="5" t="s">
        <v>75</v>
      </c>
      <c r="D8001" s="5" t="s">
        <v>76</v>
      </c>
      <c r="E8001" s="5" t="s">
        <v>462</v>
      </c>
      <c r="F8001" s="9">
        <v>5</v>
      </c>
      <c r="G8001" s="9">
        <v>50</v>
      </c>
      <c r="H8001" s="5" t="s">
        <v>21</v>
      </c>
      <c r="I8001" s="5" t="s">
        <v>18006</v>
      </c>
      <c r="J8001" s="12" t="str">
        <f>HYPERLINK("https://www.boe.es/gazeta/dias/1801/01/16/pdfs/GMD-1801-5.pdf#page=2","Abrir facsímil")</f>
        <v>Abrir facsímil</v>
      </c>
      <c r="K8001" s="15" t="s">
        <v>23</v>
      </c>
    </row>
    <row r="8002" spans="1:11" ht="42" customHeight="1">
      <c r="A8002" s="4" t="s">
        <v>18007</v>
      </c>
      <c r="B8002" s="5" t="s">
        <v>18007</v>
      </c>
      <c r="C8002" s="5" t="s">
        <v>75</v>
      </c>
      <c r="D8002" s="5" t="s">
        <v>76</v>
      </c>
      <c r="E8002" s="5" t="s">
        <v>90</v>
      </c>
      <c r="F8002" s="9">
        <v>1</v>
      </c>
      <c r="G8002" s="9">
        <v>5</v>
      </c>
      <c r="H8002" s="5" t="s">
        <v>21</v>
      </c>
      <c r="I8002" s="5" t="s">
        <v>18008</v>
      </c>
      <c r="J8002" s="12" t="str">
        <f>HYPERLINK("https://www.boe.es/gazeta/dias/1801/01/02/pdfs/GMD-1801-1.pdf#page=5","Abrir facsímil")</f>
        <v>Abrir facsímil</v>
      </c>
      <c r="K8002" s="15" t="s">
        <v>23</v>
      </c>
    </row>
    <row r="8003" spans="1:11" ht="42" customHeight="1">
      <c r="A8003" s="4" t="s">
        <v>18009</v>
      </c>
      <c r="B8003" s="5" t="s">
        <v>18009</v>
      </c>
      <c r="C8003" s="5" t="s">
        <v>75</v>
      </c>
      <c r="D8003" s="5" t="s">
        <v>76</v>
      </c>
      <c r="E8003" s="5" t="s">
        <v>1015</v>
      </c>
      <c r="F8003" s="9">
        <v>15</v>
      </c>
      <c r="G8003" s="9">
        <v>185</v>
      </c>
      <c r="H8003" s="5" t="s">
        <v>21</v>
      </c>
      <c r="I8003" s="5" t="s">
        <v>18010</v>
      </c>
      <c r="J8003" s="12" t="str">
        <f>HYPERLINK("https://www.boe.es/gazeta/dias/1801/02/20/pdfs/GMD-1801-15.pdf#page=4","Abrir facsímil")</f>
        <v>Abrir facsímil</v>
      </c>
      <c r="K8003" s="15" t="s">
        <v>23</v>
      </c>
    </row>
    <row r="8004" spans="1:11" ht="42" customHeight="1">
      <c r="A8004" s="4" t="s">
        <v>18011</v>
      </c>
      <c r="B8004" s="5" t="s">
        <v>18011</v>
      </c>
      <c r="C8004" s="5" t="s">
        <v>38</v>
      </c>
      <c r="D8004" s="5" t="s">
        <v>39</v>
      </c>
      <c r="E8004" s="5" t="s">
        <v>155</v>
      </c>
      <c r="F8004" s="9">
        <v>50</v>
      </c>
      <c r="G8004" s="9">
        <v>595</v>
      </c>
      <c r="H8004" s="5" t="s">
        <v>21</v>
      </c>
      <c r="I8004" s="5" t="s">
        <v>18012</v>
      </c>
      <c r="J8004" s="12" t="str">
        <f>HYPERLINK("https://www.boe.es/gazeta/dias/1801/06/09/pdfs/GMD-1801-50.pdf#page=7","Abrir facsímil")</f>
        <v>Abrir facsímil</v>
      </c>
      <c r="K8004" s="15" t="s">
        <v>23</v>
      </c>
    </row>
    <row r="8005" spans="1:11" ht="42" customHeight="1">
      <c r="A8005" s="4" t="s">
        <v>18013</v>
      </c>
      <c r="B8005" s="5" t="s">
        <v>18013</v>
      </c>
      <c r="C8005" s="5" t="s">
        <v>75</v>
      </c>
      <c r="D8005" s="5" t="s">
        <v>76</v>
      </c>
      <c r="E8005" s="5" t="s">
        <v>221</v>
      </c>
      <c r="F8005" s="9">
        <v>28</v>
      </c>
      <c r="G8005" s="9">
        <v>366</v>
      </c>
      <c r="H8005" s="5" t="s">
        <v>21</v>
      </c>
      <c r="I8005" s="5" t="s">
        <v>18014</v>
      </c>
      <c r="J8005" s="12" t="str">
        <f>HYPERLINK("https://www.boe.es/gazeta/dias/1801/04/07/pdfs/GMD-1801-28.pdf#page=6","Abrir facsímil")</f>
        <v>Abrir facsímil</v>
      </c>
      <c r="K8005" s="15" t="s">
        <v>23</v>
      </c>
    </row>
    <row r="8006" spans="1:11" ht="42" customHeight="1">
      <c r="A8006" s="4" t="s">
        <v>18015</v>
      </c>
      <c r="B8006" s="5" t="s">
        <v>18015</v>
      </c>
      <c r="C8006" s="5" t="s">
        <v>75</v>
      </c>
      <c r="D8006" s="5" t="s">
        <v>76</v>
      </c>
      <c r="E8006" s="5" t="s">
        <v>465</v>
      </c>
      <c r="F8006" s="9">
        <v>4</v>
      </c>
      <c r="G8006" s="9">
        <v>43</v>
      </c>
      <c r="H8006" s="5" t="s">
        <v>21</v>
      </c>
      <c r="I8006" s="5" t="s">
        <v>18016</v>
      </c>
      <c r="J8006" s="12" t="str">
        <f>HYPERLINK("https://www.boe.es/gazeta/dias/1801/01/13/pdfs/GMD-1801-4.pdf#page=7","Abrir facsímil")</f>
        <v>Abrir facsímil</v>
      </c>
      <c r="K8006" s="15" t="s">
        <v>23</v>
      </c>
    </row>
    <row r="8007" spans="1:11" ht="42" customHeight="1">
      <c r="A8007" s="4" t="s">
        <v>18017</v>
      </c>
      <c r="B8007" s="5" t="s">
        <v>18017</v>
      </c>
      <c r="C8007" s="5" t="s">
        <v>75</v>
      </c>
      <c r="D8007" s="5" t="s">
        <v>76</v>
      </c>
      <c r="E8007" s="5" t="s">
        <v>122</v>
      </c>
      <c r="F8007" s="9">
        <v>8</v>
      </c>
      <c r="G8007" s="9">
        <v>93</v>
      </c>
      <c r="H8007" s="5" t="s">
        <v>21</v>
      </c>
      <c r="I8007" s="5" t="s">
        <v>18018</v>
      </c>
      <c r="J8007" s="12" t="str">
        <f>HYPERLINK("https://www.boe.es/gazeta/dias/1801/01/27/pdfs/GMD-1801-8.pdf#page=5","Abrir facsímil")</f>
        <v>Abrir facsímil</v>
      </c>
      <c r="K8007" s="15" t="s">
        <v>23</v>
      </c>
    </row>
    <row r="8008" spans="1:11" ht="42" customHeight="1">
      <c r="A8008" s="4" t="s">
        <v>18019</v>
      </c>
      <c r="B8008" s="5" t="s">
        <v>18019</v>
      </c>
      <c r="C8008" s="5" t="s">
        <v>38</v>
      </c>
      <c r="D8008" s="5" t="s">
        <v>39</v>
      </c>
      <c r="E8008" s="5" t="s">
        <v>417</v>
      </c>
      <c r="F8008" s="9">
        <v>64</v>
      </c>
      <c r="G8008" s="9">
        <v>725</v>
      </c>
      <c r="H8008" s="5" t="s">
        <v>21</v>
      </c>
      <c r="I8008" s="5" t="s">
        <v>18020</v>
      </c>
      <c r="J8008" s="12" t="str">
        <f>HYPERLINK("https://www.boe.es/gazeta/dias/1801/07/07/pdfs/GMD-1801-64.pdf#page=6","Abrir facsímil")</f>
        <v>Abrir facsímil</v>
      </c>
      <c r="K8008" s="15" t="s">
        <v>23</v>
      </c>
    </row>
    <row r="8009" spans="1:11" ht="42" customHeight="1">
      <c r="A8009" s="4" t="s">
        <v>18019</v>
      </c>
      <c r="B8009" s="5" t="s">
        <v>18019</v>
      </c>
      <c r="C8009" s="5" t="s">
        <v>75</v>
      </c>
      <c r="D8009" s="5" t="s">
        <v>76</v>
      </c>
      <c r="E8009" s="5" t="s">
        <v>28</v>
      </c>
      <c r="F8009" s="9">
        <v>77</v>
      </c>
      <c r="G8009" s="9">
        <v>862</v>
      </c>
      <c r="H8009" s="5" t="s">
        <v>21</v>
      </c>
      <c r="I8009" s="5" t="s">
        <v>18021</v>
      </c>
      <c r="J8009" s="12" t="str">
        <f>HYPERLINK("https://www.boe.es/gazeta/dias/1801/08/11/pdfs/GMD-1801-77.pdf#page=7","Abrir facsímil")</f>
        <v>Abrir facsímil</v>
      </c>
      <c r="K8009" s="15" t="s">
        <v>23</v>
      </c>
    </row>
    <row r="8010" spans="1:11" ht="42" customHeight="1">
      <c r="A8010" s="4" t="s">
        <v>18019</v>
      </c>
      <c r="B8010" s="5" t="s">
        <v>18019</v>
      </c>
      <c r="C8010" s="5" t="s">
        <v>32</v>
      </c>
      <c r="D8010" s="5" t="s">
        <v>33</v>
      </c>
      <c r="E8010" s="5" t="s">
        <v>764</v>
      </c>
      <c r="F8010" s="9">
        <v>80</v>
      </c>
      <c r="G8010" s="9">
        <v>897</v>
      </c>
      <c r="H8010" s="5" t="s">
        <v>21</v>
      </c>
      <c r="I8010" s="5" t="s">
        <v>18022</v>
      </c>
      <c r="J8010" s="12" t="str">
        <f>HYPERLINK("https://www.boe.es/gazeta/dias/1801/08/21/pdfs/GMD-1801-80.pdf#page=6","Abrir facsímil")</f>
        <v>Abrir facsímil</v>
      </c>
      <c r="K8010" s="15" t="s">
        <v>23</v>
      </c>
    </row>
    <row r="8011" spans="1:11" ht="42" customHeight="1">
      <c r="A8011" s="4" t="s">
        <v>18023</v>
      </c>
      <c r="B8011" s="5" t="s">
        <v>18023</v>
      </c>
      <c r="C8011" s="5" t="s">
        <v>38</v>
      </c>
      <c r="D8011" s="5" t="s">
        <v>39</v>
      </c>
      <c r="E8011" s="5" t="s">
        <v>735</v>
      </c>
      <c r="F8011" s="9">
        <v>97</v>
      </c>
      <c r="G8011" s="9">
        <v>1061</v>
      </c>
      <c r="H8011" s="5" t="s">
        <v>21</v>
      </c>
      <c r="I8011" s="5" t="s">
        <v>18024</v>
      </c>
      <c r="J8011" s="12" t="str">
        <f>HYPERLINK("https://www.boe.es/gazeta/dias/1801/10/13/pdfs/GMD-1801-97.pdf#page=5","Abrir facsímil")</f>
        <v>Abrir facsímil</v>
      </c>
      <c r="K8011" s="15" t="s">
        <v>23</v>
      </c>
    </row>
    <row r="8012" spans="1:11" ht="42" customHeight="1">
      <c r="A8012" s="4" t="s">
        <v>18025</v>
      </c>
      <c r="B8012" s="5" t="s">
        <v>18025</v>
      </c>
      <c r="C8012" s="5" t="s">
        <v>32</v>
      </c>
      <c r="D8012" s="5" t="s">
        <v>33</v>
      </c>
      <c r="E8012" s="5" t="s">
        <v>50</v>
      </c>
      <c r="F8012" s="9">
        <v>29</v>
      </c>
      <c r="G8012" s="9">
        <v>380</v>
      </c>
      <c r="H8012" s="5" t="s">
        <v>21</v>
      </c>
      <c r="I8012" s="5" t="s">
        <v>3638</v>
      </c>
      <c r="J8012" s="12" t="str">
        <f>HYPERLINK("https://www.boe.es/gazeta/dias/1801/04/10/pdfs/GMD-1801-29.pdf#page=8","Abrir facsímil")</f>
        <v>Abrir facsímil</v>
      </c>
      <c r="K8012" s="15" t="s">
        <v>23</v>
      </c>
    </row>
    <row r="8013" spans="1:11" ht="42" customHeight="1">
      <c r="A8013" s="4" t="s">
        <v>18026</v>
      </c>
      <c r="B8013" s="5" t="s">
        <v>18026</v>
      </c>
      <c r="C8013" s="5" t="s">
        <v>75</v>
      </c>
      <c r="D8013" s="5" t="s">
        <v>76</v>
      </c>
      <c r="E8013" s="5" t="s">
        <v>145</v>
      </c>
      <c r="F8013" s="9">
        <v>36</v>
      </c>
      <c r="G8013" s="9">
        <v>463</v>
      </c>
      <c r="H8013" s="5" t="s">
        <v>21</v>
      </c>
      <c r="I8013" s="5" t="s">
        <v>18027</v>
      </c>
      <c r="J8013" s="12" t="str">
        <f>HYPERLINK("https://www.boe.es/gazeta/dias/1801/05/05/pdfs/GMD-1801-36.pdf#page=7","Abrir facsímil")</f>
        <v>Abrir facsímil</v>
      </c>
      <c r="K8013" s="15" t="s">
        <v>23</v>
      </c>
    </row>
    <row r="8014" spans="1:11" ht="42" customHeight="1">
      <c r="A8014" s="4" t="s">
        <v>18028</v>
      </c>
      <c r="B8014" s="5" t="s">
        <v>18028</v>
      </c>
      <c r="C8014" s="5" t="s">
        <v>75</v>
      </c>
      <c r="D8014" s="5" t="s">
        <v>76</v>
      </c>
      <c r="E8014" s="5" t="s">
        <v>137</v>
      </c>
      <c r="F8014" s="9">
        <v>30</v>
      </c>
      <c r="G8014" s="9">
        <v>392</v>
      </c>
      <c r="H8014" s="5" t="s">
        <v>21</v>
      </c>
      <c r="I8014" s="5" t="s">
        <v>18029</v>
      </c>
      <c r="J8014" s="12" t="str">
        <f>HYPERLINK("https://www.boe.es/gazeta/dias/1801/04/14/pdfs/GMD-1801-30.pdf#page=8","Abrir facsímil")</f>
        <v>Abrir facsímil</v>
      </c>
      <c r="K8014" s="15" t="s">
        <v>23</v>
      </c>
    </row>
    <row r="8015" spans="1:11" ht="42" customHeight="1">
      <c r="A8015" s="4" t="s">
        <v>18030</v>
      </c>
      <c r="B8015" s="5" t="s">
        <v>18030</v>
      </c>
      <c r="C8015" s="5" t="s">
        <v>75</v>
      </c>
      <c r="D8015" s="5" t="s">
        <v>76</v>
      </c>
      <c r="E8015" s="5" t="s">
        <v>124</v>
      </c>
      <c r="F8015" s="9">
        <v>12</v>
      </c>
      <c r="G8015" s="9">
        <v>145</v>
      </c>
      <c r="H8015" s="5" t="s">
        <v>21</v>
      </c>
      <c r="I8015" s="5" t="s">
        <v>18031</v>
      </c>
      <c r="J8015" s="12" t="str">
        <f>HYPERLINK("https://www.boe.es/gazeta/dias/1801/02/10/pdfs/GMD-1801-12.pdf#page=6","Abrir facsímil")</f>
        <v>Abrir facsímil</v>
      </c>
      <c r="K8015" s="15" t="s">
        <v>23</v>
      </c>
    </row>
    <row r="8016" spans="1:11" ht="42" customHeight="1">
      <c r="A8016" s="4" t="s">
        <v>18032</v>
      </c>
      <c r="B8016" s="5" t="s">
        <v>18032</v>
      </c>
      <c r="C8016" s="5" t="s">
        <v>38</v>
      </c>
      <c r="D8016" s="5" t="s">
        <v>39</v>
      </c>
      <c r="E8016" s="5" t="s">
        <v>735</v>
      </c>
      <c r="F8016" s="9">
        <v>97</v>
      </c>
      <c r="G8016" s="9">
        <v>1065</v>
      </c>
      <c r="H8016" s="5" t="s">
        <v>21</v>
      </c>
      <c r="I8016" s="5" t="s">
        <v>18033</v>
      </c>
      <c r="J8016" s="12" t="str">
        <f>HYPERLINK("https://www.boe.es/gazeta/dias/1801/10/13/pdfs/GMD-1801-97.pdf#page=9","Abrir facsímil")</f>
        <v>Abrir facsímil</v>
      </c>
      <c r="K8016" s="15" t="s">
        <v>23</v>
      </c>
    </row>
    <row r="8017" spans="1:11" ht="42" customHeight="1">
      <c r="A8017" s="4" t="s">
        <v>18034</v>
      </c>
      <c r="B8017" s="5" t="s">
        <v>18034</v>
      </c>
      <c r="C8017" s="5" t="s">
        <v>32</v>
      </c>
      <c r="D8017" s="5" t="s">
        <v>33</v>
      </c>
      <c r="E8017" s="5" t="s">
        <v>221</v>
      </c>
      <c r="F8017" s="9">
        <v>28</v>
      </c>
      <c r="G8017" s="9">
        <v>361</v>
      </c>
      <c r="H8017" s="5" t="s">
        <v>21</v>
      </c>
      <c r="I8017" s="5" t="s">
        <v>18035</v>
      </c>
      <c r="J8017" s="12" t="str">
        <f>HYPERLINK("https://www.boe.es/gazeta/dias/1801/04/07/pdfs/GMD-1801-28.pdf#page=1","Abrir facsímil")</f>
        <v>Abrir facsímil</v>
      </c>
      <c r="K8017" s="15" t="s">
        <v>23</v>
      </c>
    </row>
    <row r="8018" spans="1:11" ht="42" customHeight="1">
      <c r="A8018" s="4" t="s">
        <v>18034</v>
      </c>
      <c r="B8018" s="5" t="s">
        <v>18034</v>
      </c>
      <c r="C8018" s="5" t="s">
        <v>32</v>
      </c>
      <c r="D8018" s="5" t="s">
        <v>33</v>
      </c>
      <c r="E8018" s="5" t="s">
        <v>221</v>
      </c>
      <c r="F8018" s="9">
        <v>28</v>
      </c>
      <c r="G8018" s="9">
        <v>362</v>
      </c>
      <c r="H8018" s="5" t="s">
        <v>21</v>
      </c>
      <c r="I8018" s="5" t="s">
        <v>18036</v>
      </c>
      <c r="J8018" s="12" t="str">
        <f>HYPERLINK("https://www.boe.es/gazeta/dias/1801/04/07/pdfs/GMD-1801-28.pdf#page=2","Abrir facsímil")</f>
        <v>Abrir facsímil</v>
      </c>
      <c r="K8018" s="15" t="s">
        <v>23</v>
      </c>
    </row>
    <row r="8019" spans="1:11" ht="42" customHeight="1">
      <c r="A8019" s="4" t="s">
        <v>18034</v>
      </c>
      <c r="B8019" s="5" t="s">
        <v>18034</v>
      </c>
      <c r="C8019" s="5" t="s">
        <v>75</v>
      </c>
      <c r="D8019" s="5" t="s">
        <v>76</v>
      </c>
      <c r="E8019" s="5" t="s">
        <v>137</v>
      </c>
      <c r="F8019" s="9">
        <v>30</v>
      </c>
      <c r="G8019" s="9">
        <v>388</v>
      </c>
      <c r="H8019" s="5" t="s">
        <v>21</v>
      </c>
      <c r="I8019" s="5" t="s">
        <v>18037</v>
      </c>
      <c r="J8019" s="12" t="str">
        <f>HYPERLINK("https://www.boe.es/gazeta/dias/1801/04/14/pdfs/GMD-1801-30.pdf#page=4","Abrir facsímil")</f>
        <v>Abrir facsímil</v>
      </c>
      <c r="K8019" s="15" t="s">
        <v>23</v>
      </c>
    </row>
    <row r="8020" spans="1:11" ht="42" customHeight="1">
      <c r="A8020" s="4" t="s">
        <v>18034</v>
      </c>
      <c r="B8020" s="5" t="s">
        <v>18034</v>
      </c>
      <c r="C8020" s="5" t="s">
        <v>75</v>
      </c>
      <c r="D8020" s="5" t="s">
        <v>76</v>
      </c>
      <c r="E8020" s="5" t="s">
        <v>712</v>
      </c>
      <c r="F8020" s="9">
        <v>105</v>
      </c>
      <c r="G8020" s="9">
        <v>1149</v>
      </c>
      <c r="H8020" s="5" t="s">
        <v>21</v>
      </c>
      <c r="I8020" s="5" t="s">
        <v>18038</v>
      </c>
      <c r="J8020" s="12" t="str">
        <f>HYPERLINK("https://www.boe.es/gazeta/dias/1801/11/10/pdfs/GMD-1801-105.pdf#page=2","Abrir facsímil")</f>
        <v>Abrir facsímil</v>
      </c>
      <c r="K8020" s="15" t="s">
        <v>23</v>
      </c>
    </row>
    <row r="8021" spans="1:11" ht="42" customHeight="1">
      <c r="A8021" s="4" t="s">
        <v>18039</v>
      </c>
      <c r="B8021" s="5" t="s">
        <v>18039</v>
      </c>
      <c r="C8021" s="5" t="s">
        <v>75</v>
      </c>
      <c r="D8021" s="5" t="s">
        <v>76</v>
      </c>
      <c r="E8021" s="5" t="s">
        <v>349</v>
      </c>
      <c r="F8021" s="9">
        <v>112</v>
      </c>
      <c r="G8021" s="9">
        <v>1221</v>
      </c>
      <c r="H8021" s="5" t="s">
        <v>21</v>
      </c>
      <c r="I8021" s="5" t="s">
        <v>18040</v>
      </c>
      <c r="J8021" s="12" t="str">
        <f>HYPERLINK("https://www.boe.es/gazeta/dias/1801/12/04/pdfs/GMD-1801-112.pdf#page=2","Abrir facsímil")</f>
        <v>Abrir facsímil</v>
      </c>
      <c r="K8021" s="15" t="s">
        <v>23</v>
      </c>
    </row>
    <row r="8022" spans="1:11" ht="42" customHeight="1">
      <c r="A8022" s="4" t="s">
        <v>18041</v>
      </c>
      <c r="B8022" s="5" t="s">
        <v>18041</v>
      </c>
      <c r="C8022" s="5" t="s">
        <v>75</v>
      </c>
      <c r="D8022" s="5" t="s">
        <v>76</v>
      </c>
      <c r="E8022" s="5" t="s">
        <v>462</v>
      </c>
      <c r="F8022" s="9">
        <v>5</v>
      </c>
      <c r="G8022" s="9">
        <v>55</v>
      </c>
      <c r="H8022" s="5" t="s">
        <v>21</v>
      </c>
      <c r="I8022" s="5" t="s">
        <v>18042</v>
      </c>
      <c r="J8022" s="12" t="str">
        <f>HYPERLINK("https://www.boe.es/gazeta/dias/1801/01/16/pdfs/GMD-1801-5.pdf#page=7","Abrir facsímil")</f>
        <v>Abrir facsímil</v>
      </c>
      <c r="K8022" s="15" t="s">
        <v>23</v>
      </c>
    </row>
    <row r="8023" spans="1:11" ht="42" customHeight="1">
      <c r="A8023" s="4" t="s">
        <v>18043</v>
      </c>
      <c r="B8023" s="5" t="s">
        <v>18043</v>
      </c>
      <c r="C8023" s="5" t="s">
        <v>75</v>
      </c>
      <c r="D8023" s="5" t="s">
        <v>76</v>
      </c>
      <c r="E8023" s="5" t="s">
        <v>20</v>
      </c>
      <c r="F8023" s="9">
        <v>37</v>
      </c>
      <c r="G8023" s="9">
        <v>480</v>
      </c>
      <c r="H8023" s="5" t="s">
        <v>21</v>
      </c>
      <c r="I8023" s="5" t="s">
        <v>18044</v>
      </c>
      <c r="J8023" s="12" t="str">
        <f>HYPERLINK("https://www.boe.es/gazeta/dias/1801/05/08/pdfs/GMD-1801-37.pdf#page=8","Abrir facsímil")</f>
        <v>Abrir facsímil</v>
      </c>
      <c r="K8023" s="15" t="s">
        <v>23</v>
      </c>
    </row>
    <row r="8024" spans="1:11" ht="42" customHeight="1">
      <c r="A8024" s="4" t="s">
        <v>18045</v>
      </c>
      <c r="B8024" s="5" t="s">
        <v>18045</v>
      </c>
      <c r="C8024" s="5" t="s">
        <v>75</v>
      </c>
      <c r="D8024" s="5" t="s">
        <v>76</v>
      </c>
      <c r="E8024" s="5" t="s">
        <v>378</v>
      </c>
      <c r="F8024" s="9">
        <v>23</v>
      </c>
      <c r="G8024" s="9">
        <v>298</v>
      </c>
      <c r="H8024" s="5" t="s">
        <v>21</v>
      </c>
      <c r="I8024" s="5" t="s">
        <v>18046</v>
      </c>
      <c r="J8024" s="12" t="str">
        <f>HYPERLINK("https://www.boe.es/gazeta/dias/1801/03/20/pdfs/GMD-1801-23.pdf#page=1","Abrir facsímil")</f>
        <v>Abrir facsímil</v>
      </c>
      <c r="K8024" s="15" t="s">
        <v>23</v>
      </c>
    </row>
    <row r="8025" spans="1:11" ht="42" customHeight="1">
      <c r="A8025" s="4" t="s">
        <v>18047</v>
      </c>
      <c r="B8025" s="5" t="s">
        <v>18048</v>
      </c>
      <c r="C8025" s="5" t="s">
        <v>32</v>
      </c>
      <c r="D8025" s="5" t="s">
        <v>33</v>
      </c>
      <c r="E8025" s="5" t="s">
        <v>50</v>
      </c>
      <c r="F8025" s="9">
        <v>29</v>
      </c>
      <c r="G8025" s="9">
        <v>382</v>
      </c>
      <c r="H8025" s="5" t="s">
        <v>21</v>
      </c>
      <c r="I8025" s="5" t="s">
        <v>18049</v>
      </c>
      <c r="J8025" s="12" t="str">
        <f>HYPERLINK("https://www.boe.es/gazeta/dias/1801/04/10/pdfs/GMD-1801-29.pdf#page=10","Abrir facsímil")</f>
        <v>Abrir facsímil</v>
      </c>
      <c r="K8025" s="15" t="s">
        <v>23</v>
      </c>
    </row>
    <row r="8026" spans="1:11" ht="42" customHeight="1">
      <c r="A8026" s="4" t="s">
        <v>18050</v>
      </c>
      <c r="B8026" s="5" t="s">
        <v>18051</v>
      </c>
      <c r="C8026" s="5" t="s">
        <v>75</v>
      </c>
      <c r="D8026" s="5" t="s">
        <v>76</v>
      </c>
      <c r="E8026" s="5" t="s">
        <v>169</v>
      </c>
      <c r="F8026" s="9">
        <v>70</v>
      </c>
      <c r="G8026" s="9">
        <v>775</v>
      </c>
      <c r="H8026" s="5" t="s">
        <v>21</v>
      </c>
      <c r="I8026" s="5" t="s">
        <v>18052</v>
      </c>
      <c r="J8026" s="12" t="str">
        <f>HYPERLINK("https://www.boe.es/gazeta/dias/1801/07/17/pdfs/GMD-1801-70.pdf#page=8","Abrir facsímil")</f>
        <v>Abrir facsímil</v>
      </c>
      <c r="K8026" s="15" t="s">
        <v>23</v>
      </c>
    </row>
    <row r="8027" spans="1:11" ht="42" customHeight="1">
      <c r="A8027" s="4" t="s">
        <v>18053</v>
      </c>
      <c r="B8027" s="5" t="s">
        <v>18054</v>
      </c>
      <c r="C8027" s="5" t="s">
        <v>32</v>
      </c>
      <c r="D8027" s="5" t="s">
        <v>33</v>
      </c>
      <c r="E8027" s="5" t="s">
        <v>256</v>
      </c>
      <c r="F8027" s="9">
        <v>78</v>
      </c>
      <c r="G8027" s="9">
        <v>881</v>
      </c>
      <c r="H8027" s="5" t="s">
        <v>21</v>
      </c>
      <c r="I8027" s="5" t="s">
        <v>18055</v>
      </c>
      <c r="J8027" s="12" t="str">
        <f>HYPERLINK("https://www.boe.es/gazeta/dias/1801/08/14/pdfs/GMD-1801-78.pdf#page=10","Abrir facsímil")</f>
        <v>Abrir facsímil</v>
      </c>
      <c r="K8027" s="15" t="s">
        <v>23</v>
      </c>
    </row>
    <row r="8028" spans="1:11" ht="42" customHeight="1">
      <c r="A8028" s="4" t="s">
        <v>18056</v>
      </c>
      <c r="B8028" s="5" t="s">
        <v>18057</v>
      </c>
      <c r="C8028" s="5" t="s">
        <v>69</v>
      </c>
      <c r="D8028" s="5" t="s">
        <v>19</v>
      </c>
      <c r="E8028" s="5" t="s">
        <v>501</v>
      </c>
      <c r="F8028" s="9">
        <v>115</v>
      </c>
      <c r="G8028" s="9">
        <v>1256</v>
      </c>
      <c r="H8028" s="5" t="s">
        <v>21</v>
      </c>
      <c r="I8028" s="5" t="s">
        <v>18058</v>
      </c>
      <c r="J8028" s="12" t="str">
        <f>HYPERLINK("https://www.boe.es/gazeta/dias/1801/12/15/pdfs/GMD-1801-115.pdf#page=6","Abrir facsímil")</f>
        <v>Abrir facsímil</v>
      </c>
      <c r="K8028" s="15" t="s">
        <v>23</v>
      </c>
    </row>
    <row r="8029" spans="1:11" ht="42" customHeight="1">
      <c r="A8029" s="4" t="s">
        <v>18059</v>
      </c>
      <c r="B8029" s="5" t="s">
        <v>18060</v>
      </c>
      <c r="C8029" s="5" t="s">
        <v>32</v>
      </c>
      <c r="D8029" s="5" t="s">
        <v>33</v>
      </c>
      <c r="E8029" s="5" t="s">
        <v>55</v>
      </c>
      <c r="F8029" s="9">
        <v>104</v>
      </c>
      <c r="G8029" s="9">
        <v>1145</v>
      </c>
      <c r="H8029" s="5" t="s">
        <v>21</v>
      </c>
      <c r="I8029" s="5" t="s">
        <v>18061</v>
      </c>
      <c r="J8029" s="12" t="str">
        <f>HYPERLINK("https://www.boe.es/gazeta/dias/1801/11/06/pdfs/GMD-1801-104.pdf#page=6","Abrir facsímil")</f>
        <v>Abrir facsímil</v>
      </c>
      <c r="K8029" s="15" t="s">
        <v>23</v>
      </c>
    </row>
    <row r="8030" spans="1:11" ht="42" customHeight="1">
      <c r="A8030" s="4" t="s">
        <v>18062</v>
      </c>
      <c r="B8030" s="5" t="s">
        <v>18063</v>
      </c>
      <c r="C8030" s="5" t="s">
        <v>38</v>
      </c>
      <c r="D8030" s="5" t="s">
        <v>39</v>
      </c>
      <c r="E8030" s="5" t="s">
        <v>262</v>
      </c>
      <c r="F8030" s="9">
        <v>109</v>
      </c>
      <c r="G8030" s="9">
        <v>1204</v>
      </c>
      <c r="H8030" s="5" t="s">
        <v>21</v>
      </c>
      <c r="I8030" s="5" t="s">
        <v>18064</v>
      </c>
      <c r="J8030" s="12" t="str">
        <f>HYPERLINK("https://www.boe.es/gazeta/dias/1801/11/24/pdfs/GMD-1801-109.pdf#page=9","Abrir facsímil")</f>
        <v>Abrir facsímil</v>
      </c>
      <c r="K8030" s="15" t="s">
        <v>23</v>
      </c>
    </row>
    <row r="8031" spans="1:11" ht="42" customHeight="1">
      <c r="A8031" s="4" t="s">
        <v>18065</v>
      </c>
      <c r="B8031" s="5" t="s">
        <v>18066</v>
      </c>
      <c r="C8031" s="5" t="s">
        <v>32</v>
      </c>
      <c r="D8031" s="5" t="s">
        <v>33</v>
      </c>
      <c r="E8031" s="5" t="s">
        <v>223</v>
      </c>
      <c r="F8031" s="9">
        <v>74</v>
      </c>
      <c r="G8031" s="9">
        <v>827</v>
      </c>
      <c r="H8031" s="5" t="s">
        <v>21</v>
      </c>
      <c r="I8031" s="5" t="s">
        <v>18067</v>
      </c>
      <c r="J8031" s="12" t="str">
        <f>HYPERLINK("https://www.boe.es/gazeta/dias/1801/07/31/pdfs/GMD-1801-74.pdf#page=8","Abrir facsímil")</f>
        <v>Abrir facsímil</v>
      </c>
      <c r="K8031" s="15" t="s">
        <v>23</v>
      </c>
    </row>
    <row r="8032" spans="1:11" ht="42" customHeight="1">
      <c r="A8032" s="4" t="s">
        <v>18068</v>
      </c>
      <c r="B8032" s="5" t="s">
        <v>18069</v>
      </c>
      <c r="C8032" s="5" t="s">
        <v>32</v>
      </c>
      <c r="D8032" s="5" t="s">
        <v>33</v>
      </c>
      <c r="E8032" s="5" t="s">
        <v>186</v>
      </c>
      <c r="F8032" s="9">
        <v>21</v>
      </c>
      <c r="G8032" s="9">
        <v>279</v>
      </c>
      <c r="H8032" s="5" t="s">
        <v>21</v>
      </c>
      <c r="I8032" s="5" t="s">
        <v>18070</v>
      </c>
      <c r="J8032" s="12" t="str">
        <f>HYPERLINK("https://www.boe.es/gazeta/dias/1801/03/13/pdfs/GMD-1801-21.pdf#page=8","Abrir facsímil")</f>
        <v>Abrir facsímil</v>
      </c>
      <c r="K8032" s="15" t="s">
        <v>23</v>
      </c>
    </row>
    <row r="8033" spans="1:11" ht="42" customHeight="1">
      <c r="A8033" s="4" t="s">
        <v>18071</v>
      </c>
      <c r="B8033" s="5" t="s">
        <v>18072</v>
      </c>
      <c r="C8033" s="5" t="s">
        <v>69</v>
      </c>
      <c r="D8033" s="5" t="s">
        <v>19</v>
      </c>
      <c r="E8033" s="5" t="s">
        <v>256</v>
      </c>
      <c r="F8033" s="9">
        <v>78</v>
      </c>
      <c r="G8033" s="9">
        <v>880</v>
      </c>
      <c r="H8033" s="5" t="s">
        <v>21</v>
      </c>
      <c r="I8033" s="5" t="s">
        <v>18073</v>
      </c>
      <c r="J8033" s="12" t="str">
        <f>HYPERLINK("https://www.boe.es/gazeta/dias/1801/08/14/pdfs/GMD-1801-78.pdf#page=9","Abrir facsímil")</f>
        <v>Abrir facsímil</v>
      </c>
      <c r="K8033" s="15" t="s">
        <v>23</v>
      </c>
    </row>
    <row r="8034" spans="1:11" ht="42" customHeight="1">
      <c r="A8034" s="4" t="s">
        <v>18074</v>
      </c>
      <c r="B8034" s="5" t="s">
        <v>18075</v>
      </c>
      <c r="C8034" s="5" t="s">
        <v>32</v>
      </c>
      <c r="D8034" s="5" t="s">
        <v>33</v>
      </c>
      <c r="E8034" s="5" t="s">
        <v>201</v>
      </c>
      <c r="F8034" s="9">
        <v>79</v>
      </c>
      <c r="G8034" s="9">
        <v>889</v>
      </c>
      <c r="H8034" s="5" t="s">
        <v>21</v>
      </c>
      <c r="I8034" s="5" t="s">
        <v>18076</v>
      </c>
      <c r="J8034" s="12" t="str">
        <f>HYPERLINK("https://www.boe.es/gazeta/dias/1801/08/18/pdfs/GMD-1801-79.pdf#page=6","Abrir facsímil")</f>
        <v>Abrir facsímil</v>
      </c>
      <c r="K8034" s="15" t="s">
        <v>23</v>
      </c>
    </row>
    <row r="8035" spans="1:11" ht="42" customHeight="1">
      <c r="A8035" s="4" t="s">
        <v>18077</v>
      </c>
      <c r="B8035" s="5" t="s">
        <v>18078</v>
      </c>
      <c r="C8035" s="5" t="s">
        <v>18</v>
      </c>
      <c r="D8035" s="5" t="s">
        <v>19</v>
      </c>
      <c r="E8035" s="5" t="s">
        <v>417</v>
      </c>
      <c r="F8035" s="9">
        <v>64</v>
      </c>
      <c r="G8035" s="9">
        <v>730</v>
      </c>
      <c r="H8035" s="5" t="s">
        <v>21</v>
      </c>
      <c r="I8035" s="5" t="s">
        <v>18079</v>
      </c>
      <c r="J8035" s="12" t="str">
        <f>HYPERLINK("https://www.boe.es/gazeta/dias/1801/07/07/pdfs/GMD-1801-64.pdf#page=11","Abrir facsímil")</f>
        <v>Abrir facsímil</v>
      </c>
      <c r="K8035" s="15" t="s">
        <v>23</v>
      </c>
    </row>
    <row r="8036" spans="1:11" ht="42" customHeight="1">
      <c r="A8036" s="4" t="s">
        <v>18080</v>
      </c>
      <c r="B8036" s="5" t="s">
        <v>18081</v>
      </c>
      <c r="C8036" s="5" t="s">
        <v>32</v>
      </c>
      <c r="D8036" s="5" t="s">
        <v>33</v>
      </c>
      <c r="E8036" s="5" t="s">
        <v>101</v>
      </c>
      <c r="F8036" s="9">
        <v>41</v>
      </c>
      <c r="G8036" s="9">
        <v>523</v>
      </c>
      <c r="H8036" s="5" t="s">
        <v>21</v>
      </c>
      <c r="I8036" s="5" t="s">
        <v>18082</v>
      </c>
      <c r="J8036" s="12" t="str">
        <f>HYPERLINK("https://www.boe.es/gazeta/dias/1801/05/22/pdfs/GMD-1801-41.pdf#page=7","Abrir facsímil")</f>
        <v>Abrir facsímil</v>
      </c>
      <c r="K8036" s="15" t="s">
        <v>23</v>
      </c>
    </row>
    <row r="8037" spans="1:11" ht="42" customHeight="1">
      <c r="A8037" s="4" t="s">
        <v>18080</v>
      </c>
      <c r="B8037" s="5" t="s">
        <v>18081</v>
      </c>
      <c r="C8037" s="5" t="s">
        <v>32</v>
      </c>
      <c r="D8037" s="5" t="s">
        <v>33</v>
      </c>
      <c r="E8037" s="5" t="s">
        <v>165</v>
      </c>
      <c r="F8037" s="9">
        <v>59</v>
      </c>
      <c r="G8037" s="9">
        <v>676</v>
      </c>
      <c r="H8037" s="5" t="s">
        <v>21</v>
      </c>
      <c r="I8037" s="5" t="s">
        <v>18083</v>
      </c>
      <c r="J8037" s="12" t="str">
        <f>HYPERLINK("https://www.boe.es/gazeta/dias/1801/06/23/pdfs/GMD-1801-59.pdf#page=9","Abrir facsímil")</f>
        <v>Abrir facsímil</v>
      </c>
      <c r="K8037" s="15" t="s">
        <v>23</v>
      </c>
    </row>
    <row r="8038" spans="1:11" ht="42" customHeight="1">
      <c r="A8038" s="4" t="s">
        <v>18084</v>
      </c>
      <c r="B8038" s="5" t="s">
        <v>18085</v>
      </c>
      <c r="C8038" s="5" t="s">
        <v>69</v>
      </c>
      <c r="D8038" s="5" t="s">
        <v>19</v>
      </c>
      <c r="E8038" s="5" t="s">
        <v>34</v>
      </c>
      <c r="F8038" s="9">
        <v>38</v>
      </c>
      <c r="G8038" s="9">
        <v>493</v>
      </c>
      <c r="H8038" s="5" t="s">
        <v>21</v>
      </c>
      <c r="I8038" s="5" t="s">
        <v>18086</v>
      </c>
      <c r="J8038" s="12" t="str">
        <f>HYPERLINK("https://www.boe.es/gazeta/dias/1801/05/12/pdfs/GMD-1801-38.pdf#page=9","Abrir facsímil")</f>
        <v>Abrir facsímil</v>
      </c>
      <c r="K8038" s="15" t="s">
        <v>23</v>
      </c>
    </row>
    <row r="8039" spans="1:11" ht="42" customHeight="1">
      <c r="A8039" s="4" t="s">
        <v>18087</v>
      </c>
      <c r="B8039" s="5" t="s">
        <v>18088</v>
      </c>
      <c r="C8039" s="5" t="s">
        <v>32</v>
      </c>
      <c r="D8039" s="5" t="s">
        <v>33</v>
      </c>
      <c r="E8039" s="5" t="s">
        <v>90</v>
      </c>
      <c r="F8039" s="9">
        <v>1</v>
      </c>
      <c r="G8039" s="9">
        <v>10</v>
      </c>
      <c r="H8039" s="5" t="s">
        <v>21</v>
      </c>
      <c r="I8039" s="5" t="s">
        <v>18089</v>
      </c>
      <c r="J8039" s="12" t="str">
        <f>HYPERLINK("https://www.boe.es/gazeta/dias/1801/01/02/pdfs/GMD-1801-1.pdf#page=10","Abrir facsímil")</f>
        <v>Abrir facsímil</v>
      </c>
      <c r="K8039" s="15" t="s">
        <v>23</v>
      </c>
    </row>
    <row r="8040" spans="1:11" ht="42" customHeight="1">
      <c r="A8040" s="4" t="s">
        <v>18087</v>
      </c>
      <c r="B8040" s="5" t="s">
        <v>18088</v>
      </c>
      <c r="C8040" s="5" t="s">
        <v>32</v>
      </c>
      <c r="D8040" s="5" t="s">
        <v>33</v>
      </c>
      <c r="E8040" s="5" t="s">
        <v>462</v>
      </c>
      <c r="F8040" s="9">
        <v>5</v>
      </c>
      <c r="G8040" s="9">
        <v>57</v>
      </c>
      <c r="H8040" s="5" t="s">
        <v>21</v>
      </c>
      <c r="I8040" s="5" t="s">
        <v>18090</v>
      </c>
      <c r="J8040" s="12" t="str">
        <f>HYPERLINK("https://www.boe.es/gazeta/dias/1801/01/16/pdfs/GMD-1801-5.pdf#page=9","Abrir facsímil")</f>
        <v>Abrir facsímil</v>
      </c>
      <c r="K8040" s="15" t="s">
        <v>23</v>
      </c>
    </row>
    <row r="8041" spans="1:11" ht="42" customHeight="1">
      <c r="A8041" s="4" t="s">
        <v>18091</v>
      </c>
      <c r="B8041" s="5" t="s">
        <v>18092</v>
      </c>
      <c r="C8041" s="5" t="s">
        <v>69</v>
      </c>
      <c r="D8041" s="5" t="s">
        <v>19</v>
      </c>
      <c r="E8041" s="5" t="s">
        <v>171</v>
      </c>
      <c r="F8041" s="9">
        <v>76</v>
      </c>
      <c r="G8041" s="9">
        <v>853</v>
      </c>
      <c r="H8041" s="5" t="s">
        <v>21</v>
      </c>
      <c r="I8041" s="5" t="s">
        <v>18093</v>
      </c>
      <c r="J8041" s="12" t="str">
        <f>HYPERLINK("https://www.boe.es/gazeta/dias/1801/08/07/pdfs/GMD-1801-76.pdf#page=10","Abrir facsímil")</f>
        <v>Abrir facsímil</v>
      </c>
      <c r="K8041" s="15" t="s">
        <v>23</v>
      </c>
    </row>
    <row r="8042" spans="1:11" ht="42" customHeight="1">
      <c r="A8042" s="4" t="s">
        <v>18094</v>
      </c>
      <c r="B8042" s="5" t="s">
        <v>18095</v>
      </c>
      <c r="C8042" s="5" t="s">
        <v>18</v>
      </c>
      <c r="D8042" s="5" t="s">
        <v>19</v>
      </c>
      <c r="E8042" s="5" t="s">
        <v>615</v>
      </c>
      <c r="F8042" s="9">
        <v>72</v>
      </c>
      <c r="G8042" s="9">
        <v>803</v>
      </c>
      <c r="H8042" s="5" t="s">
        <v>21</v>
      </c>
      <c r="I8042" s="5" t="s">
        <v>18096</v>
      </c>
      <c r="J8042" s="12" t="str">
        <f>HYPERLINK("https://www.boe.es/gazeta/dias/1801/07/24/pdfs/GMD-1801-72.pdf#page=8","Abrir facsímil")</f>
        <v>Abrir facsímil</v>
      </c>
      <c r="K8042" s="15" t="s">
        <v>23</v>
      </c>
    </row>
    <row r="8043" spans="1:11" ht="42" customHeight="1">
      <c r="A8043" s="4" t="s">
        <v>18097</v>
      </c>
      <c r="B8043" s="5" t="s">
        <v>18098</v>
      </c>
      <c r="C8043" s="5" t="s">
        <v>32</v>
      </c>
      <c r="D8043" s="5" t="s">
        <v>33</v>
      </c>
      <c r="E8043" s="5" t="s">
        <v>781</v>
      </c>
      <c r="F8043" s="9">
        <v>14</v>
      </c>
      <c r="G8043" s="9">
        <v>173</v>
      </c>
      <c r="H8043" s="5" t="s">
        <v>21</v>
      </c>
      <c r="I8043" s="5" t="s">
        <v>18099</v>
      </c>
      <c r="J8043" s="12" t="str">
        <f>HYPERLINK("https://www.boe.es/gazeta/dias/1801/02/17/pdfs/GMD-1801-14.pdf#page=8","Abrir facsímil")</f>
        <v>Abrir facsímil</v>
      </c>
      <c r="K8043" s="15" t="s">
        <v>23</v>
      </c>
    </row>
    <row r="8044" spans="1:11" ht="42" customHeight="1">
      <c r="A8044" s="4" t="s">
        <v>18100</v>
      </c>
      <c r="B8044" s="5" t="s">
        <v>18101</v>
      </c>
      <c r="C8044" s="5" t="s">
        <v>38</v>
      </c>
      <c r="D8044" s="5" t="s">
        <v>39</v>
      </c>
      <c r="E8044" s="5" t="s">
        <v>935</v>
      </c>
      <c r="F8044" s="9">
        <v>116</v>
      </c>
      <c r="G8044" s="9">
        <v>1270</v>
      </c>
      <c r="H8044" s="5" t="s">
        <v>21</v>
      </c>
      <c r="I8044" s="5" t="s">
        <v>18102</v>
      </c>
      <c r="J8044" s="12" t="str">
        <f>HYPERLINK("https://www.boe.es/gazeta/dias/1801/12/18/pdfs/GMD-1801-116.pdf#page=12","Abrir facsímil")</f>
        <v>Abrir facsímil</v>
      </c>
      <c r="K8044" s="15" t="s">
        <v>23</v>
      </c>
    </row>
    <row r="8045" spans="1:11" ht="42" customHeight="1">
      <c r="A8045" s="4" t="s">
        <v>18103</v>
      </c>
      <c r="B8045" s="5" t="s">
        <v>18104</v>
      </c>
      <c r="C8045" s="5" t="s">
        <v>515</v>
      </c>
      <c r="D8045" s="5" t="s">
        <v>516</v>
      </c>
      <c r="E8045" s="5" t="s">
        <v>501</v>
      </c>
      <c r="F8045" s="9">
        <v>115</v>
      </c>
      <c r="G8045" s="9" t="s">
        <v>86</v>
      </c>
      <c r="H8045" s="5" t="s">
        <v>21</v>
      </c>
      <c r="I8045" s="5" t="s">
        <v>18105</v>
      </c>
      <c r="J8045" s="12" t="str">
        <f>HYPERLINK("https://www.boe.es/gazeta/dias/1801/12/15/pdfs/GMD-C-1801-115.pdf#page=3","Abrir facsímil")</f>
        <v>Abrir facsímil</v>
      </c>
      <c r="K8045" s="15" t="s">
        <v>23</v>
      </c>
    </row>
    <row r="8046" spans="1:11" ht="42" customHeight="1">
      <c r="A8046" s="4" t="s">
        <v>18106</v>
      </c>
      <c r="B8046" s="5" t="s">
        <v>18106</v>
      </c>
      <c r="C8046" s="5" t="s">
        <v>32</v>
      </c>
      <c r="D8046" s="5" t="s">
        <v>33</v>
      </c>
      <c r="E8046" s="5" t="s">
        <v>155</v>
      </c>
      <c r="F8046" s="9">
        <v>50</v>
      </c>
      <c r="G8046" s="9">
        <v>598</v>
      </c>
      <c r="H8046" s="5" t="s">
        <v>21</v>
      </c>
      <c r="I8046" s="5" t="s">
        <v>18107</v>
      </c>
      <c r="J8046" s="12" t="str">
        <f>HYPERLINK("https://www.boe.es/gazeta/dias/1801/06/09/pdfs/GMD-1801-50.pdf#page=10","Abrir facsímil")</f>
        <v>Abrir facsímil</v>
      </c>
      <c r="K8046" s="15" t="s">
        <v>23</v>
      </c>
    </row>
    <row r="8047" spans="1:11" ht="42" customHeight="1">
      <c r="A8047" s="4" t="s">
        <v>18108</v>
      </c>
      <c r="B8047" s="5" t="s">
        <v>18109</v>
      </c>
      <c r="C8047" s="5" t="s">
        <v>69</v>
      </c>
      <c r="D8047" s="5" t="s">
        <v>19</v>
      </c>
      <c r="E8047" s="5" t="s">
        <v>40</v>
      </c>
      <c r="F8047" s="9">
        <v>63</v>
      </c>
      <c r="G8047" s="9">
        <v>714</v>
      </c>
      <c r="H8047" s="5" t="s">
        <v>21</v>
      </c>
      <c r="I8047" s="5" t="s">
        <v>18110</v>
      </c>
      <c r="J8047" s="12" t="str">
        <f>HYPERLINK("https://www.boe.es/gazeta/dias/1801/07/03/pdfs/GMD-1801-63.pdf#page=11","Abrir facsímil")</f>
        <v>Abrir facsímil</v>
      </c>
      <c r="K8047" s="15" t="s">
        <v>23</v>
      </c>
    </row>
    <row r="8048" spans="1:11" ht="42" customHeight="1">
      <c r="A8048" s="4" t="s">
        <v>18111</v>
      </c>
      <c r="B8048" s="5" t="s">
        <v>18112</v>
      </c>
      <c r="C8048" s="5" t="s">
        <v>80</v>
      </c>
      <c r="D8048" s="5" t="s">
        <v>81</v>
      </c>
      <c r="E8048" s="5" t="s">
        <v>82</v>
      </c>
      <c r="F8048" s="9">
        <v>75</v>
      </c>
      <c r="G8048" s="9" t="s">
        <v>305</v>
      </c>
      <c r="H8048" s="5" t="s">
        <v>21</v>
      </c>
      <c r="I8048" s="5" t="s">
        <v>18113</v>
      </c>
      <c r="J8048" s="12" t="str">
        <f>HYPERLINK("https://www.boe.es/gazeta/dias/1801/08/04/pdfs/GMD-C-1801-75.pdf#page=4","Abrir facsímil")</f>
        <v>Abrir facsímil</v>
      </c>
      <c r="K8048" s="15" t="s">
        <v>23</v>
      </c>
    </row>
    <row r="8049" spans="1:11" ht="42" customHeight="1">
      <c r="A8049" s="4" t="s">
        <v>18114</v>
      </c>
      <c r="B8049" s="5" t="s">
        <v>18115</v>
      </c>
      <c r="C8049" s="5" t="s">
        <v>80</v>
      </c>
      <c r="D8049" s="5" t="s">
        <v>81</v>
      </c>
      <c r="E8049" s="5" t="s">
        <v>82</v>
      </c>
      <c r="F8049" s="9">
        <v>75</v>
      </c>
      <c r="G8049" s="9" t="s">
        <v>299</v>
      </c>
      <c r="H8049" s="5" t="s">
        <v>21</v>
      </c>
      <c r="I8049" s="5" t="s">
        <v>18116</v>
      </c>
      <c r="J8049" s="12" t="str">
        <f>HYPERLINK("https://www.boe.es/gazeta/dias/1801/08/04/pdfs/GMD-C-1801-75.pdf#page=5","Abrir facsímil")</f>
        <v>Abrir facsímil</v>
      </c>
      <c r="K8049" s="15" t="s">
        <v>23</v>
      </c>
    </row>
    <row r="8050" spans="1:11" ht="42" customHeight="1">
      <c r="A8050" s="4" t="s">
        <v>18117</v>
      </c>
      <c r="B8050" s="5" t="s">
        <v>18118</v>
      </c>
      <c r="C8050" s="5" t="s">
        <v>26</v>
      </c>
      <c r="D8050" s="5" t="s">
        <v>27</v>
      </c>
      <c r="E8050" s="5" t="s">
        <v>28</v>
      </c>
      <c r="F8050" s="9">
        <v>77</v>
      </c>
      <c r="G8050" s="9">
        <v>867</v>
      </c>
      <c r="H8050" s="5" t="s">
        <v>21</v>
      </c>
      <c r="I8050" s="5" t="s">
        <v>18119</v>
      </c>
      <c r="J8050" s="12" t="str">
        <f>HYPERLINK("https://www.boe.es/gazeta/dias/1801/08/11/pdfs/GMD-1801-77.pdf#page=12","Abrir facsímil")</f>
        <v>Abrir facsímil</v>
      </c>
      <c r="K8050" s="15" t="s">
        <v>23</v>
      </c>
    </row>
    <row r="8051" spans="1:11" ht="42" customHeight="1">
      <c r="A8051" s="4" t="s">
        <v>18120</v>
      </c>
      <c r="B8051" s="5" t="s">
        <v>18121</v>
      </c>
      <c r="C8051" s="5" t="s">
        <v>80</v>
      </c>
      <c r="D8051" s="5" t="s">
        <v>81</v>
      </c>
      <c r="E8051" s="5" t="s">
        <v>82</v>
      </c>
      <c r="F8051" s="9">
        <v>75</v>
      </c>
      <c r="G8051" s="9" t="s">
        <v>299</v>
      </c>
      <c r="H8051" s="5" t="s">
        <v>21</v>
      </c>
      <c r="I8051" s="5" t="s">
        <v>18122</v>
      </c>
      <c r="J8051" s="12" t="str">
        <f>HYPERLINK("https://www.boe.es/gazeta/dias/1801/08/04/pdfs/GMD-C-1801-75.pdf#page=5","Abrir facsímil")</f>
        <v>Abrir facsímil</v>
      </c>
      <c r="K8051" s="15" t="s">
        <v>23</v>
      </c>
    </row>
    <row r="8052" spans="1:11" ht="42" customHeight="1">
      <c r="A8052" s="4" t="s">
        <v>18123</v>
      </c>
      <c r="B8052" s="5" t="s">
        <v>18124</v>
      </c>
      <c r="C8052" s="5" t="s">
        <v>80</v>
      </c>
      <c r="D8052" s="5" t="s">
        <v>81</v>
      </c>
      <c r="E8052" s="5" t="s">
        <v>82</v>
      </c>
      <c r="F8052" s="9">
        <v>75</v>
      </c>
      <c r="G8052" s="9" t="s">
        <v>86</v>
      </c>
      <c r="H8052" s="5" t="s">
        <v>21</v>
      </c>
      <c r="I8052" s="5" t="s">
        <v>18125</v>
      </c>
      <c r="J8052" s="12" t="str">
        <f>HYPERLINK("https://www.boe.es/gazeta/dias/1801/08/04/pdfs/GMD-C-1801-75.pdf#page=3","Abrir facsímil")</f>
        <v>Abrir facsímil</v>
      </c>
      <c r="K8052" s="15" t="s">
        <v>23</v>
      </c>
    </row>
    <row r="8053" spans="1:11" ht="42" customHeight="1">
      <c r="A8053" s="4" t="s">
        <v>18126</v>
      </c>
      <c r="B8053" s="5" t="s">
        <v>18127</v>
      </c>
      <c r="C8053" s="5" t="s">
        <v>32</v>
      </c>
      <c r="D8053" s="5" t="s">
        <v>33</v>
      </c>
      <c r="E8053" s="5" t="s">
        <v>66</v>
      </c>
      <c r="F8053" s="9">
        <v>52</v>
      </c>
      <c r="G8053" s="9">
        <v>607</v>
      </c>
      <c r="H8053" s="5" t="s">
        <v>21</v>
      </c>
      <c r="I8053" s="5" t="s">
        <v>18128</v>
      </c>
      <c r="J8053" s="12" t="str">
        <f>HYPERLINK("https://www.boe.es/gazeta/dias/1801/06/12/pdfs/GMD-1801-52.pdf#page=6","Abrir facsímil")</f>
        <v>Abrir facsímil</v>
      </c>
      <c r="K8053" s="15" t="s">
        <v>23</v>
      </c>
    </row>
    <row r="8054" spans="1:11" ht="42" customHeight="1">
      <c r="A8054" s="4" t="s">
        <v>18129</v>
      </c>
      <c r="B8054" s="5" t="s">
        <v>18130</v>
      </c>
      <c r="C8054" s="5" t="s">
        <v>80</v>
      </c>
      <c r="D8054" s="5" t="s">
        <v>81</v>
      </c>
      <c r="E8054" s="5" t="s">
        <v>82</v>
      </c>
      <c r="F8054" s="9">
        <v>75</v>
      </c>
      <c r="G8054" s="9" t="s">
        <v>86</v>
      </c>
      <c r="H8054" s="5" t="s">
        <v>21</v>
      </c>
      <c r="I8054" s="5" t="s">
        <v>18131</v>
      </c>
      <c r="J8054" s="12" t="str">
        <f>HYPERLINK("https://www.boe.es/gazeta/dias/1801/08/04/pdfs/GMD-C-1801-75.pdf#page=3","Abrir facsímil")</f>
        <v>Abrir facsímil</v>
      </c>
      <c r="K8054" s="15" t="s">
        <v>23</v>
      </c>
    </row>
    <row r="8055" spans="1:11" ht="42" customHeight="1">
      <c r="A8055" s="4" t="s">
        <v>18132</v>
      </c>
      <c r="B8055" s="5" t="s">
        <v>18133</v>
      </c>
      <c r="C8055" s="5" t="s">
        <v>80</v>
      </c>
      <c r="D8055" s="5" t="s">
        <v>81</v>
      </c>
      <c r="E8055" s="5" t="s">
        <v>82</v>
      </c>
      <c r="F8055" s="9">
        <v>75</v>
      </c>
      <c r="G8055" s="9" t="s">
        <v>86</v>
      </c>
      <c r="H8055" s="5" t="s">
        <v>21</v>
      </c>
      <c r="I8055" s="5" t="s">
        <v>18134</v>
      </c>
      <c r="J8055" s="12" t="str">
        <f>HYPERLINK("https://www.boe.es/gazeta/dias/1801/08/04/pdfs/GMD-C-1801-75.pdf#page=3","Abrir facsímil")</f>
        <v>Abrir facsímil</v>
      </c>
      <c r="K8055" s="15" t="s">
        <v>23</v>
      </c>
    </row>
    <row r="8056" spans="1:11" ht="42" customHeight="1">
      <c r="A8056" s="4" t="s">
        <v>18135</v>
      </c>
      <c r="B8056" s="5" t="s">
        <v>18136</v>
      </c>
      <c r="C8056" s="5" t="s">
        <v>80</v>
      </c>
      <c r="D8056" s="5" t="s">
        <v>81</v>
      </c>
      <c r="E8056" s="5" t="s">
        <v>82</v>
      </c>
      <c r="F8056" s="9">
        <v>75</v>
      </c>
      <c r="G8056" s="9" t="s">
        <v>668</v>
      </c>
      <c r="H8056" s="5" t="s">
        <v>21</v>
      </c>
      <c r="I8056" s="5" t="s">
        <v>18137</v>
      </c>
      <c r="J8056" s="12" t="str">
        <f>HYPERLINK("https://www.boe.es/gazeta/dias/1801/08/04/pdfs/GMD-C-1801-75.pdf#page=1","Abrir facsímil")</f>
        <v>Abrir facsímil</v>
      </c>
      <c r="K8056" s="15" t="s">
        <v>23</v>
      </c>
    </row>
    <row r="8057" spans="1:11" ht="42" customHeight="1">
      <c r="A8057" s="4" t="s">
        <v>18138</v>
      </c>
      <c r="B8057" s="5" t="s">
        <v>18139</v>
      </c>
      <c r="C8057" s="5" t="s">
        <v>80</v>
      </c>
      <c r="D8057" s="5" t="s">
        <v>81</v>
      </c>
      <c r="E8057" s="5" t="s">
        <v>82</v>
      </c>
      <c r="F8057" s="9">
        <v>75</v>
      </c>
      <c r="G8057" s="9" t="s">
        <v>305</v>
      </c>
      <c r="H8057" s="5" t="s">
        <v>21</v>
      </c>
      <c r="I8057" s="5" t="s">
        <v>18140</v>
      </c>
      <c r="J8057" s="12" t="str">
        <f>HYPERLINK("https://www.boe.es/gazeta/dias/1801/08/04/pdfs/GMD-C-1801-75.pdf#page=4","Abrir facsímil")</f>
        <v>Abrir facsímil</v>
      </c>
      <c r="K8057" s="15" t="s">
        <v>23</v>
      </c>
    </row>
    <row r="8058" spans="1:11" ht="42" customHeight="1">
      <c r="A8058" s="4" t="s">
        <v>18141</v>
      </c>
      <c r="B8058" s="5" t="s">
        <v>18142</v>
      </c>
      <c r="C8058" s="5" t="s">
        <v>80</v>
      </c>
      <c r="D8058" s="5" t="s">
        <v>81</v>
      </c>
      <c r="E8058" s="5" t="s">
        <v>82</v>
      </c>
      <c r="F8058" s="9">
        <v>75</v>
      </c>
      <c r="G8058" s="9" t="s">
        <v>305</v>
      </c>
      <c r="H8058" s="5" t="s">
        <v>21</v>
      </c>
      <c r="I8058" s="5" t="s">
        <v>18143</v>
      </c>
      <c r="J8058" s="12" t="str">
        <f>HYPERLINK("https://www.boe.es/gazeta/dias/1801/08/04/pdfs/GMD-C-1801-75.pdf#page=4","Abrir facsímil")</f>
        <v>Abrir facsímil</v>
      </c>
      <c r="K8058" s="15" t="s">
        <v>23</v>
      </c>
    </row>
    <row r="8059" spans="1:11" ht="42" customHeight="1">
      <c r="A8059" s="4" t="s">
        <v>18144</v>
      </c>
      <c r="B8059" s="5" t="s">
        <v>18145</v>
      </c>
      <c r="C8059" s="5" t="s">
        <v>80</v>
      </c>
      <c r="D8059" s="5" t="s">
        <v>81</v>
      </c>
      <c r="E8059" s="5" t="s">
        <v>82</v>
      </c>
      <c r="F8059" s="9">
        <v>75</v>
      </c>
      <c r="G8059" s="9" t="s">
        <v>86</v>
      </c>
      <c r="H8059" s="5" t="s">
        <v>21</v>
      </c>
      <c r="I8059" s="5" t="s">
        <v>18146</v>
      </c>
      <c r="J8059" s="12" t="str">
        <f>HYPERLINK("https://www.boe.es/gazeta/dias/1801/08/04/pdfs/GMD-C-1801-75.pdf#page=3","Abrir facsímil")</f>
        <v>Abrir facsímil</v>
      </c>
      <c r="K8059" s="15" t="s">
        <v>23</v>
      </c>
    </row>
    <row r="8060" spans="1:11" ht="42" customHeight="1">
      <c r="A8060" s="4" t="s">
        <v>18147</v>
      </c>
      <c r="B8060" s="5" t="s">
        <v>18148</v>
      </c>
      <c r="C8060" s="5" t="s">
        <v>80</v>
      </c>
      <c r="D8060" s="5" t="s">
        <v>81</v>
      </c>
      <c r="E8060" s="5" t="s">
        <v>82</v>
      </c>
      <c r="F8060" s="9">
        <v>75</v>
      </c>
      <c r="G8060" s="9" t="s">
        <v>86</v>
      </c>
      <c r="H8060" s="5" t="s">
        <v>21</v>
      </c>
      <c r="I8060" s="5" t="s">
        <v>18149</v>
      </c>
      <c r="J8060" s="12" t="str">
        <f>HYPERLINK("https://www.boe.es/gazeta/dias/1801/08/04/pdfs/GMD-C-1801-75.pdf#page=3","Abrir facsímil")</f>
        <v>Abrir facsímil</v>
      </c>
      <c r="K8060" s="15" t="s">
        <v>23</v>
      </c>
    </row>
    <row r="8061" spans="1:11" ht="42" customHeight="1">
      <c r="A8061" s="4" t="s">
        <v>18150</v>
      </c>
      <c r="B8061" s="5" t="s">
        <v>18151</v>
      </c>
      <c r="C8061" s="5" t="s">
        <v>80</v>
      </c>
      <c r="D8061" s="5" t="s">
        <v>81</v>
      </c>
      <c r="E8061" s="5" t="s">
        <v>82</v>
      </c>
      <c r="F8061" s="9">
        <v>75</v>
      </c>
      <c r="G8061" s="9" t="s">
        <v>305</v>
      </c>
      <c r="H8061" s="5" t="s">
        <v>21</v>
      </c>
      <c r="I8061" s="5" t="s">
        <v>18152</v>
      </c>
      <c r="J8061" s="12" t="str">
        <f>HYPERLINK("https://www.boe.es/gazeta/dias/1801/08/04/pdfs/GMD-C-1801-75.pdf#page=4","Abrir facsímil")</f>
        <v>Abrir facsímil</v>
      </c>
      <c r="K8061" s="15" t="s">
        <v>23</v>
      </c>
    </row>
    <row r="8062" spans="1:11" ht="42" customHeight="1">
      <c r="A8062" s="4" t="s">
        <v>18153</v>
      </c>
      <c r="B8062" s="5" t="s">
        <v>18154</v>
      </c>
      <c r="C8062" s="5" t="s">
        <v>80</v>
      </c>
      <c r="D8062" s="5" t="s">
        <v>81</v>
      </c>
      <c r="E8062" s="5" t="s">
        <v>82</v>
      </c>
      <c r="F8062" s="9">
        <v>75</v>
      </c>
      <c r="G8062" s="9" t="s">
        <v>305</v>
      </c>
      <c r="H8062" s="5" t="s">
        <v>21</v>
      </c>
      <c r="I8062" s="5" t="s">
        <v>18155</v>
      </c>
      <c r="J8062" s="12" t="str">
        <f>HYPERLINK("https://www.boe.es/gazeta/dias/1801/08/04/pdfs/GMD-C-1801-75.pdf#page=4","Abrir facsímil")</f>
        <v>Abrir facsímil</v>
      </c>
      <c r="K8062" s="15" t="s">
        <v>23</v>
      </c>
    </row>
    <row r="8063" spans="1:11" ht="42" customHeight="1">
      <c r="A8063" s="4" t="s">
        <v>18156</v>
      </c>
      <c r="B8063" s="5" t="s">
        <v>18157</v>
      </c>
      <c r="C8063" s="5" t="s">
        <v>80</v>
      </c>
      <c r="D8063" s="5" t="s">
        <v>81</v>
      </c>
      <c r="E8063" s="5" t="s">
        <v>82</v>
      </c>
      <c r="F8063" s="9">
        <v>75</v>
      </c>
      <c r="G8063" s="9" t="s">
        <v>305</v>
      </c>
      <c r="H8063" s="5" t="s">
        <v>21</v>
      </c>
      <c r="I8063" s="5" t="s">
        <v>18158</v>
      </c>
      <c r="J8063" s="12" t="str">
        <f>HYPERLINK("https://www.boe.es/gazeta/dias/1801/08/04/pdfs/GMD-C-1801-75.pdf#page=4","Abrir facsímil")</f>
        <v>Abrir facsímil</v>
      </c>
      <c r="K8063" s="15" t="s">
        <v>23</v>
      </c>
    </row>
    <row r="8064" spans="1:11" ht="42" customHeight="1">
      <c r="A8064" s="4" t="s">
        <v>18159</v>
      </c>
      <c r="B8064" s="5" t="s">
        <v>18160</v>
      </c>
      <c r="C8064" s="5" t="s">
        <v>80</v>
      </c>
      <c r="D8064" s="5" t="s">
        <v>81</v>
      </c>
      <c r="E8064" s="5" t="s">
        <v>82</v>
      </c>
      <c r="F8064" s="9">
        <v>75</v>
      </c>
      <c r="G8064" s="9" t="s">
        <v>86</v>
      </c>
      <c r="H8064" s="5" t="s">
        <v>21</v>
      </c>
      <c r="I8064" s="5" t="s">
        <v>18161</v>
      </c>
      <c r="J8064" s="12" t="str">
        <f>HYPERLINK("https://www.boe.es/gazeta/dias/1801/08/04/pdfs/GMD-C-1801-75.pdf#page=3","Abrir facsímil")</f>
        <v>Abrir facsímil</v>
      </c>
      <c r="K8064" s="15" t="s">
        <v>23</v>
      </c>
    </row>
    <row r="8065" spans="1:11" ht="42" customHeight="1">
      <c r="A8065" s="4" t="s">
        <v>18162</v>
      </c>
      <c r="B8065" s="5" t="s">
        <v>18163</v>
      </c>
      <c r="C8065" s="5" t="s">
        <v>80</v>
      </c>
      <c r="D8065" s="5" t="s">
        <v>81</v>
      </c>
      <c r="E8065" s="5" t="s">
        <v>82</v>
      </c>
      <c r="F8065" s="9">
        <v>75</v>
      </c>
      <c r="G8065" s="9" t="s">
        <v>305</v>
      </c>
      <c r="H8065" s="5" t="s">
        <v>21</v>
      </c>
      <c r="I8065" s="5" t="s">
        <v>18164</v>
      </c>
      <c r="J8065" s="12" t="str">
        <f>HYPERLINK("https://www.boe.es/gazeta/dias/1801/08/04/pdfs/GMD-C-1801-75.pdf#page=4","Abrir facsímil")</f>
        <v>Abrir facsímil</v>
      </c>
      <c r="K8065" s="15" t="s">
        <v>23</v>
      </c>
    </row>
    <row r="8066" spans="1:11" ht="42" customHeight="1">
      <c r="A8066" s="4" t="s">
        <v>18165</v>
      </c>
      <c r="B8066" s="5" t="s">
        <v>18166</v>
      </c>
      <c r="C8066" s="5" t="s">
        <v>80</v>
      </c>
      <c r="D8066" s="5" t="s">
        <v>81</v>
      </c>
      <c r="E8066" s="5" t="s">
        <v>82</v>
      </c>
      <c r="F8066" s="9">
        <v>75</v>
      </c>
      <c r="G8066" s="9" t="s">
        <v>305</v>
      </c>
      <c r="H8066" s="5" t="s">
        <v>21</v>
      </c>
      <c r="I8066" s="5" t="s">
        <v>18167</v>
      </c>
      <c r="J8066" s="12" t="str">
        <f>HYPERLINK("https://www.boe.es/gazeta/dias/1801/08/04/pdfs/GMD-C-1801-75.pdf#page=4","Abrir facsímil")</f>
        <v>Abrir facsímil</v>
      </c>
      <c r="K8066" s="15" t="s">
        <v>23</v>
      </c>
    </row>
    <row r="8067" spans="1:11" ht="42" customHeight="1">
      <c r="A8067" s="4" t="s">
        <v>18168</v>
      </c>
      <c r="B8067" s="5" t="s">
        <v>18169</v>
      </c>
      <c r="C8067" s="5" t="s">
        <v>80</v>
      </c>
      <c r="D8067" s="5" t="s">
        <v>81</v>
      </c>
      <c r="E8067" s="5" t="s">
        <v>82</v>
      </c>
      <c r="F8067" s="9">
        <v>75</v>
      </c>
      <c r="G8067" s="9" t="s">
        <v>83</v>
      </c>
      <c r="H8067" s="5" t="s">
        <v>21</v>
      </c>
      <c r="I8067" s="5" t="s">
        <v>18170</v>
      </c>
      <c r="J8067" s="12" t="str">
        <f>HYPERLINK("https://www.boe.es/gazeta/dias/1801/08/04/pdfs/GMD-C-1801-75.pdf#page=2","Abrir facsímil")</f>
        <v>Abrir facsímil</v>
      </c>
      <c r="K8067" s="15" t="s">
        <v>23</v>
      </c>
    </row>
    <row r="8068" spans="1:11" ht="42" customHeight="1">
      <c r="A8068" s="4" t="s">
        <v>18171</v>
      </c>
      <c r="B8068" s="5" t="s">
        <v>18172</v>
      </c>
      <c r="C8068" s="5" t="s">
        <v>80</v>
      </c>
      <c r="D8068" s="5" t="s">
        <v>81</v>
      </c>
      <c r="E8068" s="5" t="s">
        <v>82</v>
      </c>
      <c r="F8068" s="9">
        <v>75</v>
      </c>
      <c r="G8068" s="9" t="s">
        <v>299</v>
      </c>
      <c r="H8068" s="5" t="s">
        <v>21</v>
      </c>
      <c r="I8068" s="5" t="s">
        <v>18173</v>
      </c>
      <c r="J8068" s="12" t="str">
        <f>HYPERLINK("https://www.boe.es/gazeta/dias/1801/08/04/pdfs/GMD-C-1801-75.pdf#page=5","Abrir facsímil")</f>
        <v>Abrir facsímil</v>
      </c>
      <c r="K8068" s="15" t="s">
        <v>23</v>
      </c>
    </row>
    <row r="8069" spans="1:11" ht="42" customHeight="1">
      <c r="A8069" s="4" t="s">
        <v>18174</v>
      </c>
      <c r="B8069" s="5" t="s">
        <v>18175</v>
      </c>
      <c r="C8069" s="5" t="s">
        <v>75</v>
      </c>
      <c r="D8069" s="5" t="s">
        <v>76</v>
      </c>
      <c r="E8069" s="5" t="s">
        <v>94</v>
      </c>
      <c r="F8069" s="9">
        <v>19</v>
      </c>
      <c r="G8069" s="9">
        <v>245</v>
      </c>
      <c r="H8069" s="5" t="s">
        <v>21</v>
      </c>
      <c r="I8069" s="5" t="s">
        <v>18176</v>
      </c>
      <c r="J8069" s="12" t="str">
        <f>HYPERLINK("https://www.boe.es/gazeta/dias/1801/03/06/pdfs/GMD-1801-19.pdf#page=10","Abrir facsímil")</f>
        <v>Abrir facsímil</v>
      </c>
      <c r="K8069" s="15" t="s">
        <v>23</v>
      </c>
    </row>
    <row r="8070" spans="1:11" ht="42" customHeight="1">
      <c r="A8070" s="4" t="s">
        <v>18177</v>
      </c>
      <c r="B8070" s="5" t="s">
        <v>18178</v>
      </c>
      <c r="C8070" s="5" t="s">
        <v>32</v>
      </c>
      <c r="D8070" s="5" t="s">
        <v>33</v>
      </c>
      <c r="E8070" s="5" t="s">
        <v>1058</v>
      </c>
      <c r="F8070" s="9">
        <v>108</v>
      </c>
      <c r="G8070" s="9">
        <v>1191</v>
      </c>
      <c r="H8070" s="5" t="s">
        <v>21</v>
      </c>
      <c r="I8070" s="5" t="s">
        <v>18179</v>
      </c>
      <c r="J8070" s="12" t="str">
        <f>HYPERLINK("https://www.boe.es/gazeta/dias/1801/11/20/pdfs/GMD-1801-108.pdf#page=8","Abrir facsímil")</f>
        <v>Abrir facsímil</v>
      </c>
      <c r="K8070" s="15" t="s">
        <v>23</v>
      </c>
    </row>
    <row r="8071" spans="1:11" ht="42" customHeight="1">
      <c r="A8071" s="4" t="s">
        <v>18180</v>
      </c>
      <c r="B8071" s="5" t="s">
        <v>18181</v>
      </c>
      <c r="C8071" s="5" t="s">
        <v>80</v>
      </c>
      <c r="D8071" s="5" t="s">
        <v>81</v>
      </c>
      <c r="E8071" s="5" t="s">
        <v>82</v>
      </c>
      <c r="F8071" s="9">
        <v>75</v>
      </c>
      <c r="G8071" s="9" t="s">
        <v>305</v>
      </c>
      <c r="H8071" s="5" t="s">
        <v>21</v>
      </c>
      <c r="I8071" s="5" t="s">
        <v>18182</v>
      </c>
      <c r="J8071" s="12" t="str">
        <f>HYPERLINK("https://www.boe.es/gazeta/dias/1801/08/04/pdfs/GMD-C-1801-75.pdf#page=4","Abrir facsímil")</f>
        <v>Abrir facsímil</v>
      </c>
      <c r="K8071" s="15" t="s">
        <v>23</v>
      </c>
    </row>
    <row r="8072" spans="1:11" ht="42" customHeight="1">
      <c r="A8072" s="4" t="s">
        <v>18183</v>
      </c>
      <c r="B8072" s="5" t="s">
        <v>18184</v>
      </c>
      <c r="C8072" s="5" t="s">
        <v>80</v>
      </c>
      <c r="D8072" s="5" t="s">
        <v>81</v>
      </c>
      <c r="E8072" s="5" t="s">
        <v>82</v>
      </c>
      <c r="F8072" s="9">
        <v>75</v>
      </c>
      <c r="G8072" s="9" t="s">
        <v>86</v>
      </c>
      <c r="H8072" s="5" t="s">
        <v>21</v>
      </c>
      <c r="I8072" s="5" t="s">
        <v>18185</v>
      </c>
      <c r="J8072" s="12" t="str">
        <f>HYPERLINK("https://www.boe.es/gazeta/dias/1801/08/04/pdfs/GMD-C-1801-75.pdf#page=3","Abrir facsímil")</f>
        <v>Abrir facsímil</v>
      </c>
      <c r="K8072" s="15" t="s">
        <v>23</v>
      </c>
    </row>
    <row r="8073" spans="1:11" ht="42" customHeight="1">
      <c r="A8073" s="4" t="s">
        <v>18186</v>
      </c>
      <c r="B8073" s="5" t="s">
        <v>18187</v>
      </c>
      <c r="C8073" s="5" t="s">
        <v>80</v>
      </c>
      <c r="D8073" s="5" t="s">
        <v>81</v>
      </c>
      <c r="E8073" s="5" t="s">
        <v>82</v>
      </c>
      <c r="F8073" s="9">
        <v>75</v>
      </c>
      <c r="G8073" s="9" t="s">
        <v>86</v>
      </c>
      <c r="H8073" s="5" t="s">
        <v>21</v>
      </c>
      <c r="I8073" s="5" t="s">
        <v>18188</v>
      </c>
      <c r="J8073" s="12" t="str">
        <f>HYPERLINK("https://www.boe.es/gazeta/dias/1801/08/04/pdfs/GMD-C-1801-75.pdf#page=3","Abrir facsímil")</f>
        <v>Abrir facsímil</v>
      </c>
      <c r="K8073" s="15" t="s">
        <v>23</v>
      </c>
    </row>
    <row r="8074" spans="1:11" ht="42" customHeight="1">
      <c r="A8074" s="4" t="s">
        <v>18189</v>
      </c>
      <c r="B8074" s="5" t="s">
        <v>18190</v>
      </c>
      <c r="C8074" s="5" t="s">
        <v>80</v>
      </c>
      <c r="D8074" s="5" t="s">
        <v>81</v>
      </c>
      <c r="E8074" s="5" t="s">
        <v>82</v>
      </c>
      <c r="F8074" s="9">
        <v>75</v>
      </c>
      <c r="G8074" s="9" t="s">
        <v>305</v>
      </c>
      <c r="H8074" s="5" t="s">
        <v>21</v>
      </c>
      <c r="I8074" s="5" t="s">
        <v>18191</v>
      </c>
      <c r="J8074" s="12" t="str">
        <f>HYPERLINK("https://www.boe.es/gazeta/dias/1801/08/04/pdfs/GMD-C-1801-75.pdf#page=4","Abrir facsímil")</f>
        <v>Abrir facsímil</v>
      </c>
      <c r="K8074" s="15" t="s">
        <v>23</v>
      </c>
    </row>
    <row r="8075" spans="1:11" ht="42" customHeight="1">
      <c r="A8075" s="4" t="s">
        <v>18192</v>
      </c>
      <c r="B8075" s="5" t="s">
        <v>18193</v>
      </c>
      <c r="C8075" s="5" t="s">
        <v>80</v>
      </c>
      <c r="D8075" s="5" t="s">
        <v>81</v>
      </c>
      <c r="E8075" s="5" t="s">
        <v>82</v>
      </c>
      <c r="F8075" s="9">
        <v>75</v>
      </c>
      <c r="G8075" s="9" t="s">
        <v>305</v>
      </c>
      <c r="H8075" s="5" t="s">
        <v>21</v>
      </c>
      <c r="I8075" s="5" t="s">
        <v>18194</v>
      </c>
      <c r="J8075" s="12" t="str">
        <f>HYPERLINK("https://www.boe.es/gazeta/dias/1801/08/04/pdfs/GMD-C-1801-75.pdf#page=4","Abrir facsímil")</f>
        <v>Abrir facsímil</v>
      </c>
      <c r="K8075" s="15" t="s">
        <v>23</v>
      </c>
    </row>
    <row r="8076" spans="1:11" ht="42" customHeight="1">
      <c r="A8076" s="4" t="s">
        <v>18195</v>
      </c>
      <c r="B8076" s="5" t="s">
        <v>18196</v>
      </c>
      <c r="C8076" s="5" t="s">
        <v>80</v>
      </c>
      <c r="D8076" s="5" t="s">
        <v>81</v>
      </c>
      <c r="E8076" s="5" t="s">
        <v>82</v>
      </c>
      <c r="F8076" s="9">
        <v>75</v>
      </c>
      <c r="G8076" s="9" t="s">
        <v>305</v>
      </c>
      <c r="H8076" s="5" t="s">
        <v>21</v>
      </c>
      <c r="I8076" s="5" t="s">
        <v>18197</v>
      </c>
      <c r="J8076" s="12" t="str">
        <f>HYPERLINK("https://www.boe.es/gazeta/dias/1801/08/04/pdfs/GMD-C-1801-75.pdf#page=4","Abrir facsímil")</f>
        <v>Abrir facsímil</v>
      </c>
      <c r="K8076" s="15" t="s">
        <v>23</v>
      </c>
    </row>
    <row r="8077" spans="1:11" ht="42" customHeight="1">
      <c r="A8077" s="4" t="s">
        <v>18198</v>
      </c>
      <c r="B8077" s="5" t="s">
        <v>18199</v>
      </c>
      <c r="C8077" s="5" t="s">
        <v>80</v>
      </c>
      <c r="D8077" s="5" t="s">
        <v>81</v>
      </c>
      <c r="E8077" s="5" t="s">
        <v>82</v>
      </c>
      <c r="F8077" s="9">
        <v>75</v>
      </c>
      <c r="G8077" s="9" t="s">
        <v>299</v>
      </c>
      <c r="H8077" s="5" t="s">
        <v>21</v>
      </c>
      <c r="I8077" s="5" t="s">
        <v>18200</v>
      </c>
      <c r="J8077" s="12" t="str">
        <f>HYPERLINK("https://www.boe.es/gazeta/dias/1801/08/04/pdfs/GMD-C-1801-75.pdf#page=5","Abrir facsímil")</f>
        <v>Abrir facsímil</v>
      </c>
      <c r="K8077" s="15" t="s">
        <v>23</v>
      </c>
    </row>
    <row r="8078" spans="1:11" ht="42" customHeight="1">
      <c r="A8078" s="4" t="s">
        <v>18201</v>
      </c>
      <c r="B8078" s="5" t="s">
        <v>18202</v>
      </c>
      <c r="C8078" s="5" t="s">
        <v>80</v>
      </c>
      <c r="D8078" s="5" t="s">
        <v>81</v>
      </c>
      <c r="E8078" s="5" t="s">
        <v>82</v>
      </c>
      <c r="F8078" s="9">
        <v>75</v>
      </c>
      <c r="G8078" s="9" t="s">
        <v>305</v>
      </c>
      <c r="H8078" s="5" t="s">
        <v>21</v>
      </c>
      <c r="I8078" s="5" t="s">
        <v>18203</v>
      </c>
      <c r="J8078" s="12" t="str">
        <f>HYPERLINK("https://www.boe.es/gazeta/dias/1801/08/04/pdfs/GMD-C-1801-75.pdf#page=4","Abrir facsímil")</f>
        <v>Abrir facsímil</v>
      </c>
      <c r="K8078" s="15" t="s">
        <v>23</v>
      </c>
    </row>
    <row r="8079" spans="1:11" ht="42" customHeight="1">
      <c r="A8079" s="4" t="s">
        <v>18204</v>
      </c>
      <c r="B8079" s="5" t="s">
        <v>18205</v>
      </c>
      <c r="C8079" s="5" t="s">
        <v>80</v>
      </c>
      <c r="D8079" s="5" t="s">
        <v>81</v>
      </c>
      <c r="E8079" s="5" t="s">
        <v>82</v>
      </c>
      <c r="F8079" s="9">
        <v>75</v>
      </c>
      <c r="G8079" s="9" t="s">
        <v>305</v>
      </c>
      <c r="H8079" s="5" t="s">
        <v>21</v>
      </c>
      <c r="I8079" s="5" t="s">
        <v>18206</v>
      </c>
      <c r="J8079" s="12" t="str">
        <f>HYPERLINK("https://www.boe.es/gazeta/dias/1801/08/04/pdfs/GMD-C-1801-75.pdf#page=4","Abrir facsímil")</f>
        <v>Abrir facsímil</v>
      </c>
      <c r="K8079" s="15" t="s">
        <v>23</v>
      </c>
    </row>
    <row r="8080" spans="1:11" ht="42" customHeight="1">
      <c r="A8080" s="4" t="s">
        <v>18207</v>
      </c>
      <c r="B8080" s="5" t="s">
        <v>18208</v>
      </c>
      <c r="C8080" s="5" t="s">
        <v>80</v>
      </c>
      <c r="D8080" s="5" t="s">
        <v>81</v>
      </c>
      <c r="E8080" s="5" t="s">
        <v>82</v>
      </c>
      <c r="F8080" s="9">
        <v>75</v>
      </c>
      <c r="G8080" s="9" t="s">
        <v>299</v>
      </c>
      <c r="H8080" s="5" t="s">
        <v>21</v>
      </c>
      <c r="I8080" s="5" t="s">
        <v>18209</v>
      </c>
      <c r="J8080" s="12" t="str">
        <f>HYPERLINK("https://www.boe.es/gazeta/dias/1801/08/04/pdfs/GMD-C-1801-75.pdf#page=5","Abrir facsímil")</f>
        <v>Abrir facsímil</v>
      </c>
      <c r="K8080" s="15" t="s">
        <v>23</v>
      </c>
    </row>
    <row r="8081" spans="1:11" ht="42" customHeight="1">
      <c r="A8081" s="4" t="s">
        <v>18210</v>
      </c>
      <c r="B8081" s="5" t="s">
        <v>18211</v>
      </c>
      <c r="C8081" s="5" t="s">
        <v>80</v>
      </c>
      <c r="D8081" s="5" t="s">
        <v>81</v>
      </c>
      <c r="E8081" s="5" t="s">
        <v>82</v>
      </c>
      <c r="F8081" s="9">
        <v>75</v>
      </c>
      <c r="G8081" s="9" t="s">
        <v>299</v>
      </c>
      <c r="H8081" s="5" t="s">
        <v>21</v>
      </c>
      <c r="I8081" s="5" t="s">
        <v>18212</v>
      </c>
      <c r="J8081" s="12" t="str">
        <f>HYPERLINK("https://www.boe.es/gazeta/dias/1801/08/04/pdfs/GMD-C-1801-75.pdf#page=5","Abrir facsímil")</f>
        <v>Abrir facsímil</v>
      </c>
      <c r="K8081" s="15" t="s">
        <v>23</v>
      </c>
    </row>
    <row r="8082" spans="1:11" ht="42" customHeight="1">
      <c r="A8082" s="4" t="s">
        <v>18213</v>
      </c>
      <c r="B8082" s="5" t="s">
        <v>18214</v>
      </c>
      <c r="C8082" s="5" t="s">
        <v>80</v>
      </c>
      <c r="D8082" s="5" t="s">
        <v>81</v>
      </c>
      <c r="E8082" s="5" t="s">
        <v>82</v>
      </c>
      <c r="F8082" s="9">
        <v>75</v>
      </c>
      <c r="G8082" s="9" t="s">
        <v>305</v>
      </c>
      <c r="H8082" s="5" t="s">
        <v>21</v>
      </c>
      <c r="I8082" s="5" t="s">
        <v>18215</v>
      </c>
      <c r="J8082" s="12" t="str">
        <f>HYPERLINK("https://www.boe.es/gazeta/dias/1801/08/04/pdfs/GMD-C-1801-75.pdf#page=4","Abrir facsímil")</f>
        <v>Abrir facsímil</v>
      </c>
      <c r="K8082" s="15" t="s">
        <v>23</v>
      </c>
    </row>
    <row r="8083" spans="1:11" ht="42" customHeight="1">
      <c r="A8083" s="4" t="s">
        <v>18216</v>
      </c>
      <c r="B8083" s="5" t="s">
        <v>18217</v>
      </c>
      <c r="C8083" s="5" t="s">
        <v>80</v>
      </c>
      <c r="D8083" s="5" t="s">
        <v>81</v>
      </c>
      <c r="E8083" s="5" t="s">
        <v>82</v>
      </c>
      <c r="F8083" s="9">
        <v>75</v>
      </c>
      <c r="G8083" s="9" t="s">
        <v>299</v>
      </c>
      <c r="H8083" s="5" t="s">
        <v>21</v>
      </c>
      <c r="I8083" s="5" t="s">
        <v>18218</v>
      </c>
      <c r="J8083" s="12" t="str">
        <f>HYPERLINK("https://www.boe.es/gazeta/dias/1801/08/04/pdfs/GMD-C-1801-75.pdf#page=5","Abrir facsímil")</f>
        <v>Abrir facsímil</v>
      </c>
      <c r="K8083" s="15" t="s">
        <v>23</v>
      </c>
    </row>
    <row r="8084" spans="1:11" ht="42" customHeight="1">
      <c r="A8084" s="4" t="s">
        <v>18219</v>
      </c>
      <c r="B8084" s="5" t="s">
        <v>18220</v>
      </c>
      <c r="C8084" s="5" t="s">
        <v>80</v>
      </c>
      <c r="D8084" s="5" t="s">
        <v>81</v>
      </c>
      <c r="E8084" s="5" t="s">
        <v>82</v>
      </c>
      <c r="F8084" s="9">
        <v>75</v>
      </c>
      <c r="G8084" s="9" t="s">
        <v>299</v>
      </c>
      <c r="H8084" s="5" t="s">
        <v>21</v>
      </c>
      <c r="I8084" s="5" t="s">
        <v>18221</v>
      </c>
      <c r="J8084" s="12" t="str">
        <f>HYPERLINK("https://www.boe.es/gazeta/dias/1801/08/04/pdfs/GMD-C-1801-75.pdf#page=5","Abrir facsímil")</f>
        <v>Abrir facsímil</v>
      </c>
      <c r="K8084" s="15" t="s">
        <v>23</v>
      </c>
    </row>
    <row r="8085" spans="1:11" ht="42" customHeight="1">
      <c r="A8085" s="4" t="s">
        <v>18222</v>
      </c>
      <c r="B8085" s="5" t="s">
        <v>18223</v>
      </c>
      <c r="C8085" s="5" t="s">
        <v>32</v>
      </c>
      <c r="D8085" s="5" t="s">
        <v>33</v>
      </c>
      <c r="E8085" s="5" t="s">
        <v>615</v>
      </c>
      <c r="F8085" s="9">
        <v>72</v>
      </c>
      <c r="G8085" s="9">
        <v>804</v>
      </c>
      <c r="H8085" s="5" t="s">
        <v>21</v>
      </c>
      <c r="I8085" s="5" t="s">
        <v>18224</v>
      </c>
      <c r="J8085" s="12" t="str">
        <f>HYPERLINK("https://www.boe.es/gazeta/dias/1801/07/24/pdfs/GMD-1801-72.pdf#page=9","Abrir facsímil")</f>
        <v>Abrir facsímil</v>
      </c>
      <c r="K8085" s="15" t="s">
        <v>23</v>
      </c>
    </row>
    <row r="8086" spans="1:11" ht="42" customHeight="1">
      <c r="A8086" s="4" t="s">
        <v>18225</v>
      </c>
      <c r="B8086" s="5" t="s">
        <v>18226</v>
      </c>
      <c r="C8086" s="5" t="s">
        <v>80</v>
      </c>
      <c r="D8086" s="5" t="s">
        <v>81</v>
      </c>
      <c r="E8086" s="5" t="s">
        <v>82</v>
      </c>
      <c r="F8086" s="9">
        <v>75</v>
      </c>
      <c r="G8086" s="9" t="s">
        <v>305</v>
      </c>
      <c r="H8086" s="5" t="s">
        <v>21</v>
      </c>
      <c r="I8086" s="5" t="s">
        <v>18227</v>
      </c>
      <c r="J8086" s="12" t="str">
        <f>HYPERLINK("https://www.boe.es/gazeta/dias/1801/08/04/pdfs/GMD-C-1801-75.pdf#page=4","Abrir facsímil")</f>
        <v>Abrir facsímil</v>
      </c>
      <c r="K8086" s="15" t="s">
        <v>23</v>
      </c>
    </row>
    <row r="8087" spans="1:11" ht="42" customHeight="1">
      <c r="A8087" s="4" t="s">
        <v>18228</v>
      </c>
      <c r="B8087" s="5" t="s">
        <v>18229</v>
      </c>
      <c r="C8087" s="5" t="s">
        <v>32</v>
      </c>
      <c r="D8087" s="5" t="s">
        <v>33</v>
      </c>
      <c r="E8087" s="5" t="s">
        <v>505</v>
      </c>
      <c r="F8087" s="9">
        <v>94</v>
      </c>
      <c r="G8087" s="9">
        <v>1033</v>
      </c>
      <c r="H8087" s="5" t="s">
        <v>21</v>
      </c>
      <c r="I8087" s="5" t="s">
        <v>18230</v>
      </c>
      <c r="J8087" s="12" t="str">
        <f>HYPERLINK("https://www.boe.es/gazeta/dias/1801/10/02/pdfs/GMD-1801-94.pdf#page=9","Abrir facsímil")</f>
        <v>Abrir facsímil</v>
      </c>
      <c r="K8087" s="15" t="s">
        <v>23</v>
      </c>
    </row>
    <row r="8088" spans="1:11" ht="42" customHeight="1">
      <c r="A8088" s="4" t="s">
        <v>18231</v>
      </c>
      <c r="B8088" s="5" t="s">
        <v>18232</v>
      </c>
      <c r="C8088" s="5" t="s">
        <v>38</v>
      </c>
      <c r="D8088" s="5" t="s">
        <v>39</v>
      </c>
      <c r="E8088" s="5" t="s">
        <v>131</v>
      </c>
      <c r="F8088" s="9">
        <v>22</v>
      </c>
      <c r="G8088" s="9">
        <v>289</v>
      </c>
      <c r="H8088" s="5" t="s">
        <v>21</v>
      </c>
      <c r="I8088" s="5" t="s">
        <v>18233</v>
      </c>
      <c r="J8088" s="12" t="str">
        <f>HYPERLINK("https://www.boe.es/gazeta/dias/1801/03/17/pdfs/GMD-1801-22.pdf#page=6","Abrir facsímil")</f>
        <v>Abrir facsímil</v>
      </c>
      <c r="K8088" s="15" t="s">
        <v>23</v>
      </c>
    </row>
    <row r="8089" spans="1:11" ht="42" customHeight="1">
      <c r="A8089" s="4" t="s">
        <v>18234</v>
      </c>
      <c r="B8089" s="5" t="s">
        <v>18235</v>
      </c>
      <c r="C8089" s="5" t="s">
        <v>69</v>
      </c>
      <c r="D8089" s="5" t="s">
        <v>19</v>
      </c>
      <c r="E8089" s="5" t="s">
        <v>349</v>
      </c>
      <c r="F8089" s="9">
        <v>112</v>
      </c>
      <c r="G8089" s="9">
        <v>1226</v>
      </c>
      <c r="H8089" s="5" t="s">
        <v>21</v>
      </c>
      <c r="I8089" s="5" t="s">
        <v>18236</v>
      </c>
      <c r="J8089" s="12" t="str">
        <f>HYPERLINK("https://www.boe.es/gazeta/dias/1801/12/04/pdfs/GMD-1801-112.pdf#page=7","Abrir facsímil")</f>
        <v>Abrir facsímil</v>
      </c>
      <c r="K8089" s="15" t="s">
        <v>23</v>
      </c>
    </row>
    <row r="8090" spans="1:11" ht="42" customHeight="1">
      <c r="A8090" s="4" t="s">
        <v>18237</v>
      </c>
      <c r="B8090" s="5" t="s">
        <v>18238</v>
      </c>
      <c r="C8090" s="5" t="s">
        <v>32</v>
      </c>
      <c r="D8090" s="5" t="s">
        <v>33</v>
      </c>
      <c r="E8090" s="5" t="s">
        <v>120</v>
      </c>
      <c r="F8090" s="9">
        <v>7</v>
      </c>
      <c r="G8090" s="9">
        <v>84</v>
      </c>
      <c r="H8090" s="5" t="s">
        <v>21</v>
      </c>
      <c r="I8090" s="5" t="s">
        <v>18239</v>
      </c>
      <c r="J8090" s="12" t="str">
        <f>HYPERLINK("https://www.boe.es/gazeta/dias/1801/01/23/pdfs/GMD-1801-7.pdf#page=8","Abrir facsímil")</f>
        <v>Abrir facsímil</v>
      </c>
      <c r="K8090" s="15" t="s">
        <v>23</v>
      </c>
    </row>
    <row r="8091" spans="1:11" ht="42" customHeight="1">
      <c r="A8091" s="4" t="s">
        <v>18240</v>
      </c>
      <c r="B8091" s="5" t="s">
        <v>18241</v>
      </c>
      <c r="C8091" s="5" t="s">
        <v>18</v>
      </c>
      <c r="D8091" s="5" t="s">
        <v>19</v>
      </c>
      <c r="E8091" s="5" t="s">
        <v>211</v>
      </c>
      <c r="F8091" s="9">
        <v>87</v>
      </c>
      <c r="G8091" s="9">
        <v>966</v>
      </c>
      <c r="H8091" s="5" t="s">
        <v>21</v>
      </c>
      <c r="I8091" s="5" t="s">
        <v>18242</v>
      </c>
      <c r="J8091" s="12" t="str">
        <f>HYPERLINK("https://www.boe.es/gazeta/dias/1801/09/11/pdfs/GMD-1801-87.pdf#page=9","Abrir facsímil")</f>
        <v>Abrir facsímil</v>
      </c>
      <c r="K8091" s="15" t="s">
        <v>23</v>
      </c>
    </row>
    <row r="8092" spans="1:11" ht="42" customHeight="1">
      <c r="A8092" s="4" t="s">
        <v>18243</v>
      </c>
      <c r="B8092" s="5" t="s">
        <v>18244</v>
      </c>
      <c r="C8092" s="5" t="s">
        <v>32</v>
      </c>
      <c r="D8092" s="5" t="s">
        <v>33</v>
      </c>
      <c r="E8092" s="5" t="s">
        <v>161</v>
      </c>
      <c r="F8092" s="9">
        <v>58</v>
      </c>
      <c r="G8092" s="9">
        <v>664</v>
      </c>
      <c r="H8092" s="5" t="s">
        <v>21</v>
      </c>
      <c r="I8092" s="5" t="s">
        <v>18245</v>
      </c>
      <c r="J8092" s="12" t="str">
        <f>HYPERLINK("https://www.boe.es/gazeta/dias/1801/06/19/pdfs/GMD-1801-58.pdf#page=9","Abrir facsímil")</f>
        <v>Abrir facsímil</v>
      </c>
      <c r="K8092" s="15" t="s">
        <v>23</v>
      </c>
    </row>
    <row r="8093" spans="1:11" ht="42" customHeight="1">
      <c r="A8093" s="4" t="s">
        <v>18246</v>
      </c>
      <c r="B8093" s="5" t="s">
        <v>18247</v>
      </c>
      <c r="C8093" s="5" t="s">
        <v>32</v>
      </c>
      <c r="D8093" s="5" t="s">
        <v>33</v>
      </c>
      <c r="E8093" s="5" t="s">
        <v>66</v>
      </c>
      <c r="F8093" s="9">
        <v>52</v>
      </c>
      <c r="G8093" s="9">
        <v>608</v>
      </c>
      <c r="H8093" s="5" t="s">
        <v>21</v>
      </c>
      <c r="I8093" s="5" t="s">
        <v>18248</v>
      </c>
      <c r="J8093" s="12" t="str">
        <f>HYPERLINK("https://www.boe.es/gazeta/dias/1801/06/12/pdfs/GMD-1801-52.pdf#page=7","Abrir facsímil")</f>
        <v>Abrir facsímil</v>
      </c>
      <c r="K8093" s="15" t="s">
        <v>23</v>
      </c>
    </row>
    <row r="8094" spans="1:11" ht="42" customHeight="1">
      <c r="A8094" s="4" t="s">
        <v>18249</v>
      </c>
      <c r="B8094" s="5" t="s">
        <v>18250</v>
      </c>
      <c r="C8094" s="5" t="s">
        <v>32</v>
      </c>
      <c r="D8094" s="5" t="s">
        <v>33</v>
      </c>
      <c r="E8094" s="5" t="s">
        <v>462</v>
      </c>
      <c r="F8094" s="9">
        <v>5</v>
      </c>
      <c r="G8094" s="9">
        <v>57</v>
      </c>
      <c r="H8094" s="5" t="s">
        <v>21</v>
      </c>
      <c r="I8094" s="5" t="s">
        <v>18251</v>
      </c>
      <c r="J8094" s="12" t="str">
        <f>HYPERLINK("https://www.boe.es/gazeta/dias/1801/01/16/pdfs/GMD-1801-5.pdf#page=9","Abrir facsímil")</f>
        <v>Abrir facsímil</v>
      </c>
      <c r="K8094" s="15" t="s">
        <v>23</v>
      </c>
    </row>
    <row r="8095" spans="1:11" ht="42" customHeight="1">
      <c r="A8095" s="4" t="s">
        <v>18252</v>
      </c>
      <c r="B8095" s="5" t="s">
        <v>18253</v>
      </c>
      <c r="C8095" s="5" t="s">
        <v>75</v>
      </c>
      <c r="D8095" s="5" t="s">
        <v>76</v>
      </c>
      <c r="E8095" s="5" t="s">
        <v>338</v>
      </c>
      <c r="F8095" s="9">
        <v>83</v>
      </c>
      <c r="G8095" s="9">
        <v>931</v>
      </c>
      <c r="H8095" s="5" t="s">
        <v>21</v>
      </c>
      <c r="I8095" s="5" t="s">
        <v>18254</v>
      </c>
      <c r="J8095" s="12" t="str">
        <f>HYPERLINK("https://www.boe.es/gazeta/dias/1801/09/01/pdfs/GMD-1801-83.pdf#page=6","Abrir facsímil")</f>
        <v>Abrir facsímil</v>
      </c>
      <c r="K8095" s="15" t="s">
        <v>23</v>
      </c>
    </row>
    <row r="8096" spans="1:11" ht="42" customHeight="1">
      <c r="A8096" s="4" t="s">
        <v>18255</v>
      </c>
      <c r="B8096" s="5" t="s">
        <v>18256</v>
      </c>
      <c r="C8096" s="5" t="s">
        <v>38</v>
      </c>
      <c r="D8096" s="5" t="s">
        <v>39</v>
      </c>
      <c r="E8096" s="5" t="s">
        <v>378</v>
      </c>
      <c r="F8096" s="9">
        <v>23</v>
      </c>
      <c r="G8096" s="9">
        <v>305</v>
      </c>
      <c r="H8096" s="5" t="s">
        <v>21</v>
      </c>
      <c r="I8096" s="5" t="s">
        <v>18257</v>
      </c>
      <c r="J8096" s="12" t="str">
        <f>HYPERLINK("https://www.boe.es/gazeta/dias/1801/03/20/pdfs/GMD-1801-23.pdf#page=8","Abrir facsímil")</f>
        <v>Abrir facsímil</v>
      </c>
      <c r="K8096" s="15" t="s">
        <v>23</v>
      </c>
    </row>
    <row r="8097" spans="1:11" ht="42" customHeight="1">
      <c r="A8097" s="4" t="s">
        <v>18258</v>
      </c>
      <c r="B8097" s="5" t="s">
        <v>18259</v>
      </c>
      <c r="C8097" s="5" t="s">
        <v>32</v>
      </c>
      <c r="D8097" s="5" t="s">
        <v>33</v>
      </c>
      <c r="E8097" s="5" t="s">
        <v>161</v>
      </c>
      <c r="F8097" s="9">
        <v>58</v>
      </c>
      <c r="G8097" s="9">
        <v>664</v>
      </c>
      <c r="H8097" s="5" t="s">
        <v>21</v>
      </c>
      <c r="I8097" s="5" t="s">
        <v>18260</v>
      </c>
      <c r="J8097" s="12" t="str">
        <f>HYPERLINK("https://www.boe.es/gazeta/dias/1801/06/19/pdfs/GMD-1801-58.pdf#page=9","Abrir facsímil")</f>
        <v>Abrir facsímil</v>
      </c>
      <c r="K8097" s="15" t="s">
        <v>23</v>
      </c>
    </row>
    <row r="8098" spans="1:11" ht="42" customHeight="1">
      <c r="A8098" s="4" t="s">
        <v>18261</v>
      </c>
      <c r="B8098" s="5" t="s">
        <v>18262</v>
      </c>
      <c r="C8098" s="5" t="s">
        <v>32</v>
      </c>
      <c r="D8098" s="5" t="s">
        <v>33</v>
      </c>
      <c r="E8098" s="5" t="s">
        <v>275</v>
      </c>
      <c r="F8098" s="9">
        <v>9</v>
      </c>
      <c r="G8098" s="9">
        <v>112</v>
      </c>
      <c r="H8098" s="5" t="s">
        <v>21</v>
      </c>
      <c r="I8098" s="5" t="s">
        <v>18263</v>
      </c>
      <c r="J8098" s="12" t="str">
        <f>HYPERLINK("https://www.boe.es/gazeta/dias/1801/01/30/pdfs/GMD-1801-9.pdf#page=9","Abrir facsímil")</f>
        <v>Abrir facsímil</v>
      </c>
      <c r="K8098" s="15" t="s">
        <v>23</v>
      </c>
    </row>
    <row r="8099" spans="1:11" ht="42" customHeight="1">
      <c r="A8099" s="4" t="s">
        <v>18264</v>
      </c>
      <c r="B8099" s="5" t="s">
        <v>18265</v>
      </c>
      <c r="C8099" s="5" t="s">
        <v>32</v>
      </c>
      <c r="D8099" s="5" t="s">
        <v>33</v>
      </c>
      <c r="E8099" s="5" t="s">
        <v>223</v>
      </c>
      <c r="F8099" s="9">
        <v>74</v>
      </c>
      <c r="G8099" s="9">
        <v>827</v>
      </c>
      <c r="H8099" s="5" t="s">
        <v>21</v>
      </c>
      <c r="I8099" s="5" t="s">
        <v>18266</v>
      </c>
      <c r="J8099" s="12" t="str">
        <f>HYPERLINK("https://www.boe.es/gazeta/dias/1801/07/31/pdfs/GMD-1801-74.pdf#page=8","Abrir facsímil")</f>
        <v>Abrir facsímil</v>
      </c>
      <c r="K8099" s="15" t="s">
        <v>23</v>
      </c>
    </row>
    <row r="8100" spans="1:11" ht="42" customHeight="1">
      <c r="A8100" s="4" t="s">
        <v>18267</v>
      </c>
      <c r="B8100" s="5" t="s">
        <v>18268</v>
      </c>
      <c r="C8100" s="5" t="s">
        <v>32</v>
      </c>
      <c r="D8100" s="5" t="s">
        <v>33</v>
      </c>
      <c r="E8100" s="5" t="s">
        <v>201</v>
      </c>
      <c r="F8100" s="9">
        <v>79</v>
      </c>
      <c r="G8100" s="9">
        <v>889</v>
      </c>
      <c r="H8100" s="5" t="s">
        <v>21</v>
      </c>
      <c r="I8100" s="5" t="s">
        <v>18269</v>
      </c>
      <c r="J8100" s="12" t="str">
        <f>HYPERLINK("https://www.boe.es/gazeta/dias/1801/08/18/pdfs/GMD-1801-79.pdf#page=6","Abrir facsímil")</f>
        <v>Abrir facsímil</v>
      </c>
      <c r="K8100" s="15" t="s">
        <v>23</v>
      </c>
    </row>
    <row r="8101" spans="1:11" ht="42" customHeight="1">
      <c r="A8101" s="4" t="s">
        <v>18270</v>
      </c>
      <c r="B8101" s="5" t="s">
        <v>18271</v>
      </c>
      <c r="C8101" s="5" t="s">
        <v>38</v>
      </c>
      <c r="D8101" s="5" t="s">
        <v>39</v>
      </c>
      <c r="E8101" s="5" t="s">
        <v>328</v>
      </c>
      <c r="F8101" s="9">
        <v>89</v>
      </c>
      <c r="G8101" s="9">
        <v>981</v>
      </c>
      <c r="H8101" s="5" t="s">
        <v>21</v>
      </c>
      <c r="I8101" s="5" t="s">
        <v>18272</v>
      </c>
      <c r="J8101" s="12" t="str">
        <f>HYPERLINK("https://www.boe.es/gazeta/dias/1801/09/15/pdfs/GMD-1801-89.pdf#page=8","Abrir facsímil")</f>
        <v>Abrir facsímil</v>
      </c>
      <c r="K8101" s="15" t="s">
        <v>23</v>
      </c>
    </row>
    <row r="8102" spans="1:11" ht="42" customHeight="1">
      <c r="A8102" s="4" t="s">
        <v>18273</v>
      </c>
      <c r="B8102" s="5" t="s">
        <v>18274</v>
      </c>
      <c r="C8102" s="5" t="s">
        <v>38</v>
      </c>
      <c r="D8102" s="5" t="s">
        <v>39</v>
      </c>
      <c r="E8102" s="5" t="s">
        <v>328</v>
      </c>
      <c r="F8102" s="9">
        <v>89</v>
      </c>
      <c r="G8102" s="9">
        <v>981</v>
      </c>
      <c r="H8102" s="5" t="s">
        <v>21</v>
      </c>
      <c r="I8102" s="5" t="s">
        <v>18275</v>
      </c>
      <c r="J8102" s="12" t="str">
        <f>HYPERLINK("https://www.boe.es/gazeta/dias/1801/09/15/pdfs/GMD-1801-89.pdf#page=8","Abrir facsímil")</f>
        <v>Abrir facsímil</v>
      </c>
      <c r="K8102" s="15" t="s">
        <v>23</v>
      </c>
    </row>
    <row r="8103" spans="1:11" ht="42" customHeight="1">
      <c r="A8103" s="4" t="s">
        <v>18276</v>
      </c>
      <c r="B8103" s="5" t="s">
        <v>18277</v>
      </c>
      <c r="C8103" s="5" t="s">
        <v>32</v>
      </c>
      <c r="D8103" s="5" t="s">
        <v>33</v>
      </c>
      <c r="E8103" s="5" t="s">
        <v>151</v>
      </c>
      <c r="F8103" s="9">
        <v>45</v>
      </c>
      <c r="G8103" s="9">
        <v>561</v>
      </c>
      <c r="H8103" s="5" t="s">
        <v>21</v>
      </c>
      <c r="I8103" s="5" t="s">
        <v>18278</v>
      </c>
      <c r="J8103" s="12" t="str">
        <f>HYPERLINK("https://www.boe.es/gazeta/dias/1801/06/02/pdfs/GMD-1801-45.pdf#page=9","Abrir facsímil")</f>
        <v>Abrir facsímil</v>
      </c>
      <c r="K8103" s="15" t="s">
        <v>23</v>
      </c>
    </row>
    <row r="8104" spans="1:11" ht="42" customHeight="1">
      <c r="A8104" s="4" t="s">
        <v>18279</v>
      </c>
      <c r="B8104" s="5" t="s">
        <v>18280</v>
      </c>
      <c r="C8104" s="5" t="s">
        <v>32</v>
      </c>
      <c r="D8104" s="5" t="s">
        <v>33</v>
      </c>
      <c r="E8104" s="5" t="s">
        <v>781</v>
      </c>
      <c r="F8104" s="9">
        <v>14</v>
      </c>
      <c r="G8104" s="9">
        <v>173</v>
      </c>
      <c r="H8104" s="5" t="s">
        <v>21</v>
      </c>
      <c r="I8104" s="5" t="s">
        <v>18281</v>
      </c>
      <c r="J8104" s="12" t="str">
        <f>HYPERLINK("https://www.boe.es/gazeta/dias/1801/02/17/pdfs/GMD-1801-14.pdf#page=8","Abrir facsímil")</f>
        <v>Abrir facsímil</v>
      </c>
      <c r="K8104" s="15" t="s">
        <v>23</v>
      </c>
    </row>
    <row r="8105" spans="1:11" ht="42" customHeight="1">
      <c r="A8105" s="4" t="s">
        <v>18282</v>
      </c>
      <c r="B8105" s="5" t="s">
        <v>18282</v>
      </c>
      <c r="C8105" s="5" t="s">
        <v>38</v>
      </c>
      <c r="D8105" s="5" t="s">
        <v>39</v>
      </c>
      <c r="E8105" s="5" t="s">
        <v>712</v>
      </c>
      <c r="F8105" s="9">
        <v>105</v>
      </c>
      <c r="G8105" s="9">
        <v>1157</v>
      </c>
      <c r="H8105" s="5" t="s">
        <v>21</v>
      </c>
      <c r="I8105" s="5" t="s">
        <v>18283</v>
      </c>
      <c r="J8105" s="12" t="str">
        <f>HYPERLINK("https://www.boe.es/gazeta/dias/1801/11/10/pdfs/GMD-1801-105.pdf#page=10","Abrir facsímil")</f>
        <v>Abrir facsímil</v>
      </c>
      <c r="K8105" s="15" t="s">
        <v>23</v>
      </c>
    </row>
    <row r="8106" spans="1:11" ht="42" customHeight="1">
      <c r="A8106" s="4" t="s">
        <v>18284</v>
      </c>
      <c r="B8106" s="5" t="s">
        <v>18285</v>
      </c>
      <c r="C8106" s="5" t="s">
        <v>32</v>
      </c>
      <c r="D8106" s="5" t="s">
        <v>33</v>
      </c>
      <c r="E8106" s="5" t="s">
        <v>453</v>
      </c>
      <c r="F8106" s="9">
        <v>100</v>
      </c>
      <c r="G8106" s="9">
        <v>1100</v>
      </c>
      <c r="H8106" s="5" t="s">
        <v>21</v>
      </c>
      <c r="I8106" s="5" t="s">
        <v>18286</v>
      </c>
      <c r="J8106" s="12" t="str">
        <f>HYPERLINK("https://www.boe.es/gazeta/dias/1801/10/23/pdfs/GMD-1801-100.pdf#page=9","Abrir facsímil")</f>
        <v>Abrir facsímil</v>
      </c>
      <c r="K8106" s="15" t="s">
        <v>23</v>
      </c>
    </row>
    <row r="8107" spans="1:11" ht="42" customHeight="1">
      <c r="A8107" s="4" t="s">
        <v>18287</v>
      </c>
      <c r="B8107" s="5" t="s">
        <v>18288</v>
      </c>
      <c r="C8107" s="5" t="s">
        <v>32</v>
      </c>
      <c r="D8107" s="5" t="s">
        <v>33</v>
      </c>
      <c r="E8107" s="5" t="s">
        <v>55</v>
      </c>
      <c r="F8107" s="9">
        <v>104</v>
      </c>
      <c r="G8107" s="9">
        <v>1145</v>
      </c>
      <c r="H8107" s="5" t="s">
        <v>21</v>
      </c>
      <c r="I8107" s="5" t="s">
        <v>18289</v>
      </c>
      <c r="J8107" s="12" t="str">
        <f>HYPERLINK("https://www.boe.es/gazeta/dias/1801/11/06/pdfs/GMD-1801-104.pdf#page=6","Abrir facsímil")</f>
        <v>Abrir facsímil</v>
      </c>
      <c r="K8107" s="15" t="s">
        <v>23</v>
      </c>
    </row>
    <row r="8108" spans="1:11" ht="42" customHeight="1">
      <c r="A8108" s="4" t="s">
        <v>18290</v>
      </c>
      <c r="B8108" s="5" t="s">
        <v>18290</v>
      </c>
      <c r="C8108" s="5" t="s">
        <v>18</v>
      </c>
      <c r="D8108" s="5" t="s">
        <v>19</v>
      </c>
      <c r="E8108" s="5" t="s">
        <v>313</v>
      </c>
      <c r="F8108" s="9">
        <v>39</v>
      </c>
      <c r="G8108" s="9">
        <v>508</v>
      </c>
      <c r="H8108" s="5" t="s">
        <v>21</v>
      </c>
      <c r="I8108" s="5" t="s">
        <v>18291</v>
      </c>
      <c r="J8108" s="12" t="str">
        <f>HYPERLINK("https://www.boe.es/gazeta/dias/1801/05/15/pdfs/GMD-1801-39.pdf#page=12","Abrir facsímil")</f>
        <v>Abrir facsímil</v>
      </c>
      <c r="K8108" s="15" t="s">
        <v>23</v>
      </c>
    </row>
    <row r="8109" spans="1:11" ht="42" customHeight="1">
      <c r="A8109" s="4" t="s">
        <v>18292</v>
      </c>
      <c r="B8109" s="5" t="s">
        <v>18292</v>
      </c>
      <c r="C8109" s="5" t="s">
        <v>38</v>
      </c>
      <c r="D8109" s="5" t="s">
        <v>39</v>
      </c>
      <c r="E8109" s="5" t="s">
        <v>313</v>
      </c>
      <c r="F8109" s="9">
        <v>39</v>
      </c>
      <c r="G8109" s="9">
        <v>508</v>
      </c>
      <c r="H8109" s="5" t="s">
        <v>21</v>
      </c>
      <c r="I8109" s="5" t="s">
        <v>18293</v>
      </c>
      <c r="J8109" s="12" t="str">
        <f>HYPERLINK("https://www.boe.es/gazeta/dias/1801/05/15/pdfs/GMD-1801-39.pdf#page=12","Abrir facsímil")</f>
        <v>Abrir facsímil</v>
      </c>
      <c r="K8109" s="15" t="s">
        <v>23</v>
      </c>
    </row>
    <row r="8110" spans="1:11" ht="42" customHeight="1">
      <c r="A8110" s="4" t="s">
        <v>18294</v>
      </c>
      <c r="B8110" s="5" t="s">
        <v>18294</v>
      </c>
      <c r="C8110" s="5" t="s">
        <v>26</v>
      </c>
      <c r="D8110" s="5" t="s">
        <v>27</v>
      </c>
      <c r="E8110" s="5" t="s">
        <v>313</v>
      </c>
      <c r="F8110" s="9">
        <v>39</v>
      </c>
      <c r="G8110" s="9">
        <v>508</v>
      </c>
      <c r="H8110" s="5" t="s">
        <v>21</v>
      </c>
      <c r="I8110" s="5" t="s">
        <v>18295</v>
      </c>
      <c r="J8110" s="12" t="str">
        <f>HYPERLINK("https://www.boe.es/gazeta/dias/1801/05/15/pdfs/GMD-1801-39.pdf#page=12","Abrir facsímil")</f>
        <v>Abrir facsímil</v>
      </c>
      <c r="K8110" s="15" t="s">
        <v>23</v>
      </c>
    </row>
    <row r="8111" spans="1:11" ht="42" customHeight="1">
      <c r="A8111" s="4" t="s">
        <v>18296</v>
      </c>
      <c r="B8111" s="5" t="s">
        <v>18297</v>
      </c>
      <c r="C8111" s="5" t="s">
        <v>515</v>
      </c>
      <c r="D8111" s="5" t="s">
        <v>516</v>
      </c>
      <c r="E8111" s="5" t="s">
        <v>501</v>
      </c>
      <c r="F8111" s="9">
        <v>115</v>
      </c>
      <c r="G8111" s="9" t="s">
        <v>305</v>
      </c>
      <c r="H8111" s="5" t="s">
        <v>21</v>
      </c>
      <c r="I8111" s="5" t="s">
        <v>18298</v>
      </c>
      <c r="J8111" s="12" t="str">
        <f>HYPERLINK("https://www.boe.es/gazeta/dias/1801/12/15/pdfs/GMD-C-1801-115.pdf#page=4","Abrir facsímil")</f>
        <v>Abrir facsímil</v>
      </c>
      <c r="K8111" s="15" t="s">
        <v>23</v>
      </c>
    </row>
    <row r="8112" spans="1:11" ht="42" customHeight="1">
      <c r="A8112" s="4" t="s">
        <v>18299</v>
      </c>
      <c r="B8112" s="5" t="s">
        <v>18300</v>
      </c>
      <c r="C8112" s="5" t="s">
        <v>38</v>
      </c>
      <c r="D8112" s="5" t="s">
        <v>39</v>
      </c>
      <c r="E8112" s="5" t="s">
        <v>48</v>
      </c>
      <c r="F8112" s="9">
        <v>20</v>
      </c>
      <c r="G8112" s="9">
        <v>264</v>
      </c>
      <c r="H8112" s="5" t="s">
        <v>21</v>
      </c>
      <c r="I8112" s="5" t="s">
        <v>18301</v>
      </c>
      <c r="J8112" s="12" t="str">
        <f>HYPERLINK("https://www.boe.es/gazeta/dias/1801/03/10/pdfs/GMD-1801-20.pdf#page=9","Abrir facsímil")</f>
        <v>Abrir facsímil</v>
      </c>
      <c r="K8112" s="15" t="s">
        <v>23</v>
      </c>
    </row>
    <row r="8113" spans="1:11" ht="42" customHeight="1">
      <c r="A8113" s="4" t="s">
        <v>18302</v>
      </c>
      <c r="B8113" s="5" t="s">
        <v>18303</v>
      </c>
      <c r="C8113" s="5" t="s">
        <v>32</v>
      </c>
      <c r="D8113" s="5" t="s">
        <v>33</v>
      </c>
      <c r="E8113" s="5" t="s">
        <v>122</v>
      </c>
      <c r="F8113" s="9">
        <v>8</v>
      </c>
      <c r="G8113" s="9">
        <v>97</v>
      </c>
      <c r="H8113" s="5" t="s">
        <v>21</v>
      </c>
      <c r="I8113" s="5" t="s">
        <v>18304</v>
      </c>
      <c r="J8113" s="12" t="str">
        <f>HYPERLINK("https://www.boe.es/gazeta/dias/1801/01/27/pdfs/GMD-1801-8.pdf#page=9","Abrir facsímil")</f>
        <v>Abrir facsímil</v>
      </c>
      <c r="K8113" s="15" t="s">
        <v>23</v>
      </c>
    </row>
    <row r="8114" spans="1:11" ht="42" customHeight="1">
      <c r="A8114" s="4" t="s">
        <v>18305</v>
      </c>
      <c r="B8114" s="5" t="s">
        <v>18306</v>
      </c>
      <c r="C8114" s="5" t="s">
        <v>32</v>
      </c>
      <c r="D8114" s="5" t="s">
        <v>33</v>
      </c>
      <c r="E8114" s="5" t="s">
        <v>48</v>
      </c>
      <c r="F8114" s="9">
        <v>20</v>
      </c>
      <c r="G8114" s="9">
        <v>265</v>
      </c>
      <c r="H8114" s="5" t="s">
        <v>21</v>
      </c>
      <c r="I8114" s="5" t="s">
        <v>18307</v>
      </c>
      <c r="J8114" s="12" t="str">
        <f>HYPERLINK("https://www.boe.es/gazeta/dias/1801/03/10/pdfs/GMD-1801-20.pdf#page=10","Abrir facsímil")</f>
        <v>Abrir facsímil</v>
      </c>
      <c r="K8114" s="15" t="s">
        <v>23</v>
      </c>
    </row>
    <row r="8115" spans="1:11" ht="42" customHeight="1">
      <c r="A8115" s="4" t="s">
        <v>18308</v>
      </c>
      <c r="B8115" s="5" t="s">
        <v>18309</v>
      </c>
      <c r="C8115" s="5" t="s">
        <v>69</v>
      </c>
      <c r="D8115" s="5" t="s">
        <v>19</v>
      </c>
      <c r="E8115" s="5" t="s">
        <v>158</v>
      </c>
      <c r="F8115" s="9">
        <v>55</v>
      </c>
      <c r="G8115" s="9">
        <v>631</v>
      </c>
      <c r="H8115" s="5" t="s">
        <v>21</v>
      </c>
      <c r="I8115" s="5" t="s">
        <v>18310</v>
      </c>
      <c r="J8115" s="12" t="str">
        <f>HYPERLINK("https://www.boe.es/gazeta/dias/1801/06/16/pdfs/GMD-1801-55.pdf#page=7","Abrir facsímil")</f>
        <v>Abrir facsímil</v>
      </c>
      <c r="K8115" s="15" t="s">
        <v>23</v>
      </c>
    </row>
    <row r="8116" spans="1:11" ht="42" customHeight="1">
      <c r="A8116" s="4" t="s">
        <v>18311</v>
      </c>
      <c r="B8116" s="5" t="s">
        <v>18312</v>
      </c>
      <c r="C8116" s="5" t="s">
        <v>32</v>
      </c>
      <c r="D8116" s="5" t="s">
        <v>33</v>
      </c>
      <c r="E8116" s="5" t="s">
        <v>712</v>
      </c>
      <c r="F8116" s="9">
        <v>105</v>
      </c>
      <c r="G8116" s="9">
        <v>1159</v>
      </c>
      <c r="H8116" s="5" t="s">
        <v>21</v>
      </c>
      <c r="I8116" s="5" t="s">
        <v>18313</v>
      </c>
      <c r="J8116" s="12" t="str">
        <f>HYPERLINK("https://www.boe.es/gazeta/dias/1801/11/10/pdfs/GMD-1801-105.pdf#page=12","Abrir facsímil")</f>
        <v>Abrir facsímil</v>
      </c>
      <c r="K8116" s="15" t="s">
        <v>23</v>
      </c>
    </row>
    <row r="8117" spans="1:11" ht="42" customHeight="1">
      <c r="A8117" s="4" t="s">
        <v>18314</v>
      </c>
      <c r="B8117" s="5" t="s">
        <v>18315</v>
      </c>
      <c r="C8117" s="5" t="s">
        <v>32</v>
      </c>
      <c r="D8117" s="5" t="s">
        <v>33</v>
      </c>
      <c r="E8117" s="5" t="s">
        <v>924</v>
      </c>
      <c r="F8117" s="9">
        <v>90</v>
      </c>
      <c r="G8117" s="9">
        <v>992</v>
      </c>
      <c r="H8117" s="5" t="s">
        <v>21</v>
      </c>
      <c r="I8117" s="5" t="s">
        <v>18316</v>
      </c>
      <c r="J8117" s="12" t="str">
        <f>HYPERLINK("https://www.boe.es/gazeta/dias/1801/09/18/pdfs/GMD-1801-90.pdf#page=7","Abrir facsímil")</f>
        <v>Abrir facsímil</v>
      </c>
      <c r="K8117" s="15" t="s">
        <v>23</v>
      </c>
    </row>
    <row r="8118" spans="1:11" ht="42" customHeight="1">
      <c r="A8118" s="4" t="s">
        <v>18317</v>
      </c>
      <c r="B8118" s="5" t="s">
        <v>18318</v>
      </c>
      <c r="C8118" s="5" t="s">
        <v>32</v>
      </c>
      <c r="D8118" s="5" t="s">
        <v>33</v>
      </c>
      <c r="E8118" s="5" t="s">
        <v>254</v>
      </c>
      <c r="F8118" s="9">
        <v>73</v>
      </c>
      <c r="G8118" s="9">
        <v>814</v>
      </c>
      <c r="H8118" s="5" t="s">
        <v>21</v>
      </c>
      <c r="I8118" s="5" t="s">
        <v>18319</v>
      </c>
      <c r="J8118" s="12" t="str">
        <f>HYPERLINK("https://www.boe.es/gazeta/dias/1801/07/28/pdfs/GMD-1801-73.pdf#page=7","Abrir facsímil")</f>
        <v>Abrir facsímil</v>
      </c>
      <c r="K8118" s="15" t="s">
        <v>23</v>
      </c>
    </row>
    <row r="8119" spans="1:11" ht="42" customHeight="1">
      <c r="A8119" s="4" t="s">
        <v>18320</v>
      </c>
      <c r="B8119" s="5" t="s">
        <v>18321</v>
      </c>
      <c r="C8119" s="5" t="s">
        <v>32</v>
      </c>
      <c r="D8119" s="5" t="s">
        <v>33</v>
      </c>
      <c r="E8119" s="5" t="s">
        <v>99</v>
      </c>
      <c r="F8119" s="9">
        <v>32</v>
      </c>
      <c r="G8119" s="9">
        <v>414</v>
      </c>
      <c r="H8119" s="5" t="s">
        <v>21</v>
      </c>
      <c r="I8119" s="5" t="s">
        <v>18322</v>
      </c>
      <c r="J8119" s="12" t="str">
        <f>HYPERLINK("https://www.boe.es/gazeta/dias/1801/04/21/pdfs/GMD-1801-32.pdf#page=10","Abrir facsímil")</f>
        <v>Abrir facsímil</v>
      </c>
      <c r="K8119" s="15" t="s">
        <v>23</v>
      </c>
    </row>
    <row r="8120" spans="1:11" ht="42" customHeight="1">
      <c r="A8120" s="6" t="s">
        <v>18323</v>
      </c>
      <c r="B8120" s="7" t="s">
        <v>18323</v>
      </c>
      <c r="C8120" s="7" t="s">
        <v>75</v>
      </c>
      <c r="D8120" s="7" t="s">
        <v>76</v>
      </c>
      <c r="E8120" s="7" t="s">
        <v>70</v>
      </c>
      <c r="F8120" s="10">
        <v>2</v>
      </c>
      <c r="G8120" s="10">
        <v>17</v>
      </c>
      <c r="H8120" s="7" t="s">
        <v>21</v>
      </c>
      <c r="I8120" s="7" t="s">
        <v>18324</v>
      </c>
      <c r="J8120" s="13" t="str">
        <f>HYPERLINK("https://www.boe.es/gazeta/dias/1801/01/06/pdfs/GMD-1801-2.pdf#page=5","Abrir facsímil")</f>
        <v>Abrir facsímil</v>
      </c>
      <c r="K8120" s="16" t="s">
        <v>23</v>
      </c>
    </row>
  </sheetData>
  <mergeCells count="5">
    <mergeCell ref="A1:K1"/>
    <mergeCell ref="A2:K2"/>
    <mergeCell ref="A3:C3"/>
    <mergeCell ref="D3:K3"/>
    <mergeCell ref="A4:K4"/>
  </mergeCells>
  <conditionalFormatting sqref="K7:K8120">
    <cfRule type="containsText" dxfId="1" priority="1" operator="containsText" text="Cotejar OCR"/>
    <cfRule type="containsText" dxfId="0" priority="2" operator="containsText" text="Revisado"/>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9EAF7"/>
  </sheetPr>
  <dimension ref="A1:E165"/>
  <sheetViews>
    <sheetView showGridLines="0" workbookViewId="0">
      <pane ySplit="3" topLeftCell="A4" activePane="bottomLeft" state="frozen"/>
      <selection pane="bottomLeft"/>
    </sheetView>
  </sheetViews>
  <sheetFormatPr baseColWidth="10" defaultColWidth="8.796875" defaultRowHeight="13.8"/>
  <cols>
    <col min="1" max="1" width="18" customWidth="1"/>
    <col min="2" max="2" width="28" customWidth="1"/>
    <col min="3" max="3" width="26" customWidth="1"/>
    <col min="4" max="4" width="13" customWidth="1"/>
    <col min="5" max="5" width="22" customWidth="1"/>
  </cols>
  <sheetData>
    <row r="1" spans="1:5" ht="31.95" customHeight="1">
      <c r="A1" s="30" t="s">
        <v>18325</v>
      </c>
      <c r="B1" s="30"/>
      <c r="C1" s="30"/>
      <c r="D1" s="30"/>
      <c r="E1" s="30"/>
    </row>
    <row r="3" spans="1:5">
      <c r="A3" s="1" t="s">
        <v>10</v>
      </c>
      <c r="B3" s="1" t="s">
        <v>9</v>
      </c>
      <c r="C3" s="1" t="s">
        <v>18326</v>
      </c>
      <c r="D3" s="1" t="s">
        <v>18327</v>
      </c>
      <c r="E3" s="1" t="s">
        <v>18328</v>
      </c>
    </row>
    <row r="4" spans="1:5">
      <c r="A4" s="20">
        <v>1</v>
      </c>
      <c r="B4" s="17" t="s">
        <v>90</v>
      </c>
      <c r="C4" s="23" t="s">
        <v>18329</v>
      </c>
      <c r="D4" s="23">
        <v>159</v>
      </c>
      <c r="E4" s="26" t="str">
        <f>HYPERLINK("https://www.boe.es/gazeta/dias/1801/01/02/pdfs/GMD-1801-1.pdf","Abrir fascículo")</f>
        <v>Abrir fascículo</v>
      </c>
    </row>
    <row r="5" spans="1:5">
      <c r="A5" s="21">
        <v>2</v>
      </c>
      <c r="B5" s="18" t="s">
        <v>70</v>
      </c>
      <c r="C5" s="24" t="s">
        <v>18330</v>
      </c>
      <c r="D5" s="24">
        <v>81</v>
      </c>
      <c r="E5" s="27" t="str">
        <f>HYPERLINK("https://www.boe.es/gazeta/dias/1801/01/06/pdfs/GMD-1801-2.pdf","Abrir fascículo")</f>
        <v>Abrir fascículo</v>
      </c>
    </row>
    <row r="6" spans="1:5">
      <c r="A6" s="21">
        <v>3</v>
      </c>
      <c r="B6" s="18" t="s">
        <v>321</v>
      </c>
      <c r="C6" s="24" t="s">
        <v>18331</v>
      </c>
      <c r="D6" s="24">
        <v>93</v>
      </c>
      <c r="E6" s="27" t="str">
        <f>HYPERLINK("https://www.boe.es/gazeta/dias/1801/01/09/pdfs/GMD-1801-3.pdf","Abrir fascículo")</f>
        <v>Abrir fascículo</v>
      </c>
    </row>
    <row r="7" spans="1:5">
      <c r="A7" s="21">
        <v>4</v>
      </c>
      <c r="B7" s="18" t="s">
        <v>465</v>
      </c>
      <c r="C7" s="24" t="s">
        <v>18332</v>
      </c>
      <c r="D7" s="24">
        <v>89</v>
      </c>
      <c r="E7" s="27" t="str">
        <f>HYPERLINK("https://www.boe.es/gazeta/dias/1801/01/13/pdfs/GMD-1801-4.pdf","Abrir fascículo")</f>
        <v>Abrir fascículo</v>
      </c>
    </row>
    <row r="8" spans="1:5">
      <c r="A8" s="21">
        <v>5</v>
      </c>
      <c r="B8" s="18" t="s">
        <v>462</v>
      </c>
      <c r="C8" s="24" t="s">
        <v>18333</v>
      </c>
      <c r="D8" s="24">
        <v>69</v>
      </c>
      <c r="E8" s="27" t="str">
        <f>HYPERLINK("https://www.boe.es/gazeta/dias/1801/01/16/pdfs/GMD-1801-5.pdf","Abrir fascículo")</f>
        <v>Abrir fascículo</v>
      </c>
    </row>
    <row r="9" spans="1:5">
      <c r="A9" s="21" t="s">
        <v>18334</v>
      </c>
      <c r="B9" s="18" t="s">
        <v>462</v>
      </c>
      <c r="C9" s="24" t="s">
        <v>18335</v>
      </c>
      <c r="D9" s="24">
        <v>1</v>
      </c>
      <c r="E9" s="27" t="str">
        <f>HYPERLINK("https://www.boe.es/gazeta/dias/1801/01/16/pdfs/GMD-C-1801-5.pdf","Abrir suplemento")</f>
        <v>Abrir suplemento</v>
      </c>
    </row>
    <row r="10" spans="1:5">
      <c r="A10" s="21">
        <v>6</v>
      </c>
      <c r="B10" s="18" t="s">
        <v>62</v>
      </c>
      <c r="C10" s="24" t="s">
        <v>18336</v>
      </c>
      <c r="D10" s="24">
        <v>123</v>
      </c>
      <c r="E10" s="27" t="str">
        <f>HYPERLINK("https://www.boe.es/gazeta/dias/1801/01/20/pdfs/GMD-1801-6.pdf","Abrir fascículo")</f>
        <v>Abrir fascículo</v>
      </c>
    </row>
    <row r="11" spans="1:5">
      <c r="A11" s="21">
        <v>7</v>
      </c>
      <c r="B11" s="18" t="s">
        <v>120</v>
      </c>
      <c r="C11" s="24" t="s">
        <v>18337</v>
      </c>
      <c r="D11" s="24">
        <v>125</v>
      </c>
      <c r="E11" s="27" t="str">
        <f>HYPERLINK("https://www.boe.es/gazeta/dias/1801/01/23/pdfs/GMD-1801-7.pdf","Abrir fascículo")</f>
        <v>Abrir fascículo</v>
      </c>
    </row>
    <row r="12" spans="1:5">
      <c r="A12" s="21">
        <v>8</v>
      </c>
      <c r="B12" s="18" t="s">
        <v>122</v>
      </c>
      <c r="C12" s="24" t="s">
        <v>18338</v>
      </c>
      <c r="D12" s="24">
        <v>86</v>
      </c>
      <c r="E12" s="27" t="str">
        <f>HYPERLINK("https://www.boe.es/gazeta/dias/1801/01/27/pdfs/GMD-1801-8.pdf","Abrir fascículo")</f>
        <v>Abrir fascículo</v>
      </c>
    </row>
    <row r="13" spans="1:5">
      <c r="A13" s="21" t="s">
        <v>18339</v>
      </c>
      <c r="B13" s="18" t="s">
        <v>122</v>
      </c>
      <c r="C13" s="24" t="s">
        <v>18340</v>
      </c>
      <c r="D13" s="24">
        <v>0</v>
      </c>
      <c r="E13" s="27" t="str">
        <f>HYPERLINK("https://www.boe.es/gazeta/dias/1801/01/27/pdfs/GMD-C-1801-8.pdf","Abrir suplemento")</f>
        <v>Abrir suplemento</v>
      </c>
    </row>
    <row r="14" spans="1:5">
      <c r="A14" s="21">
        <v>9</v>
      </c>
      <c r="B14" s="18" t="s">
        <v>275</v>
      </c>
      <c r="C14" s="24" t="s">
        <v>18341</v>
      </c>
      <c r="D14" s="24">
        <v>80</v>
      </c>
      <c r="E14" s="27" t="str">
        <f>HYPERLINK("https://www.boe.es/gazeta/dias/1801/01/30/pdfs/GMD-1801-9.pdf","Abrir fascículo")</f>
        <v>Abrir fascículo</v>
      </c>
    </row>
    <row r="15" spans="1:5">
      <c r="A15" s="21" t="s">
        <v>18342</v>
      </c>
      <c r="B15" s="18" t="s">
        <v>275</v>
      </c>
      <c r="C15" s="24" t="s">
        <v>18343</v>
      </c>
      <c r="D15" s="24">
        <v>6</v>
      </c>
      <c r="E15" s="27" t="str">
        <f>HYPERLINK("https://www.boe.es/gazeta/dias/1801/01/30/pdfs/GMD-C-1801-9.pdf","Abrir suplemento")</f>
        <v>Abrir suplemento</v>
      </c>
    </row>
    <row r="16" spans="1:5">
      <c r="A16" s="21">
        <v>10</v>
      </c>
      <c r="B16" s="18" t="s">
        <v>480</v>
      </c>
      <c r="C16" s="24" t="s">
        <v>18344</v>
      </c>
      <c r="D16" s="24">
        <v>72</v>
      </c>
      <c r="E16" s="27" t="str">
        <f>HYPERLINK("https://www.boe.es/gazeta/dias/1801/02/03/pdfs/GMD-1801-10.pdf","Abrir fascículo")</f>
        <v>Abrir fascículo</v>
      </c>
    </row>
    <row r="17" spans="1:5">
      <c r="A17" s="21">
        <v>11</v>
      </c>
      <c r="B17" s="18" t="s">
        <v>179</v>
      </c>
      <c r="C17" s="24" t="s">
        <v>18345</v>
      </c>
      <c r="D17" s="24">
        <v>66</v>
      </c>
      <c r="E17" s="27" t="str">
        <f>HYPERLINK("https://www.boe.es/gazeta/dias/1801/02/06/pdfs/GMD-1801-11.pdf","Abrir fascículo")</f>
        <v>Abrir fascículo</v>
      </c>
    </row>
    <row r="18" spans="1:5">
      <c r="A18" s="21">
        <v>12</v>
      </c>
      <c r="B18" s="18" t="s">
        <v>124</v>
      </c>
      <c r="C18" s="24" t="s">
        <v>18346</v>
      </c>
      <c r="D18" s="24">
        <v>85</v>
      </c>
      <c r="E18" s="27" t="str">
        <f>HYPERLINK("https://www.boe.es/gazeta/dias/1801/02/10/pdfs/GMD-1801-12.pdf","Abrir fascículo")</f>
        <v>Abrir fascículo</v>
      </c>
    </row>
    <row r="19" spans="1:5">
      <c r="A19" s="21" t="s">
        <v>18347</v>
      </c>
      <c r="B19" s="18" t="s">
        <v>124</v>
      </c>
      <c r="C19" s="24" t="s">
        <v>18348</v>
      </c>
      <c r="D19" s="24">
        <v>0</v>
      </c>
      <c r="E19" s="27" t="str">
        <f>HYPERLINK("https://www.boe.es/gazeta/dias/1801/02/10/pdfs/GMD-C-1801-12.pdf","Abrir suplemento")</f>
        <v>Abrir suplemento</v>
      </c>
    </row>
    <row r="20" spans="1:5">
      <c r="A20" s="21">
        <v>13</v>
      </c>
      <c r="B20" s="18" t="s">
        <v>126</v>
      </c>
      <c r="C20" s="24" t="s">
        <v>18349</v>
      </c>
      <c r="D20" s="24">
        <v>63</v>
      </c>
      <c r="E20" s="27" t="str">
        <f>HYPERLINK("https://www.boe.es/gazeta/dias/1801/02/13/pdfs/GMD-1801-13.pdf","Abrir fascículo")</f>
        <v>Abrir fascículo</v>
      </c>
    </row>
    <row r="21" spans="1:5">
      <c r="A21" s="21">
        <v>14</v>
      </c>
      <c r="B21" s="18" t="s">
        <v>781</v>
      </c>
      <c r="C21" s="24" t="s">
        <v>18350</v>
      </c>
      <c r="D21" s="24">
        <v>110</v>
      </c>
      <c r="E21" s="27" t="str">
        <f>HYPERLINK("https://www.boe.es/gazeta/dias/1801/02/17/pdfs/GMD-1801-14.pdf","Abrir fascículo")</f>
        <v>Abrir fascículo</v>
      </c>
    </row>
    <row r="22" spans="1:5">
      <c r="A22" s="21" t="s">
        <v>18351</v>
      </c>
      <c r="B22" s="18" t="s">
        <v>781</v>
      </c>
      <c r="C22" s="24" t="s">
        <v>18352</v>
      </c>
      <c r="D22" s="24">
        <v>2</v>
      </c>
      <c r="E22" s="27" t="str">
        <f>HYPERLINK("https://www.boe.es/gazeta/dias/1801/02/17/pdfs/GMD-C-1801-14.pdf","Abrir suplemento")</f>
        <v>Abrir suplemento</v>
      </c>
    </row>
    <row r="23" spans="1:5">
      <c r="A23" s="21">
        <v>15</v>
      </c>
      <c r="B23" s="18" t="s">
        <v>1015</v>
      </c>
      <c r="C23" s="24" t="s">
        <v>18353</v>
      </c>
      <c r="D23" s="24">
        <v>57</v>
      </c>
      <c r="E23" s="27" t="str">
        <f>HYPERLINK("https://www.boe.es/gazeta/dias/1801/02/20/pdfs/GMD-1801-15.pdf","Abrir fascículo")</f>
        <v>Abrir fascículo</v>
      </c>
    </row>
    <row r="24" spans="1:5">
      <c r="A24" s="21">
        <v>16</v>
      </c>
      <c r="B24" s="18" t="s">
        <v>190</v>
      </c>
      <c r="C24" s="24" t="s">
        <v>18354</v>
      </c>
      <c r="D24" s="24">
        <v>55</v>
      </c>
      <c r="E24" s="27" t="str">
        <f>HYPERLINK("https://www.boe.es/gazeta/dias/1801/02/24/pdfs/GMD-1801-16.pdf","Abrir fascículo")</f>
        <v>Abrir fascículo</v>
      </c>
    </row>
    <row r="25" spans="1:5">
      <c r="A25" s="21">
        <v>17</v>
      </c>
      <c r="B25" s="18" t="s">
        <v>128</v>
      </c>
      <c r="C25" s="24" t="s">
        <v>18355</v>
      </c>
      <c r="D25" s="24">
        <v>62</v>
      </c>
      <c r="E25" s="27" t="str">
        <f>HYPERLINK("https://www.boe.es/gazeta/dias/1801/02/27/pdfs/GMD-1801-17.pdf","Abrir fascículo")</f>
        <v>Abrir fascículo</v>
      </c>
    </row>
    <row r="26" spans="1:5">
      <c r="A26" s="21" t="s">
        <v>18356</v>
      </c>
      <c r="B26" s="18" t="s">
        <v>128</v>
      </c>
      <c r="C26" s="24" t="s">
        <v>18357</v>
      </c>
      <c r="D26" s="24">
        <v>0</v>
      </c>
      <c r="E26" s="27" t="str">
        <f>HYPERLINK("https://www.boe.es/gazeta/dias/1801/02/27/pdfs/GMD-C-1801-17.pdf","Abrir suplemento")</f>
        <v>Abrir suplemento</v>
      </c>
    </row>
    <row r="27" spans="1:5">
      <c r="A27" s="21">
        <v>18</v>
      </c>
      <c r="B27" s="18" t="s">
        <v>182</v>
      </c>
      <c r="C27" s="24" t="s">
        <v>18358</v>
      </c>
      <c r="D27" s="24">
        <v>38</v>
      </c>
      <c r="E27" s="27" t="str">
        <f>HYPERLINK("https://www.boe.es/gazeta/dias/1801/03/03/pdfs/GMD-1801-18.pdf","Abrir fascículo")</f>
        <v>Abrir fascículo</v>
      </c>
    </row>
    <row r="28" spans="1:5">
      <c r="A28" s="21" t="s">
        <v>18359</v>
      </c>
      <c r="B28" s="18" t="s">
        <v>182</v>
      </c>
      <c r="C28" s="24" t="s">
        <v>18360</v>
      </c>
      <c r="D28" s="24">
        <v>9</v>
      </c>
      <c r="E28" s="27" t="str">
        <f>HYPERLINK("https://www.boe.es/gazeta/dias/1801/03/03/pdfs/GMD-C-1801-18.pdf","Abrir suplemento")</f>
        <v>Abrir suplemento</v>
      </c>
    </row>
    <row r="29" spans="1:5">
      <c r="A29" s="21">
        <v>19</v>
      </c>
      <c r="B29" s="18" t="s">
        <v>94</v>
      </c>
      <c r="C29" s="24" t="s">
        <v>18361</v>
      </c>
      <c r="D29" s="24">
        <v>78</v>
      </c>
      <c r="E29" s="27" t="str">
        <f>HYPERLINK("https://www.boe.es/gazeta/dias/1801/03/06/pdfs/GMD-1801-19.pdf","Abrir fascículo")</f>
        <v>Abrir fascículo</v>
      </c>
    </row>
    <row r="30" spans="1:5">
      <c r="A30" s="21" t="s">
        <v>18362</v>
      </c>
      <c r="B30" s="18" t="s">
        <v>94</v>
      </c>
      <c r="C30" s="24" t="s">
        <v>18363</v>
      </c>
      <c r="D30" s="24">
        <v>10</v>
      </c>
      <c r="E30" s="27" t="str">
        <f>HYPERLINK("https://www.boe.es/gazeta/dias/1801/03/06/pdfs/GMD-C-1801-19.pdf","Abrir suplemento")</f>
        <v>Abrir suplemento</v>
      </c>
    </row>
    <row r="31" spans="1:5">
      <c r="A31" s="21">
        <v>20</v>
      </c>
      <c r="B31" s="18" t="s">
        <v>48</v>
      </c>
      <c r="C31" s="24" t="s">
        <v>18364</v>
      </c>
      <c r="D31" s="24">
        <v>123</v>
      </c>
      <c r="E31" s="27" t="str">
        <f>HYPERLINK("https://www.boe.es/gazeta/dias/1801/03/10/pdfs/GMD-1801-20.pdf","Abrir fascículo")</f>
        <v>Abrir fascículo</v>
      </c>
    </row>
    <row r="32" spans="1:5">
      <c r="A32" s="21">
        <v>21</v>
      </c>
      <c r="B32" s="18" t="s">
        <v>186</v>
      </c>
      <c r="C32" s="24" t="s">
        <v>18365</v>
      </c>
      <c r="D32" s="24">
        <v>106</v>
      </c>
      <c r="E32" s="27" t="str">
        <f>HYPERLINK("https://www.boe.es/gazeta/dias/1801/03/13/pdfs/GMD-1801-21.pdf","Abrir fascículo")</f>
        <v>Abrir fascículo</v>
      </c>
    </row>
    <row r="33" spans="1:5">
      <c r="A33" s="21">
        <v>22</v>
      </c>
      <c r="B33" s="18" t="s">
        <v>131</v>
      </c>
      <c r="C33" s="24" t="s">
        <v>18366</v>
      </c>
      <c r="D33" s="24">
        <v>141</v>
      </c>
      <c r="E33" s="27" t="str">
        <f>HYPERLINK("https://www.boe.es/gazeta/dias/1801/03/17/pdfs/GMD-1801-22.pdf","Abrir fascículo")</f>
        <v>Abrir fascículo</v>
      </c>
    </row>
    <row r="34" spans="1:5">
      <c r="A34" s="21" t="s">
        <v>18367</v>
      </c>
      <c r="B34" s="18" t="s">
        <v>131</v>
      </c>
      <c r="C34" s="24" t="s">
        <v>18368</v>
      </c>
      <c r="D34" s="24">
        <v>0</v>
      </c>
      <c r="E34" s="27" t="str">
        <f>HYPERLINK("https://www.boe.es/gazeta/dias/1801/03/17/pdfs/GMD-C-1801-22.pdf","Abrir suplemento")</f>
        <v>Abrir suplemento</v>
      </c>
    </row>
    <row r="35" spans="1:5">
      <c r="A35" s="21">
        <v>23</v>
      </c>
      <c r="B35" s="18" t="s">
        <v>378</v>
      </c>
      <c r="C35" s="24" t="s">
        <v>18369</v>
      </c>
      <c r="D35" s="24">
        <v>66</v>
      </c>
      <c r="E35" s="27" t="str">
        <f>HYPERLINK("https://www.boe.es/gazeta/dias/1801/03/20/pdfs/GMD-1801-23.pdf","Abrir fascículo")</f>
        <v>Abrir fascículo</v>
      </c>
    </row>
    <row r="36" spans="1:5">
      <c r="A36" s="21">
        <v>24</v>
      </c>
      <c r="B36" s="18" t="s">
        <v>135</v>
      </c>
      <c r="C36" s="24" t="s">
        <v>18370</v>
      </c>
      <c r="D36" s="24">
        <v>70</v>
      </c>
      <c r="E36" s="27" t="str">
        <f>HYPERLINK("https://www.boe.es/gazeta/dias/1801/03/24/pdfs/GMD-1801-24.pdf","Abrir fascículo")</f>
        <v>Abrir fascículo</v>
      </c>
    </row>
    <row r="37" spans="1:5">
      <c r="A37" s="21">
        <v>25</v>
      </c>
      <c r="B37" s="18" t="s">
        <v>292</v>
      </c>
      <c r="C37" s="24" t="s">
        <v>18371</v>
      </c>
      <c r="D37" s="24">
        <v>111</v>
      </c>
      <c r="E37" s="27" t="str">
        <f>HYPERLINK("https://www.boe.es/gazeta/dias/1801/03/27/pdfs/GMD-1801-25.pdf","Abrir fascículo")</f>
        <v>Abrir fascículo</v>
      </c>
    </row>
    <row r="38" spans="1:5">
      <c r="A38" s="21" t="s">
        <v>18372</v>
      </c>
      <c r="B38" s="18" t="s">
        <v>292</v>
      </c>
      <c r="C38" s="24" t="s">
        <v>18373</v>
      </c>
      <c r="D38" s="24">
        <v>0</v>
      </c>
      <c r="E38" s="27" t="str">
        <f>HYPERLINK("https://www.boe.es/gazeta/dias/1801/03/27/pdfs/GMD-C-1801-25.pdf","Abrir suplemento")</f>
        <v>Abrir suplemento</v>
      </c>
    </row>
    <row r="39" spans="1:5">
      <c r="A39" s="21">
        <v>26</v>
      </c>
      <c r="B39" s="18" t="s">
        <v>219</v>
      </c>
      <c r="C39" s="24" t="s">
        <v>18374</v>
      </c>
      <c r="D39" s="24">
        <v>73</v>
      </c>
      <c r="E39" s="27" t="str">
        <f>HYPERLINK("https://www.boe.es/gazeta/dias/1801/03/31/pdfs/GMD-1801-26.pdf","Abrir fascículo")</f>
        <v>Abrir fascículo</v>
      </c>
    </row>
    <row r="40" spans="1:5">
      <c r="A40" s="21">
        <v>27</v>
      </c>
      <c r="B40" s="18" t="s">
        <v>2430</v>
      </c>
      <c r="C40" s="24" t="s">
        <v>18375</v>
      </c>
      <c r="D40" s="24">
        <v>34</v>
      </c>
      <c r="E40" s="27" t="str">
        <f>HYPERLINK("https://www.boe.es/gazeta/dias/1801/04/03/pdfs/GMD-1801-27.pdf","Abrir fascículo")</f>
        <v>Abrir fascículo</v>
      </c>
    </row>
    <row r="41" spans="1:5">
      <c r="A41" s="21" t="s">
        <v>18376</v>
      </c>
      <c r="B41" s="18" t="s">
        <v>2430</v>
      </c>
      <c r="C41" s="24" t="s">
        <v>18377</v>
      </c>
      <c r="D41" s="24">
        <v>0</v>
      </c>
      <c r="E41" s="27" t="str">
        <f>HYPERLINK("https://www.boe.es/gazeta/dias/1801/04/03/pdfs/GMD-C-1801-27.pdf","Abrir suplemento")</f>
        <v>Abrir suplemento</v>
      </c>
    </row>
    <row r="42" spans="1:5">
      <c r="A42" s="21">
        <v>28</v>
      </c>
      <c r="B42" s="18" t="s">
        <v>221</v>
      </c>
      <c r="C42" s="24" t="s">
        <v>18378</v>
      </c>
      <c r="D42" s="24">
        <v>54</v>
      </c>
      <c r="E42" s="27" t="str">
        <f>HYPERLINK("https://www.boe.es/gazeta/dias/1801/04/07/pdfs/GMD-1801-28.pdf","Abrir fascículo")</f>
        <v>Abrir fascículo</v>
      </c>
    </row>
    <row r="43" spans="1:5">
      <c r="A43" s="21">
        <v>29</v>
      </c>
      <c r="B43" s="18" t="s">
        <v>50</v>
      </c>
      <c r="C43" s="24" t="s">
        <v>18379</v>
      </c>
      <c r="D43" s="24">
        <v>41</v>
      </c>
      <c r="E43" s="27" t="str">
        <f>HYPERLINK("https://www.boe.es/gazeta/dias/1801/04/10/pdfs/GMD-1801-29.pdf","Abrir fascículo")</f>
        <v>Abrir fascículo</v>
      </c>
    </row>
    <row r="44" spans="1:5">
      <c r="A44" s="21">
        <v>30</v>
      </c>
      <c r="B44" s="18" t="s">
        <v>137</v>
      </c>
      <c r="C44" s="24" t="s">
        <v>18380</v>
      </c>
      <c r="D44" s="24">
        <v>66</v>
      </c>
      <c r="E44" s="27" t="str">
        <f>HYPERLINK("https://www.boe.es/gazeta/dias/1801/04/14/pdfs/GMD-1801-30.pdf","Abrir fascículo")</f>
        <v>Abrir fascículo</v>
      </c>
    </row>
    <row r="45" spans="1:5">
      <c r="A45" s="21">
        <v>31</v>
      </c>
      <c r="B45" s="18" t="s">
        <v>97</v>
      </c>
      <c r="C45" s="24" t="s">
        <v>18381</v>
      </c>
      <c r="D45" s="24">
        <v>43</v>
      </c>
      <c r="E45" s="27" t="str">
        <f>HYPERLINK("https://www.boe.es/gazeta/dias/1801/04/17/pdfs/GMD-1801-31.pdf","Abrir fascículo")</f>
        <v>Abrir fascículo</v>
      </c>
    </row>
    <row r="46" spans="1:5">
      <c r="A46" s="21">
        <v>32</v>
      </c>
      <c r="B46" s="18" t="s">
        <v>99</v>
      </c>
      <c r="C46" s="24" t="s">
        <v>18382</v>
      </c>
      <c r="D46" s="24">
        <v>88</v>
      </c>
      <c r="E46" s="27" t="str">
        <f>HYPERLINK("https://www.boe.es/gazeta/dias/1801/04/21/pdfs/GMD-1801-32.pdf","Abrir fascículo")</f>
        <v>Abrir fascículo</v>
      </c>
    </row>
    <row r="47" spans="1:5">
      <c r="A47" s="21">
        <v>33</v>
      </c>
      <c r="B47" s="18" t="s">
        <v>141</v>
      </c>
      <c r="C47" s="24" t="s">
        <v>18383</v>
      </c>
      <c r="D47" s="24">
        <v>73</v>
      </c>
      <c r="E47" s="27" t="str">
        <f>HYPERLINK("https://www.boe.es/gazeta/dias/1801/04/24/pdfs/GMD-1801-33.pdf","Abrir fascículo")</f>
        <v>Abrir fascículo</v>
      </c>
    </row>
    <row r="48" spans="1:5">
      <c r="A48" s="21">
        <v>34</v>
      </c>
      <c r="B48" s="18" t="s">
        <v>143</v>
      </c>
      <c r="C48" s="24" t="s">
        <v>18384</v>
      </c>
      <c r="D48" s="24">
        <v>75</v>
      </c>
      <c r="E48" s="27" t="str">
        <f>HYPERLINK("https://www.boe.es/gazeta/dias/1801/04/28/pdfs/GMD-1801-34.pdf","Abrir fascículo")</f>
        <v>Abrir fascículo</v>
      </c>
    </row>
    <row r="49" spans="1:5">
      <c r="A49" s="21" t="s">
        <v>18385</v>
      </c>
      <c r="B49" s="18" t="s">
        <v>143</v>
      </c>
      <c r="C49" s="24" t="s">
        <v>18386</v>
      </c>
      <c r="D49" s="24">
        <v>6</v>
      </c>
      <c r="E49" s="27" t="str">
        <f>HYPERLINK("https://www.boe.es/gazeta/dias/1801/04/28/pdfs/GMD-C-1801-34.pdf","Abrir suplemento")</f>
        <v>Abrir suplemento</v>
      </c>
    </row>
    <row r="50" spans="1:5">
      <c r="A50" s="21">
        <v>35</v>
      </c>
      <c r="B50" s="18" t="s">
        <v>448</v>
      </c>
      <c r="C50" s="24" t="s">
        <v>18387</v>
      </c>
      <c r="D50" s="24">
        <v>59</v>
      </c>
      <c r="E50" s="27" t="str">
        <f>HYPERLINK("https://www.boe.es/gazeta/dias/1801/05/01/pdfs/GMD-1801-35.pdf","Abrir fascículo")</f>
        <v>Abrir fascículo</v>
      </c>
    </row>
    <row r="51" spans="1:5">
      <c r="A51" s="21">
        <v>36</v>
      </c>
      <c r="B51" s="18" t="s">
        <v>145</v>
      </c>
      <c r="C51" s="24" t="s">
        <v>18388</v>
      </c>
      <c r="D51" s="24">
        <v>99</v>
      </c>
      <c r="E51" s="27" t="str">
        <f>HYPERLINK("https://www.boe.es/gazeta/dias/1801/05/05/pdfs/GMD-1801-36.pdf","Abrir fascículo")</f>
        <v>Abrir fascículo</v>
      </c>
    </row>
    <row r="52" spans="1:5">
      <c r="A52" s="21">
        <v>37</v>
      </c>
      <c r="B52" s="18" t="s">
        <v>20</v>
      </c>
      <c r="C52" s="24" t="s">
        <v>18389</v>
      </c>
      <c r="D52" s="24">
        <v>64</v>
      </c>
      <c r="E52" s="27" t="str">
        <f>HYPERLINK("https://www.boe.es/gazeta/dias/1801/05/08/pdfs/GMD-1801-37.pdf","Abrir fascículo")</f>
        <v>Abrir fascículo</v>
      </c>
    </row>
    <row r="53" spans="1:5">
      <c r="A53" s="21">
        <v>38</v>
      </c>
      <c r="B53" s="18" t="s">
        <v>34</v>
      </c>
      <c r="C53" s="24" t="s">
        <v>18390</v>
      </c>
      <c r="D53" s="24">
        <v>69</v>
      </c>
      <c r="E53" s="27" t="str">
        <f>HYPERLINK("https://www.boe.es/gazeta/dias/1801/05/12/pdfs/GMD-1801-38.pdf","Abrir fascículo")</f>
        <v>Abrir fascículo</v>
      </c>
    </row>
    <row r="54" spans="1:5">
      <c r="A54" s="21">
        <v>39</v>
      </c>
      <c r="B54" s="18" t="s">
        <v>313</v>
      </c>
      <c r="C54" s="24" t="s">
        <v>18391</v>
      </c>
      <c r="D54" s="24">
        <v>110</v>
      </c>
      <c r="E54" s="27" t="str">
        <f>HYPERLINK("https://www.boe.es/gazeta/dias/1801/05/15/pdfs/GMD-1801-39.pdf","Abrir fascículo")</f>
        <v>Abrir fascículo</v>
      </c>
    </row>
    <row r="55" spans="1:5">
      <c r="A55" s="21">
        <v>40</v>
      </c>
      <c r="B55" s="18" t="s">
        <v>289</v>
      </c>
      <c r="C55" s="24" t="s">
        <v>18392</v>
      </c>
      <c r="D55" s="24">
        <v>33</v>
      </c>
      <c r="E55" s="27" t="str">
        <f>HYPERLINK("https://www.boe.es/gazeta/dias/1801/05/19/pdfs/GMD-1801-40.pdf","Abrir fascículo")</f>
        <v>Abrir fascículo</v>
      </c>
    </row>
    <row r="56" spans="1:5">
      <c r="A56" s="21" t="s">
        <v>18393</v>
      </c>
      <c r="B56" s="18" t="s">
        <v>289</v>
      </c>
      <c r="C56" s="24" t="s">
        <v>18394</v>
      </c>
      <c r="D56" s="24">
        <v>173</v>
      </c>
      <c r="E56" s="27" t="str">
        <f>HYPERLINK("https://www.boe.es/gazeta/dias/1801/05/19/pdfs/GMD-C-1801-40.pdf","Abrir suplemento")</f>
        <v>Abrir suplemento</v>
      </c>
    </row>
    <row r="57" spans="1:5">
      <c r="A57" s="21">
        <v>41</v>
      </c>
      <c r="B57" s="18" t="s">
        <v>101</v>
      </c>
      <c r="C57" s="24" t="s">
        <v>18395</v>
      </c>
      <c r="D57" s="24">
        <v>39</v>
      </c>
      <c r="E57" s="27" t="str">
        <f>HYPERLINK("https://www.boe.es/gazeta/dias/1801/05/22/pdfs/GMD-1801-41.pdf","Abrir fascículo")</f>
        <v>Abrir fascículo</v>
      </c>
    </row>
    <row r="58" spans="1:5">
      <c r="A58" s="21" t="s">
        <v>18396</v>
      </c>
      <c r="B58" s="18" t="s">
        <v>18397</v>
      </c>
      <c r="C58" s="24" t="s">
        <v>18398</v>
      </c>
      <c r="D58" s="24">
        <v>0</v>
      </c>
      <c r="E58" s="27" t="str">
        <f>HYPERLINK("https://www.boe.es/gazeta/dias/1801/05/24/pdfs/GMD-1801-42E.pdf","Abrir extraordinaria")</f>
        <v>Abrir extraordinaria</v>
      </c>
    </row>
    <row r="59" spans="1:5">
      <c r="A59" s="21">
        <v>43</v>
      </c>
      <c r="B59" s="18" t="s">
        <v>352</v>
      </c>
      <c r="C59" s="24" t="s">
        <v>18399</v>
      </c>
      <c r="D59" s="24">
        <v>77</v>
      </c>
      <c r="E59" s="27" t="str">
        <f>HYPERLINK("https://www.boe.es/gazeta/dias/1801/05/26/pdfs/GMD-1801-43.pdf","Abrir fascículo")</f>
        <v>Abrir fascículo</v>
      </c>
    </row>
    <row r="60" spans="1:5">
      <c r="A60" s="21">
        <v>44</v>
      </c>
      <c r="B60" s="18" t="s">
        <v>105</v>
      </c>
      <c r="C60" s="24" t="s">
        <v>18400</v>
      </c>
      <c r="D60" s="24">
        <v>95</v>
      </c>
      <c r="E60" s="27" t="str">
        <f>HYPERLINK("https://www.boe.es/gazeta/dias/1801/05/29/pdfs/GMD-1801-44.pdf","Abrir fascículo")</f>
        <v>Abrir fascículo</v>
      </c>
    </row>
    <row r="61" spans="1:5">
      <c r="A61" s="21">
        <v>45</v>
      </c>
      <c r="B61" s="18" t="s">
        <v>151</v>
      </c>
      <c r="C61" s="24" t="s">
        <v>18401</v>
      </c>
      <c r="D61" s="24">
        <v>98</v>
      </c>
      <c r="E61" s="27" t="str">
        <f>HYPERLINK("https://www.boe.es/gazeta/dias/1801/06/02/pdfs/GMD-1801-45.pdf","Abrir fascículo")</f>
        <v>Abrir fascículo</v>
      </c>
    </row>
    <row r="62" spans="1:5">
      <c r="A62" s="21" t="s">
        <v>1483</v>
      </c>
      <c r="B62" s="18" t="s">
        <v>151</v>
      </c>
      <c r="C62" s="24" t="s">
        <v>18402</v>
      </c>
      <c r="D62" s="24">
        <v>13</v>
      </c>
      <c r="E62" s="27" t="str">
        <f>HYPERLINK("https://www.boe.es/gazeta/dias/1801/06/02/pdfs/GMD-1801-46E.pdf","Abrir extraordinaria")</f>
        <v>Abrir extraordinaria</v>
      </c>
    </row>
    <row r="63" spans="1:5">
      <c r="A63" s="21" t="s">
        <v>2226</v>
      </c>
      <c r="B63" s="18" t="s">
        <v>2225</v>
      </c>
      <c r="C63" s="24" t="s">
        <v>18403</v>
      </c>
      <c r="D63" s="24">
        <v>9</v>
      </c>
      <c r="E63" s="27" t="str">
        <f>HYPERLINK("https://www.boe.es/gazeta/dias/1801/06/03/pdfs/GMD-1801-47E.pdf","Abrir extraordinaria")</f>
        <v>Abrir extraordinaria</v>
      </c>
    </row>
    <row r="64" spans="1:5">
      <c r="A64" s="21">
        <v>48</v>
      </c>
      <c r="B64" s="18" t="s">
        <v>153</v>
      </c>
      <c r="C64" s="24" t="s">
        <v>18404</v>
      </c>
      <c r="D64" s="24">
        <v>54</v>
      </c>
      <c r="E64" s="27" t="str">
        <f>HYPERLINK("https://www.boe.es/gazeta/dias/1801/06/05/pdfs/GMD-1801-48.pdf","Abrir fascículo")</f>
        <v>Abrir fascículo</v>
      </c>
    </row>
    <row r="65" spans="1:5">
      <c r="A65" s="21" t="s">
        <v>18405</v>
      </c>
      <c r="B65" s="18" t="s">
        <v>153</v>
      </c>
      <c r="C65" s="24" t="s">
        <v>18406</v>
      </c>
      <c r="D65" s="24">
        <v>0</v>
      </c>
      <c r="E65" s="27" t="str">
        <f>HYPERLINK("https://www.boe.es/gazeta/dias/1801/06/05/pdfs/GMD-1801-49E.pdf","Abrir extraordinaria")</f>
        <v>Abrir extraordinaria</v>
      </c>
    </row>
    <row r="66" spans="1:5">
      <c r="A66" s="21">
        <v>50</v>
      </c>
      <c r="B66" s="18" t="s">
        <v>155</v>
      </c>
      <c r="C66" s="24" t="s">
        <v>18407</v>
      </c>
      <c r="D66" s="24">
        <v>94</v>
      </c>
      <c r="E66" s="27" t="str">
        <f>HYPERLINK("https://www.boe.es/gazeta/dias/1801/06/09/pdfs/GMD-1801-50.pdf","Abrir fascículo")</f>
        <v>Abrir fascículo</v>
      </c>
    </row>
    <row r="67" spans="1:5">
      <c r="A67" s="21" t="s">
        <v>8831</v>
      </c>
      <c r="B67" s="18" t="s">
        <v>8830</v>
      </c>
      <c r="C67" s="24" t="s">
        <v>18408</v>
      </c>
      <c r="D67" s="24">
        <v>1</v>
      </c>
      <c r="E67" s="27" t="str">
        <f>HYPERLINK("https://www.boe.es/gazeta/dias/1801/06/10/pdfs/GMD-1801-51E.pdf","Abrir extraordinaria")</f>
        <v>Abrir extraordinaria</v>
      </c>
    </row>
    <row r="68" spans="1:5">
      <c r="A68" s="21">
        <v>52</v>
      </c>
      <c r="B68" s="18" t="s">
        <v>66</v>
      </c>
      <c r="C68" s="24" t="s">
        <v>18409</v>
      </c>
      <c r="D68" s="24">
        <v>65</v>
      </c>
      <c r="E68" s="27" t="str">
        <f>HYPERLINK("https://www.boe.es/gazeta/dias/1801/06/12/pdfs/GMD-1801-52.pdf","Abrir fascículo")</f>
        <v>Abrir fascículo</v>
      </c>
    </row>
    <row r="69" spans="1:5">
      <c r="A69" s="21" t="s">
        <v>5421</v>
      </c>
      <c r="B69" s="18" t="s">
        <v>5420</v>
      </c>
      <c r="C69" s="24" t="s">
        <v>18410</v>
      </c>
      <c r="D69" s="24">
        <v>2</v>
      </c>
      <c r="E69" s="27" t="str">
        <f>HYPERLINK("https://www.boe.es/gazeta/dias/1801/06/14/pdfs/GMD-1801-53E.pdf","Abrir extraordinaria")</f>
        <v>Abrir extraordinaria</v>
      </c>
    </row>
    <row r="70" spans="1:5">
      <c r="A70" s="21" t="s">
        <v>2340</v>
      </c>
      <c r="B70" s="18" t="s">
        <v>2339</v>
      </c>
      <c r="C70" s="24" t="s">
        <v>18411</v>
      </c>
      <c r="D70" s="24">
        <v>15</v>
      </c>
      <c r="E70" s="27" t="str">
        <f>HYPERLINK("https://www.boe.es/gazeta/dias/1801/06/15/pdfs/GMD-1801-54E.pdf","Abrir extraordinaria")</f>
        <v>Abrir extraordinaria</v>
      </c>
    </row>
    <row r="71" spans="1:5">
      <c r="A71" s="21">
        <v>55</v>
      </c>
      <c r="B71" s="18" t="s">
        <v>158</v>
      </c>
      <c r="C71" s="24" t="s">
        <v>18412</v>
      </c>
      <c r="D71" s="24">
        <v>43</v>
      </c>
      <c r="E71" s="27" t="str">
        <f>HYPERLINK("https://www.boe.es/gazeta/dias/1801/06/16/pdfs/GMD-1801-55.pdf","Abrir fascículo")</f>
        <v>Abrir fascículo</v>
      </c>
    </row>
    <row r="72" spans="1:5">
      <c r="A72" s="21" t="s">
        <v>18413</v>
      </c>
      <c r="B72" s="18" t="s">
        <v>158</v>
      </c>
      <c r="C72" s="24" t="s">
        <v>18414</v>
      </c>
      <c r="D72" s="24">
        <v>0</v>
      </c>
      <c r="E72" s="27" t="str">
        <f>HYPERLINK("https://www.boe.es/gazeta/dias/1801/06/16/pdfs/GMD-C-1801-55.pdf","Abrir suplemento")</f>
        <v>Abrir suplemento</v>
      </c>
    </row>
    <row r="73" spans="1:5">
      <c r="A73" s="21" t="s">
        <v>1488</v>
      </c>
      <c r="B73" s="18" t="s">
        <v>1487</v>
      </c>
      <c r="C73" s="24" t="s">
        <v>18415</v>
      </c>
      <c r="D73" s="24">
        <v>15</v>
      </c>
      <c r="E73" s="27" t="str">
        <f>HYPERLINK("https://www.boe.es/gazeta/dias/1801/06/17/pdfs/GMD-1801-56E.pdf","Abrir extraordinaria")</f>
        <v>Abrir extraordinaria</v>
      </c>
    </row>
    <row r="74" spans="1:5">
      <c r="A74" s="21" t="s">
        <v>435</v>
      </c>
      <c r="B74" s="18" t="s">
        <v>434</v>
      </c>
      <c r="C74" s="24" t="s">
        <v>18416</v>
      </c>
      <c r="D74" s="24">
        <v>7</v>
      </c>
      <c r="E74" s="27" t="str">
        <f>HYPERLINK("https://www.boe.es/gazeta/dias/1801/06/18/pdfs/GMD-1801-57E.pdf","Abrir extraordinaria")</f>
        <v>Abrir extraordinaria</v>
      </c>
    </row>
    <row r="75" spans="1:5">
      <c r="A75" s="21">
        <v>58</v>
      </c>
      <c r="B75" s="18" t="s">
        <v>161</v>
      </c>
      <c r="C75" s="24" t="s">
        <v>18417</v>
      </c>
      <c r="D75" s="24">
        <v>72</v>
      </c>
      <c r="E75" s="27" t="str">
        <f>HYPERLINK("https://www.boe.es/gazeta/dias/1801/06/19/pdfs/GMD-1801-58.pdf","Abrir fascículo")</f>
        <v>Abrir fascículo</v>
      </c>
    </row>
    <row r="76" spans="1:5">
      <c r="A76" s="21">
        <v>59</v>
      </c>
      <c r="B76" s="18" t="s">
        <v>165</v>
      </c>
      <c r="C76" s="24" t="s">
        <v>18418</v>
      </c>
      <c r="D76" s="24">
        <v>125</v>
      </c>
      <c r="E76" s="27" t="str">
        <f>HYPERLINK("https://www.boe.es/gazeta/dias/1801/06/23/pdfs/GMD-1801-59.pdf","Abrir fascículo")</f>
        <v>Abrir fascículo</v>
      </c>
    </row>
    <row r="77" spans="1:5">
      <c r="A77" s="21">
        <v>60</v>
      </c>
      <c r="B77" s="18" t="s">
        <v>72</v>
      </c>
      <c r="C77" s="24" t="s">
        <v>18419</v>
      </c>
      <c r="D77" s="24">
        <v>61</v>
      </c>
      <c r="E77" s="27" t="str">
        <f>HYPERLINK("https://www.boe.es/gazeta/dias/1801/06/26/pdfs/GMD-1801-60.pdf","Abrir fascículo")</f>
        <v>Abrir fascículo</v>
      </c>
    </row>
    <row r="78" spans="1:5">
      <c r="A78" s="21">
        <v>61</v>
      </c>
      <c r="B78" s="18" t="s">
        <v>108</v>
      </c>
      <c r="C78" s="24" t="s">
        <v>18420</v>
      </c>
      <c r="D78" s="24">
        <v>58</v>
      </c>
      <c r="E78" s="27" t="str">
        <f>HYPERLINK("https://www.boe.es/gazeta/dias/1801/06/30/pdfs/GMD-1801-61.pdf","Abrir fascículo")</f>
        <v>Abrir fascículo</v>
      </c>
    </row>
    <row r="79" spans="1:5">
      <c r="A79" s="21" t="s">
        <v>18421</v>
      </c>
      <c r="B79" s="18" t="s">
        <v>18422</v>
      </c>
      <c r="C79" s="24" t="s">
        <v>18423</v>
      </c>
      <c r="D79" s="24">
        <v>0</v>
      </c>
      <c r="E79" s="27" t="str">
        <f>HYPERLINK("https://www.boe.es/gazeta/dias/1801/07/02/pdfs/GMD-1801-62E.pdf","Abrir extraordinaria")</f>
        <v>Abrir extraordinaria</v>
      </c>
    </row>
    <row r="80" spans="1:5">
      <c r="A80" s="21">
        <v>63</v>
      </c>
      <c r="B80" s="18" t="s">
        <v>40</v>
      </c>
      <c r="C80" s="24" t="s">
        <v>18424</v>
      </c>
      <c r="D80" s="24">
        <v>55</v>
      </c>
      <c r="E80" s="27" t="str">
        <f>HYPERLINK("https://www.boe.es/gazeta/dias/1801/07/03/pdfs/GMD-1801-63.pdf","Abrir fascículo")</f>
        <v>Abrir fascículo</v>
      </c>
    </row>
    <row r="81" spans="1:5">
      <c r="A81" s="21" t="s">
        <v>18425</v>
      </c>
      <c r="B81" s="18" t="s">
        <v>40</v>
      </c>
      <c r="C81" s="24" t="s">
        <v>18426</v>
      </c>
      <c r="D81" s="24">
        <v>0</v>
      </c>
      <c r="E81" s="27" t="str">
        <f>HYPERLINK("https://www.boe.es/gazeta/dias/1801/07/03/pdfs/GMD-C-1801-63.pdf","Abrir suplemento")</f>
        <v>Abrir suplemento</v>
      </c>
    </row>
    <row r="82" spans="1:5">
      <c r="A82" s="21">
        <v>64</v>
      </c>
      <c r="B82" s="18" t="s">
        <v>417</v>
      </c>
      <c r="C82" s="24" t="s">
        <v>18427</v>
      </c>
      <c r="D82" s="24">
        <v>71</v>
      </c>
      <c r="E82" s="27" t="str">
        <f>HYPERLINK("https://www.boe.es/gazeta/dias/1801/07/07/pdfs/GMD-1801-64.pdf","Abrir fascículo")</f>
        <v>Abrir fascículo</v>
      </c>
    </row>
    <row r="83" spans="1:5">
      <c r="A83" s="21" t="s">
        <v>8261</v>
      </c>
      <c r="B83" s="18" t="s">
        <v>8260</v>
      </c>
      <c r="C83" s="24" t="s">
        <v>18428</v>
      </c>
      <c r="D83" s="24">
        <v>2</v>
      </c>
      <c r="E83" s="27" t="str">
        <f>HYPERLINK("https://www.boe.es/gazeta/dias/1801/07/08/pdfs/GMD-1801-65E.pdf","Abrir extraordinaria")</f>
        <v>Abrir extraordinaria</v>
      </c>
    </row>
    <row r="84" spans="1:5">
      <c r="A84" s="21">
        <v>66</v>
      </c>
      <c r="B84" s="18" t="s">
        <v>251</v>
      </c>
      <c r="C84" s="24" t="s">
        <v>18429</v>
      </c>
      <c r="D84" s="24">
        <v>39</v>
      </c>
      <c r="E84" s="27" t="str">
        <f>HYPERLINK("https://www.boe.es/gazeta/dias/1801/07/10/pdfs/GMD-1801-66.pdf","Abrir fascículo")</f>
        <v>Abrir fascículo</v>
      </c>
    </row>
    <row r="85" spans="1:5">
      <c r="A85" s="21" t="s">
        <v>18430</v>
      </c>
      <c r="B85" s="18" t="s">
        <v>251</v>
      </c>
      <c r="C85" s="24" t="s">
        <v>18431</v>
      </c>
      <c r="D85" s="24">
        <v>0</v>
      </c>
      <c r="E85" s="27" t="str">
        <f>HYPERLINK("https://www.boe.es/gazeta/dias/1801/07/10/pdfs/GMD-C-1801-66.pdf","Abrir suplemento")</f>
        <v>Abrir suplemento</v>
      </c>
    </row>
    <row r="86" spans="1:5">
      <c r="A86" s="21" t="s">
        <v>8491</v>
      </c>
      <c r="B86" s="18" t="s">
        <v>8490</v>
      </c>
      <c r="C86" s="24" t="s">
        <v>18432</v>
      </c>
      <c r="D86" s="24">
        <v>2</v>
      </c>
      <c r="E86" s="27" t="str">
        <f>HYPERLINK("https://www.boe.es/gazeta/dias/1801/07/11/pdfs/GMD-1801-67E.pdf","Abrir extraordinaria")</f>
        <v>Abrir extraordinaria</v>
      </c>
    </row>
    <row r="87" spans="1:5">
      <c r="A87" s="21" t="s">
        <v>18433</v>
      </c>
      <c r="B87" s="18" t="s">
        <v>18434</v>
      </c>
      <c r="C87" s="24" t="s">
        <v>18435</v>
      </c>
      <c r="D87" s="24">
        <v>0</v>
      </c>
      <c r="E87" s="27" t="str">
        <f>HYPERLINK("https://www.boe.es/gazeta/dias/1801/07/13/pdfs/GMD-1801-68E.pdf","Abrir extraordinaria")</f>
        <v>Abrir extraordinaria</v>
      </c>
    </row>
    <row r="88" spans="1:5">
      <c r="A88" s="21">
        <v>69</v>
      </c>
      <c r="B88" s="18" t="s">
        <v>702</v>
      </c>
      <c r="C88" s="24" t="s">
        <v>18436</v>
      </c>
      <c r="D88" s="24">
        <v>73</v>
      </c>
      <c r="E88" s="27" t="str">
        <f>HYPERLINK("https://www.boe.es/gazeta/dias/1801/07/14/pdfs/GMD-1801-69.pdf","Abrir fascículo")</f>
        <v>Abrir fascículo</v>
      </c>
    </row>
    <row r="89" spans="1:5">
      <c r="A89" s="21">
        <v>70</v>
      </c>
      <c r="B89" s="18" t="s">
        <v>169</v>
      </c>
      <c r="C89" s="24" t="s">
        <v>18437</v>
      </c>
      <c r="D89" s="24">
        <v>67</v>
      </c>
      <c r="E89" s="27" t="str">
        <f>HYPERLINK("https://www.boe.es/gazeta/dias/1801/07/17/pdfs/GMD-1801-70.pdf","Abrir fascículo")</f>
        <v>Abrir fascículo</v>
      </c>
    </row>
    <row r="90" spans="1:5">
      <c r="A90" s="21">
        <v>71</v>
      </c>
      <c r="B90" s="18" t="s">
        <v>215</v>
      </c>
      <c r="C90" s="24" t="s">
        <v>18438</v>
      </c>
      <c r="D90" s="24">
        <v>86</v>
      </c>
      <c r="E90" s="27" t="str">
        <f>HYPERLINK("https://www.boe.es/gazeta/dias/1801/07/21/pdfs/GMD-1801-71.pdf","Abrir fascículo")</f>
        <v>Abrir fascículo</v>
      </c>
    </row>
    <row r="91" spans="1:5">
      <c r="A91" s="21" t="s">
        <v>18439</v>
      </c>
      <c r="B91" s="18" t="s">
        <v>215</v>
      </c>
      <c r="C91" s="24" t="s">
        <v>18440</v>
      </c>
      <c r="D91" s="24">
        <v>0</v>
      </c>
      <c r="E91" s="27" t="str">
        <f>HYPERLINK("https://www.boe.es/gazeta/dias/1801/07/21/pdfs/GMD-C-1801-71.pdf","Abrir suplemento")</f>
        <v>Abrir suplemento</v>
      </c>
    </row>
    <row r="92" spans="1:5">
      <c r="A92" s="21">
        <v>72</v>
      </c>
      <c r="B92" s="18" t="s">
        <v>615</v>
      </c>
      <c r="C92" s="24" t="s">
        <v>18441</v>
      </c>
      <c r="D92" s="24">
        <v>131</v>
      </c>
      <c r="E92" s="27" t="str">
        <f>HYPERLINK("https://www.boe.es/gazeta/dias/1801/07/24/pdfs/GMD-1801-72.pdf","Abrir fascículo")</f>
        <v>Abrir fascículo</v>
      </c>
    </row>
    <row r="93" spans="1:5">
      <c r="A93" s="21">
        <v>73</v>
      </c>
      <c r="B93" s="18" t="s">
        <v>254</v>
      </c>
      <c r="C93" s="24" t="s">
        <v>18442</v>
      </c>
      <c r="D93" s="24">
        <v>46</v>
      </c>
      <c r="E93" s="27" t="str">
        <f>HYPERLINK("https://www.boe.es/gazeta/dias/1801/07/28/pdfs/GMD-1801-73.pdf","Abrir fascículo")</f>
        <v>Abrir fascículo</v>
      </c>
    </row>
    <row r="94" spans="1:5">
      <c r="A94" s="21" t="s">
        <v>18443</v>
      </c>
      <c r="B94" s="18" t="s">
        <v>254</v>
      </c>
      <c r="C94" s="24" t="s">
        <v>18444</v>
      </c>
      <c r="D94" s="24">
        <v>0</v>
      </c>
      <c r="E94" s="27" t="str">
        <f>HYPERLINK("https://www.boe.es/gazeta/dias/1801/07/28/pdfs/GMD-C-1801-73.pdf","Abrir suplemento")</f>
        <v>Abrir suplemento</v>
      </c>
    </row>
    <row r="95" spans="1:5">
      <c r="A95" s="21">
        <v>74</v>
      </c>
      <c r="B95" s="18" t="s">
        <v>223</v>
      </c>
      <c r="C95" s="24" t="s">
        <v>18445</v>
      </c>
      <c r="D95" s="24">
        <v>83</v>
      </c>
      <c r="E95" s="27" t="str">
        <f>HYPERLINK("https://www.boe.es/gazeta/dias/1801/07/31/pdfs/GMD-1801-74.pdf","Abrir fascículo")</f>
        <v>Abrir fascículo</v>
      </c>
    </row>
    <row r="96" spans="1:5">
      <c r="A96" s="21">
        <v>75</v>
      </c>
      <c r="B96" s="18" t="s">
        <v>82</v>
      </c>
      <c r="C96" s="24" t="s">
        <v>18446</v>
      </c>
      <c r="D96" s="24">
        <v>77</v>
      </c>
      <c r="E96" s="27" t="str">
        <f>HYPERLINK("https://www.boe.es/gazeta/dias/1801/08/04/pdfs/GMD-1801-75.pdf","Abrir fascículo")</f>
        <v>Abrir fascículo</v>
      </c>
    </row>
    <row r="97" spans="1:5">
      <c r="A97" s="21" t="s">
        <v>18447</v>
      </c>
      <c r="B97" s="18" t="s">
        <v>82</v>
      </c>
      <c r="C97" s="24" t="s">
        <v>18448</v>
      </c>
      <c r="D97" s="24">
        <v>199</v>
      </c>
      <c r="E97" s="27" t="str">
        <f>HYPERLINK("https://www.boe.es/gazeta/dias/1801/08/04/pdfs/GMD-C-1801-75.pdf","Abrir suplemento")</f>
        <v>Abrir suplemento</v>
      </c>
    </row>
    <row r="98" spans="1:5">
      <c r="A98" s="21">
        <v>76</v>
      </c>
      <c r="B98" s="18" t="s">
        <v>171</v>
      </c>
      <c r="C98" s="24" t="s">
        <v>18449</v>
      </c>
      <c r="D98" s="24">
        <v>105</v>
      </c>
      <c r="E98" s="27" t="str">
        <f>HYPERLINK("https://www.boe.es/gazeta/dias/1801/08/07/pdfs/GMD-1801-76.pdf","Abrir fascículo")</f>
        <v>Abrir fascículo</v>
      </c>
    </row>
    <row r="99" spans="1:5">
      <c r="A99" s="21">
        <v>77</v>
      </c>
      <c r="B99" s="18" t="s">
        <v>28</v>
      </c>
      <c r="C99" s="24" t="s">
        <v>18450</v>
      </c>
      <c r="D99" s="24">
        <v>51</v>
      </c>
      <c r="E99" s="27" t="str">
        <f>HYPERLINK("https://www.boe.es/gazeta/dias/1801/08/11/pdfs/GMD-1801-77.pdf","Abrir fascículo")</f>
        <v>Abrir fascículo</v>
      </c>
    </row>
    <row r="100" spans="1:5">
      <c r="A100" s="21" t="s">
        <v>18451</v>
      </c>
      <c r="B100" s="18" t="s">
        <v>28</v>
      </c>
      <c r="C100" s="24" t="s">
        <v>18452</v>
      </c>
      <c r="D100" s="24">
        <v>0</v>
      </c>
      <c r="E100" s="27" t="str">
        <f>HYPERLINK("https://www.boe.es/gazeta/dias/1801/08/11/pdfs/GMD-C-1801-77.pdf","Abrir suplemento")</f>
        <v>Abrir suplemento</v>
      </c>
    </row>
    <row r="101" spans="1:5">
      <c r="A101" s="21">
        <v>78</v>
      </c>
      <c r="B101" s="18" t="s">
        <v>256</v>
      </c>
      <c r="C101" s="24" t="s">
        <v>18453</v>
      </c>
      <c r="D101" s="24">
        <v>98</v>
      </c>
      <c r="E101" s="27" t="str">
        <f>HYPERLINK("https://www.boe.es/gazeta/dias/1801/08/14/pdfs/GMD-1801-78.pdf","Abrir fascículo")</f>
        <v>Abrir fascículo</v>
      </c>
    </row>
    <row r="102" spans="1:5">
      <c r="A102" s="21">
        <v>79</v>
      </c>
      <c r="B102" s="18" t="s">
        <v>201</v>
      </c>
      <c r="C102" s="24" t="s">
        <v>18454</v>
      </c>
      <c r="D102" s="24">
        <v>96</v>
      </c>
      <c r="E102" s="27" t="str">
        <f>HYPERLINK("https://www.boe.es/gazeta/dias/1801/08/18/pdfs/GMD-1801-79.pdf","Abrir fascículo")</f>
        <v>Abrir fascículo</v>
      </c>
    </row>
    <row r="103" spans="1:5">
      <c r="A103" s="21">
        <v>80</v>
      </c>
      <c r="B103" s="18" t="s">
        <v>764</v>
      </c>
      <c r="C103" s="24" t="s">
        <v>18455</v>
      </c>
      <c r="D103" s="24">
        <v>35</v>
      </c>
      <c r="E103" s="27" t="str">
        <f>HYPERLINK("https://www.boe.es/gazeta/dias/1801/08/21/pdfs/GMD-1801-80.pdf","Abrir fascículo")</f>
        <v>Abrir fascículo</v>
      </c>
    </row>
    <row r="104" spans="1:5">
      <c r="A104" s="21" t="s">
        <v>18456</v>
      </c>
      <c r="B104" s="18" t="s">
        <v>764</v>
      </c>
      <c r="C104" s="24" t="s">
        <v>18457</v>
      </c>
      <c r="D104" s="24">
        <v>0</v>
      </c>
      <c r="E104" s="27" t="str">
        <f>HYPERLINK("https://www.boe.es/gazeta/dias/1801/08/21/pdfs/GMD-C-1801-80.pdf","Abrir suplemento")</f>
        <v>Abrir suplemento</v>
      </c>
    </row>
    <row r="105" spans="1:5">
      <c r="A105" s="21">
        <v>81</v>
      </c>
      <c r="B105" s="18" t="s">
        <v>640</v>
      </c>
      <c r="C105" s="24" t="s">
        <v>18458</v>
      </c>
      <c r="D105" s="24">
        <v>57</v>
      </c>
      <c r="E105" s="27" t="str">
        <f>HYPERLINK("https://www.boe.es/gazeta/dias/1801/08/25/pdfs/GMD-1801-81.pdf","Abrir fascículo")</f>
        <v>Abrir fascículo</v>
      </c>
    </row>
    <row r="106" spans="1:5">
      <c r="A106" s="21">
        <v>82</v>
      </c>
      <c r="B106" s="18" t="s">
        <v>2237</v>
      </c>
      <c r="C106" s="24" t="s">
        <v>18459</v>
      </c>
      <c r="D106" s="24">
        <v>57</v>
      </c>
      <c r="E106" s="27" t="str">
        <f>HYPERLINK("https://www.boe.es/gazeta/dias/1801/08/28/pdfs/GMD-1801-82.pdf","Abrir fascículo")</f>
        <v>Abrir fascículo</v>
      </c>
    </row>
    <row r="107" spans="1:5">
      <c r="A107" s="21" t="s">
        <v>18460</v>
      </c>
      <c r="B107" s="18" t="s">
        <v>2237</v>
      </c>
      <c r="C107" s="24" t="s">
        <v>18461</v>
      </c>
      <c r="D107" s="24">
        <v>0</v>
      </c>
      <c r="E107" s="27" t="str">
        <f>HYPERLINK("https://www.boe.es/gazeta/dias/1801/08/28/pdfs/GMD-C-1801-82.pdf","Abrir suplemento")</f>
        <v>Abrir suplemento</v>
      </c>
    </row>
    <row r="108" spans="1:5">
      <c r="A108" s="21">
        <v>83</v>
      </c>
      <c r="B108" s="18" t="s">
        <v>338</v>
      </c>
      <c r="C108" s="24" t="s">
        <v>18462</v>
      </c>
      <c r="D108" s="24">
        <v>56</v>
      </c>
      <c r="E108" s="27" t="str">
        <f>HYPERLINK("https://www.boe.es/gazeta/dias/1801/09/01/pdfs/GMD-1801-83.pdf","Abrir fascículo")</f>
        <v>Abrir fascículo</v>
      </c>
    </row>
    <row r="109" spans="1:5">
      <c r="A109" s="21">
        <v>84</v>
      </c>
      <c r="B109" s="18" t="s">
        <v>2185</v>
      </c>
      <c r="C109" s="24" t="s">
        <v>18463</v>
      </c>
      <c r="D109" s="24">
        <v>37</v>
      </c>
      <c r="E109" s="27" t="str">
        <f>HYPERLINK("https://www.boe.es/gazeta/dias/1801/09/04/pdfs/GMD-1801-84.pdf","Abrir fascículo")</f>
        <v>Abrir fascículo</v>
      </c>
    </row>
    <row r="110" spans="1:5">
      <c r="A110" s="21" t="s">
        <v>18464</v>
      </c>
      <c r="B110" s="18" t="s">
        <v>18465</v>
      </c>
      <c r="C110" s="24" t="s">
        <v>18466</v>
      </c>
      <c r="D110" s="24">
        <v>0</v>
      </c>
      <c r="E110" s="27" t="str">
        <f>HYPERLINK("https://www.boe.es/gazeta/dias/1801/09/05/pdfs/GMD-1801-85E.pdf","Abrir extraordinaria")</f>
        <v>Abrir extraordinaria</v>
      </c>
    </row>
    <row r="111" spans="1:5">
      <c r="A111" s="21">
        <v>86</v>
      </c>
      <c r="B111" s="18" t="s">
        <v>366</v>
      </c>
      <c r="C111" s="24" t="s">
        <v>18467</v>
      </c>
      <c r="D111" s="24">
        <v>51</v>
      </c>
      <c r="E111" s="27" t="str">
        <f>HYPERLINK("https://www.boe.es/gazeta/dias/1801/09/08/pdfs/GMD-1801-86.pdf","Abrir fascículo")</f>
        <v>Abrir fascículo</v>
      </c>
    </row>
    <row r="112" spans="1:5">
      <c r="A112" s="21">
        <v>87</v>
      </c>
      <c r="B112" s="18" t="s">
        <v>211</v>
      </c>
      <c r="C112" s="24" t="s">
        <v>18468</v>
      </c>
      <c r="D112" s="24">
        <v>53</v>
      </c>
      <c r="E112" s="27" t="str">
        <f>HYPERLINK("https://www.boe.es/gazeta/dias/1801/09/11/pdfs/GMD-1801-87.pdf","Abrir fascículo")</f>
        <v>Abrir fascículo</v>
      </c>
    </row>
    <row r="113" spans="1:5">
      <c r="A113" s="21" t="s">
        <v>18469</v>
      </c>
      <c r="B113" s="18" t="s">
        <v>18470</v>
      </c>
      <c r="C113" s="24" t="s">
        <v>18471</v>
      </c>
      <c r="D113" s="24">
        <v>0</v>
      </c>
      <c r="E113" s="27" t="str">
        <f>HYPERLINK("https://www.boe.es/gazeta/dias/1801/09/14/pdfs/GMD-1801-88E.pdf","Abrir extraordinaria")</f>
        <v>Abrir extraordinaria</v>
      </c>
    </row>
    <row r="114" spans="1:5">
      <c r="A114" s="21">
        <v>89</v>
      </c>
      <c r="B114" s="18" t="s">
        <v>328</v>
      </c>
      <c r="C114" s="24" t="s">
        <v>18472</v>
      </c>
      <c r="D114" s="24">
        <v>97</v>
      </c>
      <c r="E114" s="27" t="str">
        <f>HYPERLINK("https://www.boe.es/gazeta/dias/1801/09/15/pdfs/GMD-1801-89.pdf","Abrir fascículo")</f>
        <v>Abrir fascículo</v>
      </c>
    </row>
    <row r="115" spans="1:5">
      <c r="A115" s="21">
        <v>90</v>
      </c>
      <c r="B115" s="18" t="s">
        <v>924</v>
      </c>
      <c r="C115" s="24" t="s">
        <v>18473</v>
      </c>
      <c r="D115" s="24">
        <v>67</v>
      </c>
      <c r="E115" s="27" t="str">
        <f>HYPERLINK("https://www.boe.es/gazeta/dias/1801/09/18/pdfs/GMD-1801-90.pdf","Abrir fascículo")</f>
        <v>Abrir fascículo</v>
      </c>
    </row>
    <row r="116" spans="1:5">
      <c r="A116" s="21" t="s">
        <v>18474</v>
      </c>
      <c r="B116" s="18" t="s">
        <v>924</v>
      </c>
      <c r="C116" s="24" t="s">
        <v>18475</v>
      </c>
      <c r="D116" s="24">
        <v>0</v>
      </c>
      <c r="E116" s="27" t="str">
        <f>HYPERLINK("https://www.boe.es/gazeta/dias/1801/09/18/pdfs/GMD-C-1801-90.pdf","Abrir suplemento")</f>
        <v>Abrir suplemento</v>
      </c>
    </row>
    <row r="117" spans="1:5">
      <c r="A117" s="21">
        <v>91</v>
      </c>
      <c r="B117" s="18" t="s">
        <v>919</v>
      </c>
      <c r="C117" s="24" t="s">
        <v>18476</v>
      </c>
      <c r="D117" s="24">
        <v>50</v>
      </c>
      <c r="E117" s="27" t="str">
        <f>HYPERLINK("https://www.boe.es/gazeta/dias/1801/09/22/pdfs/GMD-1801-91.pdf","Abrir fascículo")</f>
        <v>Abrir fascículo</v>
      </c>
    </row>
    <row r="118" spans="1:5">
      <c r="A118" s="21">
        <v>92</v>
      </c>
      <c r="B118" s="18" t="s">
        <v>194</v>
      </c>
      <c r="C118" s="24" t="s">
        <v>18477</v>
      </c>
      <c r="D118" s="24">
        <v>58</v>
      </c>
      <c r="E118" s="27" t="str">
        <f>HYPERLINK("https://www.boe.es/gazeta/dias/1801/09/25/pdfs/GMD-1801-92.pdf","Abrir fascículo")</f>
        <v>Abrir fascículo</v>
      </c>
    </row>
    <row r="119" spans="1:5">
      <c r="A119" s="21">
        <v>93</v>
      </c>
      <c r="B119" s="18" t="s">
        <v>77</v>
      </c>
      <c r="C119" s="24" t="s">
        <v>18478</v>
      </c>
      <c r="D119" s="24">
        <v>51</v>
      </c>
      <c r="E119" s="27" t="str">
        <f>HYPERLINK("https://www.boe.es/gazeta/dias/1801/09/29/pdfs/GMD-1801-93.pdf","Abrir fascículo")</f>
        <v>Abrir fascículo</v>
      </c>
    </row>
    <row r="120" spans="1:5">
      <c r="A120" s="21" t="s">
        <v>18479</v>
      </c>
      <c r="B120" s="18" t="s">
        <v>77</v>
      </c>
      <c r="C120" s="24" t="s">
        <v>18480</v>
      </c>
      <c r="D120" s="24">
        <v>0</v>
      </c>
      <c r="E120" s="27" t="str">
        <f>HYPERLINK("https://www.boe.es/gazeta/dias/1801/09/29/pdfs/GMD-C-1801-93.pdf","Abrir suplemento")</f>
        <v>Abrir suplemento</v>
      </c>
    </row>
    <row r="121" spans="1:5">
      <c r="A121" s="21">
        <v>94</v>
      </c>
      <c r="B121" s="18" t="s">
        <v>505</v>
      </c>
      <c r="C121" s="24" t="s">
        <v>18481</v>
      </c>
      <c r="D121" s="24">
        <v>88</v>
      </c>
      <c r="E121" s="27" t="str">
        <f>HYPERLINK("https://www.boe.es/gazeta/dias/1801/10/02/pdfs/GMD-1801-94.pdf","Abrir fascículo")</f>
        <v>Abrir fascículo</v>
      </c>
    </row>
    <row r="122" spans="1:5">
      <c r="A122" s="21">
        <v>95</v>
      </c>
      <c r="B122" s="18" t="s">
        <v>1436</v>
      </c>
      <c r="C122" s="24" t="s">
        <v>18482</v>
      </c>
      <c r="D122" s="24">
        <v>43</v>
      </c>
      <c r="E122" s="27" t="str">
        <f>HYPERLINK("https://www.boe.es/gazeta/dias/1801/10/06/pdfs/GMD-1801-95.pdf","Abrir fascículo")</f>
        <v>Abrir fascículo</v>
      </c>
    </row>
    <row r="123" spans="1:5">
      <c r="A123" s="21">
        <v>96</v>
      </c>
      <c r="B123" s="18" t="s">
        <v>258</v>
      </c>
      <c r="C123" s="24" t="s">
        <v>18483</v>
      </c>
      <c r="D123" s="24">
        <v>56</v>
      </c>
      <c r="E123" s="27" t="str">
        <f>HYPERLINK("https://www.boe.es/gazeta/dias/1801/10/09/pdfs/GMD-1801-96.pdf","Abrir fascículo")</f>
        <v>Abrir fascículo</v>
      </c>
    </row>
    <row r="124" spans="1:5">
      <c r="A124" s="21">
        <v>97</v>
      </c>
      <c r="B124" s="18" t="s">
        <v>735</v>
      </c>
      <c r="C124" s="24" t="s">
        <v>18484</v>
      </c>
      <c r="D124" s="24">
        <v>68</v>
      </c>
      <c r="E124" s="27" t="str">
        <f>HYPERLINK("https://www.boe.es/gazeta/dias/1801/10/13/pdfs/GMD-1801-97.pdf","Abrir fascículo")</f>
        <v>Abrir fascículo</v>
      </c>
    </row>
    <row r="125" spans="1:5">
      <c r="A125" s="21">
        <v>98</v>
      </c>
      <c r="B125" s="18" t="s">
        <v>173</v>
      </c>
      <c r="C125" s="24" t="s">
        <v>18485</v>
      </c>
      <c r="D125" s="24">
        <v>56</v>
      </c>
      <c r="E125" s="27" t="str">
        <f>HYPERLINK("https://www.boe.es/gazeta/dias/1801/10/16/pdfs/GMD-1801-98.pdf","Abrir fascículo")</f>
        <v>Abrir fascículo</v>
      </c>
    </row>
    <row r="126" spans="1:5">
      <c r="A126" s="21" t="s">
        <v>18486</v>
      </c>
      <c r="B126" s="18" t="s">
        <v>173</v>
      </c>
      <c r="C126" s="24" t="s">
        <v>18487</v>
      </c>
      <c r="D126" s="24">
        <v>0</v>
      </c>
      <c r="E126" s="27" t="str">
        <f>HYPERLINK("https://www.boe.es/gazeta/dias/1801/10/16/pdfs/GMD-C-1801-98.pdf","Abrir suplemento")</f>
        <v>Abrir suplemento</v>
      </c>
    </row>
    <row r="127" spans="1:5">
      <c r="A127" s="21">
        <v>99</v>
      </c>
      <c r="B127" s="18" t="s">
        <v>1085</v>
      </c>
      <c r="C127" s="24" t="s">
        <v>18488</v>
      </c>
      <c r="D127" s="24">
        <v>53</v>
      </c>
      <c r="E127" s="27" t="str">
        <f>HYPERLINK("https://www.boe.es/gazeta/dias/1801/10/20/pdfs/GMD-1801-99.pdf","Abrir fascículo")</f>
        <v>Abrir fascículo</v>
      </c>
    </row>
    <row r="128" spans="1:5">
      <c r="A128" s="21">
        <v>100</v>
      </c>
      <c r="B128" s="18" t="s">
        <v>453</v>
      </c>
      <c r="C128" s="24" t="s">
        <v>18489</v>
      </c>
      <c r="D128" s="24">
        <v>100</v>
      </c>
      <c r="E128" s="27" t="str">
        <f>HYPERLINK("https://www.boe.es/gazeta/dias/1801/10/23/pdfs/GMD-1801-100.pdf","Abrir fascículo")</f>
        <v>Abrir fascículo</v>
      </c>
    </row>
    <row r="129" spans="1:5">
      <c r="A129" s="21" t="s">
        <v>18490</v>
      </c>
      <c r="B129" s="18" t="s">
        <v>453</v>
      </c>
      <c r="C129" s="24" t="s">
        <v>18491</v>
      </c>
      <c r="D129" s="24">
        <v>0</v>
      </c>
      <c r="E129" s="27" t="str">
        <f>HYPERLINK("https://www.boe.es/gazeta/dias/1801/10/23/pdfs/GMD-C-1801-100.pdf","Abrir suplemento")</f>
        <v>Abrir suplemento</v>
      </c>
    </row>
    <row r="130" spans="1:5">
      <c r="A130" s="21">
        <v>101</v>
      </c>
      <c r="B130" s="18" t="s">
        <v>359</v>
      </c>
      <c r="C130" s="24" t="s">
        <v>18492</v>
      </c>
      <c r="D130" s="24">
        <v>56</v>
      </c>
      <c r="E130" s="27" t="str">
        <f>HYPERLINK("https://www.boe.es/gazeta/dias/1801/10/27/pdfs/GMD-1801-101.pdf","Abrir fascículo")</f>
        <v>Abrir fascículo</v>
      </c>
    </row>
    <row r="131" spans="1:5">
      <c r="A131" s="21">
        <v>102</v>
      </c>
      <c r="B131" s="18" t="s">
        <v>317</v>
      </c>
      <c r="C131" s="24" t="s">
        <v>18493</v>
      </c>
      <c r="D131" s="24">
        <v>55</v>
      </c>
      <c r="E131" s="27" t="str">
        <f>HYPERLINK("https://www.boe.es/gazeta/dias/1801/10/30/pdfs/GMD-1801-102.pdf","Abrir fascículo")</f>
        <v>Abrir fascículo</v>
      </c>
    </row>
    <row r="132" spans="1:5">
      <c r="A132" s="21" t="s">
        <v>18494</v>
      </c>
      <c r="B132" s="18" t="s">
        <v>317</v>
      </c>
      <c r="C132" s="24" t="s">
        <v>18495</v>
      </c>
      <c r="D132" s="24">
        <v>0</v>
      </c>
      <c r="E132" s="27" t="str">
        <f>HYPERLINK("https://www.boe.es/gazeta/dias/1801/10/30/pdfs/GMD-C-1801-102.pdf","Abrir suplemento")</f>
        <v>Abrir suplemento</v>
      </c>
    </row>
    <row r="133" spans="1:5">
      <c r="A133" s="21">
        <v>103</v>
      </c>
      <c r="B133" s="18" t="s">
        <v>888</v>
      </c>
      <c r="C133" s="24" t="s">
        <v>18496</v>
      </c>
      <c r="D133" s="24">
        <v>54</v>
      </c>
      <c r="E133" s="27" t="str">
        <f>HYPERLINK("https://www.boe.es/gazeta/dias/1801/11/03/pdfs/GMD-1801-103.pdf","Abrir fascículo")</f>
        <v>Abrir fascículo</v>
      </c>
    </row>
    <row r="134" spans="1:5">
      <c r="A134" s="21">
        <v>104</v>
      </c>
      <c r="B134" s="18" t="s">
        <v>55</v>
      </c>
      <c r="C134" s="24" t="s">
        <v>18497</v>
      </c>
      <c r="D134" s="24">
        <v>86</v>
      </c>
      <c r="E134" s="27" t="str">
        <f>HYPERLINK("https://www.boe.es/gazeta/dias/1801/11/06/pdfs/GMD-1801-104.pdf","Abrir fascículo")</f>
        <v>Abrir fascículo</v>
      </c>
    </row>
    <row r="135" spans="1:5">
      <c r="A135" s="21">
        <v>105</v>
      </c>
      <c r="B135" s="18" t="s">
        <v>712</v>
      </c>
      <c r="C135" s="24" t="s">
        <v>18498</v>
      </c>
      <c r="D135" s="24">
        <v>74</v>
      </c>
      <c r="E135" s="27" t="str">
        <f>HYPERLINK("https://www.boe.es/gazeta/dias/1801/11/10/pdfs/GMD-1801-105.pdf","Abrir fascículo")</f>
        <v>Abrir fascículo</v>
      </c>
    </row>
    <row r="136" spans="1:5">
      <c r="A136" s="21">
        <v>106</v>
      </c>
      <c r="B136" s="18" t="s">
        <v>751</v>
      </c>
      <c r="C136" s="24" t="s">
        <v>18499</v>
      </c>
      <c r="D136" s="24">
        <v>53</v>
      </c>
      <c r="E136" s="27" t="str">
        <f>HYPERLINK("https://www.boe.es/gazeta/dias/1801/11/13/pdfs/GMD-1801-106.pdf","Abrir fascículo")</f>
        <v>Abrir fascículo</v>
      </c>
    </row>
    <row r="137" spans="1:5">
      <c r="A137" s="21" t="s">
        <v>18500</v>
      </c>
      <c r="B137" s="18" t="s">
        <v>751</v>
      </c>
      <c r="C137" s="24" t="s">
        <v>18501</v>
      </c>
      <c r="D137" s="24">
        <v>27</v>
      </c>
      <c r="E137" s="27" t="str">
        <f>HYPERLINK("https://www.boe.es/gazeta/dias/1801/11/13/pdfs/GMD-C-1801-106.pdf","Abrir suplemento")</f>
        <v>Abrir suplemento</v>
      </c>
    </row>
    <row r="138" spans="1:5">
      <c r="A138" s="21">
        <v>107</v>
      </c>
      <c r="B138" s="18" t="s">
        <v>1939</v>
      </c>
      <c r="C138" s="24" t="s">
        <v>18502</v>
      </c>
      <c r="D138" s="24">
        <v>83</v>
      </c>
      <c r="E138" s="27" t="str">
        <f>HYPERLINK("https://www.boe.es/gazeta/dias/1801/11/17/pdfs/GMD-1801-107.pdf","Abrir fascículo")</f>
        <v>Abrir fascículo</v>
      </c>
    </row>
    <row r="139" spans="1:5">
      <c r="A139" s="21">
        <v>108</v>
      </c>
      <c r="B139" s="18" t="s">
        <v>1058</v>
      </c>
      <c r="C139" s="24" t="s">
        <v>18503</v>
      </c>
      <c r="D139" s="24">
        <v>87</v>
      </c>
      <c r="E139" s="27" t="str">
        <f>HYPERLINK("https://www.boe.es/gazeta/dias/1801/11/20/pdfs/GMD-1801-108.pdf","Abrir fascículo")</f>
        <v>Abrir fascículo</v>
      </c>
    </row>
    <row r="140" spans="1:5">
      <c r="A140" s="21">
        <v>109</v>
      </c>
      <c r="B140" s="18" t="s">
        <v>262</v>
      </c>
      <c r="C140" s="24" t="s">
        <v>18504</v>
      </c>
      <c r="D140" s="24">
        <v>63</v>
      </c>
      <c r="E140" s="27" t="str">
        <f>HYPERLINK("https://www.boe.es/gazeta/dias/1801/11/24/pdfs/GMD-1801-109.pdf","Abrir fascículo")</f>
        <v>Abrir fascículo</v>
      </c>
    </row>
    <row r="141" spans="1:5">
      <c r="A141" s="21">
        <v>110</v>
      </c>
      <c r="B141" s="18" t="s">
        <v>3544</v>
      </c>
      <c r="C141" s="24" t="s">
        <v>18505</v>
      </c>
      <c r="D141" s="24">
        <v>2</v>
      </c>
      <c r="E141" s="27" t="str">
        <f>HYPERLINK("https://www.boe.es/gazeta/dias/1801/11/27/pdfs/GMD-1801-110.pdf","Abrir fascículo")</f>
        <v>Abrir fascículo</v>
      </c>
    </row>
    <row r="142" spans="1:5">
      <c r="A142" s="21" t="s">
        <v>18506</v>
      </c>
      <c r="B142" s="18" t="s">
        <v>3544</v>
      </c>
      <c r="C142" s="24" t="s">
        <v>18507</v>
      </c>
      <c r="D142" s="24">
        <v>0</v>
      </c>
      <c r="E142" s="27" t="str">
        <f>HYPERLINK("https://www.boe.es/gazeta/dias/1801/11/27/pdfs/GMD-C-1801-110.pdf","Abrir suplemento")</f>
        <v>Abrir suplemento</v>
      </c>
    </row>
    <row r="143" spans="1:5">
      <c r="A143" s="21">
        <v>111</v>
      </c>
      <c r="B143" s="18" t="s">
        <v>264</v>
      </c>
      <c r="C143" s="24" t="s">
        <v>18508</v>
      </c>
      <c r="D143" s="24">
        <v>41</v>
      </c>
      <c r="E143" s="27" t="str">
        <f>HYPERLINK("https://www.boe.es/gazeta/dias/1801/12/01/pdfs/GMD-1801-111.pdf","Abrir fascículo")</f>
        <v>Abrir fascículo</v>
      </c>
    </row>
    <row r="144" spans="1:5">
      <c r="A144" s="21">
        <v>112</v>
      </c>
      <c r="B144" s="18" t="s">
        <v>349</v>
      </c>
      <c r="C144" s="24" t="s">
        <v>18509</v>
      </c>
      <c r="D144" s="24">
        <v>63</v>
      </c>
      <c r="E144" s="27" t="str">
        <f>HYPERLINK("https://www.boe.es/gazeta/dias/1801/12/04/pdfs/GMD-1801-112.pdf","Abrir fascículo")</f>
        <v>Abrir fascículo</v>
      </c>
    </row>
    <row r="145" spans="1:5">
      <c r="A145" s="21">
        <v>113</v>
      </c>
      <c r="B145" s="18" t="s">
        <v>723</v>
      </c>
      <c r="C145" s="24" t="s">
        <v>18510</v>
      </c>
      <c r="D145" s="24">
        <v>56</v>
      </c>
      <c r="E145" s="27" t="str">
        <f>HYPERLINK("https://www.boe.es/gazeta/dias/1801/12/08/pdfs/GMD-1801-113.pdf","Abrir fascículo")</f>
        <v>Abrir fascículo</v>
      </c>
    </row>
    <row r="146" spans="1:5">
      <c r="A146" s="21" t="s">
        <v>18511</v>
      </c>
      <c r="B146" s="18" t="s">
        <v>723</v>
      </c>
      <c r="C146" s="24" t="s">
        <v>18512</v>
      </c>
      <c r="D146" s="24">
        <v>0</v>
      </c>
      <c r="E146" s="27" t="str">
        <f>HYPERLINK("https://www.boe.es/gazeta/dias/1801/12/08/pdfs/GMD-C-1801-113.pdf","Abrir suplemento")</f>
        <v>Abrir suplemento</v>
      </c>
    </row>
    <row r="147" spans="1:5">
      <c r="A147" s="21">
        <v>114</v>
      </c>
      <c r="B147" s="18" t="s">
        <v>112</v>
      </c>
      <c r="C147" s="24" t="s">
        <v>18513</v>
      </c>
      <c r="D147" s="24">
        <v>112</v>
      </c>
      <c r="E147" s="27" t="str">
        <f>HYPERLINK("https://www.boe.es/gazeta/dias/1801/12/11/pdfs/GMD-1801-114.pdf","Abrir fascículo")</f>
        <v>Abrir fascículo</v>
      </c>
    </row>
    <row r="148" spans="1:5">
      <c r="A148" s="21">
        <v>115</v>
      </c>
      <c r="B148" s="18" t="s">
        <v>501</v>
      </c>
      <c r="C148" s="24" t="s">
        <v>18514</v>
      </c>
      <c r="D148" s="24">
        <v>53</v>
      </c>
      <c r="E148" s="27" t="str">
        <f>HYPERLINK("https://www.boe.es/gazeta/dias/1801/12/15/pdfs/GMD-1801-115.pdf","Abrir fascículo")</f>
        <v>Abrir fascículo</v>
      </c>
    </row>
    <row r="149" spans="1:5">
      <c r="A149" s="21" t="s">
        <v>18515</v>
      </c>
      <c r="B149" s="18" t="s">
        <v>501</v>
      </c>
      <c r="C149" s="24" t="s">
        <v>18394</v>
      </c>
      <c r="D149" s="24">
        <v>117</v>
      </c>
      <c r="E149" s="27" t="str">
        <f>HYPERLINK("https://www.boe.es/gazeta/dias/1801/12/15/pdfs/GMD-C-1801-115.pdf","Abrir suplemento")</f>
        <v>Abrir suplemento</v>
      </c>
    </row>
    <row r="150" spans="1:5">
      <c r="A150" s="21">
        <v>116</v>
      </c>
      <c r="B150" s="18" t="s">
        <v>935</v>
      </c>
      <c r="C150" s="24" t="s">
        <v>18516</v>
      </c>
      <c r="D150" s="24">
        <v>61</v>
      </c>
      <c r="E150" s="27" t="str">
        <f>HYPERLINK("https://www.boe.es/gazeta/dias/1801/12/18/pdfs/GMD-1801-116.pdf","Abrir fascículo")</f>
        <v>Abrir fascículo</v>
      </c>
    </row>
    <row r="151" spans="1:5">
      <c r="A151" s="21" t="s">
        <v>18517</v>
      </c>
      <c r="B151" s="18" t="s">
        <v>935</v>
      </c>
      <c r="C151" s="24" t="s">
        <v>18518</v>
      </c>
      <c r="D151" s="24">
        <v>0</v>
      </c>
      <c r="E151" s="27" t="str">
        <f>HYPERLINK("https://www.boe.es/gazeta/dias/1801/12/18/pdfs/GMD-C-1801-116.pdf","Abrir suplemento")</f>
        <v>Abrir suplemento</v>
      </c>
    </row>
    <row r="152" spans="1:5">
      <c r="A152" s="21">
        <v>117</v>
      </c>
      <c r="B152" s="18" t="s">
        <v>44</v>
      </c>
      <c r="C152" s="24" t="s">
        <v>18519</v>
      </c>
      <c r="D152" s="24">
        <v>87</v>
      </c>
      <c r="E152" s="27" t="str">
        <f>HYPERLINK("https://www.boe.es/gazeta/dias/1801/12/22/pdfs/GMD-1801-117.pdf","Abrir fascículo")</f>
        <v>Abrir fascículo</v>
      </c>
    </row>
    <row r="153" spans="1:5">
      <c r="A153" s="21">
        <v>118</v>
      </c>
      <c r="B153" s="18" t="s">
        <v>309</v>
      </c>
      <c r="C153" s="24" t="s">
        <v>18520</v>
      </c>
      <c r="D153" s="24">
        <v>65</v>
      </c>
      <c r="E153" s="27" t="str">
        <f>HYPERLINK("https://www.boe.es/gazeta/dias/1801/12/25/pdfs/GMD-1801-118.pdf","Abrir fascículo")</f>
        <v>Abrir fascículo</v>
      </c>
    </row>
    <row r="154" spans="1:5">
      <c r="A154" s="21" t="s">
        <v>18521</v>
      </c>
      <c r="B154" s="18" t="s">
        <v>309</v>
      </c>
      <c r="C154" s="24" t="s">
        <v>18522</v>
      </c>
      <c r="D154" s="24">
        <v>0</v>
      </c>
      <c r="E154" s="27" t="str">
        <f>HYPERLINK("https://www.boe.es/gazeta/dias/1801/12/25/pdfs/GMD-C-1801-118.pdf","Abrir suplemento")</f>
        <v>Abrir suplemento</v>
      </c>
    </row>
    <row r="155" spans="1:5">
      <c r="A155" s="22">
        <v>119</v>
      </c>
      <c r="B155" s="19" t="s">
        <v>266</v>
      </c>
      <c r="C155" s="25" t="s">
        <v>18523</v>
      </c>
      <c r="D155" s="25">
        <v>66</v>
      </c>
      <c r="E155" s="28" t="str">
        <f>HYPERLINK("https://www.boe.es/gazeta/dias/1801/12/29/pdfs/GMD-1801-119.pdf","Abrir fascículo")</f>
        <v>Abrir fascículo</v>
      </c>
    </row>
    <row r="157" spans="1:5" ht="48" customHeight="1">
      <c r="A157" s="29" t="s">
        <v>18524</v>
      </c>
      <c r="B157" s="34" t="s">
        <v>18525</v>
      </c>
      <c r="C157" s="34"/>
      <c r="D157" s="34"/>
      <c r="E157" s="34"/>
    </row>
    <row r="158" spans="1:5" ht="48" customHeight="1">
      <c r="A158" s="29" t="s">
        <v>18526</v>
      </c>
      <c r="B158" s="34" t="s">
        <v>18527</v>
      </c>
      <c r="C158" s="34"/>
      <c r="D158" s="34"/>
      <c r="E158" s="34"/>
    </row>
    <row r="159" spans="1:5" ht="48" customHeight="1">
      <c r="A159" s="29" t="s">
        <v>18528</v>
      </c>
      <c r="B159" s="34" t="s">
        <v>18529</v>
      </c>
      <c r="C159" s="34"/>
      <c r="D159" s="34"/>
      <c r="E159" s="34"/>
    </row>
    <row r="160" spans="1:5" ht="48" customHeight="1">
      <c r="A160" s="29" t="s">
        <v>18530</v>
      </c>
      <c r="B160" s="34" t="s">
        <v>18531</v>
      </c>
      <c r="C160" s="34"/>
      <c r="D160" s="34"/>
      <c r="E160" s="34"/>
    </row>
    <row r="161" spans="1:5" ht="48" customHeight="1">
      <c r="A161" s="29" t="s">
        <v>18532</v>
      </c>
      <c r="B161" s="34" t="s">
        <v>18533</v>
      </c>
      <c r="C161" s="34"/>
      <c r="D161" s="34"/>
      <c r="E161" s="34"/>
    </row>
    <row r="162" spans="1:5" ht="48" customHeight="1">
      <c r="A162" s="29" t="s">
        <v>18534</v>
      </c>
      <c r="B162" s="34" t="s">
        <v>18535</v>
      </c>
      <c r="C162" s="34"/>
      <c r="D162" s="34"/>
      <c r="E162" s="34"/>
    </row>
    <row r="163" spans="1:5" ht="48" customHeight="1">
      <c r="A163" s="29" t="s">
        <v>18536</v>
      </c>
      <c r="B163" s="34" t="s">
        <v>18537</v>
      </c>
      <c r="C163" s="34"/>
      <c r="D163" s="34"/>
      <c r="E163" s="34"/>
    </row>
    <row r="164" spans="1:5" ht="48" customHeight="1">
      <c r="A164" s="29" t="s">
        <v>18538</v>
      </c>
      <c r="B164" s="34" t="s">
        <v>18539</v>
      </c>
      <c r="C164" s="34"/>
      <c r="D164" s="34"/>
      <c r="E164" s="34"/>
    </row>
    <row r="165" spans="1:5" ht="48" customHeight="1">
      <c r="A165" s="29" t="s">
        <v>18540</v>
      </c>
      <c r="B165" s="34" t="s">
        <v>18541</v>
      </c>
      <c r="C165" s="34"/>
      <c r="D165" s="34"/>
      <c r="E165" s="34"/>
    </row>
  </sheetData>
  <mergeCells count="10">
    <mergeCell ref="B161:E161"/>
    <mergeCell ref="B162:E162"/>
    <mergeCell ref="B163:E163"/>
    <mergeCell ref="B164:E164"/>
    <mergeCell ref="B165:E165"/>
    <mergeCell ref="A1:E1"/>
    <mergeCell ref="B157:E157"/>
    <mergeCell ref="B158:E158"/>
    <mergeCell ref="B159:E159"/>
    <mergeCell ref="B160:E160"/>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2026-09-24T12:36:27Z</dcterms:created>
  <dcterms:modified xsi:type="dcterms:W3CDTF">2026-09-24T12:36:28Z</dcterms:modified>
</cp:coreProperties>
</file>